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m-edhs.mil.intra/dhs/Active/dav/applications/1/lists/1/items/769156/files/1/"/>
    </mc:Choice>
  </mc:AlternateContent>
  <xr:revisionPtr revIDLastSave="0" documentId="13_ncr:1_{747C4C96-7549-48CF-B2BC-5CE04B347C6E}" xr6:coauthVersionLast="47" xr6:coauthVersionMax="47" xr10:uidLastSave="{00000000-0000-0000-0000-000000000000}"/>
  <bookViews>
    <workbookView xWindow="28680" yWindow="-120" windowWidth="29040" windowHeight="15720" activeTab="3" xr2:uid="{E566FEB3-98DB-47E2-B3AF-8D132D268992}"/>
  </bookViews>
  <sheets>
    <sheet name="aruanne" sheetId="1" r:id="rId1"/>
    <sheet name="LISA" sheetId="13" r:id="rId2"/>
    <sheet name="vordlus" sheetId="2" r:id="rId3"/>
    <sheet name="lisa1" sheetId="4" r:id="rId4"/>
  </sheets>
  <definedNames>
    <definedName name="_xlnm._FilterDatabase" localSheetId="1" hidden="1">LISA!$A$3:$J$539</definedName>
    <definedName name="_xlnm._FilterDatabase" localSheetId="2" hidden="1">vordlus!$A$4:$J$18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4" l="1"/>
  <c r="C7" i="4"/>
  <c r="E529" i="13"/>
  <c r="E514" i="13"/>
  <c r="E88" i="13"/>
  <c r="E93" i="13"/>
  <c r="D94" i="13"/>
  <c r="E382" i="13" l="1"/>
  <c r="E91" i="13" l="1"/>
  <c r="F91" i="13"/>
  <c r="D91" i="13"/>
  <c r="E89" i="13"/>
  <c r="G89" i="13" s="1"/>
  <c r="E329" i="13"/>
  <c r="D136" i="13"/>
  <c r="F93" i="13"/>
  <c r="D59" i="1" l="1"/>
  <c r="D57" i="1"/>
  <c r="D43" i="1" l="1"/>
  <c r="E43" i="1"/>
  <c r="F43" i="1"/>
  <c r="G55" i="1" l="1"/>
  <c r="G46" i="1"/>
  <c r="G47" i="1"/>
  <c r="G48" i="1"/>
  <c r="G49" i="1"/>
  <c r="G50" i="1"/>
  <c r="G44" i="1" s="1"/>
  <c r="G51" i="1"/>
  <c r="G52" i="1"/>
  <c r="G53" i="1"/>
  <c r="G54" i="1"/>
  <c r="G56" i="1"/>
  <c r="G57" i="1"/>
  <c r="G58" i="1"/>
  <c r="G45" i="1"/>
  <c r="G7" i="1"/>
  <c r="G8" i="1"/>
  <c r="G9" i="1"/>
  <c r="G10" i="1"/>
  <c r="G11" i="1"/>
  <c r="G6" i="1"/>
  <c r="D528" i="13"/>
  <c r="F528" i="13"/>
  <c r="E528" i="13"/>
  <c r="F536" i="13"/>
  <c r="E37" i="13"/>
  <c r="G268" i="13"/>
  <c r="G266" i="13"/>
  <c r="G259" i="13"/>
  <c r="G258" i="13"/>
  <c r="G257" i="13"/>
  <c r="G256" i="13"/>
  <c r="G249" i="13"/>
  <c r="G248" i="13"/>
  <c r="G242" i="13"/>
  <c r="G241" i="13"/>
  <c r="G239" i="13"/>
  <c r="G238" i="13"/>
  <c r="G236" i="13"/>
  <c r="G234" i="13"/>
  <c r="G233" i="13"/>
  <c r="G232" i="13"/>
  <c r="G230" i="13"/>
  <c r="G214" i="13"/>
  <c r="G213" i="13"/>
  <c r="G212" i="13"/>
  <c r="G210" i="13"/>
  <c r="G209" i="13"/>
  <c r="G208" i="13"/>
  <c r="G207" i="13"/>
  <c r="G206" i="13"/>
  <c r="G204" i="13"/>
  <c r="G201" i="13"/>
  <c r="G200" i="13"/>
  <c r="G199" i="13"/>
  <c r="G188" i="13"/>
  <c r="G182" i="13"/>
  <c r="G181" i="13"/>
  <c r="G180" i="13"/>
  <c r="G179" i="13"/>
  <c r="G172" i="13"/>
  <c r="G161" i="13"/>
  <c r="G160" i="13"/>
  <c r="G159" i="13"/>
  <c r="G129" i="13"/>
  <c r="G131" i="13"/>
  <c r="G130" i="13"/>
  <c r="G113" i="13"/>
  <c r="G112" i="13"/>
  <c r="G110" i="13"/>
  <c r="G109" i="13"/>
  <c r="G101" i="13"/>
  <c r="G100" i="13"/>
  <c r="G98" i="13"/>
  <c r="G97" i="13"/>
  <c r="G96" i="13"/>
  <c r="G95" i="13"/>
  <c r="G76" i="13"/>
  <c r="G75" i="13"/>
  <c r="G66" i="13"/>
  <c r="G65" i="13"/>
  <c r="G64" i="13"/>
  <c r="G63" i="13"/>
  <c r="G52" i="13"/>
  <c r="G51" i="13"/>
  <c r="G38" i="13"/>
  <c r="G39" i="13"/>
  <c r="G33" i="13"/>
  <c r="G34" i="13"/>
  <c r="F57" i="1"/>
  <c r="C43" i="1"/>
  <c r="G17" i="2"/>
  <c r="G528" i="13" l="1"/>
  <c r="D51" i="1"/>
  <c r="C17" i="2" l="1"/>
  <c r="C16" i="2"/>
  <c r="C12" i="2" l="1"/>
  <c r="C18" i="2"/>
  <c r="E59" i="1"/>
  <c r="E51" i="1"/>
  <c r="E7" i="1"/>
  <c r="C6" i="2"/>
  <c r="F374" i="13"/>
  <c r="D31" i="13"/>
  <c r="D32" i="13"/>
  <c r="E32" i="13"/>
  <c r="F32" i="13"/>
  <c r="G32" i="13" s="1"/>
  <c r="F37" i="13"/>
  <c r="F50" i="13"/>
  <c r="D62" i="13"/>
  <c r="E62" i="13"/>
  <c r="F62" i="13"/>
  <c r="D74" i="13"/>
  <c r="E74" i="13"/>
  <c r="F94" i="13"/>
  <c r="D99" i="13"/>
  <c r="E99" i="13"/>
  <c r="D111" i="13"/>
  <c r="E111" i="13"/>
  <c r="F111" i="13"/>
  <c r="D139" i="13"/>
  <c r="E139" i="13"/>
  <c r="F139" i="13"/>
  <c r="D142" i="13"/>
  <c r="E142" i="13"/>
  <c r="F142" i="13"/>
  <c r="D462" i="13"/>
  <c r="E462" i="13"/>
  <c r="F462" i="13"/>
  <c r="D466" i="13"/>
  <c r="E466" i="13"/>
  <c r="F466" i="13"/>
  <c r="D477" i="13"/>
  <c r="E477" i="13"/>
  <c r="F477" i="13"/>
  <c r="G477" i="13" s="1"/>
  <c r="D483" i="13"/>
  <c r="E483" i="13"/>
  <c r="F483" i="13"/>
  <c r="D488" i="13"/>
  <c r="E488" i="13"/>
  <c r="F488" i="13"/>
  <c r="E495" i="13"/>
  <c r="F495" i="13"/>
  <c r="D495" i="13"/>
  <c r="D526" i="13"/>
  <c r="D501" i="13" s="1"/>
  <c r="E533" i="13"/>
  <c r="D533" i="13"/>
  <c r="E353" i="13"/>
  <c r="F514" i="13"/>
  <c r="D514" i="13"/>
  <c r="G461" i="13"/>
  <c r="E460" i="13"/>
  <c r="E439" i="13" s="1"/>
  <c r="F460" i="13"/>
  <c r="F439" i="13" s="1"/>
  <c r="D460" i="13"/>
  <c r="D439" i="13" s="1"/>
  <c r="G429" i="13"/>
  <c r="F329" i="13"/>
  <c r="D329" i="13"/>
  <c r="E337" i="13"/>
  <c r="E223" i="13"/>
  <c r="F223" i="13"/>
  <c r="D223" i="13"/>
  <c r="E231" i="13"/>
  <c r="G231" i="13" s="1"/>
  <c r="D46" i="13"/>
  <c r="G223" i="13" l="1"/>
  <c r="G439" i="13"/>
  <c r="F29" i="13" l="1"/>
  <c r="F30" i="13"/>
  <c r="F31" i="13"/>
  <c r="F24" i="13"/>
  <c r="F35" i="13"/>
  <c r="F25" i="13" s="1"/>
  <c r="F26" i="13"/>
  <c r="F40" i="13"/>
  <c r="F27" i="13" s="1"/>
  <c r="F46" i="13"/>
  <c r="F48" i="13"/>
  <c r="F49" i="13"/>
  <c r="F54" i="13"/>
  <c r="F55" i="13"/>
  <c r="F59" i="13"/>
  <c r="F60" i="13"/>
  <c r="F61" i="13"/>
  <c r="F68" i="13"/>
  <c r="G68" i="13" s="1"/>
  <c r="F71" i="13"/>
  <c r="F72" i="13"/>
  <c r="F73" i="13"/>
  <c r="F74" i="13"/>
  <c r="F77" i="13"/>
  <c r="F44" i="13" s="1"/>
  <c r="F83" i="13"/>
  <c r="F85" i="13"/>
  <c r="F84" i="13" s="1"/>
  <c r="F86" i="13"/>
  <c r="F90" i="13"/>
  <c r="F92" i="13"/>
  <c r="F99" i="13"/>
  <c r="F104" i="13"/>
  <c r="F105" i="13"/>
  <c r="F106" i="13"/>
  <c r="F107" i="13"/>
  <c r="F108" i="13"/>
  <c r="F119" i="13"/>
  <c r="F121" i="13"/>
  <c r="F120" i="13" s="1"/>
  <c r="F122" i="13"/>
  <c r="F125" i="13"/>
  <c r="F126" i="13"/>
  <c r="F127" i="13"/>
  <c r="F128" i="13"/>
  <c r="F134" i="13"/>
  <c r="F135" i="13"/>
  <c r="F136" i="13"/>
  <c r="F137" i="13"/>
  <c r="F117" i="13"/>
  <c r="F118" i="13"/>
  <c r="F151" i="13"/>
  <c r="F154" i="13"/>
  <c r="F155" i="13"/>
  <c r="F156" i="13"/>
  <c r="F157" i="13"/>
  <c r="F158" i="13"/>
  <c r="F162" i="13"/>
  <c r="F168" i="13"/>
  <c r="F167" i="13" s="1"/>
  <c r="F169" i="13"/>
  <c r="F173" i="13"/>
  <c r="F175" i="13"/>
  <c r="F176" i="13"/>
  <c r="F183" i="13"/>
  <c r="F185" i="13"/>
  <c r="F189" i="13"/>
  <c r="F193" i="13"/>
  <c r="F194" i="13"/>
  <c r="F195" i="13"/>
  <c r="F196" i="13"/>
  <c r="F197" i="13"/>
  <c r="F198" i="13"/>
  <c r="F203" i="13"/>
  <c r="F205" i="13"/>
  <c r="F211" i="13"/>
  <c r="F221" i="13"/>
  <c r="F224" i="13"/>
  <c r="F225" i="13"/>
  <c r="F226" i="13"/>
  <c r="F227" i="13"/>
  <c r="F228" i="13"/>
  <c r="F229" i="13"/>
  <c r="F235" i="13"/>
  <c r="F237" i="13"/>
  <c r="E522" i="13"/>
  <c r="E448" i="13"/>
  <c r="E456" i="13"/>
  <c r="F533" i="13"/>
  <c r="E502" i="13"/>
  <c r="E503" i="13"/>
  <c r="D61" i="13"/>
  <c r="D58" i="1"/>
  <c r="F88" i="13" l="1"/>
  <c r="F178" i="13"/>
  <c r="F186" i="13"/>
  <c r="G189" i="13"/>
  <c r="F184" i="13"/>
  <c r="G185" i="13"/>
  <c r="F53" i="13"/>
  <c r="F218" i="13"/>
  <c r="F133" i="13"/>
  <c r="F23" i="13"/>
  <c r="F70" i="13"/>
  <c r="F67" i="13"/>
  <c r="F45" i="13" s="1"/>
  <c r="F47" i="13"/>
  <c r="F124" i="13"/>
  <c r="F177" i="13"/>
  <c r="F152" i="13"/>
  <c r="F174" i="13"/>
  <c r="F82" i="13"/>
  <c r="F81" i="13"/>
  <c r="F80" i="13" s="1"/>
  <c r="F222" i="13"/>
  <c r="F149" i="13"/>
  <c r="F103" i="13"/>
  <c r="F58" i="13"/>
  <c r="F28" i="13"/>
  <c r="F43" i="13"/>
  <c r="F116" i="13"/>
  <c r="F191" i="13"/>
  <c r="F150" i="13"/>
  <c r="F147" i="13"/>
  <c r="F148" i="13"/>
  <c r="D44" i="1"/>
  <c r="F57" i="13" l="1"/>
  <c r="F171" i="13"/>
  <c r="F115" i="13"/>
  <c r="F42" i="13"/>
  <c r="F146" i="13"/>
  <c r="E57" i="1"/>
  <c r="E6" i="1" l="1"/>
  <c r="E55" i="1" l="1"/>
  <c r="E44" i="1"/>
  <c r="C44" i="1"/>
  <c r="E187" i="13" l="1"/>
  <c r="G187" i="13" s="1"/>
  <c r="E183" i="13"/>
  <c r="G183" i="13" s="1"/>
  <c r="E202" i="13"/>
  <c r="G202" i="13" s="1"/>
  <c r="E153" i="13" l="1"/>
  <c r="F353" i="13"/>
  <c r="F352" i="13"/>
  <c r="F354" i="13"/>
  <c r="E354" i="13"/>
  <c r="F263" i="13"/>
  <c r="E263" i="13"/>
  <c r="D263" i="13"/>
  <c r="G263" i="13" l="1"/>
  <c r="F517" i="13"/>
  <c r="E517" i="13"/>
  <c r="F524" i="13"/>
  <c r="E524" i="13"/>
  <c r="E520" i="13" s="1"/>
  <c r="G523" i="13"/>
  <c r="D7" i="13"/>
  <c r="E192" i="13"/>
  <c r="G192" i="13" s="1"/>
  <c r="E196" i="13"/>
  <c r="G196" i="13" s="1"/>
  <c r="D196" i="13"/>
  <c r="D197" i="13"/>
  <c r="E194" i="13"/>
  <c r="G194" i="13" s="1"/>
  <c r="D194" i="13"/>
  <c r="E193" i="13"/>
  <c r="G193" i="13" s="1"/>
  <c r="D193" i="13"/>
  <c r="D198" i="13"/>
  <c r="D195" i="13"/>
  <c r="E195" i="13"/>
  <c r="G195" i="13" s="1"/>
  <c r="E205" i="13"/>
  <c r="D205" i="13"/>
  <c r="E211" i="13"/>
  <c r="G211" i="13" s="1"/>
  <c r="D211" i="13"/>
  <c r="E203" i="13"/>
  <c r="G203" i="13" s="1"/>
  <c r="D203" i="13"/>
  <c r="D177" i="13"/>
  <c r="E176" i="13"/>
  <c r="G176" i="13" s="1"/>
  <c r="D176" i="13"/>
  <c r="E174" i="13"/>
  <c r="G174" i="13" s="1"/>
  <c r="D174" i="13"/>
  <c r="E173" i="13"/>
  <c r="G173" i="13" s="1"/>
  <c r="D173" i="13"/>
  <c r="E184" i="13"/>
  <c r="G184" i="13" s="1"/>
  <c r="D184" i="13"/>
  <c r="E186" i="13"/>
  <c r="D186" i="13"/>
  <c r="E190" i="13"/>
  <c r="E177" i="13" s="1"/>
  <c r="G177" i="13" s="1"/>
  <c r="D157" i="13"/>
  <c r="G153" i="13"/>
  <c r="E155" i="13"/>
  <c r="G155" i="13" s="1"/>
  <c r="E154" i="13"/>
  <c r="G154" i="13" s="1"/>
  <c r="G164" i="13"/>
  <c r="E162" i="13"/>
  <c r="D162" i="13"/>
  <c r="G163" i="13"/>
  <c r="E128" i="13"/>
  <c r="G128" i="13" s="1"/>
  <c r="D119" i="13"/>
  <c r="E135" i="13"/>
  <c r="D135" i="13"/>
  <c r="D134" i="13"/>
  <c r="E134" i="13"/>
  <c r="D118" i="13"/>
  <c r="G144" i="13"/>
  <c r="G143" i="13"/>
  <c r="E118" i="13"/>
  <c r="G118" i="13" s="1"/>
  <c r="D117" i="13"/>
  <c r="E117" i="13"/>
  <c r="G117" i="13" s="1"/>
  <c r="G141" i="13"/>
  <c r="G140" i="13"/>
  <c r="D127" i="13"/>
  <c r="D128" i="13"/>
  <c r="E125" i="13"/>
  <c r="G125" i="13" s="1"/>
  <c r="E126" i="13"/>
  <c r="G126" i="13" s="1"/>
  <c r="D83" i="13"/>
  <c r="E94" i="13"/>
  <c r="D107" i="13"/>
  <c r="E105" i="13"/>
  <c r="E104" i="13"/>
  <c r="G104" i="13" s="1"/>
  <c r="E106" i="13"/>
  <c r="G106" i="13" s="1"/>
  <c r="D106" i="13"/>
  <c r="D105" i="13"/>
  <c r="D108" i="13"/>
  <c r="E108" i="13"/>
  <c r="D72" i="13"/>
  <c r="E72" i="13"/>
  <c r="G72" i="13" s="1"/>
  <c r="E77" i="13"/>
  <c r="E44" i="13" s="1"/>
  <c r="G44" i="13" s="1"/>
  <c r="D77" i="13"/>
  <c r="D44" i="13" s="1"/>
  <c r="G78" i="13"/>
  <c r="D73" i="13"/>
  <c r="E59" i="13"/>
  <c r="G59" i="13" s="1"/>
  <c r="E67" i="13"/>
  <c r="E45" i="13" s="1"/>
  <c r="G45" i="13" s="1"/>
  <c r="D67" i="13"/>
  <c r="D45" i="13" s="1"/>
  <c r="E48" i="13"/>
  <c r="G48" i="13" s="1"/>
  <c r="D37" i="13"/>
  <c r="E29" i="13"/>
  <c r="D30" i="13"/>
  <c r="D28" i="13" s="1"/>
  <c r="E31" i="13"/>
  <c r="G31" i="13" s="1"/>
  <c r="E30" i="13"/>
  <c r="G30" i="13" s="1"/>
  <c r="G36" i="13"/>
  <c r="E35" i="13"/>
  <c r="E25" i="13" s="1"/>
  <c r="G25" i="13" s="1"/>
  <c r="D35" i="13"/>
  <c r="D25" i="13" s="1"/>
  <c r="E24" i="13"/>
  <c r="D503" i="13"/>
  <c r="D519" i="13"/>
  <c r="F519" i="13"/>
  <c r="F516" i="13"/>
  <c r="F515" i="13"/>
  <c r="E516" i="13"/>
  <c r="D516" i="13"/>
  <c r="E515" i="13"/>
  <c r="D515" i="13"/>
  <c r="F502" i="13"/>
  <c r="G532" i="13"/>
  <c r="G531" i="13"/>
  <c r="G530" i="13"/>
  <c r="G529" i="13"/>
  <c r="F503" i="13"/>
  <c r="G534" i="13"/>
  <c r="G527" i="13"/>
  <c r="F526" i="13"/>
  <c r="E526" i="13"/>
  <c r="E501" i="13" s="1"/>
  <c r="D502" i="13"/>
  <c r="D524" i="13"/>
  <c r="D442" i="13"/>
  <c r="F442" i="13"/>
  <c r="F494" i="13"/>
  <c r="G497" i="13"/>
  <c r="F476" i="13"/>
  <c r="E391" i="13"/>
  <c r="F471" i="13"/>
  <c r="E471" i="13"/>
  <c r="D472" i="13"/>
  <c r="E472" i="13"/>
  <c r="F472" i="13"/>
  <c r="G481" i="13"/>
  <c r="G482" i="13"/>
  <c r="F475" i="13"/>
  <c r="F473" i="13"/>
  <c r="E473" i="13"/>
  <c r="D473" i="13"/>
  <c r="E474" i="13"/>
  <c r="F474" i="13"/>
  <c r="E475" i="13"/>
  <c r="D476" i="13"/>
  <c r="D475" i="13"/>
  <c r="D474" i="13"/>
  <c r="G486" i="13"/>
  <c r="G484" i="13"/>
  <c r="G490" i="13"/>
  <c r="G489" i="13"/>
  <c r="G487" i="13"/>
  <c r="G485" i="13"/>
  <c r="F453" i="13"/>
  <c r="D449" i="13"/>
  <c r="E449" i="13"/>
  <c r="F449" i="13"/>
  <c r="G448" i="13"/>
  <c r="D450" i="13"/>
  <c r="F452" i="13"/>
  <c r="E452" i="13"/>
  <c r="D451" i="13"/>
  <c r="D453" i="13"/>
  <c r="D452" i="13"/>
  <c r="G468" i="13"/>
  <c r="G467" i="13"/>
  <c r="E469" i="13"/>
  <c r="G469" i="13" s="1"/>
  <c r="G463" i="13"/>
  <c r="G464" i="13"/>
  <c r="F454" i="13"/>
  <c r="E454" i="13"/>
  <c r="D454" i="13"/>
  <c r="G459" i="13"/>
  <c r="E284" i="13"/>
  <c r="F288" i="13"/>
  <c r="E288" i="13"/>
  <c r="E273" i="13" s="1"/>
  <c r="F274" i="13"/>
  <c r="D274" i="13"/>
  <c r="D273" i="13"/>
  <c r="D292" i="13"/>
  <c r="F292" i="13"/>
  <c r="E292" i="13"/>
  <c r="E293" i="13"/>
  <c r="G296" i="13"/>
  <c r="G286" i="13"/>
  <c r="G287" i="13"/>
  <c r="G289" i="13"/>
  <c r="G299" i="13"/>
  <c r="F298" i="13"/>
  <c r="F272" i="13" s="1"/>
  <c r="E298" i="13"/>
  <c r="E272" i="13" s="1"/>
  <c r="D298" i="13"/>
  <c r="D272" i="13" s="1"/>
  <c r="E283" i="13"/>
  <c r="E282" i="13"/>
  <c r="E281" i="13"/>
  <c r="F280" i="13"/>
  <c r="E280" i="13"/>
  <c r="D280" i="13"/>
  <c r="F282" i="13"/>
  <c r="G282" i="13" s="1"/>
  <c r="D282" i="13"/>
  <c r="D281" i="13"/>
  <c r="D284" i="13"/>
  <c r="G290" i="13"/>
  <c r="F330" i="13"/>
  <c r="F307" i="13"/>
  <c r="E309" i="13"/>
  <c r="E310" i="13"/>
  <c r="E311" i="13"/>
  <c r="E312" i="13"/>
  <c r="E314" i="13"/>
  <c r="E318" i="13"/>
  <c r="E320" i="13"/>
  <c r="E323" i="13"/>
  <c r="E313" i="13" s="1"/>
  <c r="E325" i="13"/>
  <c r="E324" i="13" s="1"/>
  <c r="E326" i="13"/>
  <c r="E330" i="13"/>
  <c r="E331" i="13"/>
  <c r="E332" i="13"/>
  <c r="E333" i="13"/>
  <c r="E335" i="13"/>
  <c r="E340" i="13"/>
  <c r="E342" i="13"/>
  <c r="E346" i="13"/>
  <c r="E350" i="13"/>
  <c r="E334" i="13" s="1"/>
  <c r="E352" i="13"/>
  <c r="E356" i="13"/>
  <c r="E359" i="13"/>
  <c r="E362" i="13"/>
  <c r="E355" i="13" s="1"/>
  <c r="E368" i="13"/>
  <c r="E370" i="13"/>
  <c r="E372" i="13"/>
  <c r="E371" i="13" s="1"/>
  <c r="E381" i="13"/>
  <c r="E383" i="13"/>
  <c r="E384" i="13"/>
  <c r="E385" i="13"/>
  <c r="E392" i="13"/>
  <c r="E393" i="13"/>
  <c r="E394" i="13"/>
  <c r="E395" i="13"/>
  <c r="E397" i="13"/>
  <c r="E403" i="13"/>
  <c r="E377" i="13" s="1"/>
  <c r="F356" i="13"/>
  <c r="D356" i="13"/>
  <c r="F359" i="13"/>
  <c r="F320" i="13"/>
  <c r="F314" i="13"/>
  <c r="F318" i="13"/>
  <c r="D342" i="13"/>
  <c r="F342" i="13"/>
  <c r="F335" i="13"/>
  <c r="F334" i="13"/>
  <c r="F331" i="13"/>
  <c r="F346" i="13"/>
  <c r="D346" i="13"/>
  <c r="D320" i="13"/>
  <c r="D306" i="13" s="1"/>
  <c r="F310" i="13"/>
  <c r="F311" i="13"/>
  <c r="F396" i="13"/>
  <c r="F313" i="13"/>
  <c r="F340" i="13"/>
  <c r="D340" i="13"/>
  <c r="F333" i="13"/>
  <c r="F332" i="13"/>
  <c r="D330" i="13"/>
  <c r="D331" i="13"/>
  <c r="D335" i="13"/>
  <c r="D352" i="13"/>
  <c r="D355" i="13"/>
  <c r="D365" i="13"/>
  <c r="D367" i="13"/>
  <c r="D366" i="13" s="1"/>
  <c r="D368" i="13"/>
  <c r="D372" i="13"/>
  <c r="D371" i="13" s="1"/>
  <c r="D373" i="13"/>
  <c r="D379" i="13"/>
  <c r="D381" i="13"/>
  <c r="D382" i="13"/>
  <c r="D383" i="13"/>
  <c r="D389" i="13"/>
  <c r="D384" i="13" s="1"/>
  <c r="D391" i="13"/>
  <c r="D392" i="13"/>
  <c r="D393" i="13"/>
  <c r="D394" i="13"/>
  <c r="D395" i="13"/>
  <c r="D396" i="13"/>
  <c r="D397" i="13"/>
  <c r="D403" i="13"/>
  <c r="D377" i="13" s="1"/>
  <c r="D313" i="13"/>
  <c r="F312" i="13"/>
  <c r="F309" i="13"/>
  <c r="D309" i="13"/>
  <c r="D318" i="13"/>
  <c r="D304" i="13" s="1"/>
  <c r="D264" i="13"/>
  <c r="E255" i="13"/>
  <c r="E237" i="13"/>
  <c r="D240" i="13"/>
  <c r="D220" i="13" s="1"/>
  <c r="D245" i="13"/>
  <c r="D246" i="13"/>
  <c r="D247" i="13"/>
  <c r="D251" i="13"/>
  <c r="D252" i="13"/>
  <c r="D253" i="13"/>
  <c r="D254" i="13"/>
  <c r="D255" i="13"/>
  <c r="D262" i="13"/>
  <c r="D265" i="13"/>
  <c r="D267" i="13"/>
  <c r="D276" i="13"/>
  <c r="D275" i="13" s="1"/>
  <c r="D277" i="13"/>
  <c r="D283" i="13"/>
  <c r="D293" i="13"/>
  <c r="D294" i="13"/>
  <c r="D295" i="13"/>
  <c r="D310" i="13"/>
  <c r="D311" i="13"/>
  <c r="D312" i="13"/>
  <c r="D314" i="13"/>
  <c r="D325" i="13"/>
  <c r="D324" i="13" s="1"/>
  <c r="D326" i="13"/>
  <c r="E235" i="13"/>
  <c r="E229" i="13"/>
  <c r="F240" i="13"/>
  <c r="F220" i="13" s="1"/>
  <c r="D235" i="13"/>
  <c r="D218" i="13" s="1"/>
  <c r="G105" i="13" l="1"/>
  <c r="G280" i="13"/>
  <c r="G272" i="13"/>
  <c r="G517" i="13"/>
  <c r="E218" i="13"/>
  <c r="G218" i="13" s="1"/>
  <c r="G235" i="13"/>
  <c r="G314" i="13"/>
  <c r="F470" i="13"/>
  <c r="F273" i="13"/>
  <c r="G273" i="13" s="1"/>
  <c r="G288" i="13"/>
  <c r="D518" i="13"/>
  <c r="D513" i="13" s="1"/>
  <c r="D520" i="13"/>
  <c r="F518" i="13"/>
  <c r="F513" i="13" s="1"/>
  <c r="F520" i="13"/>
  <c r="D470" i="13"/>
  <c r="D149" i="13"/>
  <c r="E367" i="13"/>
  <c r="E366" i="13" s="1"/>
  <c r="E365" i="13"/>
  <c r="D150" i="13"/>
  <c r="E150" i="13"/>
  <c r="G150" i="13" s="1"/>
  <c r="E149" i="13"/>
  <c r="G149" i="13" s="1"/>
  <c r="E148" i="13"/>
  <c r="G205" i="13"/>
  <c r="G186" i="13"/>
  <c r="G134" i="13"/>
  <c r="G139" i="13"/>
  <c r="E82" i="13"/>
  <c r="G82" i="13" s="1"/>
  <c r="G142" i="13"/>
  <c r="D82" i="13"/>
  <c r="G99" i="13"/>
  <c r="D103" i="13"/>
  <c r="G111" i="13"/>
  <c r="G29" i="13"/>
  <c r="E28" i="13"/>
  <c r="G514" i="13"/>
  <c r="E518" i="13"/>
  <c r="G35" i="13"/>
  <c r="D441" i="13"/>
  <c r="G503" i="13"/>
  <c r="F501" i="13"/>
  <c r="G501" i="13" s="1"/>
  <c r="D19" i="13"/>
  <c r="D13" i="13" s="1"/>
  <c r="G502" i="13"/>
  <c r="G524" i="13"/>
  <c r="G526" i="13"/>
  <c r="G466" i="13"/>
  <c r="D440" i="13"/>
  <c r="E440" i="13"/>
  <c r="E441" i="13"/>
  <c r="F440" i="13"/>
  <c r="F441" i="13"/>
  <c r="E442" i="13"/>
  <c r="G442" i="13" s="1"/>
  <c r="G449" i="13"/>
  <c r="G472" i="13"/>
  <c r="D447" i="13"/>
  <c r="G488" i="13"/>
  <c r="G483" i="13"/>
  <c r="E453" i="13"/>
  <c r="G462" i="13"/>
  <c r="G452" i="13"/>
  <c r="G460" i="13"/>
  <c r="F306" i="13"/>
  <c r="D291" i="13"/>
  <c r="D271" i="13"/>
  <c r="D270" i="13" s="1"/>
  <c r="E279" i="13"/>
  <c r="E351" i="13"/>
  <c r="F305" i="13"/>
  <c r="F304" i="13"/>
  <c r="D303" i="13"/>
  <c r="E373" i="13"/>
  <c r="E364" i="13" s="1"/>
  <c r="E380" i="13"/>
  <c r="E328" i="13"/>
  <c r="E308" i="13"/>
  <c r="G343" i="13"/>
  <c r="G361" i="13"/>
  <c r="G360" i="13"/>
  <c r="G359" i="13"/>
  <c r="F328" i="13"/>
  <c r="F308" i="13"/>
  <c r="D364" i="13"/>
  <c r="D363" i="13" s="1"/>
  <c r="D351" i="13"/>
  <c r="D390" i="13"/>
  <c r="D380" i="13"/>
  <c r="D385" i="13"/>
  <c r="D307" i="13"/>
  <c r="D328" i="13"/>
  <c r="D308" i="13"/>
  <c r="D244" i="13"/>
  <c r="D261" i="13"/>
  <c r="D250" i="13"/>
  <c r="D279" i="13"/>
  <c r="G518" i="13" l="1"/>
  <c r="G440" i="13"/>
  <c r="G441" i="13"/>
  <c r="F19" i="13"/>
  <c r="F13" i="13" s="1"/>
  <c r="E363" i="13"/>
  <c r="G453" i="13"/>
  <c r="G344" i="13"/>
  <c r="G346" i="13"/>
  <c r="G328" i="13"/>
  <c r="G345" i="13"/>
  <c r="D302" i="13"/>
  <c r="F7" i="13" l="1"/>
  <c r="G349" i="13"/>
  <c r="G340" i="13"/>
  <c r="G347" i="13"/>
  <c r="G329" i="13" s="1"/>
  <c r="G339" i="13"/>
  <c r="G348" i="13"/>
  <c r="G321" i="13"/>
  <c r="G350" i="13"/>
  <c r="G319" i="13"/>
  <c r="G357" i="13"/>
  <c r="G358" i="13"/>
  <c r="G356" i="13" l="1"/>
  <c r="G341" i="13"/>
  <c r="G332" i="13"/>
  <c r="G333" i="13"/>
  <c r="E304" i="13"/>
  <c r="E19" i="13" s="1"/>
  <c r="G318" i="13"/>
  <c r="G354" i="13"/>
  <c r="E305" i="13"/>
  <c r="G305" i="13" s="1"/>
  <c r="G353" i="13"/>
  <c r="G322" i="13"/>
  <c r="G19" i="13" l="1"/>
  <c r="E13" i="13"/>
  <c r="G13" i="13" s="1"/>
  <c r="E306" i="13"/>
  <c r="G306" i="13" s="1"/>
  <c r="G320" i="13"/>
  <c r="G338" i="13"/>
  <c r="G323" i="13" l="1"/>
  <c r="E307" i="13"/>
  <c r="G307" i="13" s="1"/>
  <c r="E262" i="13" l="1"/>
  <c r="F262" i="13"/>
  <c r="F264" i="13"/>
  <c r="E267" i="13"/>
  <c r="E219" i="13" s="1"/>
  <c r="F267" i="13"/>
  <c r="F219" i="13" s="1"/>
  <c r="G219" i="13" s="1"/>
  <c r="F253" i="13"/>
  <c r="E253" i="13"/>
  <c r="G262" i="13" l="1"/>
  <c r="G253" i="13"/>
  <c r="F261" i="13"/>
  <c r="E227" i="13"/>
  <c r="G227" i="13" s="1"/>
  <c r="E225" i="13"/>
  <c r="G225" i="13" s="1"/>
  <c r="E224" i="13"/>
  <c r="G224" i="13" s="1"/>
  <c r="D233" i="13"/>
  <c r="D226" i="13"/>
  <c r="D225" i="13"/>
  <c r="D228" i="13"/>
  <c r="D221" i="13" s="1"/>
  <c r="D224" i="13"/>
  <c r="E243" i="13"/>
  <c r="G243" i="13" s="1"/>
  <c r="D237" i="13"/>
  <c r="D219" i="13" s="1"/>
  <c r="D227" i="13" l="1"/>
  <c r="D229" i="13"/>
  <c r="D217" i="13" s="1"/>
  <c r="D216" i="13" s="1"/>
  <c r="D222" i="13"/>
  <c r="E228" i="13"/>
  <c r="G228" i="13" s="1"/>
  <c r="E240" i="13"/>
  <c r="E220" i="13" s="1"/>
  <c r="G220" i="13" s="1"/>
  <c r="G237" i="13"/>
  <c r="C15" i="2"/>
  <c r="D5" i="2"/>
  <c r="E5" i="2" s="1"/>
  <c r="H5" i="2"/>
  <c r="I5" i="2" s="1"/>
  <c r="D6" i="2"/>
  <c r="E6" i="2" s="1"/>
  <c r="D7" i="2"/>
  <c r="E7" i="2" s="1"/>
  <c r="H7" i="2"/>
  <c r="I7" i="2" s="1"/>
  <c r="D8" i="2"/>
  <c r="E8" i="2" s="1"/>
  <c r="H8" i="2"/>
  <c r="I8" i="2" s="1"/>
  <c r="D9" i="2"/>
  <c r="E9" i="2" s="1"/>
  <c r="H9" i="2"/>
  <c r="I9" i="2" s="1"/>
  <c r="E10" i="2"/>
  <c r="I10" i="2"/>
  <c r="D11" i="2"/>
  <c r="E11" i="2" s="1"/>
  <c r="G11" i="2"/>
  <c r="H11" i="2"/>
  <c r="I11" i="2" s="1"/>
  <c r="G12" i="2"/>
  <c r="E13" i="2"/>
  <c r="I13" i="2"/>
  <c r="D14" i="2"/>
  <c r="E14" i="2" s="1"/>
  <c r="H14" i="2"/>
  <c r="I14" i="2" s="1"/>
  <c r="H15" i="2"/>
  <c r="I15" i="2" s="1"/>
  <c r="G16" i="2"/>
  <c r="E17" i="2"/>
  <c r="I17" i="2"/>
  <c r="D18" i="2"/>
  <c r="E18" i="2" s="1"/>
  <c r="H18" i="2"/>
  <c r="I18" i="2" s="1"/>
  <c r="G240" i="13" l="1"/>
  <c r="F426" i="13" l="1"/>
  <c r="E426" i="13"/>
  <c r="D426" i="13"/>
  <c r="F428" i="13"/>
  <c r="D428" i="13"/>
  <c r="F395" i="13"/>
  <c r="F394" i="13"/>
  <c r="F393" i="13"/>
  <c r="F392" i="13"/>
  <c r="F391" i="13"/>
  <c r="G407" i="13"/>
  <c r="F403" i="13"/>
  <c r="F377" i="13" s="1"/>
  <c r="F20" i="13" s="1"/>
  <c r="F14" i="13" s="1"/>
  <c r="G406" i="13"/>
  <c r="G405" i="13"/>
  <c r="G404" i="13"/>
  <c r="F408" i="13"/>
  <c r="E408" i="13"/>
  <c r="E378" i="13" s="1"/>
  <c r="D408" i="13"/>
  <c r="D378" i="13" s="1"/>
  <c r="G409" i="13"/>
  <c r="F397" i="13"/>
  <c r="G402" i="13"/>
  <c r="F381" i="13"/>
  <c r="F385" i="13"/>
  <c r="G386" i="13"/>
  <c r="F8" i="13" l="1"/>
  <c r="G426" i="13"/>
  <c r="G403" i="13"/>
  <c r="G391" i="13"/>
  <c r="G377" i="13"/>
  <c r="G381" i="13"/>
  <c r="E60" i="1" l="1"/>
  <c r="G538" i="13" l="1"/>
  <c r="C22" i="4"/>
  <c r="C21" i="4" l="1"/>
  <c r="D6" i="1" l="1"/>
  <c r="D16" i="2" l="1"/>
  <c r="E16" i="2" s="1"/>
  <c r="C59" i="1"/>
  <c r="F365" i="13"/>
  <c r="D539" i="13"/>
  <c r="E537" i="13"/>
  <c r="F504" i="13"/>
  <c r="F506" i="13"/>
  <c r="D506" i="13"/>
  <c r="D504" i="13"/>
  <c r="E535" i="13"/>
  <c r="E519" i="13" s="1"/>
  <c r="E513" i="13" s="1"/>
  <c r="F511" i="13"/>
  <c r="D511" i="13"/>
  <c r="F510" i="13"/>
  <c r="D510" i="13"/>
  <c r="F507" i="13"/>
  <c r="D507" i="13"/>
  <c r="E476" i="13"/>
  <c r="E470" i="13" s="1"/>
  <c r="F450" i="13"/>
  <c r="E494" i="13"/>
  <c r="D494" i="13"/>
  <c r="F493" i="13"/>
  <c r="D493" i="13"/>
  <c r="D492" i="13" s="1"/>
  <c r="F451" i="13"/>
  <c r="D445" i="13"/>
  <c r="F445" i="13"/>
  <c r="F444" i="13"/>
  <c r="F443" i="13" s="1"/>
  <c r="F383" i="13"/>
  <c r="F419" i="13"/>
  <c r="D419" i="13"/>
  <c r="F379" i="13"/>
  <c r="F418" i="13"/>
  <c r="F417" i="13"/>
  <c r="F416" i="13"/>
  <c r="F415" i="13"/>
  <c r="F414" i="13"/>
  <c r="D418" i="13"/>
  <c r="D417" i="13"/>
  <c r="D416" i="13"/>
  <c r="E424" i="13"/>
  <c r="E412" i="13"/>
  <c r="F378" i="13"/>
  <c r="F21" i="13" s="1"/>
  <c r="F15" i="13" s="1"/>
  <c r="E436" i="13"/>
  <c r="F434" i="13"/>
  <c r="D434" i="13"/>
  <c r="F433" i="13"/>
  <c r="D433" i="13"/>
  <c r="F432" i="13"/>
  <c r="D432" i="13"/>
  <c r="E428" i="13"/>
  <c r="F427" i="13"/>
  <c r="F425" i="13" s="1"/>
  <c r="D427" i="13"/>
  <c r="D425" i="13" s="1"/>
  <c r="D415" i="13"/>
  <c r="D414" i="13"/>
  <c r="F384" i="13"/>
  <c r="F382" i="13"/>
  <c r="F367" i="13"/>
  <c r="F366" i="13" s="1"/>
  <c r="F373" i="13"/>
  <c r="F372" i="13"/>
  <c r="F368" i="13"/>
  <c r="F355" i="13"/>
  <c r="F351" i="13" s="1"/>
  <c r="F326" i="13"/>
  <c r="F303" i="13" s="1"/>
  <c r="F325" i="13"/>
  <c r="F295" i="13"/>
  <c r="F294" i="13"/>
  <c r="F293" i="13"/>
  <c r="E301" i="13"/>
  <c r="E274" i="13" s="1"/>
  <c r="G274" i="13" s="1"/>
  <c r="F284" i="13"/>
  <c r="F283" i="13"/>
  <c r="G283" i="13" s="1"/>
  <c r="F281" i="13"/>
  <c r="G281" i="13" s="1"/>
  <c r="F277" i="13"/>
  <c r="F276" i="13"/>
  <c r="E7" i="13" l="1"/>
  <c r="G7" i="13" s="1"/>
  <c r="G537" i="13"/>
  <c r="F9" i="13"/>
  <c r="F22" i="13"/>
  <c r="F16" i="13" s="1"/>
  <c r="D500" i="13"/>
  <c r="D499" i="13" s="1"/>
  <c r="E42" i="1"/>
  <c r="G519" i="13"/>
  <c r="G471" i="13"/>
  <c r="F447" i="13"/>
  <c r="F271" i="13"/>
  <c r="E31" i="1" s="1"/>
  <c r="F291" i="13"/>
  <c r="G292" i="13"/>
  <c r="E294" i="13"/>
  <c r="E291" i="13" s="1"/>
  <c r="E379" i="13"/>
  <c r="E396" i="13"/>
  <c r="E390" i="13" s="1"/>
  <c r="G362" i="13"/>
  <c r="D376" i="13"/>
  <c r="F380" i="13"/>
  <c r="F390" i="13"/>
  <c r="D536" i="13"/>
  <c r="C42" i="1" s="1"/>
  <c r="G298" i="13"/>
  <c r="G374" i="13"/>
  <c r="E414" i="13"/>
  <c r="G422" i="13"/>
  <c r="G496" i="13"/>
  <c r="G495" i="13" s="1"/>
  <c r="G480" i="13"/>
  <c r="G521" i="13"/>
  <c r="G315" i="13"/>
  <c r="G370" i="13"/>
  <c r="E415" i="13"/>
  <c r="G435" i="13"/>
  <c r="G434" i="13" s="1"/>
  <c r="G412" i="13"/>
  <c r="G423" i="13"/>
  <c r="G498" i="13"/>
  <c r="G491" i="13"/>
  <c r="G522" i="13"/>
  <c r="G297" i="13"/>
  <c r="E510" i="13"/>
  <c r="G316" i="13"/>
  <c r="E433" i="13"/>
  <c r="G398" i="13"/>
  <c r="G465" i="13"/>
  <c r="G410" i="13"/>
  <c r="G411" i="13"/>
  <c r="G478" i="13"/>
  <c r="G525" i="13"/>
  <c r="G479" i="13"/>
  <c r="G535" i="13"/>
  <c r="G455" i="13"/>
  <c r="G285" i="13"/>
  <c r="G336" i="13"/>
  <c r="G388" i="13"/>
  <c r="G337" i="13"/>
  <c r="G399" i="13"/>
  <c r="G457" i="13"/>
  <c r="G508" i="13"/>
  <c r="G400" i="13"/>
  <c r="E276" i="13"/>
  <c r="G430" i="13"/>
  <c r="G428" i="13" s="1"/>
  <c r="G401" i="13"/>
  <c r="G301" i="13"/>
  <c r="G369" i="13"/>
  <c r="G387" i="13"/>
  <c r="G424" i="13"/>
  <c r="G327" i="13"/>
  <c r="F364" i="13"/>
  <c r="E506" i="13"/>
  <c r="F500" i="13"/>
  <c r="E504" i="13"/>
  <c r="E507" i="13"/>
  <c r="G458" i="13"/>
  <c r="F438" i="13"/>
  <c r="E39" i="1" s="1"/>
  <c r="D438" i="13"/>
  <c r="C39" i="1" s="1"/>
  <c r="D509" i="13"/>
  <c r="D505" i="13"/>
  <c r="F505" i="13"/>
  <c r="F509" i="13"/>
  <c r="E511" i="13"/>
  <c r="G512" i="13"/>
  <c r="E450" i="13"/>
  <c r="F492" i="13"/>
  <c r="F376" i="13"/>
  <c r="D444" i="13"/>
  <c r="D443" i="13" s="1"/>
  <c r="E419" i="13"/>
  <c r="E451" i="13"/>
  <c r="G456" i="13"/>
  <c r="E493" i="13"/>
  <c r="D413" i="13"/>
  <c r="E416" i="13"/>
  <c r="F413" i="13"/>
  <c r="E418" i="13"/>
  <c r="E417" i="13"/>
  <c r="C35" i="1"/>
  <c r="D431" i="13"/>
  <c r="E434" i="13"/>
  <c r="G436" i="13"/>
  <c r="F431" i="13"/>
  <c r="E432" i="13"/>
  <c r="G420" i="13"/>
  <c r="G421" i="13"/>
  <c r="E427" i="13"/>
  <c r="E425" i="13" s="1"/>
  <c r="F371" i="13"/>
  <c r="E303" i="13"/>
  <c r="E295" i="13"/>
  <c r="F324" i="13"/>
  <c r="G300" i="13"/>
  <c r="F279" i="13"/>
  <c r="G279" i="13" s="1"/>
  <c r="E277" i="13"/>
  <c r="F275" i="13"/>
  <c r="G278" i="13"/>
  <c r="F247" i="13"/>
  <c r="F245" i="13"/>
  <c r="G245" i="13" s="1"/>
  <c r="E269" i="13"/>
  <c r="G267" i="13" s="1"/>
  <c r="F265" i="13"/>
  <c r="E260" i="13"/>
  <c r="F255" i="13"/>
  <c r="F254" i="13"/>
  <c r="F252" i="13"/>
  <c r="F251" i="13"/>
  <c r="F246" i="13"/>
  <c r="G246" i="13" s="1"/>
  <c r="D156" i="13"/>
  <c r="D155" i="13"/>
  <c r="D151" i="13"/>
  <c r="D191" i="13"/>
  <c r="D175" i="13"/>
  <c r="D178" i="13"/>
  <c r="D154" i="13"/>
  <c r="E166" i="13"/>
  <c r="D158" i="13"/>
  <c r="E215" i="13"/>
  <c r="D169" i="13"/>
  <c r="D168" i="13"/>
  <c r="D167" i="13" s="1"/>
  <c r="D125" i="13"/>
  <c r="D126" i="13"/>
  <c r="E145" i="13"/>
  <c r="E136" i="13" s="1"/>
  <c r="E133" i="13" s="1"/>
  <c r="D137" i="13"/>
  <c r="E132" i="13"/>
  <c r="D122" i="13"/>
  <c r="D121" i="13"/>
  <c r="D120" i="13" s="1"/>
  <c r="D90" i="13"/>
  <c r="D92" i="13"/>
  <c r="D93" i="13"/>
  <c r="E114" i="13"/>
  <c r="E107" i="13" s="1"/>
  <c r="E102" i="13"/>
  <c r="D86" i="13"/>
  <c r="D85" i="13"/>
  <c r="D84" i="13" s="1"/>
  <c r="D71" i="13"/>
  <c r="D60" i="13"/>
  <c r="D59" i="13"/>
  <c r="D58" i="13"/>
  <c r="D57" i="13" s="1"/>
  <c r="D54" i="13"/>
  <c r="D53" i="13" s="1"/>
  <c r="D48" i="13"/>
  <c r="D52" i="13"/>
  <c r="D50" i="13" s="1"/>
  <c r="E79" i="13"/>
  <c r="E69" i="13"/>
  <c r="D55" i="13"/>
  <c r="D40" i="13"/>
  <c r="D26" i="13"/>
  <c r="D20" i="13" s="1"/>
  <c r="E19" i="1"/>
  <c r="D24" i="13"/>
  <c r="D88" i="13" l="1"/>
  <c r="D8" i="13"/>
  <c r="D14" i="13"/>
  <c r="E500" i="13"/>
  <c r="E499" i="13" s="1"/>
  <c r="E103" i="13"/>
  <c r="G103" i="13" s="1"/>
  <c r="G107" i="13"/>
  <c r="F10" i="13"/>
  <c r="E41" i="1"/>
  <c r="F499" i="13"/>
  <c r="E40" i="1" s="1"/>
  <c r="F217" i="13"/>
  <c r="D43" i="13"/>
  <c r="D15" i="2"/>
  <c r="E15" i="2" s="1"/>
  <c r="E157" i="13"/>
  <c r="G157" i="13" s="1"/>
  <c r="G148" i="13"/>
  <c r="D152" i="13"/>
  <c r="E83" i="13"/>
  <c r="G83" i="13" s="1"/>
  <c r="D116" i="13"/>
  <c r="E127" i="13"/>
  <c r="E119" i="13"/>
  <c r="G119" i="13" s="1"/>
  <c r="E21" i="1"/>
  <c r="E73" i="13"/>
  <c r="G73" i="13" s="1"/>
  <c r="G67" i="13"/>
  <c r="E61" i="13"/>
  <c r="G61" i="13" s="1"/>
  <c r="E271" i="13"/>
  <c r="G271" i="13" s="1"/>
  <c r="E447" i="13"/>
  <c r="E376" i="13"/>
  <c r="E375" i="13" s="1"/>
  <c r="G334" i="13"/>
  <c r="G351" i="13"/>
  <c r="G352" i="13"/>
  <c r="G313" i="13"/>
  <c r="G304" i="13"/>
  <c r="E254" i="13"/>
  <c r="G254" i="13" s="1"/>
  <c r="E221" i="13"/>
  <c r="G221" i="13" s="1"/>
  <c r="F250" i="13"/>
  <c r="G433" i="13"/>
  <c r="G510" i="13"/>
  <c r="G475" i="13"/>
  <c r="G392" i="13"/>
  <c r="G331" i="13"/>
  <c r="E85" i="13"/>
  <c r="G85" i="13" s="1"/>
  <c r="G330" i="13"/>
  <c r="G474" i="13"/>
  <c r="G511" i="13"/>
  <c r="G389" i="13"/>
  <c r="G138" i="13"/>
  <c r="G277" i="13"/>
  <c r="G539" i="13"/>
  <c r="G536" i="13" s="1"/>
  <c r="G395" i="13"/>
  <c r="G269" i="13"/>
  <c r="G396" i="13"/>
  <c r="G494" i="13"/>
  <c r="G79" i="13"/>
  <c r="E92" i="13"/>
  <c r="G92" i="13" s="1"/>
  <c r="G379" i="13"/>
  <c r="E275" i="13"/>
  <c r="E54" i="13"/>
  <c r="G54" i="13" s="1"/>
  <c r="G215" i="13"/>
  <c r="G295" i="13"/>
  <c r="G473" i="13"/>
  <c r="G506" i="13"/>
  <c r="G132" i="13"/>
  <c r="G365" i="13"/>
  <c r="G69" i="13"/>
  <c r="G114" i="13"/>
  <c r="G325" i="13"/>
  <c r="G520" i="13"/>
  <c r="E40" i="13"/>
  <c r="E27" i="13" s="1"/>
  <c r="G355" i="13"/>
  <c r="G417" i="13"/>
  <c r="G383" i="13"/>
  <c r="G419" i="13"/>
  <c r="G382" i="13"/>
  <c r="G476" i="13"/>
  <c r="G393" i="13"/>
  <c r="G454" i="13"/>
  <c r="G145" i="13"/>
  <c r="G310" i="13"/>
  <c r="G515" i="13"/>
  <c r="G394" i="13"/>
  <c r="E168" i="13"/>
  <c r="G168" i="13" s="1"/>
  <c r="G294" i="13"/>
  <c r="G276" i="13"/>
  <c r="G418" i="13"/>
  <c r="G335" i="13"/>
  <c r="G415" i="13"/>
  <c r="G123" i="13"/>
  <c r="G166" i="13"/>
  <c r="E251" i="13"/>
  <c r="G251" i="13" s="1"/>
  <c r="G311" i="13"/>
  <c r="G397" i="13"/>
  <c r="G162" i="13"/>
  <c r="E90" i="13"/>
  <c r="G326" i="13"/>
  <c r="E431" i="13"/>
  <c r="G416" i="13"/>
  <c r="G451" i="13"/>
  <c r="G450" i="13"/>
  <c r="G368" i="13"/>
  <c r="D22" i="13"/>
  <c r="D27" i="13"/>
  <c r="E536" i="13"/>
  <c r="D42" i="1" s="1"/>
  <c r="C19" i="1"/>
  <c r="C40" i="1"/>
  <c r="C41" i="1"/>
  <c r="G507" i="13"/>
  <c r="G504" i="13"/>
  <c r="D437" i="13"/>
  <c r="E509" i="13"/>
  <c r="E37" i="1"/>
  <c r="F437" i="13"/>
  <c r="E505" i="13"/>
  <c r="G516" i="13"/>
  <c r="F375" i="13"/>
  <c r="C37" i="1"/>
  <c r="E445" i="13"/>
  <c r="E438" i="13" s="1"/>
  <c r="G446" i="13"/>
  <c r="E444" i="13"/>
  <c r="E492" i="13"/>
  <c r="G492" i="13" s="1"/>
  <c r="G493" i="13"/>
  <c r="G408" i="13"/>
  <c r="E413" i="13"/>
  <c r="C34" i="1"/>
  <c r="G372" i="13"/>
  <c r="G414" i="13"/>
  <c r="G432" i="13"/>
  <c r="E35" i="1"/>
  <c r="F363" i="13"/>
  <c r="G363" i="13" s="1"/>
  <c r="G427" i="13"/>
  <c r="G373" i="13"/>
  <c r="C33" i="1"/>
  <c r="C32" i="1"/>
  <c r="F302" i="13"/>
  <c r="E33" i="1"/>
  <c r="G367" i="13"/>
  <c r="F270" i="13"/>
  <c r="E30" i="1" s="1"/>
  <c r="G309" i="13"/>
  <c r="C30" i="1"/>
  <c r="C31" i="1"/>
  <c r="G317" i="13"/>
  <c r="F244" i="13"/>
  <c r="E226" i="13"/>
  <c r="E247" i="13"/>
  <c r="G284" i="13"/>
  <c r="G293" i="13"/>
  <c r="E264" i="13"/>
  <c r="E265" i="13"/>
  <c r="E27" i="1"/>
  <c r="E197" i="13"/>
  <c r="G260" i="13"/>
  <c r="E156" i="13"/>
  <c r="G156" i="13" s="1"/>
  <c r="E252" i="13"/>
  <c r="G252" i="13" s="1"/>
  <c r="D147" i="13"/>
  <c r="E151" i="13"/>
  <c r="G151" i="13" s="1"/>
  <c r="E198" i="13"/>
  <c r="E175" i="13"/>
  <c r="E178" i="13"/>
  <c r="G165" i="13"/>
  <c r="E158" i="13"/>
  <c r="D171" i="13"/>
  <c r="D124" i="13"/>
  <c r="E137" i="13"/>
  <c r="G190" i="13"/>
  <c r="E169" i="13"/>
  <c r="G170" i="13"/>
  <c r="E121" i="13"/>
  <c r="E122" i="13"/>
  <c r="D81" i="13"/>
  <c r="E23" i="1"/>
  <c r="D133" i="13"/>
  <c r="E71" i="13"/>
  <c r="G71" i="13" s="1"/>
  <c r="G91" i="13"/>
  <c r="G93" i="13"/>
  <c r="E86" i="13"/>
  <c r="E46" i="13"/>
  <c r="G46" i="13" s="1"/>
  <c r="G87" i="13"/>
  <c r="G102" i="13"/>
  <c r="E58" i="13"/>
  <c r="G58" i="13" s="1"/>
  <c r="E60" i="13"/>
  <c r="G60" i="13" s="1"/>
  <c r="D49" i="13"/>
  <c r="D47" i="13" s="1"/>
  <c r="D70" i="13"/>
  <c r="E55" i="13"/>
  <c r="G56" i="13"/>
  <c r="G41" i="13"/>
  <c r="G90" i="13" l="1"/>
  <c r="D10" i="13"/>
  <c r="D16" i="13"/>
  <c r="E124" i="13"/>
  <c r="G124" i="13" s="1"/>
  <c r="G127" i="13"/>
  <c r="E222" i="13"/>
  <c r="G226" i="13"/>
  <c r="E191" i="13"/>
  <c r="G197" i="13"/>
  <c r="E261" i="13"/>
  <c r="G264" i="13"/>
  <c r="E21" i="13"/>
  <c r="E15" i="13" s="1"/>
  <c r="G15" i="13" s="1"/>
  <c r="G27" i="13"/>
  <c r="E171" i="13"/>
  <c r="G175" i="13"/>
  <c r="E152" i="13"/>
  <c r="C23" i="1"/>
  <c r="D80" i="13"/>
  <c r="F216" i="13"/>
  <c r="F18" i="13"/>
  <c r="F12" i="13" s="1"/>
  <c r="D21" i="13"/>
  <c r="E18" i="1"/>
  <c r="E70" i="13"/>
  <c r="E147" i="13"/>
  <c r="E116" i="13"/>
  <c r="G116" i="13" s="1"/>
  <c r="E57" i="13"/>
  <c r="E217" i="13"/>
  <c r="G217" i="13" s="1"/>
  <c r="C38" i="1"/>
  <c r="G275" i="13"/>
  <c r="G431" i="13"/>
  <c r="G198" i="13"/>
  <c r="G371" i="13"/>
  <c r="G247" i="13"/>
  <c r="G390" i="13"/>
  <c r="G509" i="13"/>
  <c r="G324" i="13"/>
  <c r="G62" i="13"/>
  <c r="D31" i="1"/>
  <c r="G31" i="1" s="1"/>
  <c r="G413" i="13"/>
  <c r="G384" i="13"/>
  <c r="E167" i="13"/>
  <c r="G137" i="13"/>
  <c r="G74" i="13"/>
  <c r="G425" i="13"/>
  <c r="G376" i="13"/>
  <c r="G366" i="13"/>
  <c r="G55" i="13"/>
  <c r="G178" i="13"/>
  <c r="G470" i="13"/>
  <c r="G513" i="13"/>
  <c r="E120" i="13"/>
  <c r="G500" i="13"/>
  <c r="G108" i="13"/>
  <c r="G40" i="13"/>
  <c r="E26" i="13"/>
  <c r="G26" i="13" s="1"/>
  <c r="G505" i="13"/>
  <c r="G94" i="13"/>
  <c r="G447" i="13"/>
  <c r="G291" i="13"/>
  <c r="G378" i="13"/>
  <c r="G136" i="13"/>
  <c r="G122" i="13"/>
  <c r="E84" i="13"/>
  <c r="E22" i="13"/>
  <c r="D41" i="1"/>
  <c r="G41" i="1" s="1"/>
  <c r="E38" i="1"/>
  <c r="E36" i="1"/>
  <c r="G385" i="13"/>
  <c r="E443" i="13"/>
  <c r="G444" i="13"/>
  <c r="G445" i="13"/>
  <c r="E34" i="1"/>
  <c r="E32" i="1"/>
  <c r="G312" i="13"/>
  <c r="E270" i="13"/>
  <c r="C28" i="1"/>
  <c r="C29" i="1"/>
  <c r="E244" i="13"/>
  <c r="E250" i="13"/>
  <c r="G255" i="13"/>
  <c r="G265" i="13"/>
  <c r="D146" i="13"/>
  <c r="C27" i="1"/>
  <c r="G158" i="13"/>
  <c r="E25" i="1"/>
  <c r="G121" i="13"/>
  <c r="G169" i="13"/>
  <c r="G86" i="13"/>
  <c r="E81" i="13"/>
  <c r="G135" i="13"/>
  <c r="E50" i="13"/>
  <c r="E43" i="13" s="1"/>
  <c r="E49" i="13"/>
  <c r="G49" i="13" s="1"/>
  <c r="E53" i="13"/>
  <c r="E20" i="1"/>
  <c r="G37" i="13"/>
  <c r="D23" i="13"/>
  <c r="C18" i="1" s="1"/>
  <c r="G22" i="13" l="1"/>
  <c r="E16" i="13"/>
  <c r="G16" i="13" s="1"/>
  <c r="D9" i="13"/>
  <c r="D15" i="13"/>
  <c r="E9" i="13"/>
  <c r="G9" i="13" s="1"/>
  <c r="G21" i="13"/>
  <c r="E42" i="13"/>
  <c r="G42" i="13" s="1"/>
  <c r="G43" i="13"/>
  <c r="F17" i="13"/>
  <c r="F11" i="13" s="1"/>
  <c r="E80" i="13"/>
  <c r="G80" i="13" s="1"/>
  <c r="G81" i="13"/>
  <c r="E20" i="13"/>
  <c r="E14" i="13" s="1"/>
  <c r="G14" i="13" s="1"/>
  <c r="E23" i="13"/>
  <c r="C26" i="1"/>
  <c r="E26" i="1"/>
  <c r="C22" i="1"/>
  <c r="E22" i="1"/>
  <c r="E29" i="1"/>
  <c r="E28" i="1"/>
  <c r="G438" i="13"/>
  <c r="D39" i="1"/>
  <c r="G39" i="1" s="1"/>
  <c r="G84" i="13"/>
  <c r="E437" i="13"/>
  <c r="D38" i="1" s="1"/>
  <c r="G38" i="1" s="1"/>
  <c r="G133" i="13"/>
  <c r="G24" i="13"/>
  <c r="G70" i="13"/>
  <c r="D23" i="1"/>
  <c r="G23" i="1" s="1"/>
  <c r="G250" i="13"/>
  <c r="D37" i="1"/>
  <c r="G37" i="1" s="1"/>
  <c r="G152" i="13"/>
  <c r="G120" i="13"/>
  <c r="D27" i="1"/>
  <c r="G27" i="1" s="1"/>
  <c r="G53" i="13"/>
  <c r="E10" i="13"/>
  <c r="G10" i="13" s="1"/>
  <c r="G57" i="13"/>
  <c r="G244" i="13"/>
  <c r="G308" i="13"/>
  <c r="G380" i="13"/>
  <c r="G28" i="13"/>
  <c r="G88" i="13"/>
  <c r="G171" i="13"/>
  <c r="G443" i="13"/>
  <c r="G191" i="13"/>
  <c r="G167" i="13"/>
  <c r="G261" i="13"/>
  <c r="D40" i="1"/>
  <c r="G40" i="1" s="1"/>
  <c r="G499" i="13"/>
  <c r="G364" i="13"/>
  <c r="G303" i="13"/>
  <c r="E302" i="13"/>
  <c r="G302" i="13" s="1"/>
  <c r="D33" i="1"/>
  <c r="G33" i="1" s="1"/>
  <c r="G229" i="13"/>
  <c r="G270" i="13"/>
  <c r="D30" i="1"/>
  <c r="G30" i="1" s="1"/>
  <c r="D25" i="1"/>
  <c r="G25" i="1" s="1"/>
  <c r="E146" i="13"/>
  <c r="E115" i="13" s="1"/>
  <c r="G147" i="13"/>
  <c r="G50" i="13"/>
  <c r="D19" i="1"/>
  <c r="G19" i="1" s="1"/>
  <c r="E47" i="13"/>
  <c r="E8" i="13" l="1"/>
  <c r="G8" i="13" s="1"/>
  <c r="G20" i="13"/>
  <c r="E17" i="1"/>
  <c r="F6" i="13"/>
  <c r="E24" i="1"/>
  <c r="G77" i="13"/>
  <c r="D36" i="1"/>
  <c r="G36" i="1" s="1"/>
  <c r="G375" i="13"/>
  <c r="G437" i="13"/>
  <c r="E216" i="13"/>
  <c r="G216" i="13" s="1"/>
  <c r="D29" i="1"/>
  <c r="G29" i="1" s="1"/>
  <c r="G222" i="13"/>
  <c r="D21" i="1"/>
  <c r="G21" i="1" s="1"/>
  <c r="G47" i="13"/>
  <c r="D18" i="1"/>
  <c r="G18" i="1" s="1"/>
  <c r="E18" i="13"/>
  <c r="E12" i="13" s="1"/>
  <c r="G12" i="13" s="1"/>
  <c r="D35" i="1"/>
  <c r="G35" i="1" s="1"/>
  <c r="D32" i="1"/>
  <c r="G32" i="1" s="1"/>
  <c r="G146" i="13"/>
  <c r="D26" i="1"/>
  <c r="G26" i="1" s="1"/>
  <c r="G115" i="13"/>
  <c r="D24" i="1"/>
  <c r="D22" i="1"/>
  <c r="G22" i="1" s="1"/>
  <c r="G23" i="13"/>
  <c r="F61" i="1"/>
  <c r="F58" i="1"/>
  <c r="F52" i="1"/>
  <c r="F51" i="1"/>
  <c r="F37" i="1"/>
  <c r="F36" i="1"/>
  <c r="F29" i="1"/>
  <c r="F28" i="1"/>
  <c r="F7" i="1"/>
  <c r="G24" i="1" l="1"/>
  <c r="G17" i="1"/>
  <c r="E6" i="13"/>
  <c r="G18" i="13"/>
  <c r="F5" i="13"/>
  <c r="G6" i="13"/>
  <c r="F44" i="1"/>
  <c r="E16" i="1"/>
  <c r="F60" i="1"/>
  <c r="F5" i="1"/>
  <c r="H6" i="2"/>
  <c r="I6" i="2" s="1"/>
  <c r="D28" i="1"/>
  <c r="G28" i="1" s="1"/>
  <c r="D17" i="1"/>
  <c r="D34" i="1"/>
  <c r="G34" i="1" s="1"/>
  <c r="F17" i="1"/>
  <c r="E17" i="13"/>
  <c r="G17" i="13" s="1"/>
  <c r="F16" i="1"/>
  <c r="D20" i="1"/>
  <c r="G20" i="1" s="1"/>
  <c r="E11" i="13" l="1"/>
  <c r="G11" i="13" s="1"/>
  <c r="H16" i="2"/>
  <c r="I16" i="2" s="1"/>
  <c r="F15" i="1"/>
  <c r="F13" i="1" s="1"/>
  <c r="F14" i="1"/>
  <c r="F12" i="1" s="1"/>
  <c r="D16" i="1"/>
  <c r="E5" i="13"/>
  <c r="G5" i="13" s="1"/>
  <c r="H12" i="2" l="1"/>
  <c r="I12" i="2" s="1"/>
  <c r="G3" i="2" l="1"/>
  <c r="C3" i="2" l="1"/>
  <c r="E14" i="1" l="1"/>
  <c r="E12" i="1" s="1"/>
  <c r="D12" i="2" l="1"/>
  <c r="E15" i="1"/>
  <c r="E13" i="1" s="1"/>
  <c r="E12" i="2" l="1"/>
  <c r="E3" i="2" s="1"/>
  <c r="D14" i="1" l="1"/>
  <c r="D12" i="1" s="1"/>
  <c r="D15" i="1"/>
  <c r="D13" i="1" s="1"/>
  <c r="G59" i="1" l="1"/>
  <c r="G43" i="1" s="1"/>
  <c r="G42" i="1"/>
  <c r="D11" i="1"/>
  <c r="D10" i="1"/>
  <c r="D9" i="1"/>
  <c r="D8" i="1"/>
  <c r="D7" i="1"/>
  <c r="E5" i="1" l="1"/>
  <c r="D5" i="1"/>
  <c r="C5" i="1"/>
  <c r="G5" i="1" l="1"/>
  <c r="B6" i="4" l="1"/>
  <c r="B28" i="4" s="1"/>
  <c r="G15" i="1" l="1"/>
  <c r="G16" i="1" l="1"/>
  <c r="H3" i="2"/>
  <c r="B29" i="4"/>
  <c r="B30" i="4" s="1"/>
  <c r="D3" i="2" l="1"/>
  <c r="G13" i="1"/>
  <c r="G14" i="1"/>
  <c r="G12" i="1" s="1"/>
  <c r="C29" i="4" l="1"/>
  <c r="I3" i="2" l="1"/>
  <c r="G342" i="13" l="1"/>
  <c r="D375" i="13"/>
  <c r="C36" i="1" s="1"/>
  <c r="G533" i="13" l="1"/>
  <c r="C21" i="1"/>
  <c r="D42" i="13"/>
  <c r="C20" i="1" s="1"/>
  <c r="D18" i="13" l="1"/>
  <c r="D12" i="13" s="1"/>
  <c r="C25" i="1"/>
  <c r="D115" i="13"/>
  <c r="C24" i="1" s="1"/>
  <c r="D17" i="13" l="1"/>
  <c r="D11" i="13" s="1"/>
  <c r="C16" i="1"/>
  <c r="C14" i="1" s="1"/>
  <c r="C12" i="1" s="1"/>
  <c r="C17" i="1"/>
  <c r="D6" i="13"/>
  <c r="D5" i="13" s="1"/>
  <c r="C15" i="1" l="1"/>
  <c r="C13" i="1" s="1"/>
  <c r="C6" i="4" l="1"/>
  <c r="C28" i="4" s="1"/>
  <c r="C30" i="4" s="1"/>
</calcChain>
</file>

<file path=xl/sharedStrings.xml><?xml version="1.0" encoding="utf-8"?>
<sst xmlns="http://schemas.openxmlformats.org/spreadsheetml/2006/main" count="717" uniqueCount="157">
  <si>
    <t>eurodes</t>
  </si>
  <si>
    <t>Algne eelarve</t>
  </si>
  <si>
    <t>Lõplik eelarve</t>
  </si>
  <si>
    <t>Täitmine miinus lõplik eelarve</t>
  </si>
  <si>
    <t>Saadud toetused</t>
  </si>
  <si>
    <t>Tulu majandustegevusest</t>
  </si>
  <si>
    <t>Tulu põhivara ja varude müügist</t>
  </si>
  <si>
    <t>Trahvid ja muud varalised karistused</t>
  </si>
  <si>
    <t>Intressi- ja omanikutulud</t>
  </si>
  <si>
    <t>sh piirmääraga vahendid</t>
  </si>
  <si>
    <t>Müüdud põhivara jääkväärtus</t>
  </si>
  <si>
    <t>Mitterahaliselt antud toetused</t>
  </si>
  <si>
    <t xml:space="preserve">TULUD </t>
  </si>
  <si>
    <t>KULUD</t>
  </si>
  <si>
    <t xml:space="preserve">INVESTEERINGUD </t>
  </si>
  <si>
    <t>KORRIGEERIMISED</t>
  </si>
  <si>
    <t>Intressikulu eraldistelt</t>
  </si>
  <si>
    <t>Avaliku sektori eripensionid ja pensionisuurendused</t>
  </si>
  <si>
    <t>Investeeringud</t>
  </si>
  <si>
    <t>Teistelt valitsemisaladelt saadud välistoetuste kaasfinantseerimine</t>
  </si>
  <si>
    <t>Ebatõenäoliselt laekuvad nõuded (tulu taastamine)</t>
  </si>
  <si>
    <t>Ebatõenäoliselt laekuvad nõuded (kulu taastamine)</t>
  </si>
  <si>
    <t>Tulemusvaldkond: JULGEOLEK JA RIIGIKAITSE</t>
  </si>
  <si>
    <t>Mitterahaliselt saadud välistoetused</t>
  </si>
  <si>
    <t>Mitterahaliselt saadud kodumaised toetused</t>
  </si>
  <si>
    <t>Mitterahaliste toetuste arvel tehtud kulud</t>
  </si>
  <si>
    <t xml:space="preserve">Lisa </t>
  </si>
  <si>
    <t>Eelarve täitmise ja raamatupidamisaruannete võrdlus</t>
  </si>
  <si>
    <t>Kirje</t>
  </si>
  <si>
    <t>Selgitus</t>
  </si>
  <si>
    <t>Finantstulud</t>
  </si>
  <si>
    <t>Finantskulud</t>
  </si>
  <si>
    <t>3sisesed</t>
  </si>
  <si>
    <t>4,5,6sisesed</t>
  </si>
  <si>
    <t>15ettemaksed</t>
  </si>
  <si>
    <t>KAM</t>
  </si>
  <si>
    <t>Valitsemisala</t>
  </si>
  <si>
    <t>Kaitseministeerium</t>
  </si>
  <si>
    <t>Lõpliku eelarve kujunemine</t>
  </si>
  <si>
    <t>Tulud</t>
  </si>
  <si>
    <t>Esialgne eelarve</t>
  </si>
  <si>
    <t>Üle toodud eelmisest aastast</t>
  </si>
  <si>
    <t>Sihtotstarbeliste vahendite reservist</t>
  </si>
  <si>
    <t>Eelarves kavandatud toetused</t>
  </si>
  <si>
    <t>Tegelikult saadud toetused ja avatud sildfinantseerimine</t>
  </si>
  <si>
    <t>Eelarves kavandatud saastekvootide müügist</t>
  </si>
  <si>
    <t>Tegelikult saadud saastekvootide müügist</t>
  </si>
  <si>
    <t>Saastekvootide müügist saadud eelarve ümberjaotamine</t>
  </si>
  <si>
    <t>Eelarves kavandatud majandustegevusest laekuv tulu</t>
  </si>
  <si>
    <t>Tegelikult majandustegevusest saadud tulu</t>
  </si>
  <si>
    <t>Eelarves kavandatud muud tuludest sõltuvad kulud</t>
  </si>
  <si>
    <t>Eelarves kavandatud edasiantavad maksud</t>
  </si>
  <si>
    <t>Tegelikud edasiantavad maksud</t>
  </si>
  <si>
    <t xml:space="preserve">Saadud Vabariigi Valitsuse reservfondist </t>
  </si>
  <si>
    <t>Antud Vabariigi valitsuse reservfondi</t>
  </si>
  <si>
    <t>Saadud omandireformi reservfondist</t>
  </si>
  <si>
    <t>Kokku lõplik eelarve</t>
  </si>
  <si>
    <t>Käibemaks</t>
  </si>
  <si>
    <t>Käibemaksukulu tegevuskuludelt</t>
  </si>
  <si>
    <t>Muud tulud</t>
  </si>
  <si>
    <t>Tööjõukulud</t>
  </si>
  <si>
    <t>Majandamiskulud</t>
  </si>
  <si>
    <t>Muud kulud</t>
  </si>
  <si>
    <t>Eelarves kavandatud välistoetuste kaasrahastamine</t>
  </si>
  <si>
    <t>Tegelik välistoetuste kaasrahastamine</t>
  </si>
  <si>
    <t>Käibemaksukulu investeeringutelt</t>
  </si>
  <si>
    <t>Tegevuskulud, v.a käibemaksukulu</t>
  </si>
  <si>
    <t>Tulu põhivarade ja varude müügist</t>
  </si>
  <si>
    <t>Muud investeeringud kokku</t>
  </si>
  <si>
    <t>Kulud, investeeringud</t>
  </si>
  <si>
    <t>Trahvid ja varalised karistused</t>
  </si>
  <si>
    <t xml:space="preserve">KAITSEMINISTEERIUMI valitsemisala </t>
  </si>
  <si>
    <t>Väeloome: maavägi</t>
  </si>
  <si>
    <t>Väeloome: merevägi</t>
  </si>
  <si>
    <t>Väeloome: õhuvägi</t>
  </si>
  <si>
    <t>Väeloome: muud üksused</t>
  </si>
  <si>
    <t>Hoonete ja rajatiste soetus ning renoveerimine</t>
  </si>
  <si>
    <t>Kaitseotstarbeline erivarustus</t>
  </si>
  <si>
    <t>IN041551</t>
  </si>
  <si>
    <t>IN040009</t>
  </si>
  <si>
    <t>JO05010800</t>
  </si>
  <si>
    <t>JO05010900</t>
  </si>
  <si>
    <t>JO05011000</t>
  </si>
  <si>
    <t>JO05010100</t>
  </si>
  <si>
    <t>JO05010200</t>
  </si>
  <si>
    <t>JO05011100</t>
  </si>
  <si>
    <t>Liitlaste kaasamine ja rahvusvaheline koostöö</t>
  </si>
  <si>
    <t>JO05010400</t>
  </si>
  <si>
    <t>JO05010500</t>
  </si>
  <si>
    <t>JO05010300</t>
  </si>
  <si>
    <t>JO05010700</t>
  </si>
  <si>
    <t>JO05010600</t>
  </si>
  <si>
    <t>Liitlaste taristu</t>
  </si>
  <si>
    <t>IN041552</t>
  </si>
  <si>
    <t>Muudatused Vabariigi Valitsuse korralduste alusel</t>
  </si>
  <si>
    <t>Tegelikud muud tuludest sõltuvad kulud</t>
  </si>
  <si>
    <t>Täitmine 2024</t>
  </si>
  <si>
    <t>IN004002</t>
  </si>
  <si>
    <t>Lääne-Eesti meetme õhuseireseadmed</t>
  </si>
  <si>
    <t xml:space="preserve">Muud investeeringud </t>
  </si>
  <si>
    <t>Raamatupidamisandmed 2024</t>
  </si>
  <si>
    <t>RE aruanne 2024</t>
  </si>
  <si>
    <t>Vahe 2024</t>
  </si>
  <si>
    <t>IN041550</t>
  </si>
  <si>
    <t>2025. aasta riigieelarve täitmise arunne</t>
  </si>
  <si>
    <t>Täitmine 2025</t>
  </si>
  <si>
    <t>Sotsiaaltoetused</t>
  </si>
  <si>
    <t>Muud toetused</t>
  </si>
  <si>
    <t>Muud kulud, sh amortisatsioon</t>
  </si>
  <si>
    <t>Seaduses toodud kulude detailsem jaotus asutuste, majandusliku sisu ja liikide lõikes</t>
  </si>
  <si>
    <t>2025. a riigieelarve täitmise aruande lisa</t>
  </si>
  <si>
    <t>Sh piirmääraga kulud</t>
  </si>
  <si>
    <t>Sh arvestuslikud kulud</t>
  </si>
  <si>
    <t>Sh välistoetus koos riigieelarvelise kaasfinantseeringuga</t>
  </si>
  <si>
    <t>Sh muud tuludest sõltuvad kulud</t>
  </si>
  <si>
    <t>Sh amortisatioon</t>
  </si>
  <si>
    <t>Sh amortisatsioon</t>
  </si>
  <si>
    <t>Investeeringutoetused</t>
  </si>
  <si>
    <t>Varude tagamine ja lahingumoon</t>
  </si>
  <si>
    <t>JO05011300</t>
  </si>
  <si>
    <t>Riigi Kaitseinvesteeringute Keskus</t>
  </si>
  <si>
    <t>Kaitseressursside Amet</t>
  </si>
  <si>
    <t>Kaitsevägi</t>
  </si>
  <si>
    <t>Programmi tegevus: Väeloome: maavägi</t>
  </si>
  <si>
    <t>Programmi tegevus: Väeloome: merevägi</t>
  </si>
  <si>
    <t>Programmi tegevus: Väeloome: õhuvägi</t>
  </si>
  <si>
    <t>Programmi tegevus: Väeloome: muud üksused</t>
  </si>
  <si>
    <t>Kaitsevalmiduse tagamine</t>
  </si>
  <si>
    <t>Programmi tegevus: Kaitsevalmiduse tagamine</t>
  </si>
  <si>
    <t>Liitlaste kohaloleku tagamine Eestis</t>
  </si>
  <si>
    <t>Programmi tegevus: Liitlaste kohaloleku tagamine Eestis</t>
  </si>
  <si>
    <t>Programmi tegevus: Liitlaste kaasamine ja rahvusvaheline koostöö</t>
  </si>
  <si>
    <t>Välisluureamet</t>
  </si>
  <si>
    <t>Kaitsetahte edendamine</t>
  </si>
  <si>
    <t>Programmi tegevus: Kaitsetahte edendamine</t>
  </si>
  <si>
    <t>Eesti Sõjamuuseum - kindral Laidoneri Muuseum</t>
  </si>
  <si>
    <t>Riigikaitselise inimvara juhtimine</t>
  </si>
  <si>
    <t>Programmi tegevus: Riigikaitselise inimvara juhtimine</t>
  </si>
  <si>
    <t>Riigikaitseliste investeeringute korraldamine</t>
  </si>
  <si>
    <t>Programmi tegevus: Riigikaitseliste investeeringute korraldamine</t>
  </si>
  <si>
    <t>Maa soetused</t>
  </si>
  <si>
    <t>Masinad ja seadmed CO2 kvoodi müügi tuludest</t>
  </si>
  <si>
    <t>IN005000</t>
  </si>
  <si>
    <t>IN004035</t>
  </si>
  <si>
    <t>Muudatused 18.06.2025 lisaeelarve seaduse alusel</t>
  </si>
  <si>
    <t>Muudatused 03.12.2025 teise lisaeelarve seaduse alusel</t>
  </si>
  <si>
    <t>Tuludest sõltuvate kulude tegelik limiit</t>
  </si>
  <si>
    <t>Mitterahaliselt saadud leppetrahvid</t>
  </si>
  <si>
    <t>Lao jäägi muutus</t>
  </si>
  <si>
    <t>Raamatupidamisandmed 2025</t>
  </si>
  <si>
    <t>RE aruanne 2025</t>
  </si>
  <si>
    <t>Vahe 2025</t>
  </si>
  <si>
    <t>Programmi tegevus: Varude tagamine: lahingumoon</t>
  </si>
  <si>
    <t>Kulud kokku</t>
  </si>
  <si>
    <t>Sõjalise riigikaitse ja heidutuse programm</t>
  </si>
  <si>
    <t>Programmi tegevus: Luure ja eelhoiatuse korraldamine</t>
  </si>
  <si>
    <t>Luure ja eelhoiatuse korraldamine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</si>
</sst>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00FF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sz val="8"/>
      <color theme="1"/>
      <name val="Roboto"/>
      <charset val="186"/>
    </font>
    <font>
      <sz val="9"/>
      <color rgb="FFFF0000"/>
      <name val="Arial"/>
      <family val="2"/>
      <charset val="186"/>
    </font>
    <font>
      <sz val="11"/>
      <color theme="9"/>
      <name val="Calibri"/>
      <family val="2"/>
      <charset val="186"/>
      <scheme val="minor"/>
    </font>
    <font>
      <sz val="12"/>
      <color theme="9" tint="0.79998168889431442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9">
    <xf numFmtId="0" fontId="0" fillId="0" borderId="0" xfId="0"/>
    <xf numFmtId="3" fontId="4" fillId="0" borderId="0" xfId="0" applyNumberFormat="1" applyFont="1"/>
    <xf numFmtId="3" fontId="0" fillId="0" borderId="0" xfId="0" applyNumberFormat="1"/>
    <xf numFmtId="0" fontId="0" fillId="0" borderId="1" xfId="0" applyBorder="1"/>
    <xf numFmtId="3" fontId="3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right"/>
    </xf>
    <xf numFmtId="3" fontId="7" fillId="0" borderId="1" xfId="2" applyNumberFormat="1" applyFont="1" applyBorder="1" applyAlignment="1" applyProtection="1">
      <alignment horizontal="right"/>
      <protection locked="0"/>
    </xf>
    <xf numFmtId="3" fontId="7" fillId="0" borderId="1" xfId="1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0" fontId="10" fillId="0" borderId="0" xfId="0" applyFont="1"/>
    <xf numFmtId="3" fontId="9" fillId="0" borderId="0" xfId="0" applyNumberFormat="1" applyFont="1"/>
    <xf numFmtId="4" fontId="9" fillId="0" borderId="0" xfId="0" applyNumberFormat="1" applyFont="1"/>
    <xf numFmtId="4" fontId="9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" fillId="0" borderId="0" xfId="0" applyNumberFormat="1" applyFont="1" applyAlignment="1">
      <alignment wrapText="1"/>
    </xf>
    <xf numFmtId="4" fontId="0" fillId="0" borderId="0" xfId="0" applyNumberFormat="1"/>
    <xf numFmtId="0" fontId="10" fillId="3" borderId="1" xfId="0" applyFont="1" applyFill="1" applyBorder="1" applyAlignment="1">
      <alignment vertical="top"/>
    </xf>
    <xf numFmtId="4" fontId="10" fillId="3" borderId="1" xfId="0" applyNumberFormat="1" applyFont="1" applyFill="1" applyBorder="1" applyAlignment="1">
      <alignment vertical="top" wrapText="1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12" fillId="0" borderId="0" xfId="0" applyFont="1"/>
    <xf numFmtId="3" fontId="0" fillId="0" borderId="0" xfId="0" quotePrefix="1" applyNumberFormat="1"/>
    <xf numFmtId="0" fontId="10" fillId="4" borderId="1" xfId="0" applyFont="1" applyFill="1" applyBorder="1" applyAlignment="1">
      <alignment vertical="top"/>
    </xf>
    <xf numFmtId="3" fontId="12" fillId="4" borderId="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3" fontId="12" fillId="0" borderId="1" xfId="0" applyNumberFormat="1" applyFont="1" applyBorder="1" applyAlignment="1">
      <alignment vertical="top"/>
    </xf>
    <xf numFmtId="0" fontId="12" fillId="0" borderId="1" xfId="0" applyFont="1" applyBorder="1"/>
    <xf numFmtId="4" fontId="9" fillId="0" borderId="0" xfId="0" quotePrefix="1" applyNumberFormat="1" applyFont="1"/>
    <xf numFmtId="0" fontId="10" fillId="0" borderId="1" xfId="0" applyFont="1" applyBorder="1" applyAlignment="1">
      <alignment vertical="top"/>
    </xf>
    <xf numFmtId="3" fontId="10" fillId="0" borderId="1" xfId="0" applyNumberFormat="1" applyFont="1" applyBorder="1" applyAlignment="1">
      <alignment vertical="top"/>
    </xf>
    <xf numFmtId="3" fontId="12" fillId="0" borderId="0" xfId="0" applyNumberFormat="1" applyFont="1"/>
    <xf numFmtId="3" fontId="12" fillId="0" borderId="3" xfId="0" applyNumberFormat="1" applyFont="1" applyBorder="1" applyAlignment="1">
      <alignment vertical="top"/>
    </xf>
    <xf numFmtId="0" fontId="11" fillId="0" borderId="0" xfId="0" applyFont="1"/>
    <xf numFmtId="4" fontId="0" fillId="0" borderId="0" xfId="0" applyNumberFormat="1" applyAlignment="1">
      <alignment horizontal="right"/>
    </xf>
    <xf numFmtId="3" fontId="6" fillId="0" borderId="1" xfId="2" applyNumberFormat="1" applyFont="1" applyBorder="1" applyAlignment="1" applyProtection="1">
      <alignment horizontal="right"/>
      <protection locked="0"/>
    </xf>
    <xf numFmtId="43" fontId="0" fillId="0" borderId="0" xfId="6" applyFont="1"/>
    <xf numFmtId="4" fontId="9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 wrapText="1"/>
    </xf>
    <xf numFmtId="4" fontId="10" fillId="3" borderId="1" xfId="0" applyNumberFormat="1" applyFont="1" applyFill="1" applyBorder="1" applyAlignment="1">
      <alignment horizontal="right" vertical="top" wrapText="1"/>
    </xf>
    <xf numFmtId="43" fontId="1" fillId="0" borderId="0" xfId="6" applyFont="1"/>
    <xf numFmtId="4" fontId="10" fillId="3" borderId="1" xfId="0" applyNumberFormat="1" applyFont="1" applyFill="1" applyBorder="1" applyAlignment="1">
      <alignment vertical="top"/>
    </xf>
    <xf numFmtId="43" fontId="11" fillId="0" borderId="0" xfId="6" applyFont="1"/>
    <xf numFmtId="0" fontId="3" fillId="0" borderId="0" xfId="0" applyFont="1"/>
    <xf numFmtId="3" fontId="5" fillId="0" borderId="0" xfId="0" applyNumberFormat="1" applyFont="1"/>
    <xf numFmtId="3" fontId="5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" fontId="3" fillId="0" borderId="1" xfId="0" applyNumberFormat="1" applyFont="1" applyBorder="1"/>
    <xf numFmtId="3" fontId="6" fillId="0" borderId="1" xfId="2" applyNumberFormat="1" applyFont="1" applyBorder="1" applyAlignment="1" applyProtection="1">
      <alignment horizontal="left"/>
      <protection locked="0"/>
    </xf>
    <xf numFmtId="3" fontId="7" fillId="0" borderId="1" xfId="2" applyNumberFormat="1" applyFont="1" applyBorder="1" applyAlignment="1" applyProtection="1">
      <alignment horizontal="center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5" fillId="0" borderId="1" xfId="2" applyFont="1" applyBorder="1" applyAlignment="1" applyProtection="1">
      <alignment horizontal="left"/>
      <protection locked="0"/>
    </xf>
    <xf numFmtId="0" fontId="7" fillId="0" borderId="1" xfId="2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left"/>
      <protection locked="0"/>
    </xf>
    <xf numFmtId="0" fontId="5" fillId="0" borderId="1" xfId="1" applyFont="1" applyBorder="1" applyAlignment="1" applyProtection="1">
      <alignment horizontal="left"/>
      <protection locked="0"/>
    </xf>
    <xf numFmtId="0" fontId="5" fillId="0" borderId="1" xfId="0" applyFont="1" applyBorder="1"/>
    <xf numFmtId="0" fontId="3" fillId="0" borderId="1" xfId="0" applyFont="1" applyBorder="1"/>
    <xf numFmtId="0" fontId="3" fillId="5" borderId="1" xfId="2" applyFont="1" applyFill="1" applyBorder="1" applyAlignment="1" applyProtection="1">
      <alignment horizontal="left"/>
      <protection locked="0"/>
    </xf>
    <xf numFmtId="3" fontId="5" fillId="2" borderId="1" xfId="0" applyNumberFormat="1" applyFont="1" applyFill="1" applyBorder="1"/>
    <xf numFmtId="3" fontId="2" fillId="0" borderId="0" xfId="0" applyNumberFormat="1" applyFont="1"/>
    <xf numFmtId="3" fontId="5" fillId="2" borderId="0" xfId="0" applyNumberFormat="1" applyFont="1" applyFill="1" applyAlignment="1">
      <alignment wrapText="1"/>
    </xf>
    <xf numFmtId="3" fontId="7" fillId="2" borderId="2" xfId="0" applyNumberFormat="1" applyFont="1" applyFill="1" applyBorder="1" applyAlignment="1">
      <alignment horizontal="right"/>
    </xf>
    <xf numFmtId="0" fontId="0" fillId="5" borderId="1" xfId="0" applyFill="1" applyBorder="1"/>
    <xf numFmtId="3" fontId="0" fillId="5" borderId="1" xfId="0" applyNumberFormat="1" applyFill="1" applyBorder="1"/>
    <xf numFmtId="4" fontId="4" fillId="0" borderId="0" xfId="0" applyNumberFormat="1" applyFont="1"/>
    <xf numFmtId="0" fontId="12" fillId="3" borderId="1" xfId="0" applyFont="1" applyFill="1" applyBorder="1" applyAlignment="1">
      <alignment vertical="top"/>
    </xf>
    <xf numFmtId="3" fontId="0" fillId="2" borderId="1" xfId="0" applyNumberFormat="1" applyFill="1" applyBorder="1"/>
    <xf numFmtId="0" fontId="11" fillId="2" borderId="1" xfId="0" applyFont="1" applyFill="1" applyBorder="1"/>
    <xf numFmtId="3" fontId="11" fillId="2" borderId="1" xfId="0" applyNumberFormat="1" applyFont="1" applyFill="1" applyBorder="1"/>
    <xf numFmtId="4" fontId="0" fillId="2" borderId="0" xfId="0" applyNumberFormat="1" applyFill="1"/>
    <xf numFmtId="0" fontId="0" fillId="2" borderId="0" xfId="0" applyFill="1"/>
    <xf numFmtId="0" fontId="4" fillId="0" borderId="0" xfId="0" applyFont="1"/>
    <xf numFmtId="4" fontId="4" fillId="0" borderId="0" xfId="0" applyNumberFormat="1" applyFont="1" applyAlignment="1">
      <alignment wrapText="1"/>
    </xf>
    <xf numFmtId="3" fontId="6" fillId="2" borderId="1" xfId="0" applyNumberFormat="1" applyFont="1" applyFill="1" applyBorder="1" applyAlignment="1">
      <alignment horizontal="right"/>
    </xf>
    <xf numFmtId="3" fontId="7" fillId="2" borderId="2" xfId="2" applyNumberFormat="1" applyFont="1" applyFill="1" applyBorder="1" applyAlignment="1" applyProtection="1">
      <alignment horizontal="right"/>
      <protection locked="0"/>
    </xf>
    <xf numFmtId="3" fontId="7" fillId="2" borderId="1" xfId="2" applyNumberFormat="1" applyFont="1" applyFill="1" applyBorder="1" applyAlignment="1" applyProtection="1">
      <alignment horizontal="right"/>
      <protection locked="0"/>
    </xf>
    <xf numFmtId="3" fontId="6" fillId="2" borderId="2" xfId="2" applyNumberFormat="1" applyFont="1" applyFill="1" applyBorder="1" applyAlignment="1" applyProtection="1">
      <alignment horizontal="right"/>
      <protection locked="0"/>
    </xf>
    <xf numFmtId="0" fontId="5" fillId="2" borderId="1" xfId="0" applyFont="1" applyFill="1" applyBorder="1"/>
    <xf numFmtId="0" fontId="5" fillId="2" borderId="1" xfId="2" applyFont="1" applyFill="1" applyBorder="1" applyAlignment="1" applyProtection="1">
      <alignment horizontal="left"/>
      <protection locked="0"/>
    </xf>
    <xf numFmtId="43" fontId="1" fillId="0" borderId="0" xfId="6" applyFont="1" applyAlignment="1">
      <alignment horizontal="right"/>
    </xf>
    <xf numFmtId="0" fontId="2" fillId="0" borderId="0" xfId="0" applyFont="1" applyAlignment="1">
      <alignment horizontal="left"/>
    </xf>
    <xf numFmtId="43" fontId="0" fillId="0" borderId="0" xfId="6" applyFont="1" applyAlignment="1">
      <alignment horizontal="left"/>
    </xf>
    <xf numFmtId="49" fontId="1" fillId="0" borderId="0" xfId="6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2" borderId="0" xfId="0" applyNumberFormat="1" applyFill="1" applyAlignment="1">
      <alignment horizontal="right"/>
    </xf>
    <xf numFmtId="0" fontId="3" fillId="2" borderId="1" xfId="0" applyFont="1" applyFill="1" applyBorder="1" applyAlignment="1">
      <alignment horizontal="left"/>
    </xf>
    <xf numFmtId="0" fontId="0" fillId="2" borderId="1" xfId="0" applyFill="1" applyBorder="1"/>
    <xf numFmtId="0" fontId="5" fillId="2" borderId="1" xfId="0" applyFont="1" applyFill="1" applyBorder="1" applyAlignment="1">
      <alignment horizontal="left"/>
    </xf>
    <xf numFmtId="0" fontId="3" fillId="2" borderId="1" xfId="0" applyFont="1" applyFill="1" applyBorder="1"/>
    <xf numFmtId="3" fontId="13" fillId="2" borderId="1" xfId="0" applyNumberFormat="1" applyFont="1" applyFill="1" applyBorder="1"/>
    <xf numFmtId="0" fontId="3" fillId="2" borderId="1" xfId="0" applyFont="1" applyFill="1" applyBorder="1" applyAlignment="1" applyProtection="1">
      <alignment vertical="top"/>
      <protection locked="0"/>
    </xf>
    <xf numFmtId="0" fontId="11" fillId="2" borderId="0" xfId="0" applyFont="1" applyFill="1"/>
    <xf numFmtId="3" fontId="11" fillId="2" borderId="0" xfId="0" applyNumberFormat="1" applyFont="1" applyFill="1"/>
    <xf numFmtId="3" fontId="0" fillId="2" borderId="0" xfId="0" applyNumberFormat="1" applyFill="1"/>
    <xf numFmtId="3" fontId="14" fillId="2" borderId="0" xfId="0" applyNumberFormat="1" applyFont="1" applyFill="1"/>
    <xf numFmtId="3" fontId="0" fillId="2" borderId="4" xfId="0" applyNumberFormat="1" applyFill="1" applyBorder="1"/>
    <xf numFmtId="3" fontId="15" fillId="2" borderId="1" xfId="0" applyNumberFormat="1" applyFont="1" applyFill="1" applyBorder="1"/>
    <xf numFmtId="0" fontId="4" fillId="2" borderId="1" xfId="0" applyFont="1" applyFill="1" applyBorder="1"/>
    <xf numFmtId="3" fontId="4" fillId="2" borderId="1" xfId="0" applyNumberFormat="1" applyFont="1" applyFill="1" applyBorder="1"/>
    <xf numFmtId="43" fontId="17" fillId="0" borderId="0" xfId="6" applyFont="1" applyAlignment="1">
      <alignment horizontal="right"/>
    </xf>
    <xf numFmtId="0" fontId="18" fillId="0" borderId="0" xfId="0" applyFont="1"/>
    <xf numFmtId="4" fontId="17" fillId="0" borderId="0" xfId="0" applyNumberFormat="1" applyFont="1"/>
    <xf numFmtId="4" fontId="19" fillId="0" borderId="0" xfId="0" applyNumberFormat="1" applyFont="1" applyAlignment="1">
      <alignment horizontal="right"/>
    </xf>
    <xf numFmtId="43" fontId="2" fillId="0" borderId="0" xfId="6" applyFont="1" applyAlignment="1">
      <alignment horizontal="right"/>
    </xf>
    <xf numFmtId="4" fontId="2" fillId="0" borderId="0" xfId="6" applyNumberFormat="1" applyFont="1"/>
    <xf numFmtId="43" fontId="20" fillId="0" borderId="0" xfId="6" applyFont="1"/>
    <xf numFmtId="0" fontId="7" fillId="2" borderId="1" xfId="0" applyFont="1" applyFill="1" applyBorder="1"/>
    <xf numFmtId="0" fontId="21" fillId="2" borderId="1" xfId="2" applyFont="1" applyFill="1" applyBorder="1" applyAlignment="1" applyProtection="1">
      <alignment horizontal="left"/>
      <protection locked="0"/>
    </xf>
    <xf numFmtId="3" fontId="6" fillId="5" borderId="1" xfId="2" applyNumberFormat="1" applyFont="1" applyFill="1" applyBorder="1" applyAlignment="1" applyProtection="1">
      <alignment horizontal="right"/>
      <protection locked="0"/>
    </xf>
    <xf numFmtId="3" fontId="8" fillId="5" borderId="1" xfId="2" applyNumberFormat="1" applyFont="1" applyFill="1" applyBorder="1" applyAlignment="1" applyProtection="1">
      <alignment horizontal="right"/>
      <protection locked="0"/>
    </xf>
    <xf numFmtId="3" fontId="5" fillId="5" borderId="1" xfId="2" applyNumberFormat="1" applyFont="1" applyFill="1" applyBorder="1" applyAlignment="1" applyProtection="1">
      <alignment horizontal="right"/>
      <protection locked="0"/>
    </xf>
    <xf numFmtId="3" fontId="5" fillId="5" borderId="1" xfId="0" applyNumberFormat="1" applyFont="1" applyFill="1" applyBorder="1" applyAlignment="1">
      <alignment horizontal="right"/>
    </xf>
    <xf numFmtId="3" fontId="22" fillId="0" borderId="1" xfId="0" applyNumberFormat="1" applyFont="1" applyBorder="1"/>
    <xf numFmtId="3" fontId="0" fillId="0" borderId="1" xfId="0" applyNumberFormat="1" applyBorder="1"/>
    <xf numFmtId="3" fontId="12" fillId="2" borderId="1" xfId="0" applyNumberFormat="1" applyFont="1" applyFill="1" applyBorder="1" applyAlignment="1">
      <alignment vertical="top"/>
    </xf>
  </cellXfs>
  <cellStyles count="8">
    <cellStyle name="Comma" xfId="6" builtinId="3"/>
    <cellStyle name="Comma 2" xfId="7" xr:uid="{68AF3142-48B6-46A0-9B66-4AC016C8CCBB}"/>
    <cellStyle name="Normaallaad 2" xfId="5" xr:uid="{625F7053-1720-45B8-BC60-DA405838C2BD}"/>
    <cellStyle name="Normal" xfId="0" builtinId="0"/>
    <cellStyle name="Normal 10 2" xfId="1" xr:uid="{D70F4CDE-1FE7-448C-B78C-16802263EF7D}"/>
    <cellStyle name="Normal 25 3 6" xfId="4" xr:uid="{C2461F04-5869-445E-B9DC-9D0918BE1F25}"/>
    <cellStyle name="Normal 25 9" xfId="2" xr:uid="{8906365B-27A6-4989-AF6D-1E0C5258DC94}"/>
    <cellStyle name="Normal 25 9 2" xfId="3" xr:uid="{9FD4BB3A-C968-4E24-8E39-E7D1D70EB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9F5C-00A4-4BD3-B743-9BFC60E719C1}">
  <dimension ref="A1:U72"/>
  <sheetViews>
    <sheetView topLeftCell="A54" workbookViewId="0">
      <selection activeCell="H18" sqref="H18"/>
    </sheetView>
  </sheetViews>
  <sheetFormatPr defaultRowHeight="15" x14ac:dyDescent="0.25"/>
  <cols>
    <col min="1" max="1" width="7.42578125" customWidth="1"/>
    <col min="2" max="2" width="53.42578125" customWidth="1"/>
    <col min="3" max="6" width="22" style="2" customWidth="1"/>
    <col min="7" max="7" width="21.85546875" style="2" customWidth="1"/>
    <col min="8" max="8" width="19.7109375" style="37" hidden="1" customWidth="1"/>
    <col min="9" max="9" width="33" style="37" hidden="1" customWidth="1"/>
    <col min="10" max="10" width="18.140625" style="37" customWidth="1"/>
    <col min="11" max="11" width="14.42578125" customWidth="1"/>
    <col min="12" max="13" width="20.140625" customWidth="1"/>
    <col min="14" max="14" width="19.140625" customWidth="1"/>
    <col min="17" max="17" width="20.85546875" customWidth="1"/>
    <col min="18" max="18" width="13.28515625" customWidth="1"/>
    <col min="19" max="19" width="18.42578125" customWidth="1"/>
  </cols>
  <sheetData>
    <row r="1" spans="1:10" ht="15.75" x14ac:dyDescent="0.25">
      <c r="A1" s="44" t="s">
        <v>104</v>
      </c>
      <c r="C1" s="1"/>
      <c r="E1" s="62"/>
      <c r="F1" s="62"/>
      <c r="G1" s="45"/>
    </row>
    <row r="2" spans="1:10" ht="16.5" customHeight="1" x14ac:dyDescent="0.25">
      <c r="A2" t="s">
        <v>0</v>
      </c>
      <c r="C2" s="1"/>
      <c r="G2" s="45"/>
    </row>
    <row r="3" spans="1:10" ht="31.5" x14ac:dyDescent="0.25">
      <c r="A3" s="3"/>
      <c r="B3" s="3"/>
      <c r="C3" s="4" t="s">
        <v>1</v>
      </c>
      <c r="D3" s="4" t="s">
        <v>2</v>
      </c>
      <c r="E3" s="4" t="s">
        <v>105</v>
      </c>
      <c r="F3" s="4" t="s">
        <v>96</v>
      </c>
      <c r="G3" s="4" t="s">
        <v>3</v>
      </c>
      <c r="I3"/>
      <c r="J3"/>
    </row>
    <row r="4" spans="1:10" ht="15.75" x14ac:dyDescent="0.25">
      <c r="A4" s="60" t="s">
        <v>71</v>
      </c>
      <c r="B4" s="60"/>
      <c r="C4" s="112"/>
      <c r="D4" s="113"/>
      <c r="E4" s="114"/>
      <c r="F4" s="114"/>
      <c r="G4" s="115"/>
      <c r="H4" s="84"/>
      <c r="I4"/>
      <c r="J4"/>
    </row>
    <row r="5" spans="1:10" ht="15.75" x14ac:dyDescent="0.25">
      <c r="A5" s="52" t="s">
        <v>12</v>
      </c>
      <c r="B5" s="52"/>
      <c r="C5" s="36">
        <f t="shared" ref="C5:E5" si="0">SUM(C6:C11)</f>
        <v>193720128</v>
      </c>
      <c r="D5" s="36">
        <f t="shared" si="0"/>
        <v>194011128</v>
      </c>
      <c r="E5" s="36">
        <f t="shared" si="0"/>
        <v>463096006.42999995</v>
      </c>
      <c r="F5" s="36">
        <f t="shared" ref="F5" si="1">SUM(F6:F11)</f>
        <v>177777100.99000001</v>
      </c>
      <c r="G5" s="36">
        <f>SUM(G6:G11)</f>
        <v>269084878.43000001</v>
      </c>
      <c r="H5" s="84"/>
      <c r="I5"/>
      <c r="J5"/>
    </row>
    <row r="6" spans="1:10" ht="15.75" x14ac:dyDescent="0.25">
      <c r="A6" s="54"/>
      <c r="B6" s="53" t="s">
        <v>5</v>
      </c>
      <c r="C6" s="6">
        <v>3604154</v>
      </c>
      <c r="D6" s="6">
        <f>C6+291000</f>
        <v>3895154</v>
      </c>
      <c r="E6" s="78">
        <f>4018417.01-140</f>
        <v>4018277.01</v>
      </c>
      <c r="F6" s="6">
        <v>2142162.86</v>
      </c>
      <c r="G6" s="6">
        <f>E6-D6</f>
        <v>123123.00999999978</v>
      </c>
      <c r="H6" s="85"/>
      <c r="I6" s="83"/>
      <c r="J6"/>
    </row>
    <row r="7" spans="1:10" ht="15.75" x14ac:dyDescent="0.25">
      <c r="A7" s="54"/>
      <c r="B7" s="53" t="s">
        <v>4</v>
      </c>
      <c r="C7" s="6">
        <v>168493974</v>
      </c>
      <c r="D7" s="6">
        <f t="shared" ref="D7:D11" si="2">C7</f>
        <v>168493974</v>
      </c>
      <c r="E7" s="78">
        <f>479683067.5-38808244.59-490413.75-2403.39+8316190.58</f>
        <v>448698196.34999996</v>
      </c>
      <c r="F7" s="6">
        <f>184460458.78-191325.48-16216815.17+137.23</f>
        <v>168052455.36000001</v>
      </c>
      <c r="G7" s="6">
        <f t="shared" ref="G7:G11" si="3">E7-D7</f>
        <v>280204222.34999996</v>
      </c>
      <c r="H7" s="85"/>
      <c r="I7" s="41"/>
      <c r="J7" s="86"/>
    </row>
    <row r="8" spans="1:10" ht="15.75" x14ac:dyDescent="0.25">
      <c r="A8" s="54"/>
      <c r="B8" s="53" t="s">
        <v>6</v>
      </c>
      <c r="C8" s="6">
        <v>20387000</v>
      </c>
      <c r="D8" s="6">
        <f t="shared" si="2"/>
        <v>20387000</v>
      </c>
      <c r="E8" s="78">
        <v>8461149.6099999994</v>
      </c>
      <c r="F8" s="6">
        <v>5625846.6699999999</v>
      </c>
      <c r="G8" s="6">
        <f t="shared" si="3"/>
        <v>-11925850.390000001</v>
      </c>
      <c r="H8" s="85"/>
      <c r="I8" s="41"/>
      <c r="J8" s="41"/>
    </row>
    <row r="9" spans="1:10" ht="15.75" x14ac:dyDescent="0.25">
      <c r="A9" s="54"/>
      <c r="B9" s="53" t="s">
        <v>7</v>
      </c>
      <c r="C9" s="6">
        <v>1195000</v>
      </c>
      <c r="D9" s="6">
        <f t="shared" si="2"/>
        <v>1195000</v>
      </c>
      <c r="E9" s="78">
        <v>101623.53</v>
      </c>
      <c r="F9" s="6">
        <v>675438.72</v>
      </c>
      <c r="G9" s="6">
        <f t="shared" si="3"/>
        <v>-1093376.47</v>
      </c>
      <c r="H9" s="85"/>
      <c r="I9" s="41"/>
      <c r="J9" s="41"/>
    </row>
    <row r="10" spans="1:10" ht="15.75" x14ac:dyDescent="0.25">
      <c r="A10" s="54"/>
      <c r="B10" s="53" t="s">
        <v>59</v>
      </c>
      <c r="C10" s="6">
        <v>40000</v>
      </c>
      <c r="D10" s="6">
        <f t="shared" si="2"/>
        <v>40000</v>
      </c>
      <c r="E10" s="78">
        <v>1174178.21</v>
      </c>
      <c r="F10" s="6">
        <v>1005662.06</v>
      </c>
      <c r="G10" s="6">
        <f t="shared" si="3"/>
        <v>1134178.21</v>
      </c>
      <c r="H10" s="20"/>
      <c r="I10" s="41"/>
      <c r="J10" s="41"/>
    </row>
    <row r="11" spans="1:10" ht="15.75" x14ac:dyDescent="0.25">
      <c r="A11" s="54"/>
      <c r="B11" s="53" t="s">
        <v>8</v>
      </c>
      <c r="C11" s="6">
        <v>0</v>
      </c>
      <c r="D11" s="6">
        <f t="shared" si="2"/>
        <v>0</v>
      </c>
      <c r="E11" s="78">
        <v>642581.72</v>
      </c>
      <c r="F11" s="6">
        <v>275535.32</v>
      </c>
      <c r="G11" s="6">
        <f t="shared" si="3"/>
        <v>642581.72</v>
      </c>
      <c r="H11" s="41"/>
      <c r="I11" s="41"/>
      <c r="J11" s="41"/>
    </row>
    <row r="12" spans="1:10" ht="15.75" x14ac:dyDescent="0.25">
      <c r="A12" s="52" t="s">
        <v>13</v>
      </c>
      <c r="B12" s="52"/>
      <c r="C12" s="36">
        <f>C14+C42</f>
        <v>-1197286232</v>
      </c>
      <c r="D12" s="36">
        <f>D14+D42</f>
        <v>-1965259413.5251157</v>
      </c>
      <c r="E12" s="36">
        <f>E14+E42</f>
        <v>-1608166241.6799998</v>
      </c>
      <c r="F12" s="36">
        <f>F14+F42</f>
        <v>-1047109500.61</v>
      </c>
      <c r="G12" s="36">
        <f>G14+G42</f>
        <v>357093171.84511566</v>
      </c>
      <c r="H12" s="82"/>
    </row>
    <row r="13" spans="1:10" ht="15.75" x14ac:dyDescent="0.25">
      <c r="A13" s="54"/>
      <c r="B13" s="53" t="s">
        <v>9</v>
      </c>
      <c r="C13" s="6">
        <f>C15</f>
        <v>-864306072</v>
      </c>
      <c r="D13" s="6">
        <f>D15</f>
        <v>-987309354.82511568</v>
      </c>
      <c r="E13" s="6">
        <f>E15</f>
        <v>-942569832.73000002</v>
      </c>
      <c r="F13" s="6">
        <f>F15</f>
        <v>-729731634</v>
      </c>
      <c r="G13" s="6">
        <f>G15</f>
        <v>44739522.095115662</v>
      </c>
      <c r="H13" s="82"/>
    </row>
    <row r="14" spans="1:10" ht="15.75" x14ac:dyDescent="0.25">
      <c r="A14" s="47" t="s">
        <v>22</v>
      </c>
      <c r="B14" s="47"/>
      <c r="C14" s="9">
        <f>C16</f>
        <v>-1113051373</v>
      </c>
      <c r="D14" s="9">
        <f t="shared" ref="D14:G14" si="4">D16</f>
        <v>-1884139490.3651156</v>
      </c>
      <c r="E14" s="9">
        <f t="shared" si="4"/>
        <v>-1445899735.6799998</v>
      </c>
      <c r="F14" s="9">
        <f t="shared" ref="F14" si="5">F16</f>
        <v>-931745089</v>
      </c>
      <c r="G14" s="9">
        <f t="shared" si="4"/>
        <v>438239754.68511564</v>
      </c>
      <c r="H14" s="82"/>
    </row>
    <row r="15" spans="1:10" ht="15.75" x14ac:dyDescent="0.25">
      <c r="A15" s="48"/>
      <c r="B15" s="53" t="s">
        <v>9</v>
      </c>
      <c r="C15" s="8">
        <f>C17</f>
        <v>-864306072</v>
      </c>
      <c r="D15" s="8">
        <f t="shared" ref="D15:E15" si="6">D17</f>
        <v>-987309354.82511568</v>
      </c>
      <c r="E15" s="8">
        <f t="shared" si="6"/>
        <v>-942569832.73000002</v>
      </c>
      <c r="F15" s="8">
        <f t="shared" ref="F15" si="7">F17</f>
        <v>-729731634</v>
      </c>
      <c r="G15" s="8">
        <f>G17</f>
        <v>44739522.095115662</v>
      </c>
      <c r="I15" s="41"/>
    </row>
    <row r="16" spans="1:10" ht="15.75" x14ac:dyDescent="0.25">
      <c r="A16" s="49" t="s">
        <v>154</v>
      </c>
      <c r="B16" s="47"/>
      <c r="C16" s="9">
        <f>C18+C20+C22+C24+C26+C28+C30+C32+C34+C36+C38+C40</f>
        <v>-1113051373</v>
      </c>
      <c r="D16" s="9">
        <f t="shared" ref="D16:G16" si="8">D18+D20+D22+D24+D26+D28+D30+D32+D34+D36+D38+D40</f>
        <v>-1884139490.3651156</v>
      </c>
      <c r="E16" s="9">
        <f t="shared" si="8"/>
        <v>-1445899735.6799998</v>
      </c>
      <c r="F16" s="9">
        <f t="shared" si="8"/>
        <v>-931745089</v>
      </c>
      <c r="G16" s="9">
        <f t="shared" si="8"/>
        <v>438239754.68511564</v>
      </c>
    </row>
    <row r="17" spans="1:8" ht="15.75" x14ac:dyDescent="0.25">
      <c r="A17" s="58"/>
      <c r="B17" s="53" t="s">
        <v>9</v>
      </c>
      <c r="C17" s="8">
        <f>C19+C21+C23+C25+C27+C29+C31+C33+C35+C37+C39+C41</f>
        <v>-864306072</v>
      </c>
      <c r="D17" s="8">
        <f t="shared" ref="D17:F17" si="9">D19+D21+D23+D25+D27+D29+D31+D33+D35+D37+D39+D41</f>
        <v>-987309354.82511568</v>
      </c>
      <c r="E17" s="8">
        <f t="shared" si="9"/>
        <v>-942569832.73000002</v>
      </c>
      <c r="F17" s="8">
        <f t="shared" si="9"/>
        <v>-729731634</v>
      </c>
      <c r="G17" s="8">
        <f>G19+G21+G23+G25+G27+G29+G31+G33+G35+G37+G39+G41</f>
        <v>44739522.095115662</v>
      </c>
    </row>
    <row r="18" spans="1:8" ht="15.75" x14ac:dyDescent="0.25">
      <c r="A18" s="58" t="s">
        <v>118</v>
      </c>
      <c r="B18" s="53"/>
      <c r="C18" s="8">
        <f>LISA!D23</f>
        <v>-228810070</v>
      </c>
      <c r="D18" s="8">
        <f>LISA!E23</f>
        <v>-317370007</v>
      </c>
      <c r="E18" s="8">
        <f>LISA!F23</f>
        <v>-281362923</v>
      </c>
      <c r="F18" s="8">
        <v>0</v>
      </c>
      <c r="G18" s="6">
        <f>E18-D18</f>
        <v>36007084</v>
      </c>
      <c r="H18" s="37" t="s">
        <v>119</v>
      </c>
    </row>
    <row r="19" spans="1:8" ht="15.75" x14ac:dyDescent="0.25">
      <c r="A19" s="58"/>
      <c r="B19" s="53" t="s">
        <v>9</v>
      </c>
      <c r="C19" s="8">
        <f>LISA!D24</f>
        <v>-107629046</v>
      </c>
      <c r="D19" s="8">
        <f>LISA!E24</f>
        <v>-155268340</v>
      </c>
      <c r="E19" s="8">
        <f>LISA!F24</f>
        <v>-155268340</v>
      </c>
      <c r="F19" s="8">
        <v>0</v>
      </c>
      <c r="G19" s="6">
        <f t="shared" ref="G19:G41" si="10">E19-D19</f>
        <v>0</v>
      </c>
    </row>
    <row r="20" spans="1:8" ht="15.75" x14ac:dyDescent="0.25">
      <c r="A20" s="58" t="s">
        <v>72</v>
      </c>
      <c r="B20" s="53"/>
      <c r="C20" s="8">
        <f>LISA!D42</f>
        <v>-112313569</v>
      </c>
      <c r="D20" s="8">
        <f>LISA!E42</f>
        <v>-132198311</v>
      </c>
      <c r="E20" s="8">
        <f>LISA!F42</f>
        <v>-125233402.08</v>
      </c>
      <c r="F20" s="10">
        <v>-191274438</v>
      </c>
      <c r="G20" s="6">
        <f t="shared" si="10"/>
        <v>6964908.9200000018</v>
      </c>
      <c r="H20" s="37" t="s">
        <v>80</v>
      </c>
    </row>
    <row r="21" spans="1:8" ht="15.75" x14ac:dyDescent="0.25">
      <c r="A21" s="58"/>
      <c r="B21" s="53" t="s">
        <v>9</v>
      </c>
      <c r="C21" s="8">
        <f>LISA!D43</f>
        <v>-78384475</v>
      </c>
      <c r="D21" s="8">
        <f>LISA!E43</f>
        <v>-97741475</v>
      </c>
      <c r="E21" s="8">
        <f>LISA!F43</f>
        <v>-96519935.079999998</v>
      </c>
      <c r="F21" s="63">
        <v>-170842876</v>
      </c>
      <c r="G21" s="6">
        <f t="shared" si="10"/>
        <v>1221539.9200000018</v>
      </c>
    </row>
    <row r="22" spans="1:8" ht="15.75" x14ac:dyDescent="0.25">
      <c r="A22" s="58" t="s">
        <v>73</v>
      </c>
      <c r="B22" s="53"/>
      <c r="C22" s="8">
        <f>LISA!D80</f>
        <v>-22572588</v>
      </c>
      <c r="D22" s="8">
        <f>LISA!E80</f>
        <v>-25644416</v>
      </c>
      <c r="E22" s="8">
        <f>LISA!F80</f>
        <v>-21287392.200000003</v>
      </c>
      <c r="F22" s="10">
        <v>-28288596</v>
      </c>
      <c r="G22" s="6">
        <f t="shared" si="10"/>
        <v>4357023.799999997</v>
      </c>
      <c r="H22" s="37" t="s">
        <v>81</v>
      </c>
    </row>
    <row r="23" spans="1:8" ht="15.75" x14ac:dyDescent="0.25">
      <c r="A23" s="58"/>
      <c r="B23" s="53" t="s">
        <v>9</v>
      </c>
      <c r="C23" s="8">
        <f>LISA!D81</f>
        <v>-13020987</v>
      </c>
      <c r="D23" s="8">
        <f>LISA!E81</f>
        <v>-15714565</v>
      </c>
      <c r="E23" s="8">
        <f>LISA!F81</f>
        <v>-15407974.65</v>
      </c>
      <c r="F23" s="61">
        <v>-22901516</v>
      </c>
      <c r="G23" s="6">
        <f t="shared" si="10"/>
        <v>306590.34999999963</v>
      </c>
    </row>
    <row r="24" spans="1:8" ht="15.75" x14ac:dyDescent="0.25">
      <c r="A24" s="58" t="s">
        <v>74</v>
      </c>
      <c r="B24" s="53"/>
      <c r="C24" s="8">
        <f>LISA!D115</f>
        <v>-19427313</v>
      </c>
      <c r="D24" s="8">
        <f>LISA!E115</f>
        <v>-22215244</v>
      </c>
      <c r="E24" s="8">
        <f>LISA!F115</f>
        <v>-17920161</v>
      </c>
      <c r="F24" s="61">
        <v>-16447459</v>
      </c>
      <c r="G24" s="6">
        <f t="shared" si="10"/>
        <v>4295083</v>
      </c>
      <c r="H24" s="37" t="s">
        <v>82</v>
      </c>
    </row>
    <row r="25" spans="1:8" ht="15.75" x14ac:dyDescent="0.25">
      <c r="A25" s="58"/>
      <c r="B25" s="53" t="s">
        <v>9</v>
      </c>
      <c r="C25" s="8">
        <f>LISA!D116</f>
        <v>-13822418</v>
      </c>
      <c r="D25" s="8">
        <f>LISA!E116</f>
        <v>-16038778</v>
      </c>
      <c r="E25" s="8">
        <f>LISA!F116</f>
        <v>-15903671</v>
      </c>
      <c r="F25" s="61">
        <v>-14990574</v>
      </c>
      <c r="G25" s="6">
        <f t="shared" si="10"/>
        <v>135107</v>
      </c>
    </row>
    <row r="26" spans="1:8" ht="15.75" x14ac:dyDescent="0.25">
      <c r="A26" s="58" t="s">
        <v>75</v>
      </c>
      <c r="B26" s="53"/>
      <c r="C26" s="8">
        <f>LISA!D146</f>
        <v>-330191143</v>
      </c>
      <c r="D26" s="8">
        <f>LISA!E146</f>
        <v>-400031617</v>
      </c>
      <c r="E26" s="8">
        <f>LISA!F146</f>
        <v>-374301104</v>
      </c>
      <c r="F26" s="61">
        <v>-337115837</v>
      </c>
      <c r="G26" s="6">
        <f t="shared" si="10"/>
        <v>25730513</v>
      </c>
      <c r="H26" s="37" t="s">
        <v>83</v>
      </c>
    </row>
    <row r="27" spans="1:8" ht="15.75" x14ac:dyDescent="0.25">
      <c r="A27" s="58"/>
      <c r="B27" s="53" t="s">
        <v>9</v>
      </c>
      <c r="C27" s="8">
        <f>LISA!D147</f>
        <v>-269635460</v>
      </c>
      <c r="D27" s="8">
        <f>LISA!E147</f>
        <v>-287899398</v>
      </c>
      <c r="E27" s="8">
        <f>LISA!F147</f>
        <v>-273211056</v>
      </c>
      <c r="F27" s="61">
        <v>-296027409</v>
      </c>
      <c r="G27" s="6">
        <f t="shared" si="10"/>
        <v>14688342</v>
      </c>
    </row>
    <row r="28" spans="1:8" ht="15.75" x14ac:dyDescent="0.25">
      <c r="A28" s="58" t="s">
        <v>127</v>
      </c>
      <c r="B28" s="53"/>
      <c r="C28" s="8">
        <f>LISA!D216</f>
        <v>-57429983</v>
      </c>
      <c r="D28" s="8">
        <f>LISA!E216</f>
        <v>-51580983.825115658</v>
      </c>
      <c r="E28" s="8">
        <f>LISA!F216</f>
        <v>-49594694.399999999</v>
      </c>
      <c r="F28" s="8">
        <f>-21019887-724</f>
        <v>-21020611</v>
      </c>
      <c r="G28" s="6">
        <f t="shared" si="10"/>
        <v>1986289.4251156598</v>
      </c>
      <c r="H28" s="37" t="s">
        <v>84</v>
      </c>
    </row>
    <row r="29" spans="1:8" ht="15.75" x14ac:dyDescent="0.25">
      <c r="A29" s="58"/>
      <c r="B29" s="53" t="s">
        <v>9</v>
      </c>
      <c r="C29" s="8">
        <f>LISA!D217</f>
        <v>-55836669</v>
      </c>
      <c r="D29" s="8">
        <f>LISA!E217</f>
        <v>-49860649.825115658</v>
      </c>
      <c r="E29" s="8">
        <f>LISA!F217</f>
        <v>-44585847</v>
      </c>
      <c r="F29" s="46">
        <f>-17708472-724</f>
        <v>-17709196</v>
      </c>
      <c r="G29" s="6">
        <f t="shared" si="10"/>
        <v>5274802.8251156583</v>
      </c>
    </row>
    <row r="30" spans="1:8" ht="15.75" x14ac:dyDescent="0.25">
      <c r="A30" s="58" t="s">
        <v>129</v>
      </c>
      <c r="B30" s="53"/>
      <c r="C30" s="8">
        <f>LISA!D270</f>
        <v>-42942976</v>
      </c>
      <c r="D30" s="8">
        <f>LISA!E270</f>
        <v>-27045381</v>
      </c>
      <c r="E30" s="8">
        <f>LISA!F270</f>
        <v>-12270034</v>
      </c>
      <c r="F30" s="45">
        <v>-7827974</v>
      </c>
      <c r="G30" s="6">
        <f t="shared" si="10"/>
        <v>14775347</v>
      </c>
      <c r="H30" s="37" t="s">
        <v>85</v>
      </c>
    </row>
    <row r="31" spans="1:8" ht="15.75" x14ac:dyDescent="0.25">
      <c r="A31" s="58"/>
      <c r="B31" s="53" t="s">
        <v>9</v>
      </c>
      <c r="C31" s="8">
        <f>LISA!D271</f>
        <v>-27989756</v>
      </c>
      <c r="D31" s="8">
        <f>LISA!E271</f>
        <v>-13020054</v>
      </c>
      <c r="E31" s="8">
        <f>LISA!F271</f>
        <v>-12267474</v>
      </c>
      <c r="F31" s="8">
        <v>-7630160</v>
      </c>
      <c r="G31" s="6">
        <f t="shared" si="10"/>
        <v>752580</v>
      </c>
    </row>
    <row r="32" spans="1:8" ht="15.75" x14ac:dyDescent="0.25">
      <c r="A32" s="58" t="s">
        <v>86</v>
      </c>
      <c r="B32" s="53"/>
      <c r="C32" s="8">
        <f>LISA!D302</f>
        <v>-144853308</v>
      </c>
      <c r="D32" s="8">
        <f>LISA!E302</f>
        <v>-190510530</v>
      </c>
      <c r="E32" s="8">
        <f>LISA!F302</f>
        <v>-179198721</v>
      </c>
      <c r="F32" s="8">
        <v>-52836857</v>
      </c>
      <c r="G32" s="6">
        <f t="shared" si="10"/>
        <v>11311809</v>
      </c>
      <c r="H32" s="37" t="s">
        <v>87</v>
      </c>
    </row>
    <row r="33" spans="1:10" ht="15.75" x14ac:dyDescent="0.25">
      <c r="A33" s="58"/>
      <c r="B33" s="53" t="s">
        <v>9</v>
      </c>
      <c r="C33" s="8">
        <f>LISA!D303</f>
        <v>-144763352</v>
      </c>
      <c r="D33" s="8">
        <f>LISA!E303</f>
        <v>-189490069</v>
      </c>
      <c r="E33" s="8">
        <f>LISA!F303</f>
        <v>-178736228</v>
      </c>
      <c r="F33" s="8">
        <v>-49755968</v>
      </c>
      <c r="G33" s="6">
        <f t="shared" si="10"/>
        <v>10753841</v>
      </c>
    </row>
    <row r="34" spans="1:10" ht="15.75" x14ac:dyDescent="0.25">
      <c r="A34" s="48" t="s">
        <v>156</v>
      </c>
      <c r="B34" s="48"/>
      <c r="C34" s="8">
        <f>LISA!D363</f>
        <v>-61598155</v>
      </c>
      <c r="D34" s="8">
        <f>LISA!E363</f>
        <v>-68101445</v>
      </c>
      <c r="E34" s="8">
        <f>LISA!F363</f>
        <v>-60727052</v>
      </c>
      <c r="F34" s="46">
        <v>-56308223</v>
      </c>
      <c r="G34" s="6">
        <f t="shared" si="10"/>
        <v>7374393</v>
      </c>
      <c r="H34" s="41" t="s">
        <v>88</v>
      </c>
      <c r="I34" s="15"/>
      <c r="J34"/>
    </row>
    <row r="35" spans="1:10" ht="15.75" x14ac:dyDescent="0.25">
      <c r="A35" s="48"/>
      <c r="B35" s="53" t="s">
        <v>9</v>
      </c>
      <c r="C35" s="8">
        <f>LISA!D364</f>
        <v>-60834365</v>
      </c>
      <c r="D35" s="8">
        <f>LISA!E364</f>
        <v>-67337655</v>
      </c>
      <c r="E35" s="8">
        <f>LISA!F364</f>
        <v>-60727052</v>
      </c>
      <c r="F35" s="46">
        <v>-56308223</v>
      </c>
      <c r="G35" s="6">
        <f t="shared" si="10"/>
        <v>6610603</v>
      </c>
    </row>
    <row r="36" spans="1:10" ht="15.75" x14ac:dyDescent="0.25">
      <c r="A36" s="58" t="s">
        <v>133</v>
      </c>
      <c r="B36" s="53"/>
      <c r="C36" s="8">
        <f>LISA!D375</f>
        <v>-28760468</v>
      </c>
      <c r="D36" s="8">
        <f>LISA!E375</f>
        <v>-22120400</v>
      </c>
      <c r="E36" s="8">
        <f>LISA!F375</f>
        <v>-19935292</v>
      </c>
      <c r="F36" s="46">
        <f>-32437858+724</f>
        <v>-32437134</v>
      </c>
      <c r="G36" s="6">
        <f t="shared" si="10"/>
        <v>2185108</v>
      </c>
      <c r="H36" s="37" t="s">
        <v>89</v>
      </c>
    </row>
    <row r="37" spans="1:10" ht="15.75" x14ac:dyDescent="0.25">
      <c r="A37" s="58"/>
      <c r="B37" s="53" t="s">
        <v>9</v>
      </c>
      <c r="C37" s="8">
        <f>LISA!D376</f>
        <v>-28518115</v>
      </c>
      <c r="D37" s="8">
        <f>LISA!E376</f>
        <v>-21690757</v>
      </c>
      <c r="E37" s="8">
        <f>LISA!F376</f>
        <v>-19562417</v>
      </c>
      <c r="F37" s="8">
        <f>-31995097+724</f>
        <v>-31994373</v>
      </c>
      <c r="G37" s="6">
        <f t="shared" si="10"/>
        <v>2128340</v>
      </c>
    </row>
    <row r="38" spans="1:10" ht="15.75" x14ac:dyDescent="0.25">
      <c r="A38" s="58" t="s">
        <v>136</v>
      </c>
      <c r="B38" s="53"/>
      <c r="C38" s="8">
        <f>LISA!D437</f>
        <v>-53727711</v>
      </c>
      <c r="D38" s="8">
        <f>LISA!E437</f>
        <v>-59867535</v>
      </c>
      <c r="E38" s="8">
        <f>LISA!F437</f>
        <v>-57901680</v>
      </c>
      <c r="F38" s="10">
        <v>-48979750</v>
      </c>
      <c r="G38" s="6">
        <f t="shared" si="10"/>
        <v>1965855</v>
      </c>
      <c r="H38" s="37" t="s">
        <v>90</v>
      </c>
    </row>
    <row r="39" spans="1:10" ht="15.75" x14ac:dyDescent="0.25">
      <c r="A39" s="58"/>
      <c r="B39" s="53" t="s">
        <v>9</v>
      </c>
      <c r="C39" s="8">
        <f>LISA!D438</f>
        <v>-53581289</v>
      </c>
      <c r="D39" s="8">
        <f>LISA!E438</f>
        <v>-59633625</v>
      </c>
      <c r="E39" s="8">
        <f>LISA!F438</f>
        <v>-57365866</v>
      </c>
      <c r="F39" s="10">
        <v>-48603082</v>
      </c>
      <c r="G39" s="6">
        <f t="shared" si="10"/>
        <v>2267759</v>
      </c>
    </row>
    <row r="40" spans="1:10" ht="15.75" x14ac:dyDescent="0.25">
      <c r="A40" s="58" t="s">
        <v>138</v>
      </c>
      <c r="B40" s="53"/>
      <c r="C40" s="8">
        <f>LISA!D499</f>
        <v>-10424089</v>
      </c>
      <c r="D40" s="10">
        <f>LISA!E499</f>
        <v>-567453620.53999996</v>
      </c>
      <c r="E40" s="8">
        <f>LISA!F499</f>
        <v>-246167280</v>
      </c>
      <c r="F40" s="8">
        <v>-139208210</v>
      </c>
      <c r="G40" s="6">
        <f t="shared" si="10"/>
        <v>321286340.53999996</v>
      </c>
      <c r="H40" s="37" t="s">
        <v>91</v>
      </c>
    </row>
    <row r="41" spans="1:10" ht="15.75" x14ac:dyDescent="0.25">
      <c r="A41" s="58"/>
      <c r="B41" s="53" t="s">
        <v>9</v>
      </c>
      <c r="C41" s="8">
        <f>LISA!D500</f>
        <v>-10290140</v>
      </c>
      <c r="D41" s="8">
        <f>LISA!E500</f>
        <v>-13613989</v>
      </c>
      <c r="E41" s="8">
        <f>LISA!F500</f>
        <v>-13013972</v>
      </c>
      <c r="F41" s="10">
        <v>-12968257</v>
      </c>
      <c r="G41" s="6">
        <f t="shared" si="10"/>
        <v>600017</v>
      </c>
    </row>
    <row r="42" spans="1:10" s="34" customFormat="1" ht="15.75" x14ac:dyDescent="0.25">
      <c r="A42" s="59" t="s">
        <v>57</v>
      </c>
      <c r="B42" s="52"/>
      <c r="C42" s="76">
        <f>LISA!D536</f>
        <v>-84234859</v>
      </c>
      <c r="D42" s="76">
        <f>LISA!E536</f>
        <v>-81119923.159999996</v>
      </c>
      <c r="E42" s="76">
        <f>LISA!F536</f>
        <v>-162266506</v>
      </c>
      <c r="F42" s="9">
        <v>-115364411.61</v>
      </c>
      <c r="G42" s="36">
        <f t="shared" ref="G42" si="11">E42-D42</f>
        <v>-81146582.840000004</v>
      </c>
      <c r="H42" s="43"/>
      <c r="I42" s="43"/>
      <c r="J42" s="43"/>
    </row>
    <row r="43" spans="1:10" ht="15.75" x14ac:dyDescent="0.25">
      <c r="A43" s="59" t="s">
        <v>14</v>
      </c>
      <c r="B43" s="47"/>
      <c r="C43" s="76">
        <f>C45+C47+C49+C51+C53+C56+C55+C57+C59</f>
        <v>-515780295</v>
      </c>
      <c r="D43" s="76">
        <f t="shared" ref="D43:G43" si="12">D45+D47+D49+D51+D53+D56+D55+D57+D59</f>
        <v>-605704573.47000003</v>
      </c>
      <c r="E43" s="76">
        <f t="shared" si="12"/>
        <v>-585902381.29100001</v>
      </c>
      <c r="F43" s="76">
        <f t="shared" si="12"/>
        <v>-524775332.06999999</v>
      </c>
      <c r="G43" s="76">
        <f t="shared" si="12"/>
        <v>19802192.17900002</v>
      </c>
    </row>
    <row r="44" spans="1:10" ht="15.75" x14ac:dyDescent="0.25">
      <c r="A44" s="58"/>
      <c r="B44" s="53" t="s">
        <v>9</v>
      </c>
      <c r="C44" s="10">
        <f>C46+C48+C50+C52+C54+C58</f>
        <v>-357004416</v>
      </c>
      <c r="D44" s="10">
        <f>D46+D48+D50+D52+D54+D58</f>
        <v>-375159627</v>
      </c>
      <c r="E44" s="10">
        <f t="shared" ref="E44:F44" si="13">E46+E48+E50+E52+E54+E58</f>
        <v>-370819495</v>
      </c>
      <c r="F44" s="10">
        <f t="shared" si="13"/>
        <v>-387591218.02999997</v>
      </c>
      <c r="G44" s="8">
        <f>G46+G48+G50+G52+G54+G58</f>
        <v>4340132</v>
      </c>
    </row>
    <row r="45" spans="1:10" ht="15.75" x14ac:dyDescent="0.25">
      <c r="A45" s="58" t="s">
        <v>76</v>
      </c>
      <c r="B45" s="53"/>
      <c r="C45" s="10">
        <v>-79584271</v>
      </c>
      <c r="D45" s="77">
        <v>-122524434</v>
      </c>
      <c r="E45" s="64">
        <v>-79599702</v>
      </c>
      <c r="F45" s="64">
        <v>-160783163</v>
      </c>
      <c r="G45" s="6">
        <f>E45-D45</f>
        <v>42924732</v>
      </c>
      <c r="H45" s="37" t="s">
        <v>78</v>
      </c>
    </row>
    <row r="46" spans="1:10" ht="15.75" x14ac:dyDescent="0.25">
      <c r="A46" s="58"/>
      <c r="B46" s="53" t="s">
        <v>9</v>
      </c>
      <c r="C46" s="10">
        <v>-41429401</v>
      </c>
      <c r="D46" s="77">
        <v>-48879671</v>
      </c>
      <c r="E46" s="10">
        <v>-48876834</v>
      </c>
      <c r="F46" s="10">
        <v>-104486625</v>
      </c>
      <c r="G46" s="6">
        <f t="shared" ref="G46:G58" si="14">E46-D46</f>
        <v>2837</v>
      </c>
    </row>
    <row r="47" spans="1:10" ht="15.75" x14ac:dyDescent="0.25">
      <c r="A47" s="58" t="s">
        <v>92</v>
      </c>
      <c r="B47" s="53"/>
      <c r="C47" s="10">
        <v>-22436207</v>
      </c>
      <c r="D47" s="77">
        <v>-24330669</v>
      </c>
      <c r="E47" s="10">
        <v>-20236145</v>
      </c>
      <c r="F47" s="10">
        <v>-19153827</v>
      </c>
      <c r="G47" s="6">
        <f t="shared" si="14"/>
        <v>4094524</v>
      </c>
      <c r="H47" s="37" t="s">
        <v>93</v>
      </c>
    </row>
    <row r="48" spans="1:10" ht="15.75" x14ac:dyDescent="0.25">
      <c r="A48" s="58"/>
      <c r="B48" s="53" t="s">
        <v>9</v>
      </c>
      <c r="C48" s="10">
        <v>-22436207</v>
      </c>
      <c r="D48" s="77">
        <v>-24330669</v>
      </c>
      <c r="E48" s="10">
        <v>-20236145</v>
      </c>
      <c r="F48" s="10">
        <v>-19063137</v>
      </c>
      <c r="G48" s="6">
        <f t="shared" si="14"/>
        <v>4094524</v>
      </c>
    </row>
    <row r="49" spans="1:21" ht="15.75" x14ac:dyDescent="0.25">
      <c r="A49" s="58" t="s">
        <v>140</v>
      </c>
      <c r="B49" s="53"/>
      <c r="C49" s="10">
        <v>-10000000</v>
      </c>
      <c r="D49" s="77">
        <v>-13878084</v>
      </c>
      <c r="E49" s="10">
        <v>-13878084</v>
      </c>
      <c r="F49" s="10">
        <v>-14334126</v>
      </c>
      <c r="G49" s="6">
        <f t="shared" si="14"/>
        <v>0</v>
      </c>
      <c r="H49" s="37" t="s">
        <v>103</v>
      </c>
    </row>
    <row r="50" spans="1:21" ht="15.75" x14ac:dyDescent="0.25">
      <c r="A50" s="58"/>
      <c r="B50" s="53" t="s">
        <v>9</v>
      </c>
      <c r="C50" s="10">
        <v>-10000000</v>
      </c>
      <c r="D50" s="77">
        <v>-13878084</v>
      </c>
      <c r="E50" s="10">
        <v>-13878084</v>
      </c>
      <c r="F50" s="10">
        <v>-14334126</v>
      </c>
      <c r="G50" s="6">
        <f t="shared" si="14"/>
        <v>0</v>
      </c>
    </row>
    <row r="51" spans="1:21" ht="15.75" x14ac:dyDescent="0.25">
      <c r="A51" s="110" t="s">
        <v>77</v>
      </c>
      <c r="B51" s="111"/>
      <c r="C51" s="10">
        <v>-266092087</v>
      </c>
      <c r="D51" s="77">
        <f>-319474105-21615391</f>
        <v>-341089496</v>
      </c>
      <c r="E51" s="10">
        <f>-285302139-20275276-8316190.581</f>
        <v>-313893605.58099997</v>
      </c>
      <c r="F51" s="10">
        <f>-235517717-4132496.03</f>
        <v>-239650213.03</v>
      </c>
      <c r="G51" s="6">
        <f t="shared" si="14"/>
        <v>27195890.41900003</v>
      </c>
      <c r="H51" s="37" t="s">
        <v>79</v>
      </c>
      <c r="I51" s="107"/>
      <c r="J51" s="108"/>
      <c r="K51" s="87"/>
    </row>
    <row r="52" spans="1:21" ht="15.75" x14ac:dyDescent="0.25">
      <c r="A52" s="58"/>
      <c r="B52" s="53" t="s">
        <v>9</v>
      </c>
      <c r="C52" s="10">
        <v>-266092087</v>
      </c>
      <c r="D52" s="77">
        <v>-272270541</v>
      </c>
      <c r="E52" s="10">
        <v>-272269053</v>
      </c>
      <c r="F52" s="10">
        <f>-231359621-4132496.03</f>
        <v>-235492117.03</v>
      </c>
      <c r="G52" s="6">
        <f t="shared" si="14"/>
        <v>1488</v>
      </c>
      <c r="I52" s="103"/>
      <c r="J52" s="106"/>
      <c r="K52" s="105"/>
      <c r="L52" s="104"/>
    </row>
    <row r="53" spans="1:21" ht="15.75" x14ac:dyDescent="0.25">
      <c r="A53" s="58" t="s">
        <v>99</v>
      </c>
      <c r="B53" s="53"/>
      <c r="C53" s="10">
        <v>-11865726</v>
      </c>
      <c r="D53" s="77">
        <v>-6497468</v>
      </c>
      <c r="E53" s="10">
        <v>-6404192</v>
      </c>
      <c r="F53" s="10">
        <v>-9228853</v>
      </c>
      <c r="G53" s="6">
        <f t="shared" si="14"/>
        <v>93276</v>
      </c>
      <c r="H53" s="37" t="s">
        <v>142</v>
      </c>
      <c r="K53" s="105"/>
      <c r="L53" s="104"/>
    </row>
    <row r="54" spans="1:21" ht="15.75" x14ac:dyDescent="0.25">
      <c r="A54" s="58"/>
      <c r="B54" s="53" t="s">
        <v>9</v>
      </c>
      <c r="C54" s="10">
        <v>-11865726</v>
      </c>
      <c r="D54" s="77">
        <v>-6497468</v>
      </c>
      <c r="E54" s="10">
        <v>-6404192</v>
      </c>
      <c r="F54" s="10">
        <v>-9228853</v>
      </c>
      <c r="G54" s="6">
        <f t="shared" si="14"/>
        <v>93276</v>
      </c>
    </row>
    <row r="55" spans="1:21" ht="15.75" x14ac:dyDescent="0.25">
      <c r="A55" s="58" t="s">
        <v>141</v>
      </c>
      <c r="B55" s="53"/>
      <c r="C55" s="10">
        <v>-12653333</v>
      </c>
      <c r="D55" s="77">
        <v>-11071667</v>
      </c>
      <c r="E55" s="10">
        <f>-11071667+0.02</f>
        <v>-11071666.98</v>
      </c>
      <c r="F55" s="10">
        <v>-3163333</v>
      </c>
      <c r="G55" s="6">
        <f>E55-D55</f>
        <v>1.9999999552965164E-2</v>
      </c>
      <c r="H55" s="37" t="s">
        <v>143</v>
      </c>
      <c r="I55" s="109"/>
      <c r="K55" s="17"/>
      <c r="L55" s="17"/>
      <c r="P55" s="34"/>
      <c r="Q55" s="34"/>
      <c r="R55" s="34"/>
      <c r="S55" s="34"/>
      <c r="T55" s="34"/>
      <c r="U55" s="34"/>
    </row>
    <row r="56" spans="1:21" ht="15.75" x14ac:dyDescent="0.25">
      <c r="A56" s="58" t="s">
        <v>98</v>
      </c>
      <c r="B56" s="53"/>
      <c r="C56" s="10">
        <v>-18058476</v>
      </c>
      <c r="D56" s="77">
        <v>0</v>
      </c>
      <c r="E56" s="10">
        <v>0</v>
      </c>
      <c r="F56" s="10">
        <v>0</v>
      </c>
      <c r="G56" s="6">
        <f t="shared" si="14"/>
        <v>0</v>
      </c>
      <c r="H56" s="37" t="s">
        <v>97</v>
      </c>
      <c r="K56" s="17"/>
      <c r="L56" s="17"/>
      <c r="P56" s="34"/>
      <c r="Q56" s="34"/>
      <c r="R56" s="34"/>
      <c r="S56" s="34"/>
      <c r="T56" s="34"/>
      <c r="U56" s="34"/>
    </row>
    <row r="57" spans="1:21" ht="15.75" x14ac:dyDescent="0.25">
      <c r="A57" s="58" t="s">
        <v>68</v>
      </c>
      <c r="B57" s="53"/>
      <c r="C57" s="10">
        <v>-20714418</v>
      </c>
      <c r="D57" s="77">
        <f>-35830434+21615391</f>
        <v>-14215043</v>
      </c>
      <c r="E57" s="10">
        <f>-31158100.5+20275276</f>
        <v>-10882824.5</v>
      </c>
      <c r="F57" s="10">
        <f>-30431650-1+14334126-960000</f>
        <v>-17057525</v>
      </c>
      <c r="G57" s="6">
        <f t="shared" si="14"/>
        <v>3332218.5</v>
      </c>
      <c r="P57" s="34"/>
      <c r="Q57" s="34"/>
      <c r="R57" s="34"/>
      <c r="S57" s="34"/>
      <c r="T57" s="34"/>
      <c r="U57" s="34"/>
    </row>
    <row r="58" spans="1:21" ht="15.75" x14ac:dyDescent="0.25">
      <c r="A58" s="80"/>
      <c r="B58" s="81" t="s">
        <v>9</v>
      </c>
      <c r="C58" s="10">
        <v>-5180995</v>
      </c>
      <c r="D58" s="77">
        <f>-9303195+1</f>
        <v>-9303194</v>
      </c>
      <c r="E58" s="10">
        <v>-9155187</v>
      </c>
      <c r="F58" s="10">
        <f>-19320486+14334126</f>
        <v>-4986360</v>
      </c>
      <c r="G58" s="6">
        <f t="shared" si="14"/>
        <v>148007</v>
      </c>
      <c r="P58" s="34"/>
      <c r="Q58" s="34"/>
      <c r="R58" s="34"/>
      <c r="S58" s="34"/>
      <c r="T58" s="34"/>
      <c r="U58" s="34"/>
    </row>
    <row r="59" spans="1:21" s="34" customFormat="1" ht="15.75" x14ac:dyDescent="0.25">
      <c r="A59" s="59" t="s">
        <v>57</v>
      </c>
      <c r="B59" s="52"/>
      <c r="C59" s="76">
        <f>-69293677-5082100</f>
        <v>-74375777</v>
      </c>
      <c r="D59" s="79">
        <f>C59+5082100-2804035.47</f>
        <v>-72097712.469999999</v>
      </c>
      <c r="E59" s="76">
        <f>-129936161.23</f>
        <v>-129936161.23</v>
      </c>
      <c r="F59" s="76">
        <v>-61404292.039999999</v>
      </c>
      <c r="G59" s="36">
        <f t="shared" ref="G59" si="15">E59-D59</f>
        <v>-57838448.760000005</v>
      </c>
      <c r="H59" s="43"/>
      <c r="I59" s="43"/>
      <c r="J59" s="37"/>
      <c r="K59"/>
      <c r="L59"/>
      <c r="M59"/>
      <c r="N59"/>
      <c r="O59"/>
    </row>
    <row r="60" spans="1:21" ht="15.75" x14ac:dyDescent="0.25">
      <c r="A60" s="56" t="s">
        <v>15</v>
      </c>
      <c r="B60" s="56"/>
      <c r="C60" s="36"/>
      <c r="D60" s="36"/>
      <c r="E60" s="36">
        <f>SUM(E61:E72)</f>
        <v>235877766.47999996</v>
      </c>
      <c r="F60" s="36">
        <f>SUM(F61:F69)</f>
        <v>-69790275.670000017</v>
      </c>
      <c r="G60" s="36"/>
    </row>
    <row r="61" spans="1:21" ht="15.75" x14ac:dyDescent="0.25">
      <c r="A61" s="55"/>
      <c r="B61" s="53" t="s">
        <v>17</v>
      </c>
      <c r="C61" s="7"/>
      <c r="D61" s="7"/>
      <c r="E61" s="7">
        <v>-45645325</v>
      </c>
      <c r="F61" s="7">
        <f>-39106274</f>
        <v>-39106274</v>
      </c>
      <c r="G61" s="5"/>
    </row>
    <row r="62" spans="1:21" ht="15.75" x14ac:dyDescent="0.25">
      <c r="A62" s="55"/>
      <c r="B62" s="57" t="s">
        <v>16</v>
      </c>
      <c r="C62" s="7"/>
      <c r="D62" s="7"/>
      <c r="E62" s="7">
        <v>-29301876</v>
      </c>
      <c r="F62" s="7">
        <v>-29776392</v>
      </c>
      <c r="G62" s="5"/>
    </row>
    <row r="63" spans="1:21" ht="15.75" x14ac:dyDescent="0.25">
      <c r="A63" s="55"/>
      <c r="B63" s="57" t="s">
        <v>10</v>
      </c>
      <c r="C63" s="7"/>
      <c r="D63" s="7"/>
      <c r="E63" s="7">
        <v>-1560692.65</v>
      </c>
      <c r="F63" s="7">
        <v>-4298086.6500000004</v>
      </c>
      <c r="G63" s="5"/>
    </row>
    <row r="64" spans="1:21" ht="15.75" x14ac:dyDescent="0.25">
      <c r="A64" s="55"/>
      <c r="B64" s="57" t="s">
        <v>19</v>
      </c>
      <c r="C64" s="7"/>
      <c r="D64" s="7"/>
      <c r="E64" s="7">
        <v>2403.39</v>
      </c>
      <c r="F64" s="7">
        <v>-137.22999999999999</v>
      </c>
      <c r="G64" s="5"/>
    </row>
    <row r="65" spans="1:7" ht="15.75" x14ac:dyDescent="0.25">
      <c r="A65" s="55"/>
      <c r="B65" s="57" t="s">
        <v>23</v>
      </c>
      <c r="C65" s="7"/>
      <c r="D65" s="7"/>
      <c r="E65" s="7">
        <v>38808244.590000004</v>
      </c>
      <c r="F65" s="7">
        <v>15447351.460000001</v>
      </c>
      <c r="G65" s="5"/>
    </row>
    <row r="66" spans="1:7" ht="15.75" x14ac:dyDescent="0.25">
      <c r="A66" s="55"/>
      <c r="B66" s="57" t="s">
        <v>24</v>
      </c>
      <c r="C66" s="7"/>
      <c r="D66" s="7"/>
      <c r="E66" s="7">
        <v>490413.75</v>
      </c>
      <c r="F66" s="7">
        <v>769463.71</v>
      </c>
      <c r="G66" s="5"/>
    </row>
    <row r="67" spans="1:7" ht="15.75" x14ac:dyDescent="0.25">
      <c r="A67" s="55"/>
      <c r="B67" s="57" t="s">
        <v>147</v>
      </c>
      <c r="C67" s="7"/>
      <c r="D67" s="7"/>
      <c r="E67" s="7">
        <v>2567497.91</v>
      </c>
      <c r="F67" s="7">
        <v>0</v>
      </c>
      <c r="G67" s="5"/>
    </row>
    <row r="68" spans="1:7" ht="15.75" x14ac:dyDescent="0.25">
      <c r="A68" s="55"/>
      <c r="B68" s="57" t="s">
        <v>11</v>
      </c>
      <c r="C68" s="7"/>
      <c r="D68" s="7"/>
      <c r="E68" s="6">
        <v>-21275292.48</v>
      </c>
      <c r="F68" s="6">
        <v>-4049703.14</v>
      </c>
      <c r="G68" s="5"/>
    </row>
    <row r="69" spans="1:7" ht="15.75" x14ac:dyDescent="0.25">
      <c r="A69" s="55"/>
      <c r="B69" s="57" t="s">
        <v>25</v>
      </c>
      <c r="C69" s="7"/>
      <c r="D69" s="7"/>
      <c r="E69" s="7">
        <v>-9744822.4299999997</v>
      </c>
      <c r="F69" s="7">
        <v>-8776497.8200000003</v>
      </c>
      <c r="G69" s="5"/>
    </row>
    <row r="70" spans="1:7" ht="15.75" x14ac:dyDescent="0.25">
      <c r="A70" s="55"/>
      <c r="B70" s="57" t="s">
        <v>20</v>
      </c>
      <c r="C70" s="7"/>
      <c r="D70" s="7"/>
      <c r="E70" s="7">
        <v>140</v>
      </c>
      <c r="F70" s="7">
        <v>0</v>
      </c>
      <c r="G70" s="5"/>
    </row>
    <row r="71" spans="1:7" ht="15.75" x14ac:dyDescent="0.25">
      <c r="A71" s="55"/>
      <c r="B71" s="57" t="s">
        <v>21</v>
      </c>
      <c r="C71" s="7"/>
      <c r="D71" s="7"/>
      <c r="E71" s="7">
        <v>-140</v>
      </c>
      <c r="F71" s="7">
        <v>0</v>
      </c>
      <c r="G71" s="5"/>
    </row>
    <row r="72" spans="1:7" ht="15.75" x14ac:dyDescent="0.25">
      <c r="A72" s="55"/>
      <c r="B72" s="57" t="s">
        <v>148</v>
      </c>
      <c r="C72" s="7"/>
      <c r="D72" s="7"/>
      <c r="E72" s="7">
        <v>301537215.39999998</v>
      </c>
      <c r="F72" s="7">
        <v>0</v>
      </c>
      <c r="G72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352C-D577-4AC0-AB2D-448D0F264886}">
  <dimension ref="A1:J539"/>
  <sheetViews>
    <sheetView topLeftCell="A32" workbookViewId="0">
      <selection activeCell="A3" sqref="A3:XFD3"/>
    </sheetView>
  </sheetViews>
  <sheetFormatPr defaultRowHeight="15" x14ac:dyDescent="0.25"/>
  <cols>
    <col min="1" max="2" width="5.7109375" customWidth="1"/>
    <col min="3" max="3" width="52.28515625" customWidth="1"/>
    <col min="4" max="4" width="13.85546875" style="2" bestFit="1" customWidth="1"/>
    <col min="5" max="6" width="13.7109375" style="2" bestFit="1" customWidth="1"/>
    <col min="7" max="7" width="17.140625" style="2" customWidth="1"/>
    <col min="8" max="8" width="12.7109375" style="17" hidden="1" customWidth="1"/>
    <col min="9" max="9" width="9.42578125" hidden="1" customWidth="1"/>
    <col min="10" max="10" width="11.42578125" bestFit="1" customWidth="1"/>
  </cols>
  <sheetData>
    <row r="1" spans="1:8" x14ac:dyDescent="0.25">
      <c r="A1" s="34" t="s">
        <v>110</v>
      </c>
      <c r="B1" s="34"/>
    </row>
    <row r="2" spans="1:8" x14ac:dyDescent="0.25">
      <c r="A2" s="34" t="s">
        <v>109</v>
      </c>
      <c r="B2" s="34"/>
    </row>
    <row r="3" spans="1:8" ht="31.5" x14ac:dyDescent="0.25">
      <c r="A3" s="50"/>
      <c r="B3" s="50"/>
      <c r="C3" s="51"/>
      <c r="D3" s="4" t="s">
        <v>1</v>
      </c>
      <c r="E3" s="4" t="s">
        <v>2</v>
      </c>
      <c r="F3" s="4" t="s">
        <v>105</v>
      </c>
      <c r="G3" s="4" t="s">
        <v>3</v>
      </c>
    </row>
    <row r="4" spans="1:8" ht="15.75" x14ac:dyDescent="0.25">
      <c r="A4" s="60" t="s">
        <v>71</v>
      </c>
      <c r="B4" s="60"/>
      <c r="C4" s="65"/>
      <c r="D4" s="66"/>
      <c r="E4" s="66"/>
      <c r="F4" s="66"/>
      <c r="G4" s="66"/>
    </row>
    <row r="5" spans="1:8" s="34" customFormat="1" ht="15.75" x14ac:dyDescent="0.25">
      <c r="A5" s="89" t="s">
        <v>153</v>
      </c>
      <c r="B5" s="70"/>
      <c r="C5" s="70"/>
      <c r="D5" s="71">
        <f>SUM(D6:D10)</f>
        <v>-1197286232</v>
      </c>
      <c r="E5" s="71">
        <f t="shared" ref="E5" si="0">SUM(E6:E10)</f>
        <v>-1965259413.5251157</v>
      </c>
      <c r="F5" s="71">
        <f>SUM(F6:F10)</f>
        <v>-1608166241.6800001</v>
      </c>
      <c r="G5" s="71">
        <f>F5-E5</f>
        <v>357093171.84511566</v>
      </c>
      <c r="H5" s="17"/>
    </row>
    <row r="6" spans="1:8" ht="15.75" x14ac:dyDescent="0.25">
      <c r="A6" s="89"/>
      <c r="B6" s="90" t="s">
        <v>111</v>
      </c>
      <c r="C6" s="90"/>
      <c r="D6" s="69">
        <f>D18</f>
        <v>-864306072</v>
      </c>
      <c r="E6" s="69">
        <f>E18</f>
        <v>-987309354.82511568</v>
      </c>
      <c r="F6" s="69">
        <f>F18</f>
        <v>-942569832.73000002</v>
      </c>
      <c r="G6" s="69">
        <f>F6-E6</f>
        <v>44739522.095115662</v>
      </c>
    </row>
    <row r="7" spans="1:8" ht="15.75" x14ac:dyDescent="0.25">
      <c r="A7" s="89"/>
      <c r="B7" s="90" t="s">
        <v>112</v>
      </c>
      <c r="C7" s="90"/>
      <c r="D7" s="69">
        <f>D537</f>
        <v>-80569632</v>
      </c>
      <c r="E7" s="69">
        <f>SUM(E19)+E537</f>
        <v>-80569632</v>
      </c>
      <c r="F7" s="69">
        <f>SUM(F19)+F537</f>
        <v>-160966698.84</v>
      </c>
      <c r="G7" s="69">
        <f t="shared" ref="G7:G16" si="1">F7-E7</f>
        <v>-80397066.840000004</v>
      </c>
    </row>
    <row r="8" spans="1:8" ht="15.75" x14ac:dyDescent="0.25">
      <c r="A8" s="89"/>
      <c r="B8" s="90" t="s">
        <v>113</v>
      </c>
      <c r="C8" s="90"/>
      <c r="D8" s="69">
        <f>D20</f>
        <v>-106997294</v>
      </c>
      <c r="E8" s="69">
        <f>E20+E538</f>
        <v>-768669543.70999992</v>
      </c>
      <c r="F8" s="69">
        <f>F20+F538</f>
        <v>-383873236.12000006</v>
      </c>
      <c r="G8" s="69">
        <f t="shared" si="1"/>
        <v>384796307.58999985</v>
      </c>
    </row>
    <row r="9" spans="1:8" ht="15.75" x14ac:dyDescent="0.25">
      <c r="A9" s="89"/>
      <c r="B9" s="90" t="s">
        <v>114</v>
      </c>
      <c r="C9" s="90"/>
      <c r="D9" s="69">
        <f>D21+D539</f>
        <v>-20395000</v>
      </c>
      <c r="E9" s="69">
        <f>E21+E539</f>
        <v>-3692647.99</v>
      </c>
      <c r="F9" s="69">
        <f>F21+F539</f>
        <v>-3271865.99</v>
      </c>
      <c r="G9" s="69">
        <f t="shared" si="1"/>
        <v>420782</v>
      </c>
    </row>
    <row r="10" spans="1:8" ht="15.75" x14ac:dyDescent="0.25">
      <c r="A10" s="89"/>
      <c r="B10" s="90" t="s">
        <v>115</v>
      </c>
      <c r="C10" s="90"/>
      <c r="D10" s="69">
        <f>D22</f>
        <v>-125018234</v>
      </c>
      <c r="E10" s="69">
        <f t="shared" ref="E10" si="2">E22</f>
        <v>-125018235</v>
      </c>
      <c r="F10" s="69">
        <f>F22</f>
        <v>-117484608</v>
      </c>
      <c r="G10" s="69">
        <f t="shared" si="1"/>
        <v>7533627</v>
      </c>
    </row>
    <row r="11" spans="1:8" ht="15.75" x14ac:dyDescent="0.25">
      <c r="A11" s="89" t="s">
        <v>22</v>
      </c>
      <c r="B11" s="90"/>
      <c r="C11" s="90"/>
      <c r="D11" s="71">
        <f>SUM(D17)</f>
        <v>-1113051373</v>
      </c>
      <c r="E11" s="71">
        <f t="shared" ref="E11:F14" si="3">SUM(E17)</f>
        <v>-1884139490.3651156</v>
      </c>
      <c r="F11" s="71">
        <f t="shared" si="3"/>
        <v>-1445899735.6800001</v>
      </c>
      <c r="G11" s="71">
        <f t="shared" si="1"/>
        <v>438239754.68511558</v>
      </c>
    </row>
    <row r="12" spans="1:8" ht="15.75" x14ac:dyDescent="0.25">
      <c r="A12" s="89"/>
      <c r="B12" s="3" t="s">
        <v>111</v>
      </c>
      <c r="C12" s="90"/>
      <c r="D12" s="69">
        <f>SUM(D18)</f>
        <v>-864306072</v>
      </c>
      <c r="E12" s="69">
        <f t="shared" si="3"/>
        <v>-987309354.82511568</v>
      </c>
      <c r="F12" s="69">
        <f t="shared" si="3"/>
        <v>-942569832.73000002</v>
      </c>
      <c r="G12" s="69">
        <f t="shared" si="1"/>
        <v>44739522.095115662</v>
      </c>
    </row>
    <row r="13" spans="1:8" ht="15.75" x14ac:dyDescent="0.25">
      <c r="A13" s="89"/>
      <c r="B13" s="3" t="s">
        <v>112</v>
      </c>
      <c r="C13" s="90"/>
      <c r="D13" s="69">
        <f>SUM(D19)</f>
        <v>0</v>
      </c>
      <c r="E13" s="69">
        <f t="shared" si="3"/>
        <v>0</v>
      </c>
      <c r="F13" s="69">
        <f t="shared" si="3"/>
        <v>749516</v>
      </c>
      <c r="G13" s="69">
        <f t="shared" si="1"/>
        <v>749516</v>
      </c>
    </row>
    <row r="14" spans="1:8" ht="15.75" x14ac:dyDescent="0.25">
      <c r="A14" s="89"/>
      <c r="B14" s="3" t="s">
        <v>113</v>
      </c>
      <c r="C14" s="90"/>
      <c r="D14" s="69">
        <f>SUM(D20)</f>
        <v>-106997294</v>
      </c>
      <c r="E14" s="69">
        <f t="shared" si="3"/>
        <v>-768643973.53999996</v>
      </c>
      <c r="F14" s="69">
        <f t="shared" si="3"/>
        <v>-383847665.95000005</v>
      </c>
      <c r="G14" s="69">
        <f t="shared" si="1"/>
        <v>384796307.58999991</v>
      </c>
    </row>
    <row r="15" spans="1:8" ht="15.75" x14ac:dyDescent="0.25">
      <c r="A15" s="89"/>
      <c r="B15" s="3" t="s">
        <v>114</v>
      </c>
      <c r="C15" s="90"/>
      <c r="D15" s="117">
        <f>D21</f>
        <v>-16729773</v>
      </c>
      <c r="E15" s="117">
        <f t="shared" ref="E15:F15" si="4">E21</f>
        <v>-3167927</v>
      </c>
      <c r="F15" s="117">
        <f t="shared" si="4"/>
        <v>-2747145</v>
      </c>
      <c r="G15" s="69">
        <f t="shared" si="1"/>
        <v>420782</v>
      </c>
    </row>
    <row r="16" spans="1:8" ht="15.75" x14ac:dyDescent="0.25">
      <c r="A16" s="89"/>
      <c r="B16" s="3" t="s">
        <v>116</v>
      </c>
      <c r="C16" s="90"/>
      <c r="D16" s="117">
        <f>D22</f>
        <v>-125018234</v>
      </c>
      <c r="E16" s="117">
        <f t="shared" ref="E16:F16" si="5">E22</f>
        <v>-125018235</v>
      </c>
      <c r="F16" s="117">
        <f t="shared" si="5"/>
        <v>-117484608</v>
      </c>
      <c r="G16" s="69">
        <f t="shared" si="1"/>
        <v>7533627</v>
      </c>
    </row>
    <row r="17" spans="1:8" s="34" customFormat="1" x14ac:dyDescent="0.25">
      <c r="A17" s="116" t="s">
        <v>154</v>
      </c>
      <c r="B17" s="70"/>
      <c r="C17" s="70"/>
      <c r="D17" s="71">
        <f>SUM(D18:D22)</f>
        <v>-1113051373</v>
      </c>
      <c r="E17" s="71">
        <f t="shared" ref="E17" si="6">SUM(E18:E22)</f>
        <v>-1884139490.3651156</v>
      </c>
      <c r="F17" s="71">
        <f>SUM(F18:F22)</f>
        <v>-1445899735.6800001</v>
      </c>
      <c r="G17" s="71">
        <f>F17-E17</f>
        <v>438239754.68511558</v>
      </c>
      <c r="H17" s="17"/>
    </row>
    <row r="18" spans="1:8" ht="15.75" x14ac:dyDescent="0.25">
      <c r="A18" s="91"/>
      <c r="B18" s="90" t="s">
        <v>111</v>
      </c>
      <c r="C18" s="90"/>
      <c r="D18" s="69">
        <f>D24+D43+D81+D116+D147+D217+D271+D303+D364+D376+D438+D500</f>
        <v>-864306072</v>
      </c>
      <c r="E18" s="69">
        <f>E24+E43+E81+E116+E147+E217+E271+E303+E364+E376+E438+E500</f>
        <v>-987309354.82511568</v>
      </c>
      <c r="F18" s="69">
        <f>F24+F43+F81+F116+F147+F217+F271+F303+F364+F376+F438+F500</f>
        <v>-942569832.73000002</v>
      </c>
      <c r="G18" s="69">
        <f>F18-E18</f>
        <v>44739522.095115662</v>
      </c>
    </row>
    <row r="19" spans="1:8" ht="15.75" x14ac:dyDescent="0.25">
      <c r="A19" s="89"/>
      <c r="B19" s="90" t="s">
        <v>112</v>
      </c>
      <c r="C19" s="90"/>
      <c r="D19" s="69">
        <f>SUM(D25+D148+D218+D304+D439+D501)</f>
        <v>0</v>
      </c>
      <c r="E19" s="69">
        <f>SUM(E25+E148+E218+E304+E439+E501)</f>
        <v>0</v>
      </c>
      <c r="F19" s="69">
        <f>SUM(F25+F148+F218+F304+F439+F501)</f>
        <v>749516</v>
      </c>
      <c r="G19" s="69">
        <f t="shared" ref="G19:G21" si="7">F19-E19</f>
        <v>749516</v>
      </c>
    </row>
    <row r="20" spans="1:8" x14ac:dyDescent="0.25">
      <c r="A20" s="90"/>
      <c r="B20" s="90" t="s">
        <v>113</v>
      </c>
      <c r="C20" s="90"/>
      <c r="D20" s="69">
        <f>D26+D149+D272+D440+D377</f>
        <v>-106997294</v>
      </c>
      <c r="E20" s="69">
        <f>E26+E149+E272+E440+E377+E44+E82+E117+E219+E305+E502</f>
        <v>-768643973.53999996</v>
      </c>
      <c r="F20" s="69">
        <f>F26+F149+F272+F440+F377+F44+F82+F117+F219+F305+F502</f>
        <v>-383847665.95000005</v>
      </c>
      <c r="G20" s="69">
        <f t="shared" si="7"/>
        <v>384796307.58999991</v>
      </c>
    </row>
    <row r="21" spans="1:8" x14ac:dyDescent="0.25">
      <c r="A21" s="90"/>
      <c r="B21" s="90" t="s">
        <v>114</v>
      </c>
      <c r="C21" s="90"/>
      <c r="D21" s="69">
        <f>SUM(D27+D45+D118+D150+D220+D273+D306+D378+D441+D503)</f>
        <v>-16729773</v>
      </c>
      <c r="E21" s="69">
        <f>SUM(E27+E45+E118+E150+E220+E273+E306+E378+E441+E503)</f>
        <v>-3167927</v>
      </c>
      <c r="F21" s="69">
        <f>SUM(F27+F45+F118+F150+F220+F273+F306+F378+F441+F503)</f>
        <v>-2747145</v>
      </c>
      <c r="G21" s="69">
        <f t="shared" si="7"/>
        <v>420782</v>
      </c>
    </row>
    <row r="22" spans="1:8" x14ac:dyDescent="0.25">
      <c r="A22" s="90"/>
      <c r="B22" s="90" t="s">
        <v>115</v>
      </c>
      <c r="C22" s="90"/>
      <c r="D22" s="69">
        <f>D46+D83+D119+D151+D221+D274+D307+D365+D379+D442+D504</f>
        <v>-125018234</v>
      </c>
      <c r="E22" s="69">
        <f>E46+E83+E119+E151+E221+E274+E307+E365+E379+E442+E504</f>
        <v>-125018235</v>
      </c>
      <c r="F22" s="69">
        <f>F46+F83+F119+F151+F221+F274+F307+F365+F379+F442+F504</f>
        <v>-117484608</v>
      </c>
      <c r="G22" s="69">
        <f>F22-E22</f>
        <v>7533627</v>
      </c>
    </row>
    <row r="23" spans="1:8" s="34" customFormat="1" ht="15.75" x14ac:dyDescent="0.25">
      <c r="A23" s="92" t="s">
        <v>152</v>
      </c>
      <c r="B23" s="70"/>
      <c r="C23" s="70"/>
      <c r="D23" s="71">
        <f>SUM(D24:D27)</f>
        <v>-228810070</v>
      </c>
      <c r="E23" s="71">
        <f>SUM(E24:E27)</f>
        <v>-317370007</v>
      </c>
      <c r="F23" s="71">
        <f>SUM(F24:F27)</f>
        <v>-281362923</v>
      </c>
      <c r="G23" s="71">
        <f t="shared" ref="G23:G27" si="8">F23-E23</f>
        <v>36007084</v>
      </c>
      <c r="H23" s="37" t="s">
        <v>119</v>
      </c>
    </row>
    <row r="24" spans="1:8" x14ac:dyDescent="0.25">
      <c r="A24" s="90"/>
      <c r="B24" s="90" t="s">
        <v>111</v>
      </c>
      <c r="C24" s="90"/>
      <c r="D24" s="69">
        <f>D32</f>
        <v>-107629046</v>
      </c>
      <c r="E24" s="69">
        <f>E32</f>
        <v>-155268340</v>
      </c>
      <c r="F24" s="69">
        <f t="shared" ref="F24" si="9">F32</f>
        <v>-155268340</v>
      </c>
      <c r="G24" s="69">
        <f t="shared" si="8"/>
        <v>0</v>
      </c>
    </row>
    <row r="25" spans="1:8" x14ac:dyDescent="0.25">
      <c r="A25" s="90"/>
      <c r="B25" s="90" t="s">
        <v>112</v>
      </c>
      <c r="C25" s="90"/>
      <c r="D25" s="69">
        <f>SUM(D35)</f>
        <v>0</v>
      </c>
      <c r="E25" s="69">
        <f t="shared" ref="E25:F25" si="10">SUM(E35)</f>
        <v>0</v>
      </c>
      <c r="F25" s="69">
        <f t="shared" si="10"/>
        <v>169193</v>
      </c>
      <c r="G25" s="69">
        <f t="shared" si="8"/>
        <v>169193</v>
      </c>
    </row>
    <row r="26" spans="1:8" x14ac:dyDescent="0.25">
      <c r="A26" s="90"/>
      <c r="B26" s="90" t="s">
        <v>113</v>
      </c>
      <c r="C26" s="90"/>
      <c r="D26" s="69">
        <f>D37</f>
        <v>-104543679</v>
      </c>
      <c r="E26" s="69">
        <f t="shared" ref="E26:F26" si="11">E37</f>
        <v>-162101667</v>
      </c>
      <c r="F26" s="69">
        <f t="shared" si="11"/>
        <v>-126263776</v>
      </c>
      <c r="G26" s="69">
        <f t="shared" si="8"/>
        <v>35837891</v>
      </c>
    </row>
    <row r="27" spans="1:8" x14ac:dyDescent="0.25">
      <c r="A27" s="90"/>
      <c r="B27" s="90" t="s">
        <v>114</v>
      </c>
      <c r="C27" s="90"/>
      <c r="D27" s="69">
        <f>D40</f>
        <v>-16637345</v>
      </c>
      <c r="E27" s="69">
        <f>E40</f>
        <v>0</v>
      </c>
      <c r="F27" s="69">
        <f t="shared" ref="F27" si="12">F40</f>
        <v>0</v>
      </c>
      <c r="G27" s="69">
        <f t="shared" si="8"/>
        <v>0</v>
      </c>
    </row>
    <row r="28" spans="1:8" x14ac:dyDescent="0.25">
      <c r="A28" s="70"/>
      <c r="B28" s="70" t="s">
        <v>120</v>
      </c>
      <c r="C28" s="70"/>
      <c r="D28" s="71">
        <f>SUM(D29:D31)</f>
        <v>-228810070</v>
      </c>
      <c r="E28" s="71">
        <f>SUM(E29:E31)</f>
        <v>-317370007</v>
      </c>
      <c r="F28" s="71">
        <f>SUM(F29:F31)</f>
        <v>-281362923</v>
      </c>
      <c r="G28" s="71">
        <f>F28-E28</f>
        <v>36007084</v>
      </c>
    </row>
    <row r="29" spans="1:8" x14ac:dyDescent="0.25">
      <c r="A29" s="90"/>
      <c r="B29" s="90"/>
      <c r="C29" s="90" t="s">
        <v>146</v>
      </c>
      <c r="D29" s="69">
        <v>0</v>
      </c>
      <c r="E29" s="69">
        <f>SUM(E38)</f>
        <v>-162101667</v>
      </c>
      <c r="F29" s="69">
        <f>SUM(F38)</f>
        <v>0</v>
      </c>
      <c r="G29" s="69">
        <f t="shared" ref="G29:G34" si="13">F29-E29</f>
        <v>162101667</v>
      </c>
    </row>
    <row r="30" spans="1:8" x14ac:dyDescent="0.25">
      <c r="A30" s="90"/>
      <c r="B30" s="90"/>
      <c r="C30" s="90" t="s">
        <v>61</v>
      </c>
      <c r="D30" s="69">
        <f>D33+D39+D41</f>
        <v>-228810070</v>
      </c>
      <c r="E30" s="69">
        <f>E33+E39+E41</f>
        <v>-155136407</v>
      </c>
      <c r="F30" s="69">
        <f>F33+F39+F41</f>
        <v>-281400183</v>
      </c>
      <c r="G30" s="69">
        <f t="shared" si="13"/>
        <v>-126263776</v>
      </c>
    </row>
    <row r="31" spans="1:8" x14ac:dyDescent="0.25">
      <c r="A31" s="90"/>
      <c r="B31" s="90"/>
      <c r="C31" s="90" t="s">
        <v>62</v>
      </c>
      <c r="D31" s="69">
        <f>SUM(D34+D36)</f>
        <v>0</v>
      </c>
      <c r="E31" s="69">
        <f>SUM(E34+E36)</f>
        <v>-131933</v>
      </c>
      <c r="F31" s="69">
        <f>SUM(F34+F36)</f>
        <v>37260</v>
      </c>
      <c r="G31" s="69">
        <f t="shared" si="13"/>
        <v>169193</v>
      </c>
    </row>
    <row r="32" spans="1:8" x14ac:dyDescent="0.25">
      <c r="A32" s="70"/>
      <c r="B32" s="70"/>
      <c r="C32" s="70" t="s">
        <v>111</v>
      </c>
      <c r="D32" s="71">
        <f t="shared" ref="D32:E32" si="14">SUM(D33:D34)</f>
        <v>-107629046</v>
      </c>
      <c r="E32" s="71">
        <f t="shared" si="14"/>
        <v>-155268340</v>
      </c>
      <c r="F32" s="71">
        <f>SUM(F33:F34)</f>
        <v>-155268340</v>
      </c>
      <c r="G32" s="69">
        <f t="shared" si="13"/>
        <v>0</v>
      </c>
    </row>
    <row r="33" spans="1:8" x14ac:dyDescent="0.25">
      <c r="A33" s="90"/>
      <c r="B33" s="90"/>
      <c r="C33" s="90" t="s">
        <v>61</v>
      </c>
      <c r="D33" s="69">
        <v>-107629046</v>
      </c>
      <c r="E33" s="69">
        <v>-155136407</v>
      </c>
      <c r="F33" s="69">
        <v>-155136407</v>
      </c>
      <c r="G33" s="69">
        <f t="shared" si="13"/>
        <v>0</v>
      </c>
    </row>
    <row r="34" spans="1:8" x14ac:dyDescent="0.25">
      <c r="A34" s="90"/>
      <c r="B34" s="90"/>
      <c r="C34" s="90" t="s">
        <v>62</v>
      </c>
      <c r="D34" s="69">
        <v>0</v>
      </c>
      <c r="E34" s="69">
        <v>-131933</v>
      </c>
      <c r="F34" s="69">
        <v>-131933</v>
      </c>
      <c r="G34" s="69">
        <f t="shared" si="13"/>
        <v>0</v>
      </c>
    </row>
    <row r="35" spans="1:8" ht="15.75" customHeight="1" x14ac:dyDescent="0.25">
      <c r="A35" s="90"/>
      <c r="B35" s="90"/>
      <c r="C35" s="70" t="s">
        <v>112</v>
      </c>
      <c r="D35" s="71">
        <f>SUM(D36)</f>
        <v>0</v>
      </c>
      <c r="E35" s="71">
        <f t="shared" ref="E35" si="15">SUM(E36)</f>
        <v>0</v>
      </c>
      <c r="F35" s="71">
        <f t="shared" ref="F35" si="16">SUM(F36)</f>
        <v>169193</v>
      </c>
      <c r="G35" s="71">
        <f t="shared" ref="G35:G36" si="17">F35-E35</f>
        <v>169193</v>
      </c>
    </row>
    <row r="36" spans="1:8" s="34" customFormat="1" ht="15.75" customHeight="1" x14ac:dyDescent="0.25">
      <c r="A36" s="90"/>
      <c r="B36" s="90"/>
      <c r="C36" s="90" t="s">
        <v>62</v>
      </c>
      <c r="D36" s="69">
        <v>0</v>
      </c>
      <c r="E36" s="93">
        <v>0</v>
      </c>
      <c r="F36" s="93">
        <v>169193</v>
      </c>
      <c r="G36" s="69">
        <f t="shared" si="17"/>
        <v>169193</v>
      </c>
      <c r="H36" s="17"/>
    </row>
    <row r="37" spans="1:8" ht="20.25" customHeight="1" x14ac:dyDescent="0.25">
      <c r="A37" s="70"/>
      <c r="B37" s="70"/>
      <c r="C37" s="70" t="s">
        <v>113</v>
      </c>
      <c r="D37" s="71">
        <f>SUM(D38:D39)</f>
        <v>-104543679</v>
      </c>
      <c r="E37" s="71">
        <f>SUM(E38:E39)</f>
        <v>-162101667</v>
      </c>
      <c r="F37" s="71">
        <f>SUM(F38:F39)</f>
        <v>-126263776</v>
      </c>
      <c r="G37" s="71">
        <f>F37-E37</f>
        <v>35837891</v>
      </c>
    </row>
    <row r="38" spans="1:8" x14ac:dyDescent="0.25">
      <c r="A38" s="90"/>
      <c r="B38" s="90"/>
      <c r="C38" s="90" t="s">
        <v>146</v>
      </c>
      <c r="D38" s="69">
        <v>0</v>
      </c>
      <c r="E38" s="69">
        <v>-162101667</v>
      </c>
      <c r="F38" s="69">
        <v>0</v>
      </c>
      <c r="G38" s="69">
        <f>F38-E38</f>
        <v>162101667</v>
      </c>
    </row>
    <row r="39" spans="1:8" x14ac:dyDescent="0.25">
      <c r="A39" s="70"/>
      <c r="B39" s="70"/>
      <c r="C39" s="90" t="s">
        <v>61</v>
      </c>
      <c r="D39" s="69">
        <v>-104543679</v>
      </c>
      <c r="E39" s="69">
        <v>0</v>
      </c>
      <c r="F39" s="69">
        <v>-126263776</v>
      </c>
      <c r="G39" s="69">
        <f>F39-E39</f>
        <v>-126263776</v>
      </c>
    </row>
    <row r="40" spans="1:8" s="34" customFormat="1" ht="21.75" customHeight="1" x14ac:dyDescent="0.25">
      <c r="A40" s="70"/>
      <c r="B40" s="70"/>
      <c r="C40" s="70" t="s">
        <v>114</v>
      </c>
      <c r="D40" s="71">
        <f>SUM(D41:D41)</f>
        <v>-16637345</v>
      </c>
      <c r="E40" s="71">
        <f>SUM(E41:E41)</f>
        <v>0</v>
      </c>
      <c r="F40" s="71">
        <f>SUM(F41:F41)</f>
        <v>0</v>
      </c>
      <c r="G40" s="71">
        <f t="shared" ref="G40:G41" si="18">F40-E40</f>
        <v>0</v>
      </c>
      <c r="H40" s="17"/>
    </row>
    <row r="41" spans="1:8" x14ac:dyDescent="0.25">
      <c r="A41" s="90"/>
      <c r="B41" s="90"/>
      <c r="C41" s="90" t="s">
        <v>61</v>
      </c>
      <c r="D41" s="69">
        <v>-16637345</v>
      </c>
      <c r="E41" s="69">
        <v>0</v>
      </c>
      <c r="F41" s="69">
        <v>0</v>
      </c>
      <c r="G41" s="69">
        <f t="shared" si="18"/>
        <v>0</v>
      </c>
    </row>
    <row r="42" spans="1:8" ht="15.75" x14ac:dyDescent="0.25">
      <c r="A42" s="94" t="s">
        <v>123</v>
      </c>
      <c r="B42" s="95"/>
      <c r="C42" s="95"/>
      <c r="D42" s="96">
        <f>SUM(D43:D46)</f>
        <v>-112313569</v>
      </c>
      <c r="E42" s="96">
        <f>SUM(E43:E46)</f>
        <v>-132198311</v>
      </c>
      <c r="F42" s="96">
        <f>SUM(F43:F46)</f>
        <v>-125233402.08</v>
      </c>
      <c r="G42" s="71">
        <f>F42-E42</f>
        <v>6964908.9200000018</v>
      </c>
      <c r="H42" s="37" t="s">
        <v>80</v>
      </c>
    </row>
    <row r="43" spans="1:8" x14ac:dyDescent="0.25">
      <c r="A43" s="90"/>
      <c r="B43" s="90" t="s">
        <v>111</v>
      </c>
      <c r="C43" s="90"/>
      <c r="D43" s="69">
        <f>D50+D55+D62+D74</f>
        <v>-78384475</v>
      </c>
      <c r="E43" s="69">
        <f t="shared" ref="E43:F43" si="19">E50+E55+E62+E74</f>
        <v>-97741475</v>
      </c>
      <c r="F43" s="69">
        <f t="shared" si="19"/>
        <v>-96519935.079999998</v>
      </c>
      <c r="G43" s="69">
        <f>F43-E43</f>
        <v>1221539.9200000018</v>
      </c>
    </row>
    <row r="44" spans="1:8" x14ac:dyDescent="0.25">
      <c r="A44" s="90"/>
      <c r="B44" s="90" t="s">
        <v>113</v>
      </c>
      <c r="C44" s="90"/>
      <c r="D44" s="69">
        <f>SUM(D77)</f>
        <v>0</v>
      </c>
      <c r="E44" s="69">
        <f t="shared" ref="E44:F44" si="20">SUM(E77)</f>
        <v>-527742</v>
      </c>
      <c r="F44" s="69">
        <f t="shared" si="20"/>
        <v>0</v>
      </c>
      <c r="G44" s="69">
        <f t="shared" ref="G44:G54" si="21">F44-E44</f>
        <v>527742</v>
      </c>
    </row>
    <row r="45" spans="1:8" x14ac:dyDescent="0.25">
      <c r="A45" s="90"/>
      <c r="B45" s="90" t="s">
        <v>114</v>
      </c>
      <c r="C45" s="90"/>
      <c r="D45" s="69">
        <f>SUM(D67)</f>
        <v>0</v>
      </c>
      <c r="E45" s="69">
        <f t="shared" ref="E45:F45" si="22">SUM(E67)</f>
        <v>0</v>
      </c>
      <c r="F45" s="69">
        <f t="shared" si="22"/>
        <v>-3091</v>
      </c>
      <c r="G45" s="69">
        <f t="shared" si="21"/>
        <v>-3091</v>
      </c>
    </row>
    <row r="46" spans="1:8" x14ac:dyDescent="0.25">
      <c r="A46" s="90"/>
      <c r="B46" s="90" t="s">
        <v>115</v>
      </c>
      <c r="C46" s="90"/>
      <c r="D46" s="69">
        <f>D69+D79</f>
        <v>-33929094</v>
      </c>
      <c r="E46" s="69">
        <f>E69+E79</f>
        <v>-33929094</v>
      </c>
      <c r="F46" s="69">
        <f t="shared" ref="F46" si="23">F69+F79</f>
        <v>-28710376</v>
      </c>
      <c r="G46" s="69">
        <f t="shared" si="21"/>
        <v>5218718</v>
      </c>
    </row>
    <row r="47" spans="1:8" x14ac:dyDescent="0.25">
      <c r="A47" s="70"/>
      <c r="B47" s="70" t="s">
        <v>37</v>
      </c>
      <c r="C47" s="70"/>
      <c r="D47" s="71">
        <f>SUM(D48:D49)</f>
        <v>-22333307</v>
      </c>
      <c r="E47" s="71">
        <f>SUM(E48:E49)</f>
        <v>-33077356</v>
      </c>
      <c r="F47" s="71">
        <f>SUM(F48:F49)</f>
        <v>-31988990</v>
      </c>
      <c r="G47" s="71">
        <f>F47-E47</f>
        <v>1088366</v>
      </c>
    </row>
    <row r="48" spans="1:8" x14ac:dyDescent="0.25">
      <c r="A48" s="90"/>
      <c r="B48" s="90"/>
      <c r="C48" s="90" t="s">
        <v>117</v>
      </c>
      <c r="D48" s="69">
        <f>D51</f>
        <v>-1728744</v>
      </c>
      <c r="E48" s="69">
        <f t="shared" ref="E48:F48" si="24">E51</f>
        <v>-2181823</v>
      </c>
      <c r="F48" s="69">
        <f t="shared" si="24"/>
        <v>-1093457</v>
      </c>
      <c r="G48" s="69">
        <f t="shared" si="21"/>
        <v>1088366</v>
      </c>
    </row>
    <row r="49" spans="1:7" x14ac:dyDescent="0.25">
      <c r="A49" s="90"/>
      <c r="B49" s="90"/>
      <c r="C49" s="90" t="s">
        <v>107</v>
      </c>
      <c r="D49" s="69">
        <f>D52</f>
        <v>-20604563</v>
      </c>
      <c r="E49" s="69">
        <f t="shared" ref="E49:F49" si="25">E52</f>
        <v>-30895533</v>
      </c>
      <c r="F49" s="69">
        <f t="shared" si="25"/>
        <v>-30895533</v>
      </c>
      <c r="G49" s="69">
        <f t="shared" si="21"/>
        <v>0</v>
      </c>
    </row>
    <row r="50" spans="1:7" x14ac:dyDescent="0.25">
      <c r="A50" s="70"/>
      <c r="B50" s="70"/>
      <c r="C50" s="70" t="s">
        <v>111</v>
      </c>
      <c r="D50" s="71">
        <f>SUM(D51:D52)</f>
        <v>-22333307</v>
      </c>
      <c r="E50" s="71">
        <f>SUM(E51:E52)</f>
        <v>-33077356</v>
      </c>
      <c r="F50" s="71">
        <f>SUM(F51:F52)</f>
        <v>-31988990</v>
      </c>
      <c r="G50" s="71">
        <f>F50-E50</f>
        <v>1088366</v>
      </c>
    </row>
    <row r="51" spans="1:7" x14ac:dyDescent="0.25">
      <c r="A51" s="90"/>
      <c r="B51" s="90"/>
      <c r="C51" s="90" t="s">
        <v>117</v>
      </c>
      <c r="D51" s="69">
        <v>-1728744</v>
      </c>
      <c r="E51" s="69">
        <v>-2181823</v>
      </c>
      <c r="F51" s="69">
        <v>-1093457</v>
      </c>
      <c r="G51" s="69">
        <f t="shared" si="21"/>
        <v>1088366</v>
      </c>
    </row>
    <row r="52" spans="1:7" x14ac:dyDescent="0.25">
      <c r="A52" s="90"/>
      <c r="B52" s="90"/>
      <c r="C52" s="90" t="s">
        <v>107</v>
      </c>
      <c r="D52" s="69">
        <f>-22333307+1728744</f>
        <v>-20604563</v>
      </c>
      <c r="E52" s="69">
        <v>-30895533</v>
      </c>
      <c r="F52" s="69">
        <v>-30895533</v>
      </c>
      <c r="G52" s="69">
        <f t="shared" si="21"/>
        <v>0</v>
      </c>
    </row>
    <row r="53" spans="1:7" ht="14.25" customHeight="1" x14ac:dyDescent="0.25">
      <c r="A53" s="70"/>
      <c r="B53" s="70" t="s">
        <v>121</v>
      </c>
      <c r="C53" s="70"/>
      <c r="D53" s="71">
        <f>SUM(D54:D54)</f>
        <v>-420830</v>
      </c>
      <c r="E53" s="71">
        <f>SUM(E54:E54)</f>
        <v>0</v>
      </c>
      <c r="F53" s="71">
        <f>SUM(F54:F54)</f>
        <v>0</v>
      </c>
      <c r="G53" s="71">
        <f>F53-E53</f>
        <v>0</v>
      </c>
    </row>
    <row r="54" spans="1:7" x14ac:dyDescent="0.25">
      <c r="A54" s="90"/>
      <c r="B54" s="90"/>
      <c r="C54" s="90" t="s">
        <v>61</v>
      </c>
      <c r="D54" s="69">
        <f>D56</f>
        <v>-420830</v>
      </c>
      <c r="E54" s="69">
        <f t="shared" ref="E54:F54" si="26">E56</f>
        <v>0</v>
      </c>
      <c r="F54" s="69">
        <f t="shared" si="26"/>
        <v>0</v>
      </c>
      <c r="G54" s="69">
        <f t="shared" si="21"/>
        <v>0</v>
      </c>
    </row>
    <row r="55" spans="1:7" x14ac:dyDescent="0.25">
      <c r="A55" s="70"/>
      <c r="B55" s="70"/>
      <c r="C55" s="70" t="s">
        <v>111</v>
      </c>
      <c r="D55" s="71">
        <f>SUM(D56:D56)</f>
        <v>-420830</v>
      </c>
      <c r="E55" s="71">
        <f>SUM(E56:E56)</f>
        <v>0</v>
      </c>
      <c r="F55" s="71">
        <f>SUM(F56:F56)</f>
        <v>0</v>
      </c>
      <c r="G55" s="71">
        <f>F55-E55</f>
        <v>0</v>
      </c>
    </row>
    <row r="56" spans="1:7" x14ac:dyDescent="0.25">
      <c r="A56" s="70"/>
      <c r="B56" s="70"/>
      <c r="C56" s="90" t="s">
        <v>61</v>
      </c>
      <c r="D56" s="69">
        <v>-420830</v>
      </c>
      <c r="E56" s="69">
        <v>0</v>
      </c>
      <c r="F56" s="71">
        <v>0</v>
      </c>
      <c r="G56" s="69">
        <f t="shared" ref="G56" si="27">F56-E56</f>
        <v>0</v>
      </c>
    </row>
    <row r="57" spans="1:7" ht="14.25" customHeight="1" x14ac:dyDescent="0.25">
      <c r="A57" s="70"/>
      <c r="B57" s="70" t="s">
        <v>122</v>
      </c>
      <c r="C57" s="70"/>
      <c r="D57" s="71">
        <f>SUM(D58:D61)</f>
        <v>-85620576</v>
      </c>
      <c r="E57" s="71">
        <f>SUM(E58:E61)</f>
        <v>-95382915</v>
      </c>
      <c r="F57" s="71">
        <f>SUM(F58:F61)</f>
        <v>-90288328.469999999</v>
      </c>
      <c r="G57" s="71">
        <f>F57-E57</f>
        <v>5094586.5300000012</v>
      </c>
    </row>
    <row r="58" spans="1:7" x14ac:dyDescent="0.25">
      <c r="A58" s="90"/>
      <c r="B58" s="90"/>
      <c r="C58" s="90" t="s">
        <v>60</v>
      </c>
      <c r="D58" s="69">
        <f>D63</f>
        <v>-45343816</v>
      </c>
      <c r="E58" s="69">
        <f t="shared" ref="E58" si="28">E63</f>
        <v>-53996875</v>
      </c>
      <c r="F58" s="69">
        <f>F63+F68</f>
        <v>-53988664</v>
      </c>
      <c r="G58" s="69">
        <f t="shared" ref="G58:G61" si="29">F58-E58</f>
        <v>8211</v>
      </c>
    </row>
    <row r="59" spans="1:7" x14ac:dyDescent="0.25">
      <c r="A59" s="90"/>
      <c r="B59" s="90"/>
      <c r="C59" s="90" t="s">
        <v>61</v>
      </c>
      <c r="D59" s="69">
        <f>D64</f>
        <v>-4929300</v>
      </c>
      <c r="E59" s="69">
        <f>E64</f>
        <v>-5769796</v>
      </c>
      <c r="F59" s="69">
        <f t="shared" ref="F59" si="30">F64</f>
        <v>-5983925.4699999997</v>
      </c>
      <c r="G59" s="69">
        <f t="shared" si="29"/>
        <v>-214129.46999999974</v>
      </c>
    </row>
    <row r="60" spans="1:7" x14ac:dyDescent="0.25">
      <c r="A60" s="90"/>
      <c r="B60" s="90"/>
      <c r="C60" s="90" t="s">
        <v>106</v>
      </c>
      <c r="D60" s="69">
        <f>D65</f>
        <v>-1469696</v>
      </c>
      <c r="E60" s="69">
        <f t="shared" ref="E60" si="31">E65</f>
        <v>-1724948</v>
      </c>
      <c r="F60" s="69">
        <f>F65</f>
        <v>-1722183</v>
      </c>
      <c r="G60" s="69">
        <f t="shared" si="29"/>
        <v>2765</v>
      </c>
    </row>
    <row r="61" spans="1:7" x14ac:dyDescent="0.25">
      <c r="A61" s="90"/>
      <c r="B61" s="90"/>
      <c r="C61" s="90" t="s">
        <v>108</v>
      </c>
      <c r="D61" s="69">
        <f>D69+D66</f>
        <v>-33877764</v>
      </c>
      <c r="E61" s="69">
        <f>E69+E66</f>
        <v>-33891296</v>
      </c>
      <c r="F61" s="69">
        <f>F69+F66</f>
        <v>-28593556</v>
      </c>
      <c r="G61" s="69">
        <f t="shared" si="29"/>
        <v>5297740</v>
      </c>
    </row>
    <row r="62" spans="1:7" x14ac:dyDescent="0.25">
      <c r="A62" s="70"/>
      <c r="B62" s="70"/>
      <c r="C62" s="70" t="s">
        <v>111</v>
      </c>
      <c r="D62" s="71">
        <f t="shared" ref="D62:E62" si="32">SUM(D63:D66)</f>
        <v>-51742812</v>
      </c>
      <c r="E62" s="71">
        <f t="shared" si="32"/>
        <v>-61505151</v>
      </c>
      <c r="F62" s="71">
        <f>SUM(F63:F66)</f>
        <v>-61698496.469999999</v>
      </c>
      <c r="G62" s="71">
        <f>F62-E62</f>
        <v>-193345.46999999881</v>
      </c>
    </row>
    <row r="63" spans="1:7" x14ac:dyDescent="0.25">
      <c r="A63" s="90"/>
      <c r="B63" s="90"/>
      <c r="C63" s="90" t="s">
        <v>60</v>
      </c>
      <c r="D63" s="69">
        <v>-45343816</v>
      </c>
      <c r="E63" s="69">
        <v>-53996875</v>
      </c>
      <c r="F63" s="69">
        <v>-53985573</v>
      </c>
      <c r="G63" s="69">
        <f t="shared" ref="G63:G66" si="33">F63-E63</f>
        <v>11302</v>
      </c>
    </row>
    <row r="64" spans="1:7" x14ac:dyDescent="0.25">
      <c r="A64" s="70"/>
      <c r="B64" s="70"/>
      <c r="C64" s="90" t="s">
        <v>61</v>
      </c>
      <c r="D64" s="69">
        <v>-4929300</v>
      </c>
      <c r="E64" s="69">
        <v>-5769796</v>
      </c>
      <c r="F64" s="69">
        <v>-5983925.4699999997</v>
      </c>
      <c r="G64" s="69">
        <f t="shared" si="33"/>
        <v>-214129.46999999974</v>
      </c>
    </row>
    <row r="65" spans="1:8" x14ac:dyDescent="0.25">
      <c r="A65" s="70"/>
      <c r="B65" s="70"/>
      <c r="C65" s="90" t="s">
        <v>106</v>
      </c>
      <c r="D65" s="69">
        <v>-1469696</v>
      </c>
      <c r="E65" s="69">
        <v>-1724948</v>
      </c>
      <c r="F65" s="69">
        <v>-1722183</v>
      </c>
      <c r="G65" s="69">
        <f t="shared" si="33"/>
        <v>2765</v>
      </c>
    </row>
    <row r="66" spans="1:8" x14ac:dyDescent="0.25">
      <c r="A66" s="70"/>
      <c r="B66" s="70"/>
      <c r="C66" s="90" t="s">
        <v>62</v>
      </c>
      <c r="D66" s="69">
        <v>0</v>
      </c>
      <c r="E66" s="69">
        <v>-13532</v>
      </c>
      <c r="F66" s="69">
        <v>-6815</v>
      </c>
      <c r="G66" s="69">
        <f t="shared" si="33"/>
        <v>6717</v>
      </c>
    </row>
    <row r="67" spans="1:8" s="34" customFormat="1" ht="15" customHeight="1" x14ac:dyDescent="0.25">
      <c r="A67" s="70"/>
      <c r="B67" s="70"/>
      <c r="C67" s="70" t="s">
        <v>114</v>
      </c>
      <c r="D67" s="71">
        <f>SUM(D68)</f>
        <v>0</v>
      </c>
      <c r="E67" s="71">
        <f t="shared" ref="E67" si="34">SUM(E68)</f>
        <v>0</v>
      </c>
      <c r="F67" s="71">
        <f>SUM(F68)</f>
        <v>-3091</v>
      </c>
      <c r="G67" s="71">
        <f t="shared" ref="G67:G68" si="35">F67-E67</f>
        <v>-3091</v>
      </c>
      <c r="H67" s="17"/>
    </row>
    <row r="68" spans="1:8" x14ac:dyDescent="0.25">
      <c r="A68" s="90"/>
      <c r="B68" s="90"/>
      <c r="C68" s="90" t="s">
        <v>60</v>
      </c>
      <c r="D68" s="69">
        <v>0</v>
      </c>
      <c r="E68" s="69">
        <v>0</v>
      </c>
      <c r="F68" s="69">
        <f>-3091</f>
        <v>-3091</v>
      </c>
      <c r="G68" s="69">
        <f t="shared" si="35"/>
        <v>-3091</v>
      </c>
    </row>
    <row r="69" spans="1:8" s="34" customFormat="1" ht="15" customHeight="1" x14ac:dyDescent="0.25">
      <c r="A69" s="70"/>
      <c r="B69" s="70"/>
      <c r="C69" s="70" t="s">
        <v>116</v>
      </c>
      <c r="D69" s="71">
        <v>-33877764</v>
      </c>
      <c r="E69" s="71">
        <f t="shared" ref="E69" si="36">D69</f>
        <v>-33877764</v>
      </c>
      <c r="F69" s="71">
        <v>-28586741</v>
      </c>
      <c r="G69" s="71">
        <f t="shared" ref="G69" si="37">F69-E69</f>
        <v>5291023</v>
      </c>
      <c r="H69" s="17"/>
    </row>
    <row r="70" spans="1:8" ht="21.75" customHeight="1" x14ac:dyDescent="0.25">
      <c r="A70" s="70"/>
      <c r="B70" s="70" t="s">
        <v>120</v>
      </c>
      <c r="C70" s="70"/>
      <c r="D70" s="71">
        <f>SUM(D71:D73)</f>
        <v>-3938856</v>
      </c>
      <c r="E70" s="71">
        <f>SUM(E71:E73)</f>
        <v>-3738040</v>
      </c>
      <c r="F70" s="71">
        <f>SUM(F71:F73)</f>
        <v>-2956083.61</v>
      </c>
      <c r="G70" s="71">
        <f>F70-E70</f>
        <v>781956.39000000013</v>
      </c>
    </row>
    <row r="71" spans="1:8" x14ac:dyDescent="0.25">
      <c r="A71" s="90"/>
      <c r="B71" s="90"/>
      <c r="C71" s="90" t="s">
        <v>61</v>
      </c>
      <c r="D71" s="69">
        <f>D75</f>
        <v>-3887526</v>
      </c>
      <c r="E71" s="69">
        <f t="shared" ref="E71:F71" si="38">E75</f>
        <v>-3158718</v>
      </c>
      <c r="F71" s="69">
        <f t="shared" si="38"/>
        <v>-2832198.61</v>
      </c>
      <c r="G71" s="69">
        <f t="shared" ref="G71:G73" si="39">F71-E71</f>
        <v>326519.39000000013</v>
      </c>
    </row>
    <row r="72" spans="1:8" x14ac:dyDescent="0.25">
      <c r="A72" s="90"/>
      <c r="B72" s="90"/>
      <c r="C72" s="90" t="s">
        <v>146</v>
      </c>
      <c r="D72" s="69">
        <f>SUM(D78)</f>
        <v>0</v>
      </c>
      <c r="E72" s="69">
        <f>SUM(E78)</f>
        <v>-527742</v>
      </c>
      <c r="F72" s="69">
        <f>SUM(F78)</f>
        <v>0</v>
      </c>
      <c r="G72" s="69">
        <f t="shared" si="39"/>
        <v>527742</v>
      </c>
    </row>
    <row r="73" spans="1:8" x14ac:dyDescent="0.25">
      <c r="A73" s="90"/>
      <c r="B73" s="90"/>
      <c r="C73" s="90" t="s">
        <v>108</v>
      </c>
      <c r="D73" s="69">
        <f>D79+D76</f>
        <v>-51330</v>
      </c>
      <c r="E73" s="69">
        <f>E79+E76</f>
        <v>-51580</v>
      </c>
      <c r="F73" s="69">
        <f>F79+F76</f>
        <v>-123885</v>
      </c>
      <c r="G73" s="69">
        <f t="shared" si="39"/>
        <v>-72305</v>
      </c>
    </row>
    <row r="74" spans="1:8" x14ac:dyDescent="0.25">
      <c r="A74" s="70"/>
      <c r="B74" s="70"/>
      <c r="C74" s="70" t="s">
        <v>111</v>
      </c>
      <c r="D74" s="71">
        <f t="shared" ref="D74:E74" si="40">SUM(D75:D76)</f>
        <v>-3887526</v>
      </c>
      <c r="E74" s="71">
        <f t="shared" si="40"/>
        <v>-3158968</v>
      </c>
      <c r="F74" s="71">
        <f>SUM(F75:F76)</f>
        <v>-2832448.61</v>
      </c>
      <c r="G74" s="71">
        <f>F74-E74</f>
        <v>326519.39000000013</v>
      </c>
    </row>
    <row r="75" spans="1:8" x14ac:dyDescent="0.25">
      <c r="A75" s="70"/>
      <c r="B75" s="70"/>
      <c r="C75" s="90" t="s">
        <v>61</v>
      </c>
      <c r="D75" s="69">
        <v>-3887526</v>
      </c>
      <c r="E75" s="69">
        <v>-3158718</v>
      </c>
      <c r="F75" s="69">
        <v>-2832198.61</v>
      </c>
      <c r="G75" s="69">
        <f t="shared" ref="G75:G76" si="41">F75-E75</f>
        <v>326519.39000000013</v>
      </c>
    </row>
    <row r="76" spans="1:8" x14ac:dyDescent="0.25">
      <c r="A76" s="70"/>
      <c r="B76" s="70"/>
      <c r="C76" s="90" t="s">
        <v>62</v>
      </c>
      <c r="D76" s="69">
        <v>0</v>
      </c>
      <c r="E76" s="69">
        <v>-250</v>
      </c>
      <c r="F76" s="69">
        <v>-250</v>
      </c>
      <c r="G76" s="69">
        <f t="shared" si="41"/>
        <v>0</v>
      </c>
    </row>
    <row r="77" spans="1:8" ht="12.75" customHeight="1" x14ac:dyDescent="0.25">
      <c r="A77" s="70"/>
      <c r="B77" s="70"/>
      <c r="C77" s="70" t="s">
        <v>113</v>
      </c>
      <c r="D77" s="71">
        <f>SUM(D78:D78)</f>
        <v>0</v>
      </c>
      <c r="E77" s="71">
        <f t="shared" ref="E77:F77" si="42">SUM(E78:E78)</f>
        <v>-527742</v>
      </c>
      <c r="F77" s="71">
        <f t="shared" si="42"/>
        <v>0</v>
      </c>
      <c r="G77" s="71">
        <f>F77-E77</f>
        <v>527742</v>
      </c>
    </row>
    <row r="78" spans="1:8" x14ac:dyDescent="0.25">
      <c r="A78" s="90"/>
      <c r="B78" s="90"/>
      <c r="C78" s="90" t="s">
        <v>146</v>
      </c>
      <c r="D78" s="69">
        <v>0</v>
      </c>
      <c r="E78" s="69">
        <v>-527742</v>
      </c>
      <c r="F78" s="69">
        <v>0</v>
      </c>
      <c r="G78" s="69">
        <f t="shared" ref="G78" si="43">F78-E78</f>
        <v>527742</v>
      </c>
    </row>
    <row r="79" spans="1:8" s="34" customFormat="1" x14ac:dyDescent="0.25">
      <c r="A79" s="70"/>
      <c r="B79" s="70"/>
      <c r="C79" s="70" t="s">
        <v>116</v>
      </c>
      <c r="D79" s="71">
        <v>-51330</v>
      </c>
      <c r="E79" s="71">
        <f t="shared" ref="E79" si="44">D79</f>
        <v>-51330</v>
      </c>
      <c r="F79" s="69">
        <v>-123635</v>
      </c>
      <c r="G79" s="71">
        <f t="shared" ref="G79:G83" si="45">F79-E79</f>
        <v>-72305</v>
      </c>
      <c r="H79" s="17"/>
    </row>
    <row r="80" spans="1:8" ht="15.75" x14ac:dyDescent="0.25">
      <c r="A80" s="94" t="s">
        <v>124</v>
      </c>
      <c r="B80" s="95"/>
      <c r="C80" s="95"/>
      <c r="D80" s="96">
        <f>SUM(D81:D83)</f>
        <v>-22572588</v>
      </c>
      <c r="E80" s="96">
        <f>SUM(E81:E83)</f>
        <v>-25644416</v>
      </c>
      <c r="F80" s="96">
        <f>SUM(F81:F83)</f>
        <v>-21287392.200000003</v>
      </c>
      <c r="G80" s="71">
        <f>F80-E80</f>
        <v>4357023.799999997</v>
      </c>
      <c r="H80" s="37" t="s">
        <v>81</v>
      </c>
    </row>
    <row r="81" spans="1:7" x14ac:dyDescent="0.25">
      <c r="A81" s="90"/>
      <c r="B81" s="90" t="s">
        <v>111</v>
      </c>
      <c r="C81" s="90"/>
      <c r="D81" s="69">
        <f>D86+D94+D108</f>
        <v>-13020987</v>
      </c>
      <c r="E81" s="69">
        <f t="shared" ref="E81:F81" si="46">E86+E94+E108</f>
        <v>-15714565</v>
      </c>
      <c r="F81" s="69">
        <f t="shared" si="46"/>
        <v>-15407974.65</v>
      </c>
      <c r="G81" s="69">
        <f t="shared" si="45"/>
        <v>306590.34999999963</v>
      </c>
    </row>
    <row r="82" spans="1:7" x14ac:dyDescent="0.25">
      <c r="A82" s="90"/>
      <c r="B82" s="90" t="s">
        <v>113</v>
      </c>
      <c r="C82" s="90"/>
      <c r="D82" s="69">
        <f>SUM(D99+D111)</f>
        <v>0</v>
      </c>
      <c r="E82" s="69">
        <f t="shared" ref="E82:F82" si="47">SUM(E99+E111)</f>
        <v>-378250</v>
      </c>
      <c r="F82" s="69">
        <f t="shared" si="47"/>
        <v>-347836.55</v>
      </c>
      <c r="G82" s="69">
        <f t="shared" si="45"/>
        <v>30413.450000000012</v>
      </c>
    </row>
    <row r="83" spans="1:7" x14ac:dyDescent="0.25">
      <c r="A83" s="90"/>
      <c r="B83" s="90" t="s">
        <v>115</v>
      </c>
      <c r="C83" s="90"/>
      <c r="D83" s="69">
        <f>D102+D114</f>
        <v>-9551601</v>
      </c>
      <c r="E83" s="69">
        <f t="shared" ref="E83:F83" si="48">E102+E114</f>
        <v>-9551601</v>
      </c>
      <c r="F83" s="69">
        <f t="shared" si="48"/>
        <v>-5531581</v>
      </c>
      <c r="G83" s="69">
        <f t="shared" si="45"/>
        <v>4020020</v>
      </c>
    </row>
    <row r="84" spans="1:7" ht="14.25" customHeight="1" x14ac:dyDescent="0.25">
      <c r="A84" s="70"/>
      <c r="B84" s="70" t="s">
        <v>121</v>
      </c>
      <c r="C84" s="70"/>
      <c r="D84" s="71">
        <f>SUM(D85:D85)</f>
        <v>-228679</v>
      </c>
      <c r="E84" s="71">
        <f>SUM(E85:E85)</f>
        <v>0</v>
      </c>
      <c r="F84" s="71">
        <f>SUM(F85:F85)</f>
        <v>0</v>
      </c>
      <c r="G84" s="71">
        <f>F84-E84</f>
        <v>0</v>
      </c>
    </row>
    <row r="85" spans="1:7" x14ac:dyDescent="0.25">
      <c r="A85" s="90"/>
      <c r="B85" s="90"/>
      <c r="C85" s="90" t="s">
        <v>61</v>
      </c>
      <c r="D85" s="69">
        <f>D87</f>
        <v>-228679</v>
      </c>
      <c r="E85" s="69">
        <f t="shared" ref="E85:F85" si="49">E87</f>
        <v>0</v>
      </c>
      <c r="F85" s="69">
        <f t="shared" si="49"/>
        <v>0</v>
      </c>
      <c r="G85" s="69">
        <f t="shared" ref="G85" si="50">F85-E85</f>
        <v>0</v>
      </c>
    </row>
    <row r="86" spans="1:7" x14ac:dyDescent="0.25">
      <c r="A86" s="70"/>
      <c r="B86" s="70"/>
      <c r="C86" s="70" t="s">
        <v>111</v>
      </c>
      <c r="D86" s="71">
        <f>SUM(D87:D87)</f>
        <v>-228679</v>
      </c>
      <c r="E86" s="71">
        <f>SUM(E87:E87)</f>
        <v>0</v>
      </c>
      <c r="F86" s="71">
        <f>SUM(F87:F87)</f>
        <v>0</v>
      </c>
      <c r="G86" s="71">
        <f>F86-E86</f>
        <v>0</v>
      </c>
    </row>
    <row r="87" spans="1:7" x14ac:dyDescent="0.25">
      <c r="A87" s="70"/>
      <c r="B87" s="70"/>
      <c r="C87" s="90" t="s">
        <v>61</v>
      </c>
      <c r="D87" s="69">
        <v>-228679</v>
      </c>
      <c r="E87" s="69">
        <v>0</v>
      </c>
      <c r="F87" s="71">
        <v>0</v>
      </c>
      <c r="G87" s="69">
        <f t="shared" ref="G87" si="51">F87-E87</f>
        <v>0</v>
      </c>
    </row>
    <row r="88" spans="1:7" ht="14.25" customHeight="1" x14ac:dyDescent="0.25">
      <c r="A88" s="70"/>
      <c r="B88" s="70" t="s">
        <v>122</v>
      </c>
      <c r="C88" s="70"/>
      <c r="D88" s="71">
        <f>SUM(D89:D93)</f>
        <v>-22135779</v>
      </c>
      <c r="E88" s="71">
        <f>SUM(E89:E93)</f>
        <v>-25171459</v>
      </c>
      <c r="F88" s="71">
        <f>SUM(F89:F93)</f>
        <v>-20935550.550000001</v>
      </c>
      <c r="G88" s="71">
        <f>F88-E88</f>
        <v>4235908.4499999993</v>
      </c>
    </row>
    <row r="89" spans="1:7" ht="14.25" customHeight="1" x14ac:dyDescent="0.25">
      <c r="A89" s="70"/>
      <c r="B89" s="70"/>
      <c r="C89" s="3" t="s">
        <v>146</v>
      </c>
      <c r="D89" s="117">
        <v>0</v>
      </c>
      <c r="E89" s="117">
        <f>E100</f>
        <v>-188250</v>
      </c>
      <c r="F89" s="117">
        <v>0</v>
      </c>
      <c r="G89" s="117">
        <f t="shared" ref="G89" si="52">F89-E89</f>
        <v>188250</v>
      </c>
    </row>
    <row r="90" spans="1:7" x14ac:dyDescent="0.25">
      <c r="A90" s="90"/>
      <c r="B90" s="90"/>
      <c r="C90" s="90" t="s">
        <v>60</v>
      </c>
      <c r="D90" s="69">
        <f>D95</f>
        <v>-10367906</v>
      </c>
      <c r="E90" s="69">
        <f t="shared" ref="E90:F90" si="53">E95</f>
        <v>-12597844</v>
      </c>
      <c r="F90" s="69">
        <f t="shared" si="53"/>
        <v>-12620497</v>
      </c>
      <c r="G90" s="69">
        <f t="shared" ref="G90:G93" si="54">F90-E90</f>
        <v>-22653</v>
      </c>
    </row>
    <row r="91" spans="1:7" x14ac:dyDescent="0.25">
      <c r="A91" s="90"/>
      <c r="B91" s="90"/>
      <c r="C91" s="90" t="s">
        <v>61</v>
      </c>
      <c r="D91" s="69">
        <f>D96+D101</f>
        <v>-1732702</v>
      </c>
      <c r="E91" s="69">
        <f t="shared" ref="E91:F91" si="55">E96+E101</f>
        <v>-2036020</v>
      </c>
      <c r="F91" s="69">
        <f t="shared" si="55"/>
        <v>-1992327.55</v>
      </c>
      <c r="G91" s="69">
        <f t="shared" si="54"/>
        <v>43692.449999999953</v>
      </c>
    </row>
    <row r="92" spans="1:7" x14ac:dyDescent="0.25">
      <c r="A92" s="90"/>
      <c r="B92" s="90"/>
      <c r="C92" s="90" t="s">
        <v>106</v>
      </c>
      <c r="D92" s="69">
        <f>D97</f>
        <v>-484235</v>
      </c>
      <c r="E92" s="69">
        <f t="shared" ref="E92:F92" si="56">E97</f>
        <v>-797619</v>
      </c>
      <c r="F92" s="69">
        <f t="shared" si="56"/>
        <v>-792414</v>
      </c>
      <c r="G92" s="69">
        <f t="shared" si="54"/>
        <v>5205</v>
      </c>
    </row>
    <row r="93" spans="1:7" x14ac:dyDescent="0.25">
      <c r="A93" s="90"/>
      <c r="B93" s="90"/>
      <c r="C93" s="90" t="s">
        <v>108</v>
      </c>
      <c r="D93" s="69">
        <f>D102</f>
        <v>-9550936</v>
      </c>
      <c r="E93" s="69">
        <f>E102+E98</f>
        <v>-9551726</v>
      </c>
      <c r="F93" s="69">
        <f>F102+F98</f>
        <v>-5530312</v>
      </c>
      <c r="G93" s="69">
        <f t="shared" si="54"/>
        <v>4021414</v>
      </c>
    </row>
    <row r="94" spans="1:7" x14ac:dyDescent="0.25">
      <c r="A94" s="70"/>
      <c r="B94" s="70"/>
      <c r="C94" s="70" t="s">
        <v>111</v>
      </c>
      <c r="D94" s="71">
        <f>SUM(D95:D98)</f>
        <v>-12584843</v>
      </c>
      <c r="E94" s="71">
        <f>SUM(E95:E98)</f>
        <v>-15432273</v>
      </c>
      <c r="F94" s="71">
        <f>SUM(F95:F98)</f>
        <v>-15216989</v>
      </c>
      <c r="G94" s="71">
        <f>F94-E94</f>
        <v>215284</v>
      </c>
    </row>
    <row r="95" spans="1:7" x14ac:dyDescent="0.25">
      <c r="A95" s="90"/>
      <c r="B95" s="90"/>
      <c r="C95" s="90" t="s">
        <v>60</v>
      </c>
      <c r="D95" s="69">
        <v>-10367906</v>
      </c>
      <c r="E95" s="69">
        <v>-12597844</v>
      </c>
      <c r="F95" s="69">
        <v>-12620497</v>
      </c>
      <c r="G95" s="69">
        <f t="shared" ref="G95:G98" si="57">F95-E95</f>
        <v>-22653</v>
      </c>
    </row>
    <row r="96" spans="1:7" x14ac:dyDescent="0.25">
      <c r="A96" s="70"/>
      <c r="B96" s="70"/>
      <c r="C96" s="90" t="s">
        <v>61</v>
      </c>
      <c r="D96" s="69">
        <v>-1732702</v>
      </c>
      <c r="E96" s="69">
        <v>-2036020</v>
      </c>
      <c r="F96" s="69">
        <v>-1804078</v>
      </c>
      <c r="G96" s="69">
        <f t="shared" si="57"/>
        <v>231942</v>
      </c>
    </row>
    <row r="97" spans="1:8" x14ac:dyDescent="0.25">
      <c r="A97" s="70"/>
      <c r="B97" s="70"/>
      <c r="C97" s="90" t="s">
        <v>106</v>
      </c>
      <c r="D97" s="69">
        <v>-484235</v>
      </c>
      <c r="E97" s="69">
        <v>-797619</v>
      </c>
      <c r="F97" s="69">
        <v>-792414</v>
      </c>
      <c r="G97" s="69">
        <f t="shared" si="57"/>
        <v>5205</v>
      </c>
    </row>
    <row r="98" spans="1:8" x14ac:dyDescent="0.25">
      <c r="A98" s="70"/>
      <c r="B98" s="70"/>
      <c r="C98" s="90" t="s">
        <v>62</v>
      </c>
      <c r="D98" s="97">
        <v>0</v>
      </c>
      <c r="E98" s="97">
        <v>-790</v>
      </c>
      <c r="F98" s="69">
        <v>0</v>
      </c>
      <c r="G98" s="69">
        <f t="shared" si="57"/>
        <v>790</v>
      </c>
    </row>
    <row r="99" spans="1:8" ht="16.5" customHeight="1" x14ac:dyDescent="0.25">
      <c r="A99" s="70"/>
      <c r="B99" s="70"/>
      <c r="C99" s="70" t="s">
        <v>113</v>
      </c>
      <c r="D99" s="71">
        <f t="shared" ref="D99:E99" si="58">SUM(D100:D101)</f>
        <v>0</v>
      </c>
      <c r="E99" s="71">
        <f t="shared" si="58"/>
        <v>-188250</v>
      </c>
      <c r="F99" s="71">
        <f>SUM(F100:F101)</f>
        <v>-188249.55</v>
      </c>
      <c r="G99" s="71">
        <f>F99-E99</f>
        <v>0.45000000001164153</v>
      </c>
    </row>
    <row r="100" spans="1:8" ht="16.5" customHeight="1" x14ac:dyDescent="0.25">
      <c r="A100" s="90"/>
      <c r="B100" s="90"/>
      <c r="C100" s="90" t="s">
        <v>146</v>
      </c>
      <c r="D100" s="69">
        <v>0</v>
      </c>
      <c r="E100" s="69">
        <v>-188250</v>
      </c>
      <c r="F100" s="69">
        <v>0</v>
      </c>
      <c r="G100" s="69">
        <f t="shared" ref="G100:G101" si="59">F100-E100</f>
        <v>188250</v>
      </c>
    </row>
    <row r="101" spans="1:8" ht="16.5" customHeight="1" x14ac:dyDescent="0.25">
      <c r="A101" s="90"/>
      <c r="B101" s="90"/>
      <c r="C101" s="90" t="s">
        <v>61</v>
      </c>
      <c r="D101" s="69">
        <v>0</v>
      </c>
      <c r="E101" s="69">
        <v>0</v>
      </c>
      <c r="F101" s="69">
        <v>-188249.55</v>
      </c>
      <c r="G101" s="69">
        <f t="shared" si="59"/>
        <v>-188249.55</v>
      </c>
    </row>
    <row r="102" spans="1:8" s="34" customFormat="1" x14ac:dyDescent="0.25">
      <c r="A102" s="70"/>
      <c r="B102" s="70"/>
      <c r="C102" s="70" t="s">
        <v>116</v>
      </c>
      <c r="D102" s="71">
        <v>-9550936</v>
      </c>
      <c r="E102" s="71">
        <f t="shared" ref="E102" si="60">D102</f>
        <v>-9550936</v>
      </c>
      <c r="F102" s="71">
        <v>-5530312</v>
      </c>
      <c r="G102" s="71">
        <f t="shared" ref="G102" si="61">F102-E102</f>
        <v>4020624</v>
      </c>
      <c r="H102" s="17"/>
    </row>
    <row r="103" spans="1:8" ht="14.25" customHeight="1" x14ac:dyDescent="0.25">
      <c r="A103" s="70"/>
      <c r="B103" s="70" t="s">
        <v>120</v>
      </c>
      <c r="C103" s="70"/>
      <c r="D103" s="71">
        <f>SUM(D104:D107)</f>
        <v>-208130</v>
      </c>
      <c r="E103" s="71">
        <f>SUM(E104:E107)</f>
        <v>-472957</v>
      </c>
      <c r="F103" s="71">
        <f>SUM(F104:F107)</f>
        <v>-351841.65</v>
      </c>
      <c r="G103" s="71">
        <f>F103-E103</f>
        <v>121115.34999999998</v>
      </c>
    </row>
    <row r="104" spans="1:8" x14ac:dyDescent="0.25">
      <c r="A104" s="90"/>
      <c r="B104" s="90"/>
      <c r="C104" s="90" t="s">
        <v>146</v>
      </c>
      <c r="D104" s="69">
        <v>0</v>
      </c>
      <c r="E104" s="69">
        <f>SUM(E112)</f>
        <v>-190000</v>
      </c>
      <c r="F104" s="69">
        <f>SUM(F112)</f>
        <v>0</v>
      </c>
      <c r="G104" s="69">
        <f t="shared" ref="G104:G107" si="62">F104-E104</f>
        <v>190000</v>
      </c>
    </row>
    <row r="105" spans="1:8" x14ac:dyDescent="0.25">
      <c r="A105" s="90"/>
      <c r="B105" s="90"/>
      <c r="C105" s="90" t="s">
        <v>61</v>
      </c>
      <c r="D105" s="69">
        <f>SUM(D109)</f>
        <v>-207465</v>
      </c>
      <c r="E105" s="69">
        <f>SUM(E109)</f>
        <v>-282042</v>
      </c>
      <c r="F105" s="69">
        <f t="shared" ref="F105" si="63">SUM(F109)</f>
        <v>-190735.65</v>
      </c>
      <c r="G105" s="69">
        <f t="shared" si="62"/>
        <v>91306.35</v>
      </c>
    </row>
    <row r="106" spans="1:8" x14ac:dyDescent="0.25">
      <c r="A106" s="90"/>
      <c r="B106" s="90"/>
      <c r="C106" s="90" t="s">
        <v>60</v>
      </c>
      <c r="D106" s="69">
        <f>SUM(D113)</f>
        <v>0</v>
      </c>
      <c r="E106" s="69">
        <f>SUM(E113)</f>
        <v>0</v>
      </c>
      <c r="F106" s="69">
        <f>SUM(F113)</f>
        <v>-159587</v>
      </c>
      <c r="G106" s="69">
        <f t="shared" si="62"/>
        <v>-159587</v>
      </c>
    </row>
    <row r="107" spans="1:8" x14ac:dyDescent="0.25">
      <c r="A107" s="90"/>
      <c r="B107" s="90"/>
      <c r="C107" s="90" t="s">
        <v>108</v>
      </c>
      <c r="D107" s="69">
        <f>D114+D110</f>
        <v>-665</v>
      </c>
      <c r="E107" s="69">
        <f>E114+E110</f>
        <v>-915</v>
      </c>
      <c r="F107" s="69">
        <f>F114+F110</f>
        <v>-1519</v>
      </c>
      <c r="G107" s="69">
        <f t="shared" si="62"/>
        <v>-604</v>
      </c>
    </row>
    <row r="108" spans="1:8" x14ac:dyDescent="0.25">
      <c r="A108" s="70"/>
      <c r="B108" s="70"/>
      <c r="C108" s="70" t="s">
        <v>111</v>
      </c>
      <c r="D108" s="71">
        <f>SUM(D109:D110)</f>
        <v>-207465</v>
      </c>
      <c r="E108" s="71">
        <f>SUM(E109:E110)</f>
        <v>-282292</v>
      </c>
      <c r="F108" s="71">
        <f>SUM(F109:F110)</f>
        <v>-190985.65</v>
      </c>
      <c r="G108" s="71">
        <f>F108-E108</f>
        <v>91306.35</v>
      </c>
    </row>
    <row r="109" spans="1:8" x14ac:dyDescent="0.25">
      <c r="A109" s="70"/>
      <c r="B109" s="70"/>
      <c r="C109" s="90" t="s">
        <v>61</v>
      </c>
      <c r="D109" s="69">
        <v>-207465</v>
      </c>
      <c r="E109" s="69">
        <v>-282042</v>
      </c>
      <c r="F109" s="69">
        <v>-190735.65</v>
      </c>
      <c r="G109" s="69">
        <f t="shared" ref="G109:G110" si="64">F109-E109</f>
        <v>91306.35</v>
      </c>
    </row>
    <row r="110" spans="1:8" x14ac:dyDescent="0.25">
      <c r="A110" s="70"/>
      <c r="B110" s="70"/>
      <c r="C110" s="73" t="s">
        <v>62</v>
      </c>
      <c r="D110" s="69">
        <v>0</v>
      </c>
      <c r="E110" s="69">
        <v>-250</v>
      </c>
      <c r="F110" s="69">
        <v>-250</v>
      </c>
      <c r="G110" s="69">
        <f t="shared" si="64"/>
        <v>0</v>
      </c>
    </row>
    <row r="111" spans="1:8" ht="12.75" customHeight="1" x14ac:dyDescent="0.25">
      <c r="A111" s="70"/>
      <c r="B111" s="70"/>
      <c r="C111" s="70" t="s">
        <v>113</v>
      </c>
      <c r="D111" s="71">
        <f t="shared" ref="D111:E111" si="65">SUM(D112:D113)</f>
        <v>0</v>
      </c>
      <c r="E111" s="71">
        <f t="shared" si="65"/>
        <v>-190000</v>
      </c>
      <c r="F111" s="71">
        <f>SUM(F112:F113)</f>
        <v>-159587</v>
      </c>
      <c r="G111" s="71">
        <f>F111-E111</f>
        <v>30413</v>
      </c>
    </row>
    <row r="112" spans="1:8" x14ac:dyDescent="0.25">
      <c r="A112" s="90"/>
      <c r="B112" s="90"/>
      <c r="C112" s="90" t="s">
        <v>146</v>
      </c>
      <c r="D112" s="69">
        <v>0</v>
      </c>
      <c r="E112" s="69">
        <v>-190000</v>
      </c>
      <c r="F112" s="69">
        <v>0</v>
      </c>
      <c r="G112" s="69">
        <f t="shared" ref="G112:G113" si="66">F112-E112</f>
        <v>190000</v>
      </c>
    </row>
    <row r="113" spans="1:8" x14ac:dyDescent="0.25">
      <c r="A113" s="90"/>
      <c r="B113" s="90"/>
      <c r="C113" s="90" t="s">
        <v>60</v>
      </c>
      <c r="D113" s="69">
        <v>0</v>
      </c>
      <c r="E113" s="69">
        <v>0</v>
      </c>
      <c r="F113" s="69">
        <v>-159587</v>
      </c>
      <c r="G113" s="69">
        <f t="shared" si="66"/>
        <v>-159587</v>
      </c>
    </row>
    <row r="114" spans="1:8" s="34" customFormat="1" x14ac:dyDescent="0.25">
      <c r="A114" s="70"/>
      <c r="B114" s="70"/>
      <c r="C114" s="70" t="s">
        <v>116</v>
      </c>
      <c r="D114" s="69">
        <v>-665</v>
      </c>
      <c r="E114" s="69">
        <f t="shared" ref="E114" si="67">D114</f>
        <v>-665</v>
      </c>
      <c r="F114" s="69">
        <v>-1269</v>
      </c>
      <c r="G114" s="69">
        <f t="shared" ref="G114:G119" si="68">F114-E114</f>
        <v>-604</v>
      </c>
      <c r="H114" s="17"/>
    </row>
    <row r="115" spans="1:8" ht="15.75" x14ac:dyDescent="0.25">
      <c r="A115" s="94" t="s">
        <v>125</v>
      </c>
      <c r="B115" s="95"/>
      <c r="C115" s="95"/>
      <c r="D115" s="96">
        <f>SUM(D116:D119)</f>
        <v>-19427313</v>
      </c>
      <c r="E115" s="96">
        <f>SUM(E116:E119)</f>
        <v>-22215244</v>
      </c>
      <c r="F115" s="96">
        <f>SUM(F116:F119)</f>
        <v>-17920161</v>
      </c>
      <c r="G115" s="71">
        <f t="shared" si="68"/>
        <v>4295083</v>
      </c>
      <c r="H115" s="37" t="s">
        <v>82</v>
      </c>
    </row>
    <row r="116" spans="1:8" x14ac:dyDescent="0.25">
      <c r="A116" s="90"/>
      <c r="B116" s="90" t="s">
        <v>111</v>
      </c>
      <c r="C116" s="90"/>
      <c r="D116" s="69">
        <f>D122+D128+D137</f>
        <v>-13822418</v>
      </c>
      <c r="E116" s="69">
        <f>SUM(E122+E128+E137)</f>
        <v>-16038778</v>
      </c>
      <c r="F116" s="69">
        <f>SUM(F122+F128+F137)</f>
        <v>-15903671</v>
      </c>
      <c r="G116" s="69">
        <f t="shared" si="68"/>
        <v>135107</v>
      </c>
    </row>
    <row r="117" spans="1:8" x14ac:dyDescent="0.25">
      <c r="A117" s="90"/>
      <c r="B117" s="90" t="s">
        <v>113</v>
      </c>
      <c r="C117" s="90"/>
      <c r="D117" s="69">
        <f>SUM(D139)</f>
        <v>0</v>
      </c>
      <c r="E117" s="69">
        <f>SUM(E139)</f>
        <v>-552389</v>
      </c>
      <c r="F117" s="69">
        <f>SUM(F139)</f>
        <v>-217373</v>
      </c>
      <c r="G117" s="69">
        <f t="shared" si="68"/>
        <v>335016</v>
      </c>
    </row>
    <row r="118" spans="1:8" x14ac:dyDescent="0.25">
      <c r="A118" s="90"/>
      <c r="B118" s="90" t="s">
        <v>114</v>
      </c>
      <c r="C118" s="90"/>
      <c r="D118" s="69">
        <f>SUM(D142)</f>
        <v>0</v>
      </c>
      <c r="E118" s="69">
        <f>SUM(E142)</f>
        <v>-19182</v>
      </c>
      <c r="F118" s="69">
        <f>SUM(F142)</f>
        <v>-19182</v>
      </c>
      <c r="G118" s="69">
        <f>F118-E118</f>
        <v>0</v>
      </c>
    </row>
    <row r="119" spans="1:8" x14ac:dyDescent="0.25">
      <c r="A119" s="90"/>
      <c r="B119" s="90" t="s">
        <v>115</v>
      </c>
      <c r="C119" s="90"/>
      <c r="D119" s="69">
        <f>D132+D145</f>
        <v>-5604895</v>
      </c>
      <c r="E119" s="69">
        <f>E132+E145</f>
        <v>-5604895</v>
      </c>
      <c r="F119" s="69">
        <f>F132+F145</f>
        <v>-1779935</v>
      </c>
      <c r="G119" s="69">
        <f t="shared" si="68"/>
        <v>3824960</v>
      </c>
    </row>
    <row r="120" spans="1:8" ht="14.25" customHeight="1" x14ac:dyDescent="0.25">
      <c r="A120" s="70"/>
      <c r="B120" s="70" t="s">
        <v>121</v>
      </c>
      <c r="C120" s="70"/>
      <c r="D120" s="71">
        <f>SUM(D121:D121)</f>
        <v>-327064</v>
      </c>
      <c r="E120" s="71">
        <f>SUM(E121:E121)</f>
        <v>0</v>
      </c>
      <c r="F120" s="71">
        <f>SUM(F121:F121)</f>
        <v>0</v>
      </c>
      <c r="G120" s="71">
        <f>F120-E120</f>
        <v>0</v>
      </c>
    </row>
    <row r="121" spans="1:8" x14ac:dyDescent="0.25">
      <c r="A121" s="90"/>
      <c r="B121" s="90"/>
      <c r="C121" s="90" t="s">
        <v>61</v>
      </c>
      <c r="D121" s="69">
        <f>D123</f>
        <v>-327064</v>
      </c>
      <c r="E121" s="69">
        <f t="shared" ref="E121:F121" si="69">E123</f>
        <v>0</v>
      </c>
      <c r="F121" s="69">
        <f t="shared" si="69"/>
        <v>0</v>
      </c>
      <c r="G121" s="69">
        <f t="shared" ref="G121" si="70">F121-E121</f>
        <v>0</v>
      </c>
    </row>
    <row r="122" spans="1:8" x14ac:dyDescent="0.25">
      <c r="A122" s="70"/>
      <c r="B122" s="70"/>
      <c r="C122" s="70" t="s">
        <v>111</v>
      </c>
      <c r="D122" s="71">
        <f>SUM(D123:D123)</f>
        <v>-327064</v>
      </c>
      <c r="E122" s="71">
        <f>SUM(E123:E123)</f>
        <v>0</v>
      </c>
      <c r="F122" s="71">
        <f>SUM(F123:F123)</f>
        <v>0</v>
      </c>
      <c r="G122" s="71">
        <f>F122-E122</f>
        <v>0</v>
      </c>
    </row>
    <row r="123" spans="1:8" x14ac:dyDescent="0.25">
      <c r="A123" s="70"/>
      <c r="B123" s="70"/>
      <c r="C123" s="90" t="s">
        <v>61</v>
      </c>
      <c r="D123" s="69">
        <v>-327064</v>
      </c>
      <c r="E123" s="69">
        <v>0</v>
      </c>
      <c r="F123" s="71">
        <v>0</v>
      </c>
      <c r="G123" s="69">
        <f t="shared" ref="G123" si="71">F123-E123</f>
        <v>0</v>
      </c>
    </row>
    <row r="124" spans="1:8" ht="14.25" customHeight="1" x14ac:dyDescent="0.25">
      <c r="A124" s="70"/>
      <c r="B124" s="70" t="s">
        <v>122</v>
      </c>
      <c r="C124" s="70"/>
      <c r="D124" s="71">
        <f>SUM(D125:D127)</f>
        <v>-19040612</v>
      </c>
      <c r="E124" s="71">
        <f>SUM(E125:E127)</f>
        <v>-21532552</v>
      </c>
      <c r="F124" s="71">
        <f>SUM(F125:F127)</f>
        <v>-17575574</v>
      </c>
      <c r="G124" s="71">
        <f>F124-E124</f>
        <v>3956978</v>
      </c>
    </row>
    <row r="125" spans="1:8" x14ac:dyDescent="0.25">
      <c r="A125" s="90"/>
      <c r="B125" s="90"/>
      <c r="C125" s="90" t="s">
        <v>60</v>
      </c>
      <c r="D125" s="69">
        <f>D129</f>
        <v>-11965326</v>
      </c>
      <c r="E125" s="69">
        <f t="shared" ref="E125:F125" si="72">E129</f>
        <v>-14601123</v>
      </c>
      <c r="F125" s="69">
        <f t="shared" si="72"/>
        <v>-14606165</v>
      </c>
      <c r="G125" s="69">
        <f t="shared" ref="G125:G127" si="73">F125-E125</f>
        <v>-5042</v>
      </c>
    </row>
    <row r="126" spans="1:8" x14ac:dyDescent="0.25">
      <c r="A126" s="90"/>
      <c r="B126" s="90"/>
      <c r="C126" s="90" t="s">
        <v>61</v>
      </c>
      <c r="D126" s="69">
        <f>D130</f>
        <v>-1470507</v>
      </c>
      <c r="E126" s="69">
        <f t="shared" ref="E126:F126" si="74">E130</f>
        <v>-1318010</v>
      </c>
      <c r="F126" s="69">
        <f t="shared" si="74"/>
        <v>-1182918</v>
      </c>
      <c r="G126" s="69">
        <f t="shared" si="73"/>
        <v>135092</v>
      </c>
    </row>
    <row r="127" spans="1:8" x14ac:dyDescent="0.25">
      <c r="A127" s="90"/>
      <c r="B127" s="90"/>
      <c r="C127" s="90" t="s">
        <v>108</v>
      </c>
      <c r="D127" s="69">
        <f>D132+D131</f>
        <v>-5604779</v>
      </c>
      <c r="E127" s="69">
        <f>E132+E131</f>
        <v>-5613419</v>
      </c>
      <c r="F127" s="69">
        <f>F132+F131</f>
        <v>-1786491</v>
      </c>
      <c r="G127" s="69">
        <f t="shared" si="73"/>
        <v>3826928</v>
      </c>
    </row>
    <row r="128" spans="1:8" x14ac:dyDescent="0.25">
      <c r="A128" s="70"/>
      <c r="B128" s="70"/>
      <c r="C128" s="70" t="s">
        <v>111</v>
      </c>
      <c r="D128" s="71">
        <f>SUM(D129:D131)</f>
        <v>-13435833</v>
      </c>
      <c r="E128" s="71">
        <f>SUM(E129:E131)</f>
        <v>-15927773</v>
      </c>
      <c r="F128" s="71">
        <f>SUM(F129:F131)</f>
        <v>-15795988</v>
      </c>
      <c r="G128" s="71">
        <f>F128-E128</f>
        <v>131785</v>
      </c>
    </row>
    <row r="129" spans="1:8" x14ac:dyDescent="0.25">
      <c r="A129" s="90"/>
      <c r="B129" s="90"/>
      <c r="C129" s="90" t="s">
        <v>60</v>
      </c>
      <c r="D129" s="69">
        <v>-11965326</v>
      </c>
      <c r="E129" s="69">
        <v>-14601123</v>
      </c>
      <c r="F129" s="69">
        <v>-14606165</v>
      </c>
      <c r="G129" s="69">
        <f>F129-E129</f>
        <v>-5042</v>
      </c>
    </row>
    <row r="130" spans="1:8" x14ac:dyDescent="0.25">
      <c r="A130" s="70"/>
      <c r="B130" s="70"/>
      <c r="C130" s="90" t="s">
        <v>61</v>
      </c>
      <c r="D130" s="69">
        <v>-1470507</v>
      </c>
      <c r="E130" s="69">
        <v>-1318010</v>
      </c>
      <c r="F130" s="69">
        <v>-1182918</v>
      </c>
      <c r="G130" s="69">
        <f t="shared" ref="G130:G131" si="75">F130-E130</f>
        <v>135092</v>
      </c>
    </row>
    <row r="131" spans="1:8" x14ac:dyDescent="0.25">
      <c r="A131" s="70"/>
      <c r="B131" s="70"/>
      <c r="C131" s="90" t="s">
        <v>62</v>
      </c>
      <c r="D131" s="69">
        <v>0</v>
      </c>
      <c r="E131" s="97">
        <v>-8640</v>
      </c>
      <c r="F131" s="69">
        <v>-6905</v>
      </c>
      <c r="G131" s="69">
        <f t="shared" si="75"/>
        <v>1735</v>
      </c>
    </row>
    <row r="132" spans="1:8" s="34" customFormat="1" x14ac:dyDescent="0.25">
      <c r="A132" s="70"/>
      <c r="B132" s="70"/>
      <c r="C132" s="70" t="s">
        <v>116</v>
      </c>
      <c r="D132" s="71">
        <v>-5604779</v>
      </c>
      <c r="E132" s="71">
        <f t="shared" ref="E132" si="76">D132</f>
        <v>-5604779</v>
      </c>
      <c r="F132" s="97">
        <v>-1779586</v>
      </c>
      <c r="G132" s="71">
        <f t="shared" ref="G132" si="77">F132-E132</f>
        <v>3825193</v>
      </c>
      <c r="H132" s="17"/>
    </row>
    <row r="133" spans="1:8" ht="14.25" customHeight="1" x14ac:dyDescent="0.25">
      <c r="A133" s="70"/>
      <c r="B133" s="70" t="s">
        <v>120</v>
      </c>
      <c r="C133" s="70"/>
      <c r="D133" s="71">
        <f>SUM(D135:D136)</f>
        <v>-59637</v>
      </c>
      <c r="E133" s="71">
        <f>SUM(E134:E136)</f>
        <v>-682692</v>
      </c>
      <c r="F133" s="71">
        <f>SUM(F134:F136)</f>
        <v>-344587</v>
      </c>
      <c r="G133" s="71">
        <f>F133-E133</f>
        <v>338105</v>
      </c>
    </row>
    <row r="134" spans="1:8" x14ac:dyDescent="0.25">
      <c r="A134" s="90"/>
      <c r="B134" s="90"/>
      <c r="C134" s="90" t="s">
        <v>146</v>
      </c>
      <c r="D134" s="69">
        <f>SUM(D140+D143)</f>
        <v>0</v>
      </c>
      <c r="E134" s="69">
        <f>SUM(E140+E143)</f>
        <v>-571571</v>
      </c>
      <c r="F134" s="69">
        <f>SUM(F140+F143)</f>
        <v>0</v>
      </c>
      <c r="G134" s="69">
        <f t="shared" ref="G134" si="78">F134-E134</f>
        <v>571571</v>
      </c>
    </row>
    <row r="135" spans="1:8" x14ac:dyDescent="0.25">
      <c r="A135" s="90"/>
      <c r="B135" s="90"/>
      <c r="C135" s="90" t="s">
        <v>61</v>
      </c>
      <c r="D135" s="69">
        <f>D138+D141+D144</f>
        <v>-59521</v>
      </c>
      <c r="E135" s="69">
        <f>E138+E141+E144</f>
        <v>-111005</v>
      </c>
      <c r="F135" s="69">
        <f>F138+F141+F144</f>
        <v>-344238</v>
      </c>
      <c r="G135" s="69">
        <f t="shared" ref="G135:G136" si="79">F135-E135</f>
        <v>-233233</v>
      </c>
    </row>
    <row r="136" spans="1:8" x14ac:dyDescent="0.25">
      <c r="A136" s="90"/>
      <c r="B136" s="90"/>
      <c r="C136" s="90" t="s">
        <v>108</v>
      </c>
      <c r="D136" s="69">
        <f>D145</f>
        <v>-116</v>
      </c>
      <c r="E136" s="69">
        <f t="shared" ref="E136:F136" si="80">E145</f>
        <v>-116</v>
      </c>
      <c r="F136" s="69">
        <f t="shared" si="80"/>
        <v>-349</v>
      </c>
      <c r="G136" s="69">
        <f t="shared" si="79"/>
        <v>-233</v>
      </c>
    </row>
    <row r="137" spans="1:8" x14ac:dyDescent="0.25">
      <c r="A137" s="70"/>
      <c r="B137" s="70"/>
      <c r="C137" s="70" t="s">
        <v>111</v>
      </c>
      <c r="D137" s="71">
        <f>SUM(D138:D138)</f>
        <v>-59521</v>
      </c>
      <c r="E137" s="71">
        <f>SUM(E138:E138)</f>
        <v>-111005</v>
      </c>
      <c r="F137" s="71">
        <f>SUM(F138:F138)</f>
        <v>-107683</v>
      </c>
      <c r="G137" s="71">
        <f>F137-E137</f>
        <v>3322</v>
      </c>
    </row>
    <row r="138" spans="1:8" x14ac:dyDescent="0.25">
      <c r="A138" s="70"/>
      <c r="B138" s="70"/>
      <c r="C138" s="90" t="s">
        <v>61</v>
      </c>
      <c r="D138" s="69">
        <v>-59521</v>
      </c>
      <c r="E138" s="69">
        <v>-111005</v>
      </c>
      <c r="F138" s="71">
        <v>-107683</v>
      </c>
      <c r="G138" s="69">
        <f t="shared" ref="G138:G151" si="81">F138-E138</f>
        <v>3322</v>
      </c>
    </row>
    <row r="139" spans="1:8" ht="12.75" customHeight="1" x14ac:dyDescent="0.25">
      <c r="A139" s="70"/>
      <c r="B139" s="70"/>
      <c r="C139" s="70" t="s">
        <v>113</v>
      </c>
      <c r="D139" s="71">
        <f t="shared" ref="D139:E139" si="82">SUM(D140:D141)</f>
        <v>0</v>
      </c>
      <c r="E139" s="71">
        <f t="shared" si="82"/>
        <v>-552389</v>
      </c>
      <c r="F139" s="71">
        <f>SUM(F140:F141)</f>
        <v>-217373</v>
      </c>
      <c r="G139" s="71">
        <f>F139-E139</f>
        <v>335016</v>
      </c>
    </row>
    <row r="140" spans="1:8" x14ac:dyDescent="0.25">
      <c r="A140" s="90"/>
      <c r="B140" s="90"/>
      <c r="C140" s="90" t="s">
        <v>146</v>
      </c>
      <c r="D140" s="69">
        <v>0</v>
      </c>
      <c r="E140" s="69">
        <v>-552389</v>
      </c>
      <c r="F140" s="69">
        <v>0</v>
      </c>
      <c r="G140" s="69">
        <f t="shared" ref="G140:G141" si="83">F140-E140</f>
        <v>552389</v>
      </c>
    </row>
    <row r="141" spans="1:8" x14ac:dyDescent="0.25">
      <c r="A141" s="90"/>
      <c r="B141" s="90"/>
      <c r="C141" s="90" t="s">
        <v>61</v>
      </c>
      <c r="D141" s="69">
        <v>0</v>
      </c>
      <c r="E141" s="69">
        <v>0</v>
      </c>
      <c r="F141" s="69">
        <v>-217373</v>
      </c>
      <c r="G141" s="69">
        <f t="shared" si="83"/>
        <v>-217373</v>
      </c>
    </row>
    <row r="142" spans="1:8" s="34" customFormat="1" x14ac:dyDescent="0.25">
      <c r="A142" s="70"/>
      <c r="B142" s="70"/>
      <c r="C142" s="70" t="s">
        <v>114</v>
      </c>
      <c r="D142" s="71">
        <f t="shared" ref="D142:E142" si="84">SUM(D143:D144)</f>
        <v>0</v>
      </c>
      <c r="E142" s="71">
        <f t="shared" si="84"/>
        <v>-19182</v>
      </c>
      <c r="F142" s="71">
        <f>SUM(F143:F144)</f>
        <v>-19182</v>
      </c>
      <c r="G142" s="71">
        <f>F142-E142</f>
        <v>0</v>
      </c>
      <c r="H142" s="17"/>
    </row>
    <row r="143" spans="1:8" ht="16.5" customHeight="1" x14ac:dyDescent="0.25">
      <c r="A143" s="90"/>
      <c r="B143" s="90"/>
      <c r="C143" s="90" t="s">
        <v>146</v>
      </c>
      <c r="D143" s="69">
        <v>0</v>
      </c>
      <c r="E143" s="69">
        <v>-19182</v>
      </c>
      <c r="F143" s="69">
        <v>0</v>
      </c>
      <c r="G143" s="69">
        <f t="shared" ref="G143:G144" si="85">F143-E143</f>
        <v>19182</v>
      </c>
    </row>
    <row r="144" spans="1:8" ht="16.5" customHeight="1" x14ac:dyDescent="0.25">
      <c r="A144" s="90"/>
      <c r="B144" s="90"/>
      <c r="C144" s="90" t="s">
        <v>61</v>
      </c>
      <c r="D144" s="69">
        <v>0</v>
      </c>
      <c r="E144" s="69">
        <v>0</v>
      </c>
      <c r="F144" s="69">
        <v>-19182</v>
      </c>
      <c r="G144" s="69">
        <f t="shared" si="85"/>
        <v>-19182</v>
      </c>
    </row>
    <row r="145" spans="1:8" s="34" customFormat="1" x14ac:dyDescent="0.25">
      <c r="A145" s="70"/>
      <c r="B145" s="70"/>
      <c r="C145" s="70" t="s">
        <v>116</v>
      </c>
      <c r="D145" s="71">
        <v>-116</v>
      </c>
      <c r="E145" s="71">
        <f t="shared" ref="E145" si="86">D145</f>
        <v>-116</v>
      </c>
      <c r="F145" s="71">
        <v>-349</v>
      </c>
      <c r="G145" s="71">
        <f t="shared" si="81"/>
        <v>-233</v>
      </c>
      <c r="H145" s="17"/>
    </row>
    <row r="146" spans="1:8" ht="15.75" x14ac:dyDescent="0.25">
      <c r="A146" s="94" t="s">
        <v>126</v>
      </c>
      <c r="B146" s="95"/>
      <c r="C146" s="95"/>
      <c r="D146" s="96">
        <f>SUM(D147:D151)</f>
        <v>-330191143</v>
      </c>
      <c r="E146" s="96">
        <f>SUM(E147:E151)</f>
        <v>-400031617</v>
      </c>
      <c r="F146" s="96">
        <f>SUM(F147:F151)</f>
        <v>-374301104</v>
      </c>
      <c r="G146" s="71">
        <f t="shared" si="81"/>
        <v>25730513</v>
      </c>
      <c r="H146" s="37" t="s">
        <v>83</v>
      </c>
    </row>
    <row r="147" spans="1:8" x14ac:dyDescent="0.25">
      <c r="A147" s="90"/>
      <c r="B147" s="90" t="s">
        <v>111</v>
      </c>
      <c r="C147" s="90"/>
      <c r="D147" s="69">
        <f>D158+D169+D178+D198</f>
        <v>-269635460</v>
      </c>
      <c r="E147" s="69">
        <f>E158+E169+E178+E198</f>
        <v>-287899398</v>
      </c>
      <c r="F147" s="69">
        <f>F158+F169+F178+F198</f>
        <v>-273211056</v>
      </c>
      <c r="G147" s="69">
        <f t="shared" si="81"/>
        <v>14688342</v>
      </c>
    </row>
    <row r="148" spans="1:8" x14ac:dyDescent="0.25">
      <c r="A148" s="90"/>
      <c r="B148" s="90" t="s">
        <v>112</v>
      </c>
      <c r="C148" s="90"/>
      <c r="D148" s="69">
        <v>0</v>
      </c>
      <c r="E148" s="69">
        <f>SUM(E184+E203)</f>
        <v>0</v>
      </c>
      <c r="F148" s="69">
        <f>SUM(F184+F203)</f>
        <v>349761</v>
      </c>
      <c r="G148" s="69">
        <f t="shared" si="81"/>
        <v>349761</v>
      </c>
    </row>
    <row r="149" spans="1:8" x14ac:dyDescent="0.25">
      <c r="A149" s="90"/>
      <c r="B149" s="90" t="s">
        <v>113</v>
      </c>
      <c r="C149" s="90"/>
      <c r="D149" s="69">
        <f>D162+D205</f>
        <v>-1500000</v>
      </c>
      <c r="E149" s="69">
        <f t="shared" ref="E149:F149" si="87">E162+E205</f>
        <v>-50439184</v>
      </c>
      <c r="F149" s="69">
        <f t="shared" si="87"/>
        <v>-23578004</v>
      </c>
      <c r="G149" s="69">
        <f t="shared" si="81"/>
        <v>26861180</v>
      </c>
    </row>
    <row r="150" spans="1:8" x14ac:dyDescent="0.25">
      <c r="A150" s="90"/>
      <c r="B150" s="90" t="s">
        <v>114</v>
      </c>
      <c r="C150" s="90"/>
      <c r="D150" s="69">
        <f>SUM(D186+D211)</f>
        <v>0</v>
      </c>
      <c r="E150" s="69">
        <f t="shared" ref="E150:F150" si="88">SUM(E186+E211)</f>
        <v>-2637352</v>
      </c>
      <c r="F150" s="69">
        <f t="shared" si="88"/>
        <v>-2234081</v>
      </c>
      <c r="G150" s="69">
        <f t="shared" si="81"/>
        <v>403271</v>
      </c>
    </row>
    <row r="151" spans="1:8" x14ac:dyDescent="0.25">
      <c r="A151" s="90"/>
      <c r="B151" s="90" t="s">
        <v>115</v>
      </c>
      <c r="C151" s="90"/>
      <c r="D151" s="69">
        <f>D166+D190+D215</f>
        <v>-59055683</v>
      </c>
      <c r="E151" s="69">
        <f>E166+E190+E215</f>
        <v>-59055683</v>
      </c>
      <c r="F151" s="69">
        <f>F166+F190+F215</f>
        <v>-75627724</v>
      </c>
      <c r="G151" s="69">
        <f t="shared" si="81"/>
        <v>-16572041</v>
      </c>
    </row>
    <row r="152" spans="1:8" ht="14.25" customHeight="1" x14ac:dyDescent="0.25">
      <c r="A152" s="70"/>
      <c r="B152" s="70" t="s">
        <v>37</v>
      </c>
      <c r="C152" s="70"/>
      <c r="D152" s="71">
        <f>SUM(D153:D157)</f>
        <v>-19197744</v>
      </c>
      <c r="E152" s="71">
        <f>SUM(E153:E157)</f>
        <v>-22300699</v>
      </c>
      <c r="F152" s="71">
        <f>SUM(F153:F157)</f>
        <v>-21885653</v>
      </c>
      <c r="G152" s="71">
        <f>F152-E152</f>
        <v>415046</v>
      </c>
    </row>
    <row r="153" spans="1:8" x14ac:dyDescent="0.25">
      <c r="A153" s="90"/>
      <c r="B153" s="90"/>
      <c r="C153" s="90" t="s">
        <v>146</v>
      </c>
      <c r="D153" s="69">
        <v>0</v>
      </c>
      <c r="E153" s="69">
        <f>SUM(E163)</f>
        <v>-3602132</v>
      </c>
      <c r="F153" s="69">
        <v>0</v>
      </c>
      <c r="G153" s="69">
        <f t="shared" ref="G153:G161" si="89">F153-E153</f>
        <v>3602132</v>
      </c>
    </row>
    <row r="154" spans="1:8" x14ac:dyDescent="0.25">
      <c r="A154" s="90"/>
      <c r="B154" s="90"/>
      <c r="C154" s="90" t="s">
        <v>61</v>
      </c>
      <c r="D154" s="69">
        <f>D159</f>
        <v>-1183148</v>
      </c>
      <c r="E154" s="69">
        <f>E159</f>
        <v>-1590335</v>
      </c>
      <c r="F154" s="69">
        <f>F159+F164</f>
        <v>-1319712</v>
      </c>
      <c r="G154" s="69">
        <f t="shared" si="89"/>
        <v>270623</v>
      </c>
    </row>
    <row r="155" spans="1:8" x14ac:dyDescent="0.25">
      <c r="A155" s="90"/>
      <c r="B155" s="90"/>
      <c r="C155" s="90" t="s">
        <v>117</v>
      </c>
      <c r="D155" s="69">
        <f>D165</f>
        <v>-1500000</v>
      </c>
      <c r="E155" s="69">
        <f>E165</f>
        <v>0</v>
      </c>
      <c r="F155" s="69">
        <f t="shared" ref="F155" si="90">F165</f>
        <v>-3600000</v>
      </c>
      <c r="G155" s="69">
        <f t="shared" si="89"/>
        <v>-3600000</v>
      </c>
    </row>
    <row r="156" spans="1:8" x14ac:dyDescent="0.25">
      <c r="A156" s="70"/>
      <c r="B156" s="70"/>
      <c r="C156" s="90" t="s">
        <v>107</v>
      </c>
      <c r="D156" s="69">
        <f>D160</f>
        <v>-15783159</v>
      </c>
      <c r="E156" s="69">
        <f t="shared" ref="E156:F156" si="91">E160</f>
        <v>-16376050</v>
      </c>
      <c r="F156" s="69">
        <f t="shared" si="91"/>
        <v>-14992242</v>
      </c>
      <c r="G156" s="69">
        <f t="shared" si="89"/>
        <v>1383808</v>
      </c>
    </row>
    <row r="157" spans="1:8" x14ac:dyDescent="0.25">
      <c r="A157" s="90"/>
      <c r="B157" s="90"/>
      <c r="C157" s="90" t="s">
        <v>108</v>
      </c>
      <c r="D157" s="69">
        <f>D166+D161</f>
        <v>-731437</v>
      </c>
      <c r="E157" s="69">
        <f>E166+E161</f>
        <v>-732182</v>
      </c>
      <c r="F157" s="69">
        <f>F166+F161</f>
        <v>-1973699</v>
      </c>
      <c r="G157" s="69">
        <f t="shared" si="89"/>
        <v>-1241517</v>
      </c>
    </row>
    <row r="158" spans="1:8" x14ac:dyDescent="0.25">
      <c r="A158" s="70"/>
      <c r="B158" s="70"/>
      <c r="C158" s="70" t="s">
        <v>111</v>
      </c>
      <c r="D158" s="71">
        <f>SUM(D159:D161)</f>
        <v>-16969157</v>
      </c>
      <c r="E158" s="71">
        <f t="shared" ref="E158" si="92">SUM(E159:E161)</f>
        <v>-17969980</v>
      </c>
      <c r="F158" s="71">
        <f>SUM(F159:F161)</f>
        <v>-16314450</v>
      </c>
      <c r="G158" s="71">
        <f>F158-E158</f>
        <v>1655530</v>
      </c>
    </row>
    <row r="159" spans="1:8" x14ac:dyDescent="0.25">
      <c r="A159" s="90"/>
      <c r="B159" s="90"/>
      <c r="C159" s="90" t="s">
        <v>61</v>
      </c>
      <c r="D159" s="69">
        <v>-1183148</v>
      </c>
      <c r="E159" s="69">
        <v>-1590335</v>
      </c>
      <c r="F159" s="69">
        <v>-1318613</v>
      </c>
      <c r="G159" s="69">
        <f t="shared" si="89"/>
        <v>271722</v>
      </c>
    </row>
    <row r="160" spans="1:8" x14ac:dyDescent="0.25">
      <c r="A160" s="70"/>
      <c r="B160" s="70"/>
      <c r="C160" s="90" t="s">
        <v>107</v>
      </c>
      <c r="D160" s="69">
        <v>-15783159</v>
      </c>
      <c r="E160" s="69">
        <v>-16376050</v>
      </c>
      <c r="F160" s="69">
        <v>-14992242</v>
      </c>
      <c r="G160" s="69">
        <f t="shared" si="89"/>
        <v>1383808</v>
      </c>
    </row>
    <row r="161" spans="1:8" x14ac:dyDescent="0.25">
      <c r="A161" s="70"/>
      <c r="B161" s="70"/>
      <c r="C161" s="90" t="s">
        <v>62</v>
      </c>
      <c r="D161" s="69">
        <v>-2850</v>
      </c>
      <c r="E161" s="69">
        <v>-3595</v>
      </c>
      <c r="F161" s="69">
        <v>-3595</v>
      </c>
      <c r="G161" s="69">
        <f t="shared" si="89"/>
        <v>0</v>
      </c>
    </row>
    <row r="162" spans="1:8" s="34" customFormat="1" x14ac:dyDescent="0.25">
      <c r="A162" s="70"/>
      <c r="B162" s="70"/>
      <c r="C162" s="70" t="s">
        <v>113</v>
      </c>
      <c r="D162" s="71">
        <f>SUM(D163:D165)</f>
        <v>-1500000</v>
      </c>
      <c r="E162" s="71">
        <f t="shared" ref="E162:F162" si="93">SUM(E163:E165)</f>
        <v>-3602132</v>
      </c>
      <c r="F162" s="71">
        <f t="shared" si="93"/>
        <v>-3601099</v>
      </c>
      <c r="G162" s="71">
        <f t="shared" ref="G162:G165" si="94">F162-E162</f>
        <v>1033</v>
      </c>
      <c r="H162" s="17"/>
    </row>
    <row r="163" spans="1:8" x14ac:dyDescent="0.25">
      <c r="A163" s="90"/>
      <c r="B163" s="90"/>
      <c r="C163" s="90" t="s">
        <v>146</v>
      </c>
      <c r="D163" s="69">
        <v>0</v>
      </c>
      <c r="E163" s="69">
        <v>-3602132</v>
      </c>
      <c r="F163" s="69">
        <v>0</v>
      </c>
      <c r="G163" s="69">
        <f t="shared" si="94"/>
        <v>3602132</v>
      </c>
    </row>
    <row r="164" spans="1:8" ht="16.5" customHeight="1" x14ac:dyDescent="0.25">
      <c r="A164" s="90"/>
      <c r="B164" s="90"/>
      <c r="C164" s="90" t="s">
        <v>61</v>
      </c>
      <c r="D164" s="69">
        <v>0</v>
      </c>
      <c r="E164" s="69">
        <v>0</v>
      </c>
      <c r="F164" s="69">
        <v>-1099</v>
      </c>
      <c r="G164" s="69">
        <f t="shared" si="94"/>
        <v>-1099</v>
      </c>
    </row>
    <row r="165" spans="1:8" x14ac:dyDescent="0.25">
      <c r="A165" s="90"/>
      <c r="B165" s="90"/>
      <c r="C165" s="90" t="s">
        <v>117</v>
      </c>
      <c r="D165" s="69">
        <v>-1500000</v>
      </c>
      <c r="E165" s="69">
        <v>0</v>
      </c>
      <c r="F165" s="69">
        <v>-3600000</v>
      </c>
      <c r="G165" s="69">
        <f t="shared" si="94"/>
        <v>-3600000</v>
      </c>
    </row>
    <row r="166" spans="1:8" s="34" customFormat="1" x14ac:dyDescent="0.25">
      <c r="A166" s="70"/>
      <c r="B166" s="70"/>
      <c r="C166" s="70" t="s">
        <v>116</v>
      </c>
      <c r="D166" s="71">
        <v>-728587</v>
      </c>
      <c r="E166" s="71">
        <f t="shared" ref="E166" si="95">D166</f>
        <v>-728587</v>
      </c>
      <c r="F166" s="71">
        <v>-1970104</v>
      </c>
      <c r="G166" s="71">
        <f t="shared" ref="G166" si="96">F166-E166</f>
        <v>-1241517</v>
      </c>
      <c r="H166" s="17"/>
    </row>
    <row r="167" spans="1:8" ht="14.25" customHeight="1" x14ac:dyDescent="0.25">
      <c r="A167" s="70"/>
      <c r="B167" s="70" t="s">
        <v>121</v>
      </c>
      <c r="C167" s="70"/>
      <c r="D167" s="71">
        <f>SUM(D168:D168)</f>
        <v>-900235</v>
      </c>
      <c r="E167" s="71">
        <f>SUM(E168:E168)</f>
        <v>0</v>
      </c>
      <c r="F167" s="71">
        <f>SUM(F168:F168)</f>
        <v>0</v>
      </c>
      <c r="G167" s="71">
        <f>F167-E167</f>
        <v>0</v>
      </c>
    </row>
    <row r="168" spans="1:8" x14ac:dyDescent="0.25">
      <c r="A168" s="90"/>
      <c r="B168" s="90"/>
      <c r="C168" s="90" t="s">
        <v>61</v>
      </c>
      <c r="D168" s="69">
        <f>D170</f>
        <v>-900235</v>
      </c>
      <c r="E168" s="69">
        <f t="shared" ref="E168:F168" si="97">E170</f>
        <v>0</v>
      </c>
      <c r="F168" s="69">
        <f t="shared" si="97"/>
        <v>0</v>
      </c>
      <c r="G168" s="69">
        <f t="shared" ref="G168" si="98">F168-E168</f>
        <v>0</v>
      </c>
    </row>
    <row r="169" spans="1:8" x14ac:dyDescent="0.25">
      <c r="A169" s="70"/>
      <c r="B169" s="70"/>
      <c r="C169" s="70" t="s">
        <v>111</v>
      </c>
      <c r="D169" s="71">
        <f>SUM(D170:D170)</f>
        <v>-900235</v>
      </c>
      <c r="E169" s="71">
        <f>SUM(E170:E170)</f>
        <v>0</v>
      </c>
      <c r="F169" s="71">
        <f>SUM(F170:F170)</f>
        <v>0</v>
      </c>
      <c r="G169" s="71">
        <f>F169-E169</f>
        <v>0</v>
      </c>
    </row>
    <row r="170" spans="1:8" x14ac:dyDescent="0.25">
      <c r="A170" s="70"/>
      <c r="B170" s="70"/>
      <c r="C170" s="90" t="s">
        <v>61</v>
      </c>
      <c r="D170" s="69">
        <v>-900235</v>
      </c>
      <c r="E170" s="69">
        <v>0</v>
      </c>
      <c r="F170" s="71">
        <v>0</v>
      </c>
      <c r="G170" s="69">
        <f t="shared" ref="G170" si="99">F170-E170</f>
        <v>0</v>
      </c>
    </row>
    <row r="171" spans="1:8" ht="14.25" customHeight="1" x14ac:dyDescent="0.25">
      <c r="A171" s="70"/>
      <c r="B171" s="70" t="s">
        <v>122</v>
      </c>
      <c r="C171" s="70"/>
      <c r="D171" s="71">
        <f>SUM(D173:D177)</f>
        <v>-133814243</v>
      </c>
      <c r="E171" s="71">
        <f>SUM(E172:E177)</f>
        <v>-133050925</v>
      </c>
      <c r="F171" s="71">
        <f>SUM(F173:F177)</f>
        <v>-131389840</v>
      </c>
      <c r="G171" s="71">
        <f>F171-E171</f>
        <v>1661085</v>
      </c>
    </row>
    <row r="172" spans="1:8" ht="16.5" customHeight="1" x14ac:dyDescent="0.25">
      <c r="A172" s="90"/>
      <c r="B172" s="90"/>
      <c r="C172" s="90" t="s">
        <v>146</v>
      </c>
      <c r="D172" s="69">
        <v>0</v>
      </c>
      <c r="E172" s="69">
        <v>-426867</v>
      </c>
      <c r="F172" s="69">
        <v>0</v>
      </c>
      <c r="G172" s="69">
        <f t="shared" ref="G172:G177" si="100">F172-E172</f>
        <v>426867</v>
      </c>
    </row>
    <row r="173" spans="1:8" x14ac:dyDescent="0.25">
      <c r="A173" s="90"/>
      <c r="B173" s="90"/>
      <c r="C173" s="90" t="s">
        <v>60</v>
      </c>
      <c r="D173" s="69">
        <f>SUM(D179+D188)</f>
        <v>-62125129</v>
      </c>
      <c r="E173" s="69">
        <f>SUM(E179+E188)</f>
        <v>-55744471</v>
      </c>
      <c r="F173" s="69">
        <f>SUM(F179+F188)</f>
        <v>-55022699</v>
      </c>
      <c r="G173" s="69">
        <f t="shared" si="100"/>
        <v>721772</v>
      </c>
    </row>
    <row r="174" spans="1:8" x14ac:dyDescent="0.25">
      <c r="A174" s="90"/>
      <c r="B174" s="90"/>
      <c r="C174" s="90" t="s">
        <v>61</v>
      </c>
      <c r="D174" s="69">
        <f>D180+D189</f>
        <v>-19729722</v>
      </c>
      <c r="E174" s="69">
        <f>E180+E189</f>
        <v>-19877291</v>
      </c>
      <c r="F174" s="69">
        <f>F180+F189</f>
        <v>-17891041</v>
      </c>
      <c r="G174" s="69">
        <f t="shared" si="100"/>
        <v>1986250</v>
      </c>
    </row>
    <row r="175" spans="1:8" x14ac:dyDescent="0.25">
      <c r="A175" s="90"/>
      <c r="B175" s="90"/>
      <c r="C175" s="90" t="s">
        <v>107</v>
      </c>
      <c r="D175" s="69">
        <f>D182</f>
        <v>-650500</v>
      </c>
      <c r="E175" s="69">
        <f t="shared" ref="E175:F175" si="101">E182</f>
        <v>-862815</v>
      </c>
      <c r="F175" s="69">
        <f t="shared" si="101"/>
        <v>-653496</v>
      </c>
      <c r="G175" s="69">
        <f t="shared" si="100"/>
        <v>209319</v>
      </c>
    </row>
    <row r="176" spans="1:8" x14ac:dyDescent="0.25">
      <c r="A176" s="90"/>
      <c r="B176" s="90"/>
      <c r="C176" s="90" t="s">
        <v>106</v>
      </c>
      <c r="D176" s="69">
        <f>SUM(D181)</f>
        <v>0</v>
      </c>
      <c r="E176" s="69">
        <f>SUM(E181)</f>
        <v>-54250</v>
      </c>
      <c r="F176" s="69">
        <f>SUM(F181)</f>
        <v>-48132</v>
      </c>
      <c r="G176" s="69">
        <f t="shared" si="100"/>
        <v>6118</v>
      </c>
    </row>
    <row r="177" spans="1:8" x14ac:dyDescent="0.25">
      <c r="A177" s="90"/>
      <c r="B177" s="90"/>
      <c r="C177" s="90" t="s">
        <v>108</v>
      </c>
      <c r="D177" s="69">
        <f>D183+D185+D190</f>
        <v>-51308892</v>
      </c>
      <c r="E177" s="69">
        <f>E183+E185+E190</f>
        <v>-56085231</v>
      </c>
      <c r="F177" s="69">
        <f>F183+F185+F190</f>
        <v>-57774472</v>
      </c>
      <c r="G177" s="69">
        <f t="shared" si="100"/>
        <v>-1689241</v>
      </c>
    </row>
    <row r="178" spans="1:8" x14ac:dyDescent="0.25">
      <c r="A178" s="70"/>
      <c r="B178" s="70"/>
      <c r="C178" s="70" t="s">
        <v>111</v>
      </c>
      <c r="D178" s="71">
        <f>SUM(D179:D183)</f>
        <v>-92661675</v>
      </c>
      <c r="E178" s="71">
        <f t="shared" ref="E178:F178" si="102">SUM(E179:E183)</f>
        <v>-91471490</v>
      </c>
      <c r="F178" s="71">
        <f t="shared" si="102"/>
        <v>-86888683</v>
      </c>
      <c r="G178" s="71">
        <f>F178-E178</f>
        <v>4582807</v>
      </c>
    </row>
    <row r="179" spans="1:8" x14ac:dyDescent="0.25">
      <c r="A179" s="90"/>
      <c r="B179" s="90"/>
      <c r="C179" s="90" t="s">
        <v>60</v>
      </c>
      <c r="D179" s="69">
        <v>-62125129</v>
      </c>
      <c r="E179" s="97">
        <v>-55744471</v>
      </c>
      <c r="F179" s="69">
        <v>-54944796</v>
      </c>
      <c r="G179" s="69">
        <f t="shared" ref="G179:G185" si="103">F179-E179</f>
        <v>799675</v>
      </c>
    </row>
    <row r="180" spans="1:8" x14ac:dyDescent="0.25">
      <c r="A180" s="70"/>
      <c r="B180" s="70"/>
      <c r="C180" s="90" t="s">
        <v>61</v>
      </c>
      <c r="D180" s="69">
        <v>-19729722</v>
      </c>
      <c r="E180" s="69">
        <v>-19877291</v>
      </c>
      <c r="F180" s="69">
        <v>-17823003</v>
      </c>
      <c r="G180" s="69">
        <f t="shared" si="103"/>
        <v>2054288</v>
      </c>
    </row>
    <row r="181" spans="1:8" x14ac:dyDescent="0.25">
      <c r="A181" s="70"/>
      <c r="B181" s="70"/>
      <c r="C181" s="90" t="s">
        <v>106</v>
      </c>
      <c r="D181" s="69">
        <v>0</v>
      </c>
      <c r="E181" s="69">
        <v>-54250</v>
      </c>
      <c r="F181" s="69">
        <v>-48132</v>
      </c>
      <c r="G181" s="69">
        <f t="shared" si="103"/>
        <v>6118</v>
      </c>
    </row>
    <row r="182" spans="1:8" x14ac:dyDescent="0.25">
      <c r="A182" s="70"/>
      <c r="B182" s="70"/>
      <c r="C182" s="90" t="s">
        <v>107</v>
      </c>
      <c r="D182" s="69">
        <v>-650500</v>
      </c>
      <c r="E182" s="69">
        <v>-862815</v>
      </c>
      <c r="F182" s="69">
        <v>-653496</v>
      </c>
      <c r="G182" s="69">
        <f t="shared" si="103"/>
        <v>209319</v>
      </c>
    </row>
    <row r="183" spans="1:8" x14ac:dyDescent="0.25">
      <c r="A183" s="70"/>
      <c r="B183" s="70"/>
      <c r="C183" s="90" t="s">
        <v>62</v>
      </c>
      <c r="D183" s="69">
        <v>-10156324</v>
      </c>
      <c r="E183" s="69">
        <f>-14932666+3</f>
        <v>-14932663</v>
      </c>
      <c r="F183" s="98">
        <f>-13419259+3</f>
        <v>-13419256</v>
      </c>
      <c r="G183" s="69">
        <f t="shared" si="103"/>
        <v>1513407</v>
      </c>
    </row>
    <row r="184" spans="1:8" ht="16.5" customHeight="1" x14ac:dyDescent="0.25">
      <c r="A184" s="90"/>
      <c r="B184" s="90"/>
      <c r="C184" s="70" t="s">
        <v>112</v>
      </c>
      <c r="D184" s="71">
        <f>SUM(D185)</f>
        <v>0</v>
      </c>
      <c r="E184" s="71">
        <f t="shared" ref="E184" si="104">SUM(E185)</f>
        <v>0</v>
      </c>
      <c r="F184" s="71">
        <f>SUM(F185)</f>
        <v>-2746953</v>
      </c>
      <c r="G184" s="69">
        <f t="shared" si="103"/>
        <v>-2746953</v>
      </c>
    </row>
    <row r="185" spans="1:8" s="34" customFormat="1" ht="19.5" customHeight="1" x14ac:dyDescent="0.25">
      <c r="A185" s="90"/>
      <c r="B185" s="90"/>
      <c r="C185" s="90" t="s">
        <v>62</v>
      </c>
      <c r="D185" s="69">
        <v>0</v>
      </c>
      <c r="E185" s="93">
        <v>0</v>
      </c>
      <c r="F185" s="93">
        <f>-2746950-3</f>
        <v>-2746953</v>
      </c>
      <c r="G185" s="69">
        <f t="shared" si="103"/>
        <v>-2746953</v>
      </c>
      <c r="H185" s="17"/>
    </row>
    <row r="186" spans="1:8" s="34" customFormat="1" ht="14.25" customHeight="1" x14ac:dyDescent="0.25">
      <c r="A186" s="70"/>
      <c r="B186" s="70"/>
      <c r="C186" s="70" t="s">
        <v>114</v>
      </c>
      <c r="D186" s="71">
        <f>SUM(D187:D189)</f>
        <v>0</v>
      </c>
      <c r="E186" s="71">
        <f>SUM(E187:E189)</f>
        <v>-426869</v>
      </c>
      <c r="F186" s="71">
        <f>SUM(F187:F189)</f>
        <v>-145941</v>
      </c>
      <c r="G186" s="71">
        <f>F186-E186</f>
        <v>280928</v>
      </c>
      <c r="H186" s="17"/>
    </row>
    <row r="187" spans="1:8" ht="16.5" customHeight="1" x14ac:dyDescent="0.25">
      <c r="A187" s="90"/>
      <c r="B187" s="90"/>
      <c r="C187" s="90" t="s">
        <v>146</v>
      </c>
      <c r="D187" s="69">
        <v>0</v>
      </c>
      <c r="E187" s="69">
        <f>-426867-2</f>
        <v>-426869</v>
      </c>
      <c r="F187" s="69">
        <v>0</v>
      </c>
      <c r="G187" s="69">
        <f t="shared" ref="G187:G189" si="105">F187-E187</f>
        <v>426869</v>
      </c>
    </row>
    <row r="188" spans="1:8" ht="16.5" customHeight="1" x14ac:dyDescent="0.25">
      <c r="A188" s="90"/>
      <c r="B188" s="90"/>
      <c r="C188" s="90" t="s">
        <v>60</v>
      </c>
      <c r="D188" s="69">
        <v>0</v>
      </c>
      <c r="E188" s="69">
        <v>0</v>
      </c>
      <c r="F188" s="69">
        <v>-77903</v>
      </c>
      <c r="G188" s="69">
        <f t="shared" si="105"/>
        <v>-77903</v>
      </c>
    </row>
    <row r="189" spans="1:8" ht="16.5" customHeight="1" x14ac:dyDescent="0.25">
      <c r="A189" s="90"/>
      <c r="B189" s="90"/>
      <c r="C189" s="90" t="s">
        <v>61</v>
      </c>
      <c r="D189" s="69">
        <v>0</v>
      </c>
      <c r="E189" s="69">
        <v>0</v>
      </c>
      <c r="F189" s="69">
        <f>-68038</f>
        <v>-68038</v>
      </c>
      <c r="G189" s="69">
        <f t="shared" si="105"/>
        <v>-68038</v>
      </c>
    </row>
    <row r="190" spans="1:8" s="34" customFormat="1" x14ac:dyDescent="0.25">
      <c r="A190" s="70"/>
      <c r="B190" s="70"/>
      <c r="C190" s="70" t="s">
        <v>116</v>
      </c>
      <c r="D190" s="71">
        <v>-41152568</v>
      </c>
      <c r="E190" s="71">
        <f t="shared" ref="E190" si="106">D190</f>
        <v>-41152568</v>
      </c>
      <c r="F190" s="97">
        <v>-41608263</v>
      </c>
      <c r="G190" s="71">
        <f t="shared" ref="G190" si="107">F190-E190</f>
        <v>-455695</v>
      </c>
      <c r="H190" s="17"/>
    </row>
    <row r="191" spans="1:8" ht="14.25" customHeight="1" x14ac:dyDescent="0.25">
      <c r="A191" s="70"/>
      <c r="B191" s="70" t="s">
        <v>120</v>
      </c>
      <c r="C191" s="70"/>
      <c r="D191" s="71">
        <f>SUM(D192:D197)</f>
        <v>-176278921</v>
      </c>
      <c r="E191" s="71">
        <f>SUM(E192:E197)</f>
        <v>-244679991</v>
      </c>
      <c r="F191" s="71">
        <f>SUM(F192:F197)</f>
        <v>-221025611</v>
      </c>
      <c r="G191" s="71">
        <f>F191-E191</f>
        <v>23654380</v>
      </c>
    </row>
    <row r="192" spans="1:8" ht="15.75" customHeight="1" x14ac:dyDescent="0.25">
      <c r="A192" s="90"/>
      <c r="B192" s="90"/>
      <c r="C192" s="90" t="s">
        <v>146</v>
      </c>
      <c r="D192" s="69">
        <v>0</v>
      </c>
      <c r="E192" s="69">
        <f>SUM(E206+E212)</f>
        <v>-49047535</v>
      </c>
      <c r="F192" s="69">
        <v>0</v>
      </c>
      <c r="G192" s="69">
        <f t="shared" ref="G192:G197" si="108">F192-E192</f>
        <v>49047535</v>
      </c>
    </row>
    <row r="193" spans="1:8" ht="14.25" customHeight="1" x14ac:dyDescent="0.25">
      <c r="A193" s="90"/>
      <c r="B193" s="90"/>
      <c r="C193" s="90" t="s">
        <v>60</v>
      </c>
      <c r="D193" s="69">
        <f t="shared" ref="D193:F194" si="109">D199+D207+D213</f>
        <v>-6644988</v>
      </c>
      <c r="E193" s="69">
        <f t="shared" si="109"/>
        <v>-6795577</v>
      </c>
      <c r="F193" s="69">
        <f t="shared" si="109"/>
        <v>-6800472</v>
      </c>
      <c r="G193" s="69">
        <f t="shared" si="108"/>
        <v>-4895</v>
      </c>
    </row>
    <row r="194" spans="1:8" x14ac:dyDescent="0.25">
      <c r="A194" s="90"/>
      <c r="B194" s="90"/>
      <c r="C194" s="90" t="s">
        <v>61</v>
      </c>
      <c r="D194" s="69">
        <f t="shared" si="109"/>
        <v>-147356222</v>
      </c>
      <c r="E194" s="69">
        <f t="shared" si="109"/>
        <v>-158410709</v>
      </c>
      <c r="F194" s="69">
        <f t="shared" si="109"/>
        <v>-172443174</v>
      </c>
      <c r="G194" s="69">
        <f t="shared" si="108"/>
        <v>-14032465</v>
      </c>
    </row>
    <row r="195" spans="1:8" x14ac:dyDescent="0.25">
      <c r="A195" s="90"/>
      <c r="B195" s="90"/>
      <c r="C195" s="90" t="s">
        <v>117</v>
      </c>
      <c r="D195" s="69">
        <f>SUM(D209)</f>
        <v>0</v>
      </c>
      <c r="E195" s="69">
        <f>SUM(E209)</f>
        <v>0</v>
      </c>
      <c r="F195" s="69">
        <f>SUM(F209)</f>
        <v>-4494872</v>
      </c>
      <c r="G195" s="69">
        <f t="shared" si="108"/>
        <v>-4494872</v>
      </c>
    </row>
    <row r="196" spans="1:8" x14ac:dyDescent="0.25">
      <c r="A196" s="90"/>
      <c r="B196" s="90"/>
      <c r="C196" s="90" t="s">
        <v>107</v>
      </c>
      <c r="D196" s="69">
        <f>D201+D210</f>
        <v>-4892400</v>
      </c>
      <c r="E196" s="69">
        <f>E201+E210</f>
        <v>-9768778</v>
      </c>
      <c r="F196" s="69">
        <f>F201+F210</f>
        <v>-5388221</v>
      </c>
      <c r="G196" s="69">
        <f t="shared" si="108"/>
        <v>4380557</v>
      </c>
    </row>
    <row r="197" spans="1:8" x14ac:dyDescent="0.25">
      <c r="A197" s="90"/>
      <c r="B197" s="90"/>
      <c r="C197" s="90" t="s">
        <v>108</v>
      </c>
      <c r="D197" s="69">
        <f>D202+D215</f>
        <v>-17385311</v>
      </c>
      <c r="E197" s="69">
        <f t="shared" ref="E197" si="110">E202+E215</f>
        <v>-20657392</v>
      </c>
      <c r="F197" s="69">
        <f>F202+F215+F204</f>
        <v>-31898872</v>
      </c>
      <c r="G197" s="69">
        <f t="shared" si="108"/>
        <v>-11241480</v>
      </c>
    </row>
    <row r="198" spans="1:8" x14ac:dyDescent="0.25">
      <c r="A198" s="70"/>
      <c r="B198" s="70"/>
      <c r="C198" s="70" t="s">
        <v>111</v>
      </c>
      <c r="D198" s="71">
        <f>SUM(D199:D202)</f>
        <v>-159104393</v>
      </c>
      <c r="E198" s="71">
        <f t="shared" ref="E198:G198" si="111">SUM(E199:E202)</f>
        <v>-178457928</v>
      </c>
      <c r="F198" s="71">
        <f t="shared" si="111"/>
        <v>-170007923</v>
      </c>
      <c r="G198" s="71">
        <f t="shared" si="111"/>
        <v>8450005</v>
      </c>
    </row>
    <row r="199" spans="1:8" x14ac:dyDescent="0.25">
      <c r="A199" s="90"/>
      <c r="B199" s="90"/>
      <c r="C199" s="90" t="s">
        <v>60</v>
      </c>
      <c r="D199" s="69">
        <v>-6644988</v>
      </c>
      <c r="E199" s="69">
        <v>-6795577</v>
      </c>
      <c r="F199" s="69">
        <v>-6786384</v>
      </c>
      <c r="G199" s="69">
        <f t="shared" ref="G199:G204" si="112">F199-E199</f>
        <v>9193</v>
      </c>
    </row>
    <row r="200" spans="1:8" x14ac:dyDescent="0.25">
      <c r="A200" s="70"/>
      <c r="B200" s="70"/>
      <c r="C200" s="90" t="s">
        <v>61</v>
      </c>
      <c r="D200" s="69">
        <v>-147356222</v>
      </c>
      <c r="E200" s="69">
        <v>-158410709</v>
      </c>
      <c r="F200" s="69">
        <v>-154923190</v>
      </c>
      <c r="G200" s="69">
        <f t="shared" si="112"/>
        <v>3487519</v>
      </c>
    </row>
    <row r="201" spans="1:8" x14ac:dyDescent="0.25">
      <c r="A201" s="70"/>
      <c r="B201" s="70"/>
      <c r="C201" s="90" t="s">
        <v>107</v>
      </c>
      <c r="D201" s="69">
        <v>-4892400</v>
      </c>
      <c r="E201" s="69">
        <v>-9768778</v>
      </c>
      <c r="F201" s="69">
        <v>-5352120</v>
      </c>
      <c r="G201" s="69">
        <f t="shared" si="112"/>
        <v>4416658</v>
      </c>
    </row>
    <row r="202" spans="1:8" x14ac:dyDescent="0.25">
      <c r="A202" s="70"/>
      <c r="B202" s="70"/>
      <c r="C202" s="90" t="s">
        <v>62</v>
      </c>
      <c r="D202" s="69">
        <v>-210783</v>
      </c>
      <c r="E202" s="69">
        <f>-3482864</f>
        <v>-3482864</v>
      </c>
      <c r="F202" s="69">
        <v>-2946229</v>
      </c>
      <c r="G202" s="69">
        <f t="shared" si="112"/>
        <v>536635</v>
      </c>
    </row>
    <row r="203" spans="1:8" ht="19.5" customHeight="1" x14ac:dyDescent="0.25">
      <c r="A203" s="90"/>
      <c r="B203" s="90"/>
      <c r="C203" s="70" t="s">
        <v>112</v>
      </c>
      <c r="D203" s="71">
        <f>SUM(D204)</f>
        <v>0</v>
      </c>
      <c r="E203" s="71">
        <f t="shared" ref="E203" si="113">SUM(E204)</f>
        <v>0</v>
      </c>
      <c r="F203" s="71">
        <f>SUM(F204)</f>
        <v>3096714</v>
      </c>
      <c r="G203" s="69">
        <f t="shared" si="112"/>
        <v>3096714</v>
      </c>
    </row>
    <row r="204" spans="1:8" s="34" customFormat="1" ht="15.75" customHeight="1" x14ac:dyDescent="0.25">
      <c r="A204" s="90"/>
      <c r="B204" s="90"/>
      <c r="C204" s="90" t="s">
        <v>62</v>
      </c>
      <c r="D204" s="69">
        <v>0</v>
      </c>
      <c r="E204" s="93">
        <v>0</v>
      </c>
      <c r="F204" s="93">
        <v>3096714</v>
      </c>
      <c r="G204" s="69">
        <f t="shared" si="112"/>
        <v>3096714</v>
      </c>
      <c r="H204" s="17"/>
    </row>
    <row r="205" spans="1:8" ht="17.25" customHeight="1" x14ac:dyDescent="0.25">
      <c r="A205" s="70"/>
      <c r="B205" s="70"/>
      <c r="C205" s="70" t="s">
        <v>113</v>
      </c>
      <c r="D205" s="71">
        <f>SUM(D206:D208)</f>
        <v>0</v>
      </c>
      <c r="E205" s="71">
        <f>SUM(E206:E208)</f>
        <v>-46837052</v>
      </c>
      <c r="F205" s="71">
        <f>SUM(F206:F210)</f>
        <v>-19976905</v>
      </c>
      <c r="G205" s="71">
        <f>F205-E205</f>
        <v>26860147</v>
      </c>
    </row>
    <row r="206" spans="1:8" ht="15.75" customHeight="1" x14ac:dyDescent="0.25">
      <c r="A206" s="90"/>
      <c r="B206" s="90"/>
      <c r="C206" s="90" t="s">
        <v>146</v>
      </c>
      <c r="D206" s="69">
        <v>0</v>
      </c>
      <c r="E206" s="69">
        <v>-46837052</v>
      </c>
      <c r="F206" s="69">
        <v>0</v>
      </c>
      <c r="G206" s="69">
        <f t="shared" ref="G206:G214" si="114">F206-E206</f>
        <v>46837052</v>
      </c>
    </row>
    <row r="207" spans="1:8" x14ac:dyDescent="0.25">
      <c r="A207" s="90"/>
      <c r="B207" s="90"/>
      <c r="C207" s="90" t="s">
        <v>60</v>
      </c>
      <c r="D207" s="69">
        <v>0</v>
      </c>
      <c r="E207" s="69">
        <v>0</v>
      </c>
      <c r="F207" s="69">
        <v>-2895</v>
      </c>
      <c r="G207" s="69">
        <f t="shared" si="114"/>
        <v>-2895</v>
      </c>
    </row>
    <row r="208" spans="1:8" x14ac:dyDescent="0.25">
      <c r="A208" s="90"/>
      <c r="B208" s="90"/>
      <c r="C208" s="90" t="s">
        <v>61</v>
      </c>
      <c r="D208" s="69">
        <v>0</v>
      </c>
      <c r="E208" s="69">
        <v>0</v>
      </c>
      <c r="F208" s="69">
        <v>-15443037</v>
      </c>
      <c r="G208" s="69">
        <f t="shared" si="114"/>
        <v>-15443037</v>
      </c>
    </row>
    <row r="209" spans="1:8" x14ac:dyDescent="0.25">
      <c r="A209" s="90"/>
      <c r="B209" s="90"/>
      <c r="C209" s="90" t="s">
        <v>117</v>
      </c>
      <c r="D209" s="69">
        <v>0</v>
      </c>
      <c r="E209" s="69">
        <v>0</v>
      </c>
      <c r="F209" s="69">
        <v>-4494872</v>
      </c>
      <c r="G209" s="69">
        <f t="shared" si="114"/>
        <v>-4494872</v>
      </c>
    </row>
    <row r="210" spans="1:8" x14ac:dyDescent="0.25">
      <c r="A210" s="90"/>
      <c r="B210" s="90"/>
      <c r="C210" s="90" t="s">
        <v>107</v>
      </c>
      <c r="D210" s="69">
        <v>0</v>
      </c>
      <c r="E210" s="69">
        <v>0</v>
      </c>
      <c r="F210" s="69">
        <v>-36101</v>
      </c>
      <c r="G210" s="69">
        <f t="shared" si="114"/>
        <v>-36101</v>
      </c>
    </row>
    <row r="211" spans="1:8" s="34" customFormat="1" x14ac:dyDescent="0.25">
      <c r="A211" s="70"/>
      <c r="B211" s="70"/>
      <c r="C211" s="70" t="s">
        <v>114</v>
      </c>
      <c r="D211" s="71">
        <f>SUM(D212:D214)</f>
        <v>0</v>
      </c>
      <c r="E211" s="71">
        <f>SUM(E212:E214)</f>
        <v>-2210483</v>
      </c>
      <c r="F211" s="71">
        <f>SUM(F212:F214)</f>
        <v>-2088140</v>
      </c>
      <c r="G211" s="69">
        <f t="shared" si="114"/>
        <v>122343</v>
      </c>
      <c r="H211" s="17"/>
    </row>
    <row r="212" spans="1:8" x14ac:dyDescent="0.25">
      <c r="A212" s="90"/>
      <c r="B212" s="90"/>
      <c r="C212" s="90" t="s">
        <v>146</v>
      </c>
      <c r="D212" s="69">
        <v>0</v>
      </c>
      <c r="E212" s="69">
        <v>-2210483</v>
      </c>
      <c r="F212" s="69">
        <v>0</v>
      </c>
      <c r="G212" s="69">
        <f t="shared" si="114"/>
        <v>2210483</v>
      </c>
    </row>
    <row r="213" spans="1:8" x14ac:dyDescent="0.25">
      <c r="A213" s="90"/>
      <c r="B213" s="90"/>
      <c r="C213" s="90" t="s">
        <v>60</v>
      </c>
      <c r="D213" s="69">
        <v>0</v>
      </c>
      <c r="E213" s="69">
        <v>0</v>
      </c>
      <c r="F213" s="69">
        <v>-11193</v>
      </c>
      <c r="G213" s="69">
        <f t="shared" si="114"/>
        <v>-11193</v>
      </c>
    </row>
    <row r="214" spans="1:8" x14ac:dyDescent="0.25">
      <c r="A214" s="90"/>
      <c r="B214" s="90"/>
      <c r="C214" s="90" t="s">
        <v>61</v>
      </c>
      <c r="D214" s="69">
        <v>0</v>
      </c>
      <c r="E214" s="69">
        <v>0</v>
      </c>
      <c r="F214" s="69">
        <v>-2076947</v>
      </c>
      <c r="G214" s="69">
        <f t="shared" si="114"/>
        <v>-2076947</v>
      </c>
    </row>
    <row r="215" spans="1:8" s="34" customFormat="1" ht="17.25" customHeight="1" x14ac:dyDescent="0.25">
      <c r="A215" s="70"/>
      <c r="B215" s="70"/>
      <c r="C215" s="70" t="s">
        <v>116</v>
      </c>
      <c r="D215" s="71">
        <v>-17174528</v>
      </c>
      <c r="E215" s="71">
        <f t="shared" ref="E215" si="115">D215</f>
        <v>-17174528</v>
      </c>
      <c r="F215" s="69">
        <v>-32049357</v>
      </c>
      <c r="G215" s="71">
        <f t="shared" ref="G215" si="116">F215-E215</f>
        <v>-14874829</v>
      </c>
      <c r="H215" s="17"/>
    </row>
    <row r="216" spans="1:8" ht="15.75" x14ac:dyDescent="0.25">
      <c r="A216" s="94" t="s">
        <v>128</v>
      </c>
      <c r="B216" s="95"/>
      <c r="C216" s="95"/>
      <c r="D216" s="96">
        <f>SUM(D217:D221)</f>
        <v>-57429983</v>
      </c>
      <c r="E216" s="96">
        <f>SUM(E217:E221)</f>
        <v>-51580983.825115658</v>
      </c>
      <c r="F216" s="96">
        <f>SUM(F217:F221)</f>
        <v>-49594694.399999999</v>
      </c>
      <c r="G216" s="71">
        <f>F216-E216</f>
        <v>1986289.4251156598</v>
      </c>
      <c r="H216" s="37" t="s">
        <v>84</v>
      </c>
    </row>
    <row r="217" spans="1:8" x14ac:dyDescent="0.25">
      <c r="A217" s="90"/>
      <c r="B217" s="90" t="s">
        <v>111</v>
      </c>
      <c r="C217" s="90"/>
      <c r="D217" s="69">
        <f>D229+D247+D255+D265</f>
        <v>-55836669</v>
      </c>
      <c r="E217" s="69">
        <f>E229+E247+E255+E265</f>
        <v>-49860649.825115658</v>
      </c>
      <c r="F217" s="69">
        <f>F229+F247+F255+F265</f>
        <v>-44585847</v>
      </c>
      <c r="G217" s="69">
        <f t="shared" ref="G217:G221" si="117">F217-E217</f>
        <v>5274802.8251156583</v>
      </c>
    </row>
    <row r="218" spans="1:8" x14ac:dyDescent="0.25">
      <c r="A218" s="90"/>
      <c r="B218" s="90" t="s">
        <v>112</v>
      </c>
      <c r="C218" s="90"/>
      <c r="D218" s="69">
        <f>SUM(D235)</f>
        <v>0</v>
      </c>
      <c r="E218" s="69">
        <f t="shared" ref="E218" si="118">SUM(E235)</f>
        <v>0</v>
      </c>
      <c r="F218" s="69">
        <f>SUM(F235)</f>
        <v>-32309</v>
      </c>
      <c r="G218" s="69">
        <f t="shared" si="117"/>
        <v>-32309</v>
      </c>
    </row>
    <row r="219" spans="1:8" x14ac:dyDescent="0.25">
      <c r="A219" s="90"/>
      <c r="B219" s="90" t="s">
        <v>113</v>
      </c>
      <c r="C219" s="90"/>
      <c r="D219" s="69">
        <f>SUM(D237+D267)</f>
        <v>0</v>
      </c>
      <c r="E219" s="69">
        <f>E237+E267</f>
        <v>-112020</v>
      </c>
      <c r="F219" s="69">
        <f>F237+F267</f>
        <v>-83696.399999999994</v>
      </c>
      <c r="G219" s="69">
        <f t="shared" si="117"/>
        <v>28323.600000000006</v>
      </c>
    </row>
    <row r="220" spans="1:8" x14ac:dyDescent="0.25">
      <c r="A220" s="90"/>
      <c r="B220" s="90" t="s">
        <v>114</v>
      </c>
      <c r="C220" s="90"/>
      <c r="D220" s="69">
        <f>SUM(D240)</f>
        <v>0</v>
      </c>
      <c r="E220" s="69">
        <f>SUM(E240)</f>
        <v>-15000</v>
      </c>
      <c r="F220" s="69">
        <f t="shared" ref="F220" si="119">SUM(F240)</f>
        <v>-15000</v>
      </c>
      <c r="G220" s="69">
        <f t="shared" si="117"/>
        <v>0</v>
      </c>
    </row>
    <row r="221" spans="1:8" x14ac:dyDescent="0.25">
      <c r="A221" s="90"/>
      <c r="B221" s="90" t="s">
        <v>115</v>
      </c>
      <c r="C221" s="90"/>
      <c r="D221" s="69">
        <f>D260+D269+D243+D228</f>
        <v>-1593314</v>
      </c>
      <c r="E221" s="69">
        <f>E260+E269+E243</f>
        <v>-1593314</v>
      </c>
      <c r="F221" s="69">
        <f>F260+F269+F243</f>
        <v>-4877842</v>
      </c>
      <c r="G221" s="69">
        <f t="shared" si="117"/>
        <v>-3284528</v>
      </c>
    </row>
    <row r="222" spans="1:8" ht="14.25" customHeight="1" x14ac:dyDescent="0.25">
      <c r="A222" s="70"/>
      <c r="B222" s="70" t="s">
        <v>37</v>
      </c>
      <c r="C222" s="70"/>
      <c r="D222" s="71">
        <f>SUM(D223:D228)</f>
        <v>-20577249</v>
      </c>
      <c r="E222" s="71">
        <f t="shared" ref="E222" si="120">SUM(E223:E228)</f>
        <v>-12117872.82511566</v>
      </c>
      <c r="F222" s="71">
        <f>SUM(F223:F228)</f>
        <v>-9891777.4000000004</v>
      </c>
      <c r="G222" s="71">
        <f>F222-E222</f>
        <v>2226095.4251156598</v>
      </c>
    </row>
    <row r="223" spans="1:8" s="73" customFormat="1" ht="14.25" customHeight="1" x14ac:dyDescent="0.25">
      <c r="A223" s="70"/>
      <c r="B223" s="70"/>
      <c r="C223" s="90" t="s">
        <v>146</v>
      </c>
      <c r="D223" s="71">
        <f>SUM(D238+D241)</f>
        <v>0</v>
      </c>
      <c r="E223" s="71">
        <f t="shared" ref="E223:F223" si="121">SUM(E238+E241)</f>
        <v>-110368</v>
      </c>
      <c r="F223" s="71">
        <f t="shared" si="121"/>
        <v>0</v>
      </c>
      <c r="G223" s="69">
        <f t="shared" ref="G223:G228" si="122">F223-E223</f>
        <v>110368</v>
      </c>
      <c r="H223" s="72"/>
    </row>
    <row r="224" spans="1:8" x14ac:dyDescent="0.25">
      <c r="A224" s="90"/>
      <c r="B224" s="90"/>
      <c r="C224" s="90" t="s">
        <v>60</v>
      </c>
      <c r="D224" s="69">
        <f>D230+D239+D242</f>
        <v>-7499842</v>
      </c>
      <c r="E224" s="69">
        <f>E230+E239+E242</f>
        <v>-10152478</v>
      </c>
      <c r="F224" s="69">
        <f>F230+F239+F242</f>
        <v>-7987373.4000000004</v>
      </c>
      <c r="G224" s="69">
        <f t="shared" si="122"/>
        <v>2165104.5999999996</v>
      </c>
    </row>
    <row r="225" spans="1:8" x14ac:dyDescent="0.25">
      <c r="A225" s="90"/>
      <c r="B225" s="90"/>
      <c r="C225" s="90" t="s">
        <v>61</v>
      </c>
      <c r="D225" s="69">
        <f>D231</f>
        <v>-12419518</v>
      </c>
      <c r="E225" s="69">
        <f>E231</f>
        <v>-1343529.82511566</v>
      </c>
      <c r="F225" s="69">
        <f>F231</f>
        <v>-1341998</v>
      </c>
      <c r="G225" s="69">
        <f t="shared" si="122"/>
        <v>1531.8251156599727</v>
      </c>
    </row>
    <row r="226" spans="1:8" x14ac:dyDescent="0.25">
      <c r="A226" s="90"/>
      <c r="B226" s="90"/>
      <c r="C226" s="90" t="s">
        <v>117</v>
      </c>
      <c r="D226" s="69">
        <f>D232</f>
        <v>-163000</v>
      </c>
      <c r="E226" s="69">
        <f t="shared" ref="E226" si="123">E232</f>
        <v>0</v>
      </c>
      <c r="F226" s="69">
        <f>F232</f>
        <v>0</v>
      </c>
      <c r="G226" s="69">
        <f t="shared" si="122"/>
        <v>0</v>
      </c>
    </row>
    <row r="227" spans="1:8" x14ac:dyDescent="0.25">
      <c r="A227" s="70"/>
      <c r="B227" s="70"/>
      <c r="C227" s="90" t="s">
        <v>107</v>
      </c>
      <c r="D227" s="69">
        <f>D233</f>
        <v>-494889</v>
      </c>
      <c r="E227" s="69">
        <f>E233</f>
        <v>-510794</v>
      </c>
      <c r="F227" s="69">
        <f>F233</f>
        <v>-510794</v>
      </c>
      <c r="G227" s="69">
        <f t="shared" si="122"/>
        <v>0</v>
      </c>
    </row>
    <row r="228" spans="1:8" ht="14.25" customHeight="1" x14ac:dyDescent="0.25">
      <c r="A228" s="90"/>
      <c r="B228" s="90"/>
      <c r="C228" s="90" t="s">
        <v>108</v>
      </c>
      <c r="D228" s="69">
        <f>SUM(D234+D243)</f>
        <v>0</v>
      </c>
      <c r="E228" s="69">
        <f t="shared" ref="E228" si="124">SUM(E234+E243)</f>
        <v>-703</v>
      </c>
      <c r="F228" s="69">
        <f>SUM(F234+F236+F243)</f>
        <v>-51612</v>
      </c>
      <c r="G228" s="69">
        <f t="shared" si="122"/>
        <v>-50909</v>
      </c>
    </row>
    <row r="229" spans="1:8" x14ac:dyDescent="0.25">
      <c r="A229" s="70"/>
      <c r="B229" s="70"/>
      <c r="C229" s="70" t="s">
        <v>111</v>
      </c>
      <c r="D229" s="71">
        <f>SUM(D230:D234)</f>
        <v>-20577249</v>
      </c>
      <c r="E229" s="71">
        <f>SUM(E230:E234)</f>
        <v>-12007504.82511566</v>
      </c>
      <c r="F229" s="71">
        <f>SUM(F230:F234)</f>
        <v>-9742172</v>
      </c>
      <c r="G229" s="71">
        <f>F229-E229</f>
        <v>2265332.8251156602</v>
      </c>
    </row>
    <row r="230" spans="1:8" x14ac:dyDescent="0.25">
      <c r="A230" s="90"/>
      <c r="B230" s="90"/>
      <c r="C230" s="90" t="s">
        <v>60</v>
      </c>
      <c r="D230" s="69">
        <v>-7499842</v>
      </c>
      <c r="E230" s="99">
        <v>-10152478</v>
      </c>
      <c r="F230" s="69">
        <v>-7888677</v>
      </c>
      <c r="G230" s="69">
        <f t="shared" ref="G230:G242" si="125">F230-E230</f>
        <v>2263801</v>
      </c>
    </row>
    <row r="231" spans="1:8" x14ac:dyDescent="0.25">
      <c r="A231" s="90"/>
      <c r="B231" s="90"/>
      <c r="C231" s="90" t="s">
        <v>61</v>
      </c>
      <c r="D231" s="69">
        <v>-12419518</v>
      </c>
      <c r="E231" s="97">
        <f>-1337643.82511566-5886</f>
        <v>-1343529.82511566</v>
      </c>
      <c r="F231" s="69">
        <v>-1341998</v>
      </c>
      <c r="G231" s="69">
        <f t="shared" si="125"/>
        <v>1531.8251156599727</v>
      </c>
    </row>
    <row r="232" spans="1:8" x14ac:dyDescent="0.25">
      <c r="A232" s="90"/>
      <c r="B232" s="90"/>
      <c r="C232" s="90" t="s">
        <v>117</v>
      </c>
      <c r="D232" s="69">
        <v>-163000</v>
      </c>
      <c r="E232" s="69">
        <v>0</v>
      </c>
      <c r="F232" s="69">
        <v>0</v>
      </c>
      <c r="G232" s="69">
        <f t="shared" si="125"/>
        <v>0</v>
      </c>
    </row>
    <row r="233" spans="1:8" x14ac:dyDescent="0.25">
      <c r="A233" s="70"/>
      <c r="B233" s="70"/>
      <c r="C233" s="90" t="s">
        <v>107</v>
      </c>
      <c r="D233" s="69">
        <f>-657889+163000</f>
        <v>-494889</v>
      </c>
      <c r="E233" s="69">
        <v>-510794</v>
      </c>
      <c r="F233" s="71">
        <v>-510794</v>
      </c>
      <c r="G233" s="69">
        <f t="shared" si="125"/>
        <v>0</v>
      </c>
    </row>
    <row r="234" spans="1:8" x14ac:dyDescent="0.25">
      <c r="A234" s="70"/>
      <c r="B234" s="70"/>
      <c r="C234" s="90" t="s">
        <v>62</v>
      </c>
      <c r="D234" s="69">
        <v>0</v>
      </c>
      <c r="E234" s="69">
        <v>-703</v>
      </c>
      <c r="F234" s="69">
        <v>-703</v>
      </c>
      <c r="G234" s="69">
        <f t="shared" si="125"/>
        <v>0</v>
      </c>
    </row>
    <row r="235" spans="1:8" ht="15.75" customHeight="1" x14ac:dyDescent="0.25">
      <c r="A235" s="90"/>
      <c r="B235" s="90"/>
      <c r="C235" s="70" t="s">
        <v>112</v>
      </c>
      <c r="D235" s="71">
        <f>SUM(D236)</f>
        <v>0</v>
      </c>
      <c r="E235" s="71">
        <f t="shared" ref="E235:F235" si="126">SUM(E236)</f>
        <v>0</v>
      </c>
      <c r="F235" s="71">
        <f t="shared" si="126"/>
        <v>-32309</v>
      </c>
      <c r="G235" s="71">
        <f t="shared" si="125"/>
        <v>-32309</v>
      </c>
    </row>
    <row r="236" spans="1:8" s="34" customFormat="1" ht="15.75" customHeight="1" x14ac:dyDescent="0.25">
      <c r="A236" s="90"/>
      <c r="B236" s="90"/>
      <c r="C236" s="90" t="s">
        <v>62</v>
      </c>
      <c r="D236" s="69">
        <v>0</v>
      </c>
      <c r="E236" s="93">
        <v>0</v>
      </c>
      <c r="F236" s="93">
        <v>-32309</v>
      </c>
      <c r="G236" s="69">
        <f t="shared" si="125"/>
        <v>-32309</v>
      </c>
      <c r="H236" s="17"/>
    </row>
    <row r="237" spans="1:8" x14ac:dyDescent="0.25">
      <c r="A237" s="90"/>
      <c r="B237" s="90"/>
      <c r="C237" s="70" t="s">
        <v>113</v>
      </c>
      <c r="D237" s="71">
        <f>SUM(D238:D239)</f>
        <v>0</v>
      </c>
      <c r="E237" s="71">
        <f t="shared" ref="E237:F237" si="127">SUM(E238:E239)</f>
        <v>-95368</v>
      </c>
      <c r="F237" s="71">
        <f t="shared" si="127"/>
        <v>-83696.399999999994</v>
      </c>
      <c r="G237" s="71">
        <f>F237-E237</f>
        <v>11671.600000000006</v>
      </c>
    </row>
    <row r="238" spans="1:8" x14ac:dyDescent="0.25">
      <c r="A238" s="90"/>
      <c r="B238" s="90"/>
      <c r="C238" s="90" t="s">
        <v>146</v>
      </c>
      <c r="D238" s="69">
        <v>0</v>
      </c>
      <c r="E238" s="69">
        <v>-95368</v>
      </c>
      <c r="F238" s="69">
        <v>0</v>
      </c>
      <c r="G238" s="69">
        <f t="shared" si="125"/>
        <v>95368</v>
      </c>
    </row>
    <row r="239" spans="1:8" ht="15.75" customHeight="1" x14ac:dyDescent="0.25">
      <c r="A239" s="90"/>
      <c r="B239" s="90"/>
      <c r="C239" s="90" t="s">
        <v>60</v>
      </c>
      <c r="D239" s="69">
        <v>0</v>
      </c>
      <c r="E239" s="69">
        <v>0</v>
      </c>
      <c r="F239" s="97">
        <v>-83696.399999999994</v>
      </c>
      <c r="G239" s="69">
        <f t="shared" si="125"/>
        <v>-83696.399999999994</v>
      </c>
    </row>
    <row r="240" spans="1:8" s="34" customFormat="1" ht="13.5" customHeight="1" x14ac:dyDescent="0.25">
      <c r="A240" s="70"/>
      <c r="B240" s="70"/>
      <c r="C240" s="70" t="s">
        <v>114</v>
      </c>
      <c r="D240" s="71">
        <f>SUM(D241:D243)</f>
        <v>0</v>
      </c>
      <c r="E240" s="71">
        <f t="shared" ref="E240" si="128">SUM(E241:E243)</f>
        <v>-15000</v>
      </c>
      <c r="F240" s="71">
        <f>SUM(F241:F242)</f>
        <v>-15000</v>
      </c>
      <c r="G240" s="71">
        <f>F240-E240</f>
        <v>0</v>
      </c>
      <c r="H240" s="17"/>
    </row>
    <row r="241" spans="1:8" ht="15" customHeight="1" x14ac:dyDescent="0.25">
      <c r="A241" s="90"/>
      <c r="B241" s="90"/>
      <c r="C241" s="90" t="s">
        <v>146</v>
      </c>
      <c r="D241" s="69">
        <v>0</v>
      </c>
      <c r="E241" s="69">
        <v>-15000</v>
      </c>
      <c r="F241" s="69">
        <v>0</v>
      </c>
      <c r="G241" s="69">
        <f t="shared" si="125"/>
        <v>15000</v>
      </c>
    </row>
    <row r="242" spans="1:8" x14ac:dyDescent="0.25">
      <c r="A242" s="90"/>
      <c r="B242" s="90"/>
      <c r="C242" s="90" t="s">
        <v>60</v>
      </c>
      <c r="D242" s="69">
        <v>0</v>
      </c>
      <c r="E242" s="69">
        <v>0</v>
      </c>
      <c r="F242" s="69">
        <v>-15000</v>
      </c>
      <c r="G242" s="69">
        <f t="shared" si="125"/>
        <v>-15000</v>
      </c>
    </row>
    <row r="243" spans="1:8" s="34" customFormat="1" x14ac:dyDescent="0.25">
      <c r="A243" s="70"/>
      <c r="B243" s="70"/>
      <c r="C243" s="70" t="s">
        <v>116</v>
      </c>
      <c r="D243" s="71">
        <v>0</v>
      </c>
      <c r="E243" s="71">
        <f t="shared" ref="E243" si="129">D243</f>
        <v>0</v>
      </c>
      <c r="F243" s="71">
        <v>-18600</v>
      </c>
      <c r="G243" s="71">
        <f t="shared" ref="G243" si="130">F243-E243</f>
        <v>-18600</v>
      </c>
      <c r="H243" s="17"/>
    </row>
    <row r="244" spans="1:8" ht="14.25" customHeight="1" x14ac:dyDescent="0.25">
      <c r="A244" s="70"/>
      <c r="B244" s="70" t="s">
        <v>121</v>
      </c>
      <c r="C244" s="70"/>
      <c r="D244" s="71">
        <f>SUM(D245:D246)</f>
        <v>-394449</v>
      </c>
      <c r="E244" s="71">
        <f t="shared" ref="E244:F244" si="131">SUM(E245:E246)</f>
        <v>0</v>
      </c>
      <c r="F244" s="71">
        <f t="shared" si="131"/>
        <v>0</v>
      </c>
      <c r="G244" s="71">
        <f>F244-E244</f>
        <v>0</v>
      </c>
    </row>
    <row r="245" spans="1:8" x14ac:dyDescent="0.25">
      <c r="A245" s="90"/>
      <c r="B245" s="90"/>
      <c r="C245" s="90" t="s">
        <v>60</v>
      </c>
      <c r="D245" s="69">
        <f>D248</f>
        <v>-106733</v>
      </c>
      <c r="E245" s="69">
        <v>0</v>
      </c>
      <c r="F245" s="69">
        <f t="shared" ref="F245" si="132">F248</f>
        <v>0</v>
      </c>
      <c r="G245" s="69">
        <f t="shared" ref="G245:G246" si="133">F245-E245</f>
        <v>0</v>
      </c>
    </row>
    <row r="246" spans="1:8" x14ac:dyDescent="0.25">
      <c r="A246" s="90"/>
      <c r="B246" s="90"/>
      <c r="C246" s="90" t="s">
        <v>61</v>
      </c>
      <c r="D246" s="69">
        <f>D249</f>
        <v>-287716</v>
      </c>
      <c r="E246" s="69">
        <v>0</v>
      </c>
      <c r="F246" s="69">
        <f t="shared" ref="F246" si="134">F249</f>
        <v>0</v>
      </c>
      <c r="G246" s="69">
        <f t="shared" si="133"/>
        <v>0</v>
      </c>
    </row>
    <row r="247" spans="1:8" x14ac:dyDescent="0.25">
      <c r="A247" s="70"/>
      <c r="B247" s="70"/>
      <c r="C247" s="70" t="s">
        <v>111</v>
      </c>
      <c r="D247" s="71">
        <f>SUM(D248:D249)</f>
        <v>-394449</v>
      </c>
      <c r="E247" s="71">
        <f t="shared" ref="E247:F247" si="135">SUM(E248:E249)</f>
        <v>0</v>
      </c>
      <c r="F247" s="71">
        <f t="shared" si="135"/>
        <v>0</v>
      </c>
      <c r="G247" s="71">
        <f>F247-E247</f>
        <v>0</v>
      </c>
    </row>
    <row r="248" spans="1:8" x14ac:dyDescent="0.25">
      <c r="A248" s="90"/>
      <c r="B248" s="90"/>
      <c r="C248" s="90" t="s">
        <v>60</v>
      </c>
      <c r="D248" s="69">
        <v>-106733</v>
      </c>
      <c r="E248" s="69">
        <v>0</v>
      </c>
      <c r="F248" s="69">
        <v>0</v>
      </c>
      <c r="G248" s="69">
        <f t="shared" ref="G248:G249" si="136">F248-E248</f>
        <v>0</v>
      </c>
    </row>
    <row r="249" spans="1:8" x14ac:dyDescent="0.25">
      <c r="A249" s="70"/>
      <c r="B249" s="70"/>
      <c r="C249" s="90" t="s">
        <v>61</v>
      </c>
      <c r="D249" s="69">
        <v>-287716</v>
      </c>
      <c r="E249" s="69">
        <v>0</v>
      </c>
      <c r="F249" s="71">
        <v>0</v>
      </c>
      <c r="G249" s="69">
        <f t="shared" si="136"/>
        <v>0</v>
      </c>
    </row>
    <row r="250" spans="1:8" ht="14.25" customHeight="1" x14ac:dyDescent="0.25">
      <c r="A250" s="70"/>
      <c r="B250" s="70" t="s">
        <v>122</v>
      </c>
      <c r="C250" s="70"/>
      <c r="D250" s="71">
        <f>SUM(D251:D254)</f>
        <v>-31911582</v>
      </c>
      <c r="E250" s="71">
        <f>SUM(E251:E254)</f>
        <v>-31996078</v>
      </c>
      <c r="F250" s="71">
        <f>SUM(F251:F254)</f>
        <v>-33520323</v>
      </c>
      <c r="G250" s="71">
        <f>F250-E250</f>
        <v>-1524245</v>
      </c>
    </row>
    <row r="251" spans="1:8" x14ac:dyDescent="0.25">
      <c r="A251" s="90"/>
      <c r="B251" s="90"/>
      <c r="C251" s="90" t="s">
        <v>60</v>
      </c>
      <c r="D251" s="69">
        <f>D256</f>
        <v>-21571627</v>
      </c>
      <c r="E251" s="69">
        <f t="shared" ref="E251:F251" si="137">E256</f>
        <v>-22027956</v>
      </c>
      <c r="F251" s="69">
        <f t="shared" si="137"/>
        <v>-20772342</v>
      </c>
      <c r="G251" s="69">
        <f t="shared" ref="G251:G254" si="138">F251-E251</f>
        <v>1255614</v>
      </c>
    </row>
    <row r="252" spans="1:8" x14ac:dyDescent="0.25">
      <c r="A252" s="90"/>
      <c r="B252" s="90"/>
      <c r="C252" s="90" t="s">
        <v>61</v>
      </c>
      <c r="D252" s="69">
        <f>D257</f>
        <v>-10329479</v>
      </c>
      <c r="E252" s="69">
        <f t="shared" ref="E252:F253" si="139">E257</f>
        <v>-9734222</v>
      </c>
      <c r="F252" s="69">
        <f t="shared" si="139"/>
        <v>-8284870</v>
      </c>
      <c r="G252" s="69">
        <f t="shared" si="138"/>
        <v>1449352</v>
      </c>
    </row>
    <row r="253" spans="1:8" x14ac:dyDescent="0.25">
      <c r="A253" s="90"/>
      <c r="B253" s="90"/>
      <c r="C253" s="90" t="s">
        <v>106</v>
      </c>
      <c r="D253" s="69">
        <f>D258</f>
        <v>0</v>
      </c>
      <c r="E253" s="69">
        <f t="shared" si="139"/>
        <v>-600</v>
      </c>
      <c r="F253" s="69">
        <f t="shared" si="139"/>
        <v>-520</v>
      </c>
      <c r="G253" s="69">
        <f t="shared" si="138"/>
        <v>80</v>
      </c>
    </row>
    <row r="254" spans="1:8" x14ac:dyDescent="0.25">
      <c r="A254" s="90"/>
      <c r="B254" s="90"/>
      <c r="C254" s="90" t="s">
        <v>108</v>
      </c>
      <c r="D254" s="69">
        <f>D259+D260</f>
        <v>-10476</v>
      </c>
      <c r="E254" s="69">
        <f>E259+E260</f>
        <v>-233300</v>
      </c>
      <c r="F254" s="69">
        <f>F259+F260</f>
        <v>-4462591</v>
      </c>
      <c r="G254" s="69">
        <f t="shared" si="138"/>
        <v>-4229291</v>
      </c>
    </row>
    <row r="255" spans="1:8" x14ac:dyDescent="0.25">
      <c r="A255" s="70"/>
      <c r="B255" s="70"/>
      <c r="C255" s="70" t="s">
        <v>111</v>
      </c>
      <c r="D255" s="71">
        <f>SUM(D256:D259)</f>
        <v>-31901706</v>
      </c>
      <c r="E255" s="71">
        <f>SUM(E256:E259)</f>
        <v>-31986202</v>
      </c>
      <c r="F255" s="71">
        <f>SUM(F256:F259)</f>
        <v>-29090186</v>
      </c>
      <c r="G255" s="71">
        <f>F255-E255</f>
        <v>2896016</v>
      </c>
    </row>
    <row r="256" spans="1:8" x14ac:dyDescent="0.25">
      <c r="A256" s="90"/>
      <c r="B256" s="90"/>
      <c r="C256" s="90" t="s">
        <v>60</v>
      </c>
      <c r="D256" s="69">
        <v>-21571627</v>
      </c>
      <c r="E256" s="69">
        <v>-22027956</v>
      </c>
      <c r="F256" s="69">
        <v>-20772342</v>
      </c>
      <c r="G256" s="69">
        <f t="shared" ref="G256:G259" si="140">F256-E256</f>
        <v>1255614</v>
      </c>
    </row>
    <row r="257" spans="1:8" x14ac:dyDescent="0.25">
      <c r="A257" s="70"/>
      <c r="B257" s="70"/>
      <c r="C257" s="90" t="s">
        <v>61</v>
      </c>
      <c r="D257" s="69">
        <v>-10329479</v>
      </c>
      <c r="E257" s="69">
        <v>-9734222</v>
      </c>
      <c r="F257" s="69">
        <v>-8284870</v>
      </c>
      <c r="G257" s="69">
        <f t="shared" si="140"/>
        <v>1449352</v>
      </c>
    </row>
    <row r="258" spans="1:8" x14ac:dyDescent="0.25">
      <c r="A258" s="90"/>
      <c r="B258" s="90"/>
      <c r="C258" s="90" t="s">
        <v>106</v>
      </c>
      <c r="D258" s="69">
        <v>0</v>
      </c>
      <c r="E258" s="69">
        <v>-600</v>
      </c>
      <c r="F258" s="69">
        <v>-520</v>
      </c>
      <c r="G258" s="69">
        <f t="shared" si="140"/>
        <v>80</v>
      </c>
    </row>
    <row r="259" spans="1:8" x14ac:dyDescent="0.25">
      <c r="A259" s="70"/>
      <c r="B259" s="70"/>
      <c r="C259" s="90" t="s">
        <v>62</v>
      </c>
      <c r="D259" s="69">
        <v>-600</v>
      </c>
      <c r="E259" s="69">
        <v>-223424</v>
      </c>
      <c r="F259" s="69">
        <v>-32454</v>
      </c>
      <c r="G259" s="69">
        <f t="shared" si="140"/>
        <v>190970</v>
      </c>
    </row>
    <row r="260" spans="1:8" s="34" customFormat="1" x14ac:dyDescent="0.25">
      <c r="A260" s="70"/>
      <c r="B260" s="70"/>
      <c r="C260" s="70" t="s">
        <v>116</v>
      </c>
      <c r="D260" s="71">
        <v>-9876</v>
      </c>
      <c r="E260" s="71">
        <f t="shared" ref="E260" si="141">D260</f>
        <v>-9876</v>
      </c>
      <c r="F260" s="71">
        <v>-4430137</v>
      </c>
      <c r="G260" s="71">
        <f t="shared" ref="G260" si="142">F260-E260</f>
        <v>-4420261</v>
      </c>
      <c r="H260" s="17"/>
    </row>
    <row r="261" spans="1:8" ht="14.25" customHeight="1" x14ac:dyDescent="0.25">
      <c r="A261" s="70"/>
      <c r="B261" s="70" t="s">
        <v>120</v>
      </c>
      <c r="C261" s="70"/>
      <c r="D261" s="71">
        <f>SUM(D262:D264)</f>
        <v>-4546703</v>
      </c>
      <c r="E261" s="71">
        <f>SUM(E262:E264)</f>
        <v>-7467033</v>
      </c>
      <c r="F261" s="71">
        <f>SUM(F262:F264)</f>
        <v>-6182594</v>
      </c>
      <c r="G261" s="71">
        <f>F261-E261</f>
        <v>1284439</v>
      </c>
    </row>
    <row r="262" spans="1:8" ht="14.25" customHeight="1" x14ac:dyDescent="0.25">
      <c r="A262" s="90"/>
      <c r="B262" s="90"/>
      <c r="C262" s="90" t="s">
        <v>146</v>
      </c>
      <c r="D262" s="69">
        <f>SUM(D268)</f>
        <v>0</v>
      </c>
      <c r="E262" s="69">
        <f t="shared" ref="E262:F262" si="143">SUM(E268)</f>
        <v>-16652</v>
      </c>
      <c r="F262" s="69">
        <f t="shared" si="143"/>
        <v>0</v>
      </c>
      <c r="G262" s="69">
        <f t="shared" ref="G262:G264" si="144">F262-E262</f>
        <v>16652</v>
      </c>
    </row>
    <row r="263" spans="1:8" x14ac:dyDescent="0.25">
      <c r="A263" s="90"/>
      <c r="B263" s="90"/>
      <c r="C263" s="90" t="s">
        <v>61</v>
      </c>
      <c r="D263" s="69">
        <f>D266</f>
        <v>-2963265</v>
      </c>
      <c r="E263" s="69">
        <f>E266</f>
        <v>-5866943</v>
      </c>
      <c r="F263" s="69">
        <f>F266</f>
        <v>-5753489</v>
      </c>
      <c r="G263" s="69">
        <f t="shared" si="144"/>
        <v>113454</v>
      </c>
    </row>
    <row r="264" spans="1:8" x14ac:dyDescent="0.25">
      <c r="A264" s="90"/>
      <c r="B264" s="90"/>
      <c r="C264" s="90" t="s">
        <v>108</v>
      </c>
      <c r="D264" s="69">
        <f>D269</f>
        <v>-1583438</v>
      </c>
      <c r="E264" s="69">
        <f>E269</f>
        <v>-1583438</v>
      </c>
      <c r="F264" s="69">
        <f>F269</f>
        <v>-429105</v>
      </c>
      <c r="G264" s="69">
        <f t="shared" si="144"/>
        <v>1154333</v>
      </c>
    </row>
    <row r="265" spans="1:8" x14ac:dyDescent="0.25">
      <c r="A265" s="70"/>
      <c r="B265" s="70"/>
      <c r="C265" s="70" t="s">
        <v>111</v>
      </c>
      <c r="D265" s="71">
        <f>SUM(D266:D266)</f>
        <v>-2963265</v>
      </c>
      <c r="E265" s="71">
        <f>SUM(E266:E266)</f>
        <v>-5866943</v>
      </c>
      <c r="F265" s="71">
        <f>SUM(F266:F266)</f>
        <v>-5753489</v>
      </c>
      <c r="G265" s="71">
        <f>SUM(G266:G266)</f>
        <v>113454</v>
      </c>
    </row>
    <row r="266" spans="1:8" ht="16.5" customHeight="1" x14ac:dyDescent="0.25">
      <c r="A266" s="70"/>
      <c r="B266" s="70"/>
      <c r="C266" s="90" t="s">
        <v>61</v>
      </c>
      <c r="D266" s="69">
        <v>-2963265</v>
      </c>
      <c r="E266" s="69">
        <v>-5866943</v>
      </c>
      <c r="F266" s="97">
        <v>-5753489</v>
      </c>
      <c r="G266" s="69">
        <f t="shared" ref="G266" si="145">F266-E266</f>
        <v>113454</v>
      </c>
    </row>
    <row r="267" spans="1:8" x14ac:dyDescent="0.25">
      <c r="A267" s="90"/>
      <c r="B267" s="90"/>
      <c r="C267" s="70" t="s">
        <v>113</v>
      </c>
      <c r="D267" s="71">
        <f>SUM(D268)</f>
        <v>0</v>
      </c>
      <c r="E267" s="71">
        <f t="shared" ref="E267:F267" si="146">SUM(E268)</f>
        <v>-16652</v>
      </c>
      <c r="F267" s="71">
        <f t="shared" si="146"/>
        <v>0</v>
      </c>
      <c r="G267" s="71">
        <f>F267-E267</f>
        <v>16652</v>
      </c>
    </row>
    <row r="268" spans="1:8" x14ac:dyDescent="0.25">
      <c r="A268" s="90"/>
      <c r="B268" s="90"/>
      <c r="C268" s="90" t="s">
        <v>146</v>
      </c>
      <c r="D268" s="69">
        <v>0</v>
      </c>
      <c r="E268" s="69">
        <v>-16652</v>
      </c>
      <c r="F268" s="69">
        <v>0</v>
      </c>
      <c r="G268" s="69">
        <f t="shared" ref="G268" si="147">F268-E268</f>
        <v>16652</v>
      </c>
    </row>
    <row r="269" spans="1:8" s="34" customFormat="1" x14ac:dyDescent="0.25">
      <c r="A269" s="70"/>
      <c r="B269" s="70"/>
      <c r="C269" s="70" t="s">
        <v>116</v>
      </c>
      <c r="D269" s="71">
        <v>-1583438</v>
      </c>
      <c r="E269" s="71">
        <f t="shared" ref="E269" si="148">D269</f>
        <v>-1583438</v>
      </c>
      <c r="F269" s="71">
        <v>-429105</v>
      </c>
      <c r="G269" s="71">
        <f t="shared" ref="G269:G274" si="149">F269-E269</f>
        <v>1154333</v>
      </c>
      <c r="H269" s="17"/>
    </row>
    <row r="270" spans="1:8" ht="15.75" x14ac:dyDescent="0.25">
      <c r="A270" s="94" t="s">
        <v>130</v>
      </c>
      <c r="B270" s="95"/>
      <c r="C270" s="95"/>
      <c r="D270" s="96">
        <f>SUM(D271:D274)</f>
        <v>-42942976</v>
      </c>
      <c r="E270" s="96">
        <f>SUM(E271:E274)</f>
        <v>-27045381</v>
      </c>
      <c r="F270" s="96">
        <f>SUM(F271:F274)</f>
        <v>-12270034</v>
      </c>
      <c r="G270" s="71">
        <f t="shared" si="149"/>
        <v>14775347</v>
      </c>
      <c r="H270" s="37" t="s">
        <v>85</v>
      </c>
    </row>
    <row r="271" spans="1:8" x14ac:dyDescent="0.25">
      <c r="A271" s="90"/>
      <c r="B271" s="90" t="s">
        <v>111</v>
      </c>
      <c r="C271" s="90"/>
      <c r="D271" s="69">
        <f>D277+D284+D295</f>
        <v>-27989756</v>
      </c>
      <c r="E271" s="69">
        <f>E277+E284+E295</f>
        <v>-13020054</v>
      </c>
      <c r="F271" s="69">
        <f t="shared" ref="F271" si="150">F277+F284+F295</f>
        <v>-12267474</v>
      </c>
      <c r="G271" s="69">
        <f t="shared" si="149"/>
        <v>752580</v>
      </c>
    </row>
    <row r="272" spans="1:8" x14ac:dyDescent="0.25">
      <c r="A272" s="90"/>
      <c r="B272" s="90" t="s">
        <v>113</v>
      </c>
      <c r="C272" s="90"/>
      <c r="D272" s="69">
        <f>SUM(D298)</f>
        <v>-935000</v>
      </c>
      <c r="E272" s="69">
        <f t="shared" ref="E272:F272" si="151">SUM(E298)</f>
        <v>-4458</v>
      </c>
      <c r="F272" s="69">
        <f t="shared" si="151"/>
        <v>0</v>
      </c>
      <c r="G272" s="69">
        <f t="shared" si="149"/>
        <v>4458</v>
      </c>
    </row>
    <row r="273" spans="1:8" x14ac:dyDescent="0.25">
      <c r="A273" s="90"/>
      <c r="B273" s="90" t="s">
        <v>114</v>
      </c>
      <c r="C273" s="90"/>
      <c r="D273" s="69">
        <f>SUM(D288)</f>
        <v>0</v>
      </c>
      <c r="E273" s="69">
        <f>SUM(E288)</f>
        <v>-2649</v>
      </c>
      <c r="F273" s="69">
        <f>SUM(F288)</f>
        <v>-2560</v>
      </c>
      <c r="G273" s="69">
        <f t="shared" si="149"/>
        <v>89</v>
      </c>
    </row>
    <row r="274" spans="1:8" x14ac:dyDescent="0.25">
      <c r="A274" s="90"/>
      <c r="B274" s="90" t="s">
        <v>115</v>
      </c>
      <c r="C274" s="90"/>
      <c r="D274" s="69">
        <f>D301</f>
        <v>-14018220</v>
      </c>
      <c r="E274" s="69">
        <f>E301</f>
        <v>-14018220</v>
      </c>
      <c r="F274" s="69">
        <f>F301</f>
        <v>0</v>
      </c>
      <c r="G274" s="69">
        <f t="shared" si="149"/>
        <v>14018220</v>
      </c>
    </row>
    <row r="275" spans="1:8" ht="14.25" customHeight="1" x14ac:dyDescent="0.25">
      <c r="A275" s="70"/>
      <c r="B275" s="70" t="s">
        <v>121</v>
      </c>
      <c r="C275" s="70"/>
      <c r="D275" s="71">
        <f>SUM(D276:D276)</f>
        <v>-40451</v>
      </c>
      <c r="E275" s="71">
        <f>SUM(E276:E276)</f>
        <v>0</v>
      </c>
      <c r="F275" s="71">
        <f>SUM(F276:F276)</f>
        <v>0</v>
      </c>
      <c r="G275" s="71">
        <f>F275-E275</f>
        <v>0</v>
      </c>
    </row>
    <row r="276" spans="1:8" x14ac:dyDescent="0.25">
      <c r="A276" s="90"/>
      <c r="B276" s="90"/>
      <c r="C276" s="90" t="s">
        <v>61</v>
      </c>
      <c r="D276" s="69">
        <f>D278</f>
        <v>-40451</v>
      </c>
      <c r="E276" s="69">
        <f t="shared" ref="E276:F276" si="152">E278</f>
        <v>0</v>
      </c>
      <c r="F276" s="69">
        <f t="shared" si="152"/>
        <v>0</v>
      </c>
      <c r="G276" s="69">
        <f t="shared" ref="G276" si="153">F276-E276</f>
        <v>0</v>
      </c>
    </row>
    <row r="277" spans="1:8" x14ac:dyDescent="0.25">
      <c r="A277" s="70"/>
      <c r="B277" s="70"/>
      <c r="C277" s="70" t="s">
        <v>111</v>
      </c>
      <c r="D277" s="71">
        <f>SUM(D278:D278)</f>
        <v>-40451</v>
      </c>
      <c r="E277" s="71">
        <f>SUM(E278:E278)</f>
        <v>0</v>
      </c>
      <c r="F277" s="71">
        <f>SUM(F278:F278)</f>
        <v>0</v>
      </c>
      <c r="G277" s="71">
        <f>F277-E277</f>
        <v>0</v>
      </c>
    </row>
    <row r="278" spans="1:8" x14ac:dyDescent="0.25">
      <c r="A278" s="70"/>
      <c r="B278" s="70"/>
      <c r="C278" s="90" t="s">
        <v>61</v>
      </c>
      <c r="D278" s="69">
        <v>-40451</v>
      </c>
      <c r="E278" s="69">
        <v>0</v>
      </c>
      <c r="F278" s="71">
        <v>0</v>
      </c>
      <c r="G278" s="69">
        <f t="shared" ref="G278" si="154">F278-E278</f>
        <v>0</v>
      </c>
    </row>
    <row r="279" spans="1:8" ht="14.25" customHeight="1" x14ac:dyDescent="0.25">
      <c r="A279" s="70"/>
      <c r="B279" s="70" t="s">
        <v>122</v>
      </c>
      <c r="C279" s="70"/>
      <c r="D279" s="71">
        <f>SUM(D281:D283)</f>
        <v>-10913863</v>
      </c>
      <c r="E279" s="71">
        <f>SUM(E280:E283)</f>
        <v>-10699408</v>
      </c>
      <c r="F279" s="71">
        <f>SUM(F281:F283)</f>
        <v>-10112084</v>
      </c>
      <c r="G279" s="71">
        <f>F279-E279</f>
        <v>587324</v>
      </c>
    </row>
    <row r="280" spans="1:8" ht="14.25" customHeight="1" x14ac:dyDescent="0.25">
      <c r="A280" s="90"/>
      <c r="B280" s="90"/>
      <c r="C280" s="90" t="s">
        <v>146</v>
      </c>
      <c r="D280" s="69">
        <f>SUM(D289)</f>
        <v>0</v>
      </c>
      <c r="E280" s="69">
        <f>SUM(E289)</f>
        <v>-2649</v>
      </c>
      <c r="F280" s="69">
        <f>SUM(F289)</f>
        <v>0</v>
      </c>
      <c r="G280" s="69">
        <f t="shared" ref="G280:G283" si="155">F280-E280</f>
        <v>2649</v>
      </c>
    </row>
    <row r="281" spans="1:8" x14ac:dyDescent="0.25">
      <c r="A281" s="90"/>
      <c r="B281" s="90"/>
      <c r="C281" s="90" t="s">
        <v>60</v>
      </c>
      <c r="D281" s="69">
        <f>D285</f>
        <v>-309400</v>
      </c>
      <c r="E281" s="69">
        <f>E285</f>
        <v>-1190155</v>
      </c>
      <c r="F281" s="69">
        <f t="shared" ref="F281" si="156">F285</f>
        <v>-1059139</v>
      </c>
      <c r="G281" s="69">
        <f t="shared" si="155"/>
        <v>131016</v>
      </c>
    </row>
    <row r="282" spans="1:8" x14ac:dyDescent="0.25">
      <c r="A282" s="90"/>
      <c r="B282" s="90"/>
      <c r="C282" s="90" t="s">
        <v>61</v>
      </c>
      <c r="D282" s="69">
        <f>D286+D290</f>
        <v>-9241663</v>
      </c>
      <c r="E282" s="69">
        <f>E286+E290</f>
        <v>-9464502</v>
      </c>
      <c r="F282" s="69">
        <f>F286+F290</f>
        <v>-9047306</v>
      </c>
      <c r="G282" s="69">
        <f t="shared" si="155"/>
        <v>417196</v>
      </c>
    </row>
    <row r="283" spans="1:8" x14ac:dyDescent="0.25">
      <c r="A283" s="90"/>
      <c r="B283" s="90"/>
      <c r="C283" s="90" t="s">
        <v>62</v>
      </c>
      <c r="D283" s="69">
        <f>D287</f>
        <v>-1362800</v>
      </c>
      <c r="E283" s="69">
        <f>E287</f>
        <v>-42102</v>
      </c>
      <c r="F283" s="69">
        <f t="shared" ref="F283" si="157">F287</f>
        <v>-5639</v>
      </c>
      <c r="G283" s="69">
        <f t="shared" si="155"/>
        <v>36463</v>
      </c>
    </row>
    <row r="284" spans="1:8" x14ac:dyDescent="0.25">
      <c r="A284" s="70"/>
      <c r="B284" s="70"/>
      <c r="C284" s="70" t="s">
        <v>111</v>
      </c>
      <c r="D284" s="71">
        <f>SUM(D285:D287)</f>
        <v>-10913863</v>
      </c>
      <c r="E284" s="71">
        <f>SUM(E285:E287)</f>
        <v>-10696759</v>
      </c>
      <c r="F284" s="71">
        <f t="shared" ref="F284" si="158">SUM(F285:F287)</f>
        <v>-10109524</v>
      </c>
      <c r="G284" s="71">
        <f>F284-E284</f>
        <v>587235</v>
      </c>
    </row>
    <row r="285" spans="1:8" x14ac:dyDescent="0.25">
      <c r="A285" s="90"/>
      <c r="B285" s="90"/>
      <c r="C285" s="90" t="s">
        <v>60</v>
      </c>
      <c r="D285" s="69">
        <v>-309400</v>
      </c>
      <c r="E285" s="69">
        <v>-1190155</v>
      </c>
      <c r="F285" s="69">
        <v>-1059139</v>
      </c>
      <c r="G285" s="69">
        <f t="shared" ref="G285" si="159">F285-E285</f>
        <v>131016</v>
      </c>
    </row>
    <row r="286" spans="1:8" x14ac:dyDescent="0.25">
      <c r="A286" s="70"/>
      <c r="B286" s="70"/>
      <c r="C286" s="90" t="s">
        <v>61</v>
      </c>
      <c r="D286" s="69">
        <v>-9241663</v>
      </c>
      <c r="E286" s="69">
        <v>-9464502</v>
      </c>
      <c r="F286" s="69">
        <v>-9044746</v>
      </c>
      <c r="G286" s="69">
        <f>F286-E286</f>
        <v>419756</v>
      </c>
    </row>
    <row r="287" spans="1:8" x14ac:dyDescent="0.25">
      <c r="A287" s="70"/>
      <c r="B287" s="70"/>
      <c r="C287" s="90" t="s">
        <v>62</v>
      </c>
      <c r="D287" s="69">
        <v>-1362800</v>
      </c>
      <c r="E287" s="69">
        <v>-42102</v>
      </c>
      <c r="F287" s="69">
        <v>-5639</v>
      </c>
      <c r="G287" s="69">
        <f>F287-E287</f>
        <v>36463</v>
      </c>
    </row>
    <row r="288" spans="1:8" s="34" customFormat="1" ht="15.75" customHeight="1" x14ac:dyDescent="0.25">
      <c r="A288" s="70"/>
      <c r="B288" s="70"/>
      <c r="C288" s="70" t="s">
        <v>114</v>
      </c>
      <c r="D288" s="71">
        <v>0</v>
      </c>
      <c r="E288" s="71">
        <f>SUM(E289+E290)</f>
        <v>-2649</v>
      </c>
      <c r="F288" s="71">
        <f>SUM(F289+F290)</f>
        <v>-2560</v>
      </c>
      <c r="G288" s="71">
        <f>F288-E288</f>
        <v>89</v>
      </c>
      <c r="H288" s="17"/>
    </row>
    <row r="289" spans="1:8" ht="15" customHeight="1" x14ac:dyDescent="0.25">
      <c r="A289" s="90"/>
      <c r="B289" s="90"/>
      <c r="C289" s="90" t="s">
        <v>146</v>
      </c>
      <c r="D289" s="69">
        <v>0</v>
      </c>
      <c r="E289" s="69">
        <v>-2649</v>
      </c>
      <c r="F289" s="69">
        <v>0</v>
      </c>
      <c r="G289" s="69">
        <f t="shared" ref="G289:G290" si="160">F289-E289</f>
        <v>2649</v>
      </c>
    </row>
    <row r="290" spans="1:8" x14ac:dyDescent="0.25">
      <c r="A290" s="70"/>
      <c r="B290" s="70"/>
      <c r="C290" s="90" t="s">
        <v>61</v>
      </c>
      <c r="D290" s="69">
        <v>0</v>
      </c>
      <c r="E290" s="69">
        <v>0</v>
      </c>
      <c r="F290" s="71">
        <v>-2560</v>
      </c>
      <c r="G290" s="69">
        <f t="shared" si="160"/>
        <v>-2560</v>
      </c>
    </row>
    <row r="291" spans="1:8" ht="14.25" customHeight="1" x14ac:dyDescent="0.25">
      <c r="A291" s="70"/>
      <c r="B291" s="70" t="s">
        <v>120</v>
      </c>
      <c r="C291" s="70"/>
      <c r="D291" s="71">
        <f>SUM(D292:D294)</f>
        <v>-31988662</v>
      </c>
      <c r="E291" s="71">
        <f>SUM(E292:E294)</f>
        <v>-16345973</v>
      </c>
      <c r="F291" s="71">
        <f>SUM(F292:F294)</f>
        <v>-2157950</v>
      </c>
      <c r="G291" s="71">
        <f>F291-E291</f>
        <v>14188023</v>
      </c>
    </row>
    <row r="292" spans="1:8" ht="14.25" customHeight="1" x14ac:dyDescent="0.25">
      <c r="A292" s="90"/>
      <c r="B292" s="90"/>
      <c r="C292" s="90" t="s">
        <v>146</v>
      </c>
      <c r="D292" s="69">
        <f>SUM(D299)</f>
        <v>0</v>
      </c>
      <c r="E292" s="69">
        <f>SUM(E299)</f>
        <v>-4458</v>
      </c>
      <c r="F292" s="69">
        <f>SUM(F299)</f>
        <v>0</v>
      </c>
      <c r="G292" s="69">
        <f t="shared" ref="G292" si="161">F292-E292</f>
        <v>4458</v>
      </c>
    </row>
    <row r="293" spans="1:8" x14ac:dyDescent="0.25">
      <c r="A293" s="90"/>
      <c r="B293" s="90"/>
      <c r="C293" s="90" t="s">
        <v>61</v>
      </c>
      <c r="D293" s="69">
        <f>D296+D300</f>
        <v>-17763019</v>
      </c>
      <c r="E293" s="69">
        <f>E296+E300</f>
        <v>-2323295</v>
      </c>
      <c r="F293" s="69">
        <f>F296+F300</f>
        <v>-2157950</v>
      </c>
      <c r="G293" s="69">
        <f t="shared" ref="G293:G294" si="162">F293-E293</f>
        <v>165345</v>
      </c>
    </row>
    <row r="294" spans="1:8" x14ac:dyDescent="0.25">
      <c r="A294" s="90"/>
      <c r="B294" s="90"/>
      <c r="C294" s="90" t="s">
        <v>108</v>
      </c>
      <c r="D294" s="69">
        <f>D301+D297</f>
        <v>-14225643</v>
      </c>
      <c r="E294" s="69">
        <f>E301+E297</f>
        <v>-14018220</v>
      </c>
      <c r="F294" s="69">
        <f t="shared" ref="F294" si="163">F301+F297</f>
        <v>0</v>
      </c>
      <c r="G294" s="69">
        <f t="shared" si="162"/>
        <v>14018220</v>
      </c>
    </row>
    <row r="295" spans="1:8" x14ac:dyDescent="0.25">
      <c r="A295" s="70"/>
      <c r="B295" s="70"/>
      <c r="C295" s="70" t="s">
        <v>111</v>
      </c>
      <c r="D295" s="71">
        <f>SUM(D296:D297)</f>
        <v>-17035442</v>
      </c>
      <c r="E295" s="71">
        <f t="shared" ref="E295:F295" si="164">SUM(E296:E297)</f>
        <v>-2323295</v>
      </c>
      <c r="F295" s="71">
        <f t="shared" si="164"/>
        <v>-2157950</v>
      </c>
      <c r="G295" s="71">
        <f>F295-E295</f>
        <v>165345</v>
      </c>
    </row>
    <row r="296" spans="1:8" x14ac:dyDescent="0.25">
      <c r="A296" s="70"/>
      <c r="B296" s="70"/>
      <c r="C296" s="90" t="s">
        <v>61</v>
      </c>
      <c r="D296" s="69">
        <v>-16828019</v>
      </c>
      <c r="E296" s="69">
        <v>-2323295</v>
      </c>
      <c r="F296" s="71">
        <v>-2157950</v>
      </c>
      <c r="G296" s="69">
        <f>F296-E296</f>
        <v>165345</v>
      </c>
    </row>
    <row r="297" spans="1:8" x14ac:dyDescent="0.25">
      <c r="A297" s="70"/>
      <c r="B297" s="70"/>
      <c r="C297" s="90" t="s">
        <v>62</v>
      </c>
      <c r="D297" s="69">
        <v>-207423</v>
      </c>
      <c r="E297" s="69">
        <v>0</v>
      </c>
      <c r="F297" s="71">
        <v>0</v>
      </c>
      <c r="G297" s="69">
        <f t="shared" ref="G297:G301" si="165">F297-E297</f>
        <v>0</v>
      </c>
    </row>
    <row r="298" spans="1:8" s="34" customFormat="1" x14ac:dyDescent="0.25">
      <c r="A298" s="70"/>
      <c r="B298" s="70"/>
      <c r="C298" s="70" t="s">
        <v>113</v>
      </c>
      <c r="D298" s="71">
        <f>D299+D300</f>
        <v>-935000</v>
      </c>
      <c r="E298" s="71">
        <f>E299+E300</f>
        <v>-4458</v>
      </c>
      <c r="F298" s="71">
        <f>F299+F300</f>
        <v>0</v>
      </c>
      <c r="G298" s="71">
        <f t="shared" si="165"/>
        <v>4458</v>
      </c>
      <c r="H298" s="17"/>
    </row>
    <row r="299" spans="1:8" ht="15" customHeight="1" x14ac:dyDescent="0.25">
      <c r="A299" s="90"/>
      <c r="B299" s="90"/>
      <c r="C299" s="90" t="s">
        <v>146</v>
      </c>
      <c r="D299" s="69">
        <v>0</v>
      </c>
      <c r="E299" s="69">
        <v>-4458</v>
      </c>
      <c r="F299" s="69">
        <v>0</v>
      </c>
      <c r="G299" s="69">
        <f t="shared" ref="G299:G300" si="166">F299-E299</f>
        <v>4458</v>
      </c>
    </row>
    <row r="300" spans="1:8" x14ac:dyDescent="0.25">
      <c r="A300" s="70"/>
      <c r="B300" s="70"/>
      <c r="C300" s="90" t="s">
        <v>61</v>
      </c>
      <c r="D300" s="69">
        <v>-935000</v>
      </c>
      <c r="E300" s="69">
        <v>0</v>
      </c>
      <c r="F300" s="71">
        <v>0</v>
      </c>
      <c r="G300" s="69">
        <f t="shared" si="166"/>
        <v>0</v>
      </c>
    </row>
    <row r="301" spans="1:8" s="34" customFormat="1" x14ac:dyDescent="0.25">
      <c r="A301" s="70"/>
      <c r="B301" s="70"/>
      <c r="C301" s="70" t="s">
        <v>116</v>
      </c>
      <c r="D301" s="71">
        <v>-14018220</v>
      </c>
      <c r="E301" s="71">
        <f t="shared" ref="E301" si="167">D301</f>
        <v>-14018220</v>
      </c>
      <c r="F301" s="71">
        <v>0</v>
      </c>
      <c r="G301" s="71">
        <f t="shared" si="165"/>
        <v>14018220</v>
      </c>
      <c r="H301" s="17"/>
    </row>
    <row r="302" spans="1:8" s="34" customFormat="1" ht="15.75" x14ac:dyDescent="0.25">
      <c r="A302" s="92" t="s">
        <v>131</v>
      </c>
      <c r="B302" s="70"/>
      <c r="C302" s="70"/>
      <c r="D302" s="71">
        <f>SUM(D303:D307)</f>
        <v>-144853308</v>
      </c>
      <c r="E302" s="71">
        <f>SUM(E303:E307)</f>
        <v>-190510530</v>
      </c>
      <c r="F302" s="71">
        <f>SUM(F303:F307)</f>
        <v>-179198721</v>
      </c>
      <c r="G302" s="71">
        <f>F302-E302</f>
        <v>11311809</v>
      </c>
      <c r="H302" s="37" t="s">
        <v>87</v>
      </c>
    </row>
    <row r="303" spans="1:8" x14ac:dyDescent="0.25">
      <c r="A303" s="90"/>
      <c r="B303" s="90" t="s">
        <v>111</v>
      </c>
      <c r="C303" s="90"/>
      <c r="D303" s="69">
        <f>D314+D326+D335+D356</f>
        <v>-144763352</v>
      </c>
      <c r="E303" s="69">
        <f>E314+E326+E335+E356</f>
        <v>-189490069</v>
      </c>
      <c r="F303" s="69">
        <f>F314+F326+F335+F356</f>
        <v>-178736228</v>
      </c>
      <c r="G303" s="69">
        <f t="shared" ref="G303:G307" si="168">F303-E303</f>
        <v>10753841</v>
      </c>
    </row>
    <row r="304" spans="1:8" x14ac:dyDescent="0.25">
      <c r="A304" s="90"/>
      <c r="B304" s="90" t="s">
        <v>112</v>
      </c>
      <c r="C304" s="90"/>
      <c r="D304" s="69">
        <f>SUM(D318)</f>
        <v>0</v>
      </c>
      <c r="E304" s="69">
        <f>SUM(E318)</f>
        <v>0</v>
      </c>
      <c r="F304" s="69">
        <f>SUM(F318)+F340</f>
        <v>911</v>
      </c>
      <c r="G304" s="69">
        <f t="shared" si="168"/>
        <v>911</v>
      </c>
    </row>
    <row r="305" spans="1:8" x14ac:dyDescent="0.25">
      <c r="A305" s="90"/>
      <c r="B305" s="90" t="s">
        <v>113</v>
      </c>
      <c r="C305" s="90"/>
      <c r="D305" s="69">
        <v>0</v>
      </c>
      <c r="E305" s="69">
        <f>E342+E359</f>
        <v>-571078</v>
      </c>
      <c r="F305" s="69">
        <f>F342+F359</f>
        <v>-276238</v>
      </c>
      <c r="G305" s="69">
        <f t="shared" si="168"/>
        <v>294840</v>
      </c>
    </row>
    <row r="306" spans="1:8" x14ac:dyDescent="0.25">
      <c r="A306" s="90"/>
      <c r="B306" s="90" t="s">
        <v>114</v>
      </c>
      <c r="C306" s="90"/>
      <c r="D306" s="69">
        <f>SUM(D320)</f>
        <v>0</v>
      </c>
      <c r="E306" s="69">
        <f>SUM(E320+E346)</f>
        <v>-359427</v>
      </c>
      <c r="F306" s="69">
        <f>SUM(F320+F346)</f>
        <v>-162314</v>
      </c>
      <c r="G306" s="69">
        <f t="shared" si="168"/>
        <v>197113</v>
      </c>
    </row>
    <row r="307" spans="1:8" x14ac:dyDescent="0.25">
      <c r="A307" s="90"/>
      <c r="B307" s="90" t="s">
        <v>115</v>
      </c>
      <c r="C307" s="90"/>
      <c r="D307" s="69">
        <f>D362+D323</f>
        <v>-89956</v>
      </c>
      <c r="E307" s="69">
        <f>E362+E323+E350</f>
        <v>-89956</v>
      </c>
      <c r="F307" s="69">
        <f>F362+F323+F350</f>
        <v>-24852</v>
      </c>
      <c r="G307" s="69">
        <f t="shared" si="168"/>
        <v>65104</v>
      </c>
    </row>
    <row r="308" spans="1:8" ht="14.25" customHeight="1" x14ac:dyDescent="0.25">
      <c r="A308" s="70"/>
      <c r="B308" s="70" t="s">
        <v>37</v>
      </c>
      <c r="C308" s="70"/>
      <c r="D308" s="71">
        <f>SUM(D309:D312)</f>
        <v>-125822391</v>
      </c>
      <c r="E308" s="71">
        <f>SUM(E309:E313)</f>
        <v>-35784281</v>
      </c>
      <c r="F308" s="71">
        <f>SUM(F309:F313)</f>
        <v>-29701162</v>
      </c>
      <c r="G308" s="71">
        <f>F308-E308</f>
        <v>6083119</v>
      </c>
    </row>
    <row r="309" spans="1:8" s="73" customFormat="1" ht="14.25" customHeight="1" x14ac:dyDescent="0.25">
      <c r="A309" s="70"/>
      <c r="B309" s="70"/>
      <c r="C309" s="90" t="s">
        <v>146</v>
      </c>
      <c r="D309" s="71">
        <f>SUM(D321)</f>
        <v>0</v>
      </c>
      <c r="E309" s="71">
        <f>SUM(E321)</f>
        <v>-357033</v>
      </c>
      <c r="F309" s="71">
        <f>SUM(F321)</f>
        <v>0</v>
      </c>
      <c r="G309" s="69">
        <f t="shared" ref="G309" si="169">F309-E309</f>
        <v>357033</v>
      </c>
      <c r="H309" s="72"/>
    </row>
    <row r="310" spans="1:8" x14ac:dyDescent="0.25">
      <c r="A310" s="90"/>
      <c r="B310" s="90"/>
      <c r="C310" s="90" t="s">
        <v>60</v>
      </c>
      <c r="D310" s="69">
        <f>D315</f>
        <v>-2034164</v>
      </c>
      <c r="E310" s="69">
        <f t="shared" ref="E310" si="170">E315</f>
        <v>-2034164</v>
      </c>
      <c r="F310" s="69">
        <f>F315</f>
        <v>-1715078</v>
      </c>
      <c r="G310" s="69">
        <f t="shared" ref="G310:G312" si="171">F310-E310</f>
        <v>319086</v>
      </c>
    </row>
    <row r="311" spans="1:8" x14ac:dyDescent="0.25">
      <c r="A311" s="90"/>
      <c r="B311" s="90"/>
      <c r="C311" s="90" t="s">
        <v>61</v>
      </c>
      <c r="D311" s="69">
        <f>D316</f>
        <v>-2467079</v>
      </c>
      <c r="E311" s="69">
        <f>E316+E322</f>
        <v>-2282159</v>
      </c>
      <c r="F311" s="69">
        <f>F316+F322</f>
        <v>-1736889</v>
      </c>
      <c r="G311" s="69">
        <f t="shared" si="171"/>
        <v>545270</v>
      </c>
    </row>
    <row r="312" spans="1:8" x14ac:dyDescent="0.25">
      <c r="A312" s="70"/>
      <c r="B312" s="70"/>
      <c r="C312" s="90" t="s">
        <v>107</v>
      </c>
      <c r="D312" s="69">
        <f>D317</f>
        <v>-121321148</v>
      </c>
      <c r="E312" s="69">
        <f t="shared" ref="E312" si="172">E317</f>
        <v>-31110925</v>
      </c>
      <c r="F312" s="69">
        <f>F317</f>
        <v>-26240670</v>
      </c>
      <c r="G312" s="69">
        <f t="shared" si="171"/>
        <v>4870255</v>
      </c>
    </row>
    <row r="313" spans="1:8" ht="14.25" customHeight="1" x14ac:dyDescent="0.25">
      <c r="A313" s="90"/>
      <c r="B313" s="90"/>
      <c r="C313" s="90" t="s">
        <v>108</v>
      </c>
      <c r="D313" s="69">
        <f>SUM(D323+D319)</f>
        <v>0</v>
      </c>
      <c r="E313" s="69">
        <f>SUM(E323+E319)</f>
        <v>0</v>
      </c>
      <c r="F313" s="69">
        <f>SUM(F323+F319)</f>
        <v>-8525</v>
      </c>
      <c r="G313" s="69">
        <f>F313-E313</f>
        <v>-8525</v>
      </c>
    </row>
    <row r="314" spans="1:8" x14ac:dyDescent="0.25">
      <c r="A314" s="70"/>
      <c r="B314" s="70"/>
      <c r="C314" s="70" t="s">
        <v>111</v>
      </c>
      <c r="D314" s="71">
        <f>SUM(D315:D317)</f>
        <v>-125822391</v>
      </c>
      <c r="E314" s="71">
        <f>SUM(E315:E317)</f>
        <v>-35427248</v>
      </c>
      <c r="F314" s="71">
        <f>SUM(F315:F317)</f>
        <v>-29532637</v>
      </c>
      <c r="G314" s="71">
        <f>F314-E314</f>
        <v>5894611</v>
      </c>
    </row>
    <row r="315" spans="1:8" x14ac:dyDescent="0.25">
      <c r="A315" s="90"/>
      <c r="B315" s="90"/>
      <c r="C315" s="90" t="s">
        <v>60</v>
      </c>
      <c r="D315" s="69">
        <v>-2034164</v>
      </c>
      <c r="E315" s="69">
        <v>-2034164</v>
      </c>
      <c r="F315" s="69">
        <v>-1715078</v>
      </c>
      <c r="G315" s="69">
        <f t="shared" ref="G315:G319" si="173">F315-E315</f>
        <v>319086</v>
      </c>
    </row>
    <row r="316" spans="1:8" x14ac:dyDescent="0.25">
      <c r="A316" s="90"/>
      <c r="B316" s="90"/>
      <c r="C316" s="90" t="s">
        <v>61</v>
      </c>
      <c r="D316" s="69">
        <v>-2467079</v>
      </c>
      <c r="E316" s="69">
        <v>-2282159</v>
      </c>
      <c r="F316" s="69">
        <v>-1576889</v>
      </c>
      <c r="G316" s="69">
        <f t="shared" si="173"/>
        <v>705270</v>
      </c>
    </row>
    <row r="317" spans="1:8" x14ac:dyDescent="0.25">
      <c r="A317" s="70"/>
      <c r="B317" s="70"/>
      <c r="C317" s="90" t="s">
        <v>107</v>
      </c>
      <c r="D317" s="69">
        <v>-121321148</v>
      </c>
      <c r="E317" s="69">
        <v>-31110925</v>
      </c>
      <c r="F317" s="69">
        <v>-26240670</v>
      </c>
      <c r="G317" s="69">
        <f t="shared" si="173"/>
        <v>4870255</v>
      </c>
    </row>
    <row r="318" spans="1:8" ht="20.25" customHeight="1" x14ac:dyDescent="0.25">
      <c r="A318" s="90"/>
      <c r="B318" s="90"/>
      <c r="C318" s="70" t="s">
        <v>112</v>
      </c>
      <c r="D318" s="71">
        <f>SUM(D319)</f>
        <v>0</v>
      </c>
      <c r="E318" s="71">
        <f t="shared" ref="E318" si="174">SUM(E319)</f>
        <v>0</v>
      </c>
      <c r="F318" s="71">
        <f>SUM(F319)</f>
        <v>1436</v>
      </c>
      <c r="G318" s="71">
        <f t="shared" si="173"/>
        <v>1436</v>
      </c>
    </row>
    <row r="319" spans="1:8" s="34" customFormat="1" ht="16.5" customHeight="1" x14ac:dyDescent="0.25">
      <c r="A319" s="90"/>
      <c r="B319" s="90"/>
      <c r="C319" s="90" t="s">
        <v>62</v>
      </c>
      <c r="D319" s="69">
        <v>0</v>
      </c>
      <c r="E319" s="93">
        <v>0</v>
      </c>
      <c r="F319" s="93">
        <v>1436</v>
      </c>
      <c r="G319" s="69">
        <f t="shared" si="173"/>
        <v>1436</v>
      </c>
      <c r="H319" s="17"/>
    </row>
    <row r="320" spans="1:8" s="34" customFormat="1" ht="15" customHeight="1" x14ac:dyDescent="0.25">
      <c r="A320" s="70"/>
      <c r="B320" s="70"/>
      <c r="C320" s="70" t="s">
        <v>114</v>
      </c>
      <c r="D320" s="71">
        <f>SUM(D321:D322)</f>
        <v>0</v>
      </c>
      <c r="E320" s="71">
        <f>SUM(E321:E322)</f>
        <v>-357033</v>
      </c>
      <c r="F320" s="71">
        <f>SUM(F321:F322)</f>
        <v>-160000</v>
      </c>
      <c r="G320" s="71">
        <f>F320-E320</f>
        <v>197033</v>
      </c>
      <c r="H320" s="17"/>
    </row>
    <row r="321" spans="1:8" ht="16.5" customHeight="1" x14ac:dyDescent="0.25">
      <c r="A321" s="90"/>
      <c r="B321" s="90"/>
      <c r="C321" s="90" t="s">
        <v>146</v>
      </c>
      <c r="D321" s="69">
        <v>0</v>
      </c>
      <c r="E321" s="69">
        <v>-357033</v>
      </c>
      <c r="F321" s="69">
        <v>0</v>
      </c>
      <c r="G321" s="69">
        <f t="shared" ref="G321:G323" si="175">F321-E321</f>
        <v>357033</v>
      </c>
    </row>
    <row r="322" spans="1:8" ht="16.5" customHeight="1" x14ac:dyDescent="0.25">
      <c r="A322" s="90"/>
      <c r="B322" s="90"/>
      <c r="C322" s="90" t="s">
        <v>61</v>
      </c>
      <c r="D322" s="69">
        <v>0</v>
      </c>
      <c r="E322" s="69">
        <v>0</v>
      </c>
      <c r="F322" s="69">
        <v>-160000</v>
      </c>
      <c r="G322" s="69">
        <f t="shared" si="175"/>
        <v>-160000</v>
      </c>
    </row>
    <row r="323" spans="1:8" s="34" customFormat="1" x14ac:dyDescent="0.25">
      <c r="A323" s="70"/>
      <c r="B323" s="70"/>
      <c r="C323" s="70" t="s">
        <v>116</v>
      </c>
      <c r="D323" s="71">
        <v>0</v>
      </c>
      <c r="E323" s="71">
        <f t="shared" ref="E323" si="176">D323</f>
        <v>0</v>
      </c>
      <c r="F323" s="71">
        <v>-9961</v>
      </c>
      <c r="G323" s="71">
        <f t="shared" si="175"/>
        <v>-9961</v>
      </c>
      <c r="H323" s="17"/>
    </row>
    <row r="324" spans="1:8" ht="14.25" customHeight="1" x14ac:dyDescent="0.25">
      <c r="A324" s="70"/>
      <c r="B324" s="70" t="s">
        <v>121</v>
      </c>
      <c r="C324" s="70"/>
      <c r="D324" s="71">
        <f>SUM(D325:D325)</f>
        <v>-21247</v>
      </c>
      <c r="E324" s="71">
        <f>SUM(E325:E325)</f>
        <v>0</v>
      </c>
      <c r="F324" s="71">
        <f>SUM(F325:F325)</f>
        <v>0</v>
      </c>
      <c r="G324" s="71">
        <f>F324-E324</f>
        <v>0</v>
      </c>
    </row>
    <row r="325" spans="1:8" x14ac:dyDescent="0.25">
      <c r="A325" s="90"/>
      <c r="B325" s="90"/>
      <c r="C325" s="90" t="s">
        <v>61</v>
      </c>
      <c r="D325" s="69">
        <f>D327</f>
        <v>-21247</v>
      </c>
      <c r="E325" s="69">
        <f t="shared" ref="E325:F325" si="177">E327</f>
        <v>0</v>
      </c>
      <c r="F325" s="69">
        <f t="shared" si="177"/>
        <v>0</v>
      </c>
      <c r="G325" s="69">
        <f t="shared" ref="G325" si="178">F325-E325</f>
        <v>0</v>
      </c>
    </row>
    <row r="326" spans="1:8" x14ac:dyDescent="0.25">
      <c r="A326" s="70"/>
      <c r="B326" s="70"/>
      <c r="C326" s="70" t="s">
        <v>111</v>
      </c>
      <c r="D326" s="71">
        <f>SUM(D327:D327)</f>
        <v>-21247</v>
      </c>
      <c r="E326" s="71">
        <f>SUM(E327:E327)</f>
        <v>0</v>
      </c>
      <c r="F326" s="71">
        <f>SUM(F327:F327)</f>
        <v>0</v>
      </c>
      <c r="G326" s="71">
        <f>F326-E326</f>
        <v>0</v>
      </c>
    </row>
    <row r="327" spans="1:8" x14ac:dyDescent="0.25">
      <c r="A327" s="70"/>
      <c r="B327" s="70"/>
      <c r="C327" s="90" t="s">
        <v>61</v>
      </c>
      <c r="D327" s="69">
        <v>-21247</v>
      </c>
      <c r="E327" s="69">
        <v>0</v>
      </c>
      <c r="F327" s="71">
        <v>0</v>
      </c>
      <c r="G327" s="69">
        <f t="shared" ref="G327" si="179">F327-E327</f>
        <v>0</v>
      </c>
    </row>
    <row r="328" spans="1:8" ht="14.25" customHeight="1" x14ac:dyDescent="0.25">
      <c r="A328" s="70"/>
      <c r="B328" s="70" t="s">
        <v>122</v>
      </c>
      <c r="C328" s="70"/>
      <c r="D328" s="71">
        <f>SUM(D329:D331)</f>
        <v>-17683669</v>
      </c>
      <c r="E328" s="71">
        <f>SUM(E329:E334)</f>
        <v>-26516126</v>
      </c>
      <c r="F328" s="71">
        <f>SUM(F329:F334)</f>
        <v>-23980169</v>
      </c>
      <c r="G328" s="71">
        <f>F328-E328</f>
        <v>2535957</v>
      </c>
    </row>
    <row r="329" spans="1:8" ht="16.5" customHeight="1" x14ac:dyDescent="0.25">
      <c r="A329" s="90"/>
      <c r="B329" s="90"/>
      <c r="C329" s="90" t="s">
        <v>146</v>
      </c>
      <c r="D329" s="69">
        <f>SUM(D343+D347)</f>
        <v>0</v>
      </c>
      <c r="E329" s="69">
        <f>SUM(E343+E347)</f>
        <v>-472516</v>
      </c>
      <c r="F329" s="69">
        <f t="shared" ref="F329:G329" si="180">SUM(F343+F347)</f>
        <v>0</v>
      </c>
      <c r="G329" s="69">
        <f t="shared" si="180"/>
        <v>472516</v>
      </c>
    </row>
    <row r="330" spans="1:8" x14ac:dyDescent="0.25">
      <c r="A330" s="90"/>
      <c r="B330" s="90"/>
      <c r="C330" s="90" t="s">
        <v>60</v>
      </c>
      <c r="D330" s="69">
        <f>D336</f>
        <v>-3109222</v>
      </c>
      <c r="E330" s="69">
        <f>E336++E344+E348</f>
        <v>-6953351</v>
      </c>
      <c r="F330" s="69">
        <f>F336+F344+F348</f>
        <v>-6831489</v>
      </c>
      <c r="G330" s="69">
        <f t="shared" ref="G330:G333" si="181">F330-E330</f>
        <v>121862</v>
      </c>
    </row>
    <row r="331" spans="1:8" x14ac:dyDescent="0.25">
      <c r="A331" s="90"/>
      <c r="B331" s="90"/>
      <c r="C331" s="90" t="s">
        <v>61</v>
      </c>
      <c r="D331" s="69">
        <f>D337</f>
        <v>-14574447</v>
      </c>
      <c r="E331" s="69">
        <f>E337+E345+E349</f>
        <v>-17173577</v>
      </c>
      <c r="F331" s="69">
        <f>F337+F345+F349</f>
        <v>-15524672</v>
      </c>
      <c r="G331" s="69">
        <f t="shared" si="181"/>
        <v>1648905</v>
      </c>
    </row>
    <row r="332" spans="1:8" ht="15" customHeight="1" x14ac:dyDescent="0.25">
      <c r="A332" s="90"/>
      <c r="B332" s="90"/>
      <c r="C332" s="90" t="s">
        <v>106</v>
      </c>
      <c r="D332" s="69">
        <v>0</v>
      </c>
      <c r="E332" s="69">
        <f>SUM(E338)</f>
        <v>-79200</v>
      </c>
      <c r="F332" s="69">
        <f>SUM(F338)</f>
        <v>-67106</v>
      </c>
      <c r="G332" s="69">
        <f t="shared" si="181"/>
        <v>12094</v>
      </c>
    </row>
    <row r="333" spans="1:8" x14ac:dyDescent="0.25">
      <c r="A333" s="90"/>
      <c r="B333" s="90"/>
      <c r="C333" s="90" t="s">
        <v>107</v>
      </c>
      <c r="D333" s="69">
        <v>0</v>
      </c>
      <c r="E333" s="69">
        <f>SUM(E339)</f>
        <v>-1837482</v>
      </c>
      <c r="F333" s="69">
        <f>SUM(F339)</f>
        <v>-1541845</v>
      </c>
      <c r="G333" s="69">
        <f t="shared" si="181"/>
        <v>295637</v>
      </c>
    </row>
    <row r="334" spans="1:8" ht="14.25" customHeight="1" x14ac:dyDescent="0.25">
      <c r="A334" s="90"/>
      <c r="B334" s="90"/>
      <c r="C334" s="90" t="s">
        <v>108</v>
      </c>
      <c r="D334" s="69">
        <v>0</v>
      </c>
      <c r="E334" s="69">
        <f>SUM(E341)+E350</f>
        <v>0</v>
      </c>
      <c r="F334" s="69">
        <f>SUM(F341)+F350</f>
        <v>-15057</v>
      </c>
      <c r="G334" s="69">
        <f>F334-E334</f>
        <v>-15057</v>
      </c>
    </row>
    <row r="335" spans="1:8" x14ac:dyDescent="0.25">
      <c r="A335" s="70"/>
      <c r="B335" s="70"/>
      <c r="C335" s="70" t="s">
        <v>111</v>
      </c>
      <c r="D335" s="71">
        <f>SUM(D336:D337)</f>
        <v>-17683669</v>
      </c>
      <c r="E335" s="71">
        <f>SUM(E336:E339)</f>
        <v>-26043610</v>
      </c>
      <c r="F335" s="71">
        <f>SUM(F336:F339)</f>
        <v>-23716560</v>
      </c>
      <c r="G335" s="71">
        <f>F335-E335</f>
        <v>2327050</v>
      </c>
    </row>
    <row r="336" spans="1:8" x14ac:dyDescent="0.25">
      <c r="A336" s="90"/>
      <c r="B336" s="90"/>
      <c r="C336" s="90" t="s">
        <v>60</v>
      </c>
      <c r="D336" s="69">
        <v>-3109222</v>
      </c>
      <c r="E336" s="69">
        <v>-6953351</v>
      </c>
      <c r="F336" s="69">
        <v>-6793315</v>
      </c>
      <c r="G336" s="69">
        <f t="shared" ref="G336:G338" si="182">F336-E336</f>
        <v>160036</v>
      </c>
    </row>
    <row r="337" spans="1:8" x14ac:dyDescent="0.25">
      <c r="A337" s="70"/>
      <c r="B337" s="70"/>
      <c r="C337" s="90" t="s">
        <v>61</v>
      </c>
      <c r="D337" s="69">
        <v>-14574447</v>
      </c>
      <c r="E337" s="69">
        <f>-17161078-12499</f>
        <v>-17173577</v>
      </c>
      <c r="F337" s="69">
        <v>-15314294</v>
      </c>
      <c r="G337" s="69">
        <f t="shared" si="182"/>
        <v>1859283</v>
      </c>
    </row>
    <row r="338" spans="1:8" ht="15" customHeight="1" x14ac:dyDescent="0.25">
      <c r="A338" s="90"/>
      <c r="B338" s="90"/>
      <c r="C338" s="90" t="s">
        <v>106</v>
      </c>
      <c r="D338" s="69">
        <v>0</v>
      </c>
      <c r="E338" s="69">
        <v>-79200</v>
      </c>
      <c r="F338" s="69">
        <v>-67106</v>
      </c>
      <c r="G338" s="69">
        <f t="shared" si="182"/>
        <v>12094</v>
      </c>
    </row>
    <row r="339" spans="1:8" x14ac:dyDescent="0.25">
      <c r="A339" s="90"/>
      <c r="B339" s="90"/>
      <c r="C339" s="90" t="s">
        <v>107</v>
      </c>
      <c r="D339" s="69">
        <v>0</v>
      </c>
      <c r="E339" s="69">
        <v>-1837482</v>
      </c>
      <c r="F339" s="69">
        <v>-1541845</v>
      </c>
      <c r="G339" s="69">
        <f>F339-E339</f>
        <v>295637</v>
      </c>
    </row>
    <row r="340" spans="1:8" ht="16.5" customHeight="1" x14ac:dyDescent="0.25">
      <c r="A340" s="90"/>
      <c r="B340" s="90"/>
      <c r="C340" s="70" t="s">
        <v>112</v>
      </c>
      <c r="D340" s="71">
        <f>SUM(D341)</f>
        <v>0</v>
      </c>
      <c r="E340" s="71">
        <f t="shared" ref="E340" si="183">SUM(E341)</f>
        <v>0</v>
      </c>
      <c r="F340" s="71">
        <f t="shared" ref="F340" si="184">SUM(F341)</f>
        <v>-525</v>
      </c>
      <c r="G340" s="69">
        <f t="shared" ref="G340:G350" si="185">F340-E340</f>
        <v>-525</v>
      </c>
    </row>
    <row r="341" spans="1:8" s="34" customFormat="1" x14ac:dyDescent="0.25">
      <c r="A341" s="90"/>
      <c r="B341" s="90"/>
      <c r="C341" s="90" t="s">
        <v>62</v>
      </c>
      <c r="D341" s="69">
        <v>0</v>
      </c>
      <c r="E341" s="93">
        <v>0</v>
      </c>
      <c r="F341" s="93">
        <v>-525</v>
      </c>
      <c r="G341" s="69">
        <f t="shared" si="185"/>
        <v>-525</v>
      </c>
      <c r="H341" s="17"/>
    </row>
    <row r="342" spans="1:8" ht="14.25" customHeight="1" x14ac:dyDescent="0.25">
      <c r="A342" s="90"/>
      <c r="B342" s="90"/>
      <c r="C342" s="70" t="s">
        <v>113</v>
      </c>
      <c r="D342" s="71">
        <f>SUM(D343:D345)</f>
        <v>0</v>
      </c>
      <c r="E342" s="71">
        <f>SUM(E343:E345)</f>
        <v>-470122</v>
      </c>
      <c r="F342" s="71">
        <f>SUM(F343:F345)</f>
        <v>-246238</v>
      </c>
      <c r="G342" s="71">
        <f>F342-E342</f>
        <v>223884</v>
      </c>
    </row>
    <row r="343" spans="1:8" x14ac:dyDescent="0.25">
      <c r="A343" s="90"/>
      <c r="B343" s="90"/>
      <c r="C343" s="90" t="s">
        <v>146</v>
      </c>
      <c r="D343" s="69">
        <v>0</v>
      </c>
      <c r="E343" s="69">
        <v>-470122</v>
      </c>
      <c r="F343" s="69">
        <v>0</v>
      </c>
      <c r="G343" s="69">
        <f t="shared" ref="G343:G345" si="186">F343-E343</f>
        <v>470122</v>
      </c>
    </row>
    <row r="344" spans="1:8" x14ac:dyDescent="0.25">
      <c r="A344" s="90"/>
      <c r="B344" s="90"/>
      <c r="C344" s="90" t="s">
        <v>60</v>
      </c>
      <c r="D344" s="69">
        <v>0</v>
      </c>
      <c r="E344" s="69">
        <v>0</v>
      </c>
      <c r="F344" s="97">
        <v>-37973</v>
      </c>
      <c r="G344" s="69">
        <f t="shared" si="186"/>
        <v>-37973</v>
      </c>
    </row>
    <row r="345" spans="1:8" ht="16.5" customHeight="1" x14ac:dyDescent="0.25">
      <c r="A345" s="90"/>
      <c r="B345" s="90"/>
      <c r="C345" s="90" t="s">
        <v>61</v>
      </c>
      <c r="D345" s="69">
        <v>0</v>
      </c>
      <c r="E345" s="69">
        <v>0</v>
      </c>
      <c r="F345" s="69">
        <v>-208265</v>
      </c>
      <c r="G345" s="69">
        <f t="shared" si="186"/>
        <v>-208265</v>
      </c>
    </row>
    <row r="346" spans="1:8" s="34" customFormat="1" ht="19.5" customHeight="1" x14ac:dyDescent="0.25">
      <c r="A346" s="70"/>
      <c r="B346" s="70"/>
      <c r="C346" s="70" t="s">
        <v>114</v>
      </c>
      <c r="D346" s="71">
        <f>SUM(D347:D349)</f>
        <v>0</v>
      </c>
      <c r="E346" s="71">
        <f>SUM(E347:E349)</f>
        <v>-2394</v>
      </c>
      <c r="F346" s="71">
        <f>SUM(F347:F349)</f>
        <v>-2314</v>
      </c>
      <c r="G346" s="71">
        <f>F346-E346</f>
        <v>80</v>
      </c>
      <c r="H346" s="17"/>
    </row>
    <row r="347" spans="1:8" ht="16.5" customHeight="1" x14ac:dyDescent="0.25">
      <c r="A347" s="90"/>
      <c r="B347" s="90"/>
      <c r="C347" s="90" t="s">
        <v>146</v>
      </c>
      <c r="D347" s="69">
        <v>0</v>
      </c>
      <c r="E347" s="69">
        <v>-2394</v>
      </c>
      <c r="F347" s="69">
        <v>0</v>
      </c>
      <c r="G347" s="69">
        <f t="shared" ref="G347:G349" si="187">F347-E347</f>
        <v>2394</v>
      </c>
    </row>
    <row r="348" spans="1:8" x14ac:dyDescent="0.25">
      <c r="A348" s="90"/>
      <c r="B348" s="90"/>
      <c r="C348" s="90" t="s">
        <v>60</v>
      </c>
      <c r="D348" s="69">
        <v>0</v>
      </c>
      <c r="E348" s="69">
        <v>0</v>
      </c>
      <c r="F348" s="69">
        <v>-201</v>
      </c>
      <c r="G348" s="69">
        <f t="shared" si="187"/>
        <v>-201</v>
      </c>
    </row>
    <row r="349" spans="1:8" ht="16.5" customHeight="1" x14ac:dyDescent="0.25">
      <c r="A349" s="90"/>
      <c r="B349" s="90"/>
      <c r="C349" s="90" t="s">
        <v>61</v>
      </c>
      <c r="D349" s="69">
        <v>0</v>
      </c>
      <c r="E349" s="69">
        <v>0</v>
      </c>
      <c r="F349" s="69">
        <v>-2113</v>
      </c>
      <c r="G349" s="69">
        <f t="shared" si="187"/>
        <v>-2113</v>
      </c>
    </row>
    <row r="350" spans="1:8" s="34" customFormat="1" x14ac:dyDescent="0.25">
      <c r="A350" s="70"/>
      <c r="B350" s="70"/>
      <c r="C350" s="70" t="s">
        <v>116</v>
      </c>
      <c r="D350" s="71">
        <v>0</v>
      </c>
      <c r="E350" s="71">
        <f t="shared" ref="E350" si="188">D350</f>
        <v>0</v>
      </c>
      <c r="F350" s="71">
        <v>-14532</v>
      </c>
      <c r="G350" s="71">
        <f t="shared" si="185"/>
        <v>-14532</v>
      </c>
      <c r="H350" s="17"/>
    </row>
    <row r="351" spans="1:8" ht="14.25" customHeight="1" x14ac:dyDescent="0.25">
      <c r="A351" s="70"/>
      <c r="B351" s="70" t="s">
        <v>120</v>
      </c>
      <c r="C351" s="70"/>
      <c r="D351" s="71">
        <f>SUM(D352:D355)</f>
        <v>-1326001</v>
      </c>
      <c r="E351" s="71">
        <f>SUM(E352:E355)</f>
        <v>-128210123</v>
      </c>
      <c r="F351" s="71">
        <f>SUM(F352:F355)</f>
        <v>-125517390</v>
      </c>
      <c r="G351" s="71">
        <f>F351-E351</f>
        <v>2692733</v>
      </c>
    </row>
    <row r="352" spans="1:8" x14ac:dyDescent="0.25">
      <c r="A352" s="90"/>
      <c r="B352" s="90"/>
      <c r="C352" s="90" t="s">
        <v>61</v>
      </c>
      <c r="D352" s="69">
        <f>D357</f>
        <v>-1236045</v>
      </c>
      <c r="E352" s="69">
        <f t="shared" ref="E352" si="189">E357</f>
        <v>-1357684</v>
      </c>
      <c r="F352" s="69">
        <f>F357+F361</f>
        <v>-1409307</v>
      </c>
      <c r="G352" s="69">
        <f>F352-E352</f>
        <v>-51623</v>
      </c>
    </row>
    <row r="353" spans="1:8" x14ac:dyDescent="0.25">
      <c r="A353" s="90"/>
      <c r="B353" s="90"/>
      <c r="C353" s="90" t="s">
        <v>146</v>
      </c>
      <c r="D353" s="69">
        <v>0</v>
      </c>
      <c r="E353" s="69">
        <f>SUM(E360)</f>
        <v>-100956</v>
      </c>
      <c r="F353" s="69">
        <f>SUM(F360)</f>
        <v>0</v>
      </c>
      <c r="G353" s="69">
        <f>F353-E353</f>
        <v>100956</v>
      </c>
    </row>
    <row r="354" spans="1:8" x14ac:dyDescent="0.25">
      <c r="A354" s="90"/>
      <c r="B354" s="90"/>
      <c r="C354" s="90" t="s">
        <v>107</v>
      </c>
      <c r="D354" s="69">
        <v>0</v>
      </c>
      <c r="E354" s="69">
        <f>SUM(E358)</f>
        <v>-126661527</v>
      </c>
      <c r="F354" s="69">
        <f>SUM(F358)</f>
        <v>-124107724</v>
      </c>
      <c r="G354" s="69">
        <f>F354-E354</f>
        <v>2553803</v>
      </c>
    </row>
    <row r="355" spans="1:8" x14ac:dyDescent="0.25">
      <c r="A355" s="90"/>
      <c r="B355" s="90"/>
      <c r="C355" s="90" t="s">
        <v>108</v>
      </c>
      <c r="D355" s="69">
        <f>D362</f>
        <v>-89956</v>
      </c>
      <c r="E355" s="69">
        <f t="shared" ref="E355:F355" si="190">E362</f>
        <v>-89956</v>
      </c>
      <c r="F355" s="69">
        <f t="shared" si="190"/>
        <v>-359</v>
      </c>
      <c r="G355" s="69">
        <f t="shared" ref="G355" si="191">F355-E355</f>
        <v>89597</v>
      </c>
    </row>
    <row r="356" spans="1:8" x14ac:dyDescent="0.25">
      <c r="A356" s="70"/>
      <c r="B356" s="70"/>
      <c r="C356" s="70" t="s">
        <v>111</v>
      </c>
      <c r="D356" s="71">
        <f>SUM(D357:D358)</f>
        <v>-1236045</v>
      </c>
      <c r="E356" s="71">
        <f>SUM(E357:E358)</f>
        <v>-128019211</v>
      </c>
      <c r="F356" s="71">
        <f t="shared" ref="F356:G356" si="192">SUM(F357:F358)</f>
        <v>-125487031</v>
      </c>
      <c r="G356" s="71">
        <f t="shared" si="192"/>
        <v>2532180</v>
      </c>
    </row>
    <row r="357" spans="1:8" x14ac:dyDescent="0.25">
      <c r="A357" s="70"/>
      <c r="B357" s="70"/>
      <c r="C357" s="90" t="s">
        <v>61</v>
      </c>
      <c r="D357" s="69">
        <v>-1236045</v>
      </c>
      <c r="E357" s="97">
        <v>-1357684</v>
      </c>
      <c r="F357" s="97">
        <v>-1379307</v>
      </c>
      <c r="G357" s="69">
        <f t="shared" ref="G357:G363" si="193">F357-E357</f>
        <v>-21623</v>
      </c>
    </row>
    <row r="358" spans="1:8" x14ac:dyDescent="0.25">
      <c r="A358" s="90"/>
      <c r="B358" s="90"/>
      <c r="C358" s="90" t="s">
        <v>107</v>
      </c>
      <c r="D358" s="69">
        <v>0</v>
      </c>
      <c r="E358" s="69">
        <v>-126661527</v>
      </c>
      <c r="F358" s="69">
        <v>-124107724</v>
      </c>
      <c r="G358" s="69">
        <f t="shared" si="193"/>
        <v>2553803</v>
      </c>
    </row>
    <row r="359" spans="1:8" ht="14.25" customHeight="1" x14ac:dyDescent="0.25">
      <c r="A359" s="90"/>
      <c r="B359" s="90"/>
      <c r="C359" s="70" t="s">
        <v>113</v>
      </c>
      <c r="D359" s="71">
        <v>0</v>
      </c>
      <c r="E359" s="71">
        <f>SUM(E360:E361)</f>
        <v>-100956</v>
      </c>
      <c r="F359" s="71">
        <f>SUM(F360:F361)</f>
        <v>-30000</v>
      </c>
      <c r="G359" s="71">
        <f t="shared" si="193"/>
        <v>70956</v>
      </c>
    </row>
    <row r="360" spans="1:8" x14ac:dyDescent="0.25">
      <c r="A360" s="90"/>
      <c r="B360" s="90"/>
      <c r="C360" s="90" t="s">
        <v>146</v>
      </c>
      <c r="D360" s="69">
        <v>0</v>
      </c>
      <c r="E360" s="69">
        <v>-100956</v>
      </c>
      <c r="F360" s="69">
        <v>0</v>
      </c>
      <c r="G360" s="69">
        <f t="shared" si="193"/>
        <v>100956</v>
      </c>
    </row>
    <row r="361" spans="1:8" ht="16.5" customHeight="1" x14ac:dyDescent="0.25">
      <c r="A361" s="90"/>
      <c r="B361" s="90"/>
      <c r="C361" s="90" t="s">
        <v>61</v>
      </c>
      <c r="D361" s="69">
        <v>0</v>
      </c>
      <c r="E361" s="69">
        <v>0</v>
      </c>
      <c r="F361" s="69">
        <v>-30000</v>
      </c>
      <c r="G361" s="69">
        <f t="shared" si="193"/>
        <v>-30000</v>
      </c>
    </row>
    <row r="362" spans="1:8" s="34" customFormat="1" x14ac:dyDescent="0.25">
      <c r="A362" s="70"/>
      <c r="B362" s="70"/>
      <c r="C362" s="70" t="s">
        <v>116</v>
      </c>
      <c r="D362" s="71">
        <v>-89956</v>
      </c>
      <c r="E362" s="71">
        <f t="shared" ref="E362" si="194">D362</f>
        <v>-89956</v>
      </c>
      <c r="F362" s="71">
        <v>-359</v>
      </c>
      <c r="G362" s="71">
        <f t="shared" si="193"/>
        <v>89597</v>
      </c>
      <c r="H362" s="17"/>
    </row>
    <row r="363" spans="1:8" s="34" customFormat="1" ht="15.75" x14ac:dyDescent="0.25">
      <c r="A363" s="89" t="s">
        <v>155</v>
      </c>
      <c r="B363" s="70"/>
      <c r="C363" s="70"/>
      <c r="D363" s="71">
        <f>SUM(D364:D365)</f>
        <v>-61598155</v>
      </c>
      <c r="E363" s="71">
        <f t="shared" ref="E363:F363" si="195">SUM(E364:E365)</f>
        <v>-68101445</v>
      </c>
      <c r="F363" s="71">
        <f t="shared" si="195"/>
        <v>-60727052</v>
      </c>
      <c r="G363" s="71">
        <f t="shared" si="193"/>
        <v>7374393</v>
      </c>
      <c r="H363" s="41" t="s">
        <v>88</v>
      </c>
    </row>
    <row r="364" spans="1:8" x14ac:dyDescent="0.25">
      <c r="A364" s="90"/>
      <c r="B364" s="90" t="s">
        <v>111</v>
      </c>
      <c r="C364" s="90"/>
      <c r="D364" s="69">
        <f>D368+D373</f>
        <v>-60834365</v>
      </c>
      <c r="E364" s="69">
        <f>E368+E373</f>
        <v>-67337655</v>
      </c>
      <c r="F364" s="69">
        <f t="shared" ref="F364" si="196">F368+F373</f>
        <v>-60727052</v>
      </c>
      <c r="G364" s="69">
        <f t="shared" ref="G364:G365" si="197">F364-E364</f>
        <v>6610603</v>
      </c>
    </row>
    <row r="365" spans="1:8" x14ac:dyDescent="0.25">
      <c r="A365" s="90"/>
      <c r="B365" s="90" t="s">
        <v>115</v>
      </c>
      <c r="C365" s="90"/>
      <c r="D365" s="69">
        <f>D370</f>
        <v>-763790</v>
      </c>
      <c r="E365" s="69">
        <f>E370</f>
        <v>-763790</v>
      </c>
      <c r="F365" s="69">
        <f t="shared" ref="F365" si="198">F370</f>
        <v>0</v>
      </c>
      <c r="G365" s="69">
        <f t="shared" si="197"/>
        <v>763790</v>
      </c>
    </row>
    <row r="366" spans="1:8" ht="14.25" customHeight="1" x14ac:dyDescent="0.25">
      <c r="A366" s="70"/>
      <c r="B366" s="70" t="s">
        <v>122</v>
      </c>
      <c r="C366" s="70"/>
      <c r="D366" s="71">
        <f>SUM(D367:D367)</f>
        <v>-22275211</v>
      </c>
      <c r="E366" s="71">
        <f>SUM(E367:E367)</f>
        <v>-22282251</v>
      </c>
      <c r="F366" s="71">
        <f>SUM(F367:F367)</f>
        <v>-20649344</v>
      </c>
      <c r="G366" s="71">
        <f>F366-E366</f>
        <v>1632907</v>
      </c>
    </row>
    <row r="367" spans="1:8" x14ac:dyDescent="0.25">
      <c r="A367" s="70"/>
      <c r="B367" s="70"/>
      <c r="C367" s="90" t="s">
        <v>108</v>
      </c>
      <c r="D367" s="69">
        <f>D369+D370</f>
        <v>-22275211</v>
      </c>
      <c r="E367" s="69">
        <f>E369+E370</f>
        <v>-22282251</v>
      </c>
      <c r="F367" s="69">
        <f t="shared" ref="F367" si="199">F369+F370</f>
        <v>-20649344</v>
      </c>
      <c r="G367" s="69">
        <f t="shared" ref="G367" si="200">F367-E367</f>
        <v>1632907</v>
      </c>
    </row>
    <row r="368" spans="1:8" x14ac:dyDescent="0.25">
      <c r="A368" s="70"/>
      <c r="B368" s="70"/>
      <c r="C368" s="70" t="s">
        <v>111</v>
      </c>
      <c r="D368" s="71">
        <f>SUM(D369:D369)</f>
        <v>-21511421</v>
      </c>
      <c r="E368" s="71">
        <f>SUM(E369:E369)</f>
        <v>-21518461</v>
      </c>
      <c r="F368" s="71">
        <f>SUM(F369:F369)</f>
        <v>-20649344</v>
      </c>
      <c r="G368" s="71">
        <f>F368-E368</f>
        <v>869117</v>
      </c>
    </row>
    <row r="369" spans="1:10" x14ac:dyDescent="0.25">
      <c r="A369" s="70"/>
      <c r="B369" s="70"/>
      <c r="C369" s="90" t="s">
        <v>62</v>
      </c>
      <c r="D369" s="69">
        <v>-21511421</v>
      </c>
      <c r="E369" s="97">
        <v>-21518461</v>
      </c>
      <c r="F369" s="97">
        <v>-20649344</v>
      </c>
      <c r="G369" s="69">
        <f t="shared" ref="G369" si="201">F369-E369</f>
        <v>869117</v>
      </c>
    </row>
    <row r="370" spans="1:10" x14ac:dyDescent="0.25">
      <c r="A370" s="70"/>
      <c r="B370" s="70"/>
      <c r="C370" s="70" t="s">
        <v>116</v>
      </c>
      <c r="D370" s="71">
        <v>-763790</v>
      </c>
      <c r="E370" s="71">
        <f t="shared" ref="E370" si="202">D370</f>
        <v>-763790</v>
      </c>
      <c r="F370" s="71">
        <v>0</v>
      </c>
      <c r="G370" s="71">
        <f t="shared" ref="G370" si="203">F370-E370</f>
        <v>763790</v>
      </c>
    </row>
    <row r="371" spans="1:10" ht="14.25" customHeight="1" x14ac:dyDescent="0.25">
      <c r="A371" s="70"/>
      <c r="B371" s="70" t="s">
        <v>132</v>
      </c>
      <c r="C371" s="70"/>
      <c r="D371" s="71">
        <f>SUM(D372:D372)</f>
        <v>-39322944</v>
      </c>
      <c r="E371" s="71">
        <f>SUM(E372:E372)</f>
        <v>-45819194</v>
      </c>
      <c r="F371" s="71">
        <f>SUM(F372:F372)</f>
        <v>-40077708</v>
      </c>
      <c r="G371" s="71">
        <f>F371-E371</f>
        <v>5741486</v>
      </c>
    </row>
    <row r="372" spans="1:10" x14ac:dyDescent="0.25">
      <c r="A372" s="90"/>
      <c r="B372" s="90"/>
      <c r="C372" s="90" t="s">
        <v>62</v>
      </c>
      <c r="D372" s="69">
        <f>D374</f>
        <v>-39322944</v>
      </c>
      <c r="E372" s="69">
        <f t="shared" ref="E372:F372" si="204">E374</f>
        <v>-45819194</v>
      </c>
      <c r="F372" s="69">
        <f t="shared" si="204"/>
        <v>-40077708</v>
      </c>
      <c r="G372" s="69">
        <f t="shared" ref="G372" si="205">F372-E372</f>
        <v>5741486</v>
      </c>
    </row>
    <row r="373" spans="1:10" x14ac:dyDescent="0.25">
      <c r="A373" s="70"/>
      <c r="B373" s="70"/>
      <c r="C373" s="70" t="s">
        <v>111</v>
      </c>
      <c r="D373" s="71">
        <f>SUM(D374:D374)</f>
        <v>-39322944</v>
      </c>
      <c r="E373" s="71">
        <f>SUM(E374:E374)</f>
        <v>-45819194</v>
      </c>
      <c r="F373" s="71">
        <f>SUM(F374:F374)</f>
        <v>-40077708</v>
      </c>
      <c r="G373" s="71">
        <f>F373-E373</f>
        <v>5741486</v>
      </c>
    </row>
    <row r="374" spans="1:10" x14ac:dyDescent="0.25">
      <c r="A374" s="70"/>
      <c r="B374" s="70"/>
      <c r="C374" s="90" t="s">
        <v>62</v>
      </c>
      <c r="D374" s="69">
        <v>-39322944</v>
      </c>
      <c r="E374" s="69">
        <v>-45819194</v>
      </c>
      <c r="F374" s="100">
        <f>-44815413+4737705</f>
        <v>-40077708</v>
      </c>
      <c r="G374" s="69">
        <f t="shared" ref="G374:G379" si="206">F374-E374</f>
        <v>5741486</v>
      </c>
      <c r="I374" s="2"/>
      <c r="J374" s="15"/>
    </row>
    <row r="375" spans="1:10" ht="15.75" x14ac:dyDescent="0.25">
      <c r="A375" s="92" t="s">
        <v>134</v>
      </c>
      <c r="B375" s="70"/>
      <c r="C375" s="70"/>
      <c r="D375" s="71">
        <f>SUM(D376:D379)</f>
        <v>-28760468</v>
      </c>
      <c r="E375" s="71">
        <f>SUM(E376:E379)</f>
        <v>-22120400</v>
      </c>
      <c r="F375" s="71">
        <f>SUM(F376:F379)</f>
        <v>-19935292</v>
      </c>
      <c r="G375" s="71">
        <f>F375-E375</f>
        <v>2185108</v>
      </c>
      <c r="H375" s="37" t="s">
        <v>89</v>
      </c>
    </row>
    <row r="376" spans="1:10" x14ac:dyDescent="0.25">
      <c r="A376" s="90"/>
      <c r="B376" s="90" t="s">
        <v>111</v>
      </c>
      <c r="C376" s="90"/>
      <c r="D376" s="69">
        <f>D385+D397+D419+D428+D434</f>
        <v>-28518115</v>
      </c>
      <c r="E376" s="69">
        <f>E385+E397+E419+E428+E434</f>
        <v>-21690757</v>
      </c>
      <c r="F376" s="69">
        <f t="shared" ref="F376" si="207">F385+F397+F419+F428+F434</f>
        <v>-19562417</v>
      </c>
      <c r="G376" s="69">
        <f t="shared" si="206"/>
        <v>2128340</v>
      </c>
    </row>
    <row r="377" spans="1:10" x14ac:dyDescent="0.25">
      <c r="A377" s="90"/>
      <c r="B377" s="90" t="s">
        <v>113</v>
      </c>
      <c r="C377" s="90"/>
      <c r="D377" s="69">
        <f>D403</f>
        <v>0</v>
      </c>
      <c r="E377" s="69">
        <f>E403</f>
        <v>-150026</v>
      </c>
      <c r="F377" s="69">
        <f t="shared" ref="F377" si="208">F403</f>
        <v>-144086</v>
      </c>
      <c r="G377" s="69">
        <f t="shared" si="206"/>
        <v>5940</v>
      </c>
    </row>
    <row r="378" spans="1:10" x14ac:dyDescent="0.25">
      <c r="A378" s="90"/>
      <c r="B378" s="90" t="s">
        <v>114</v>
      </c>
      <c r="C378" s="90"/>
      <c r="D378" s="69">
        <f>D408</f>
        <v>-92428</v>
      </c>
      <c r="E378" s="69">
        <f>E408</f>
        <v>-129692</v>
      </c>
      <c r="F378" s="69">
        <f t="shared" ref="F378" si="209">F408</f>
        <v>-97814</v>
      </c>
      <c r="G378" s="69">
        <f t="shared" si="206"/>
        <v>31878</v>
      </c>
    </row>
    <row r="379" spans="1:10" x14ac:dyDescent="0.25">
      <c r="A379" s="90"/>
      <c r="B379" s="90" t="s">
        <v>115</v>
      </c>
      <c r="C379" s="90"/>
      <c r="D379" s="69">
        <f>D412+D424+D436</f>
        <v>-149925</v>
      </c>
      <c r="E379" s="69">
        <f t="shared" ref="E379:F379" si="210">E412+E424+E436</f>
        <v>-149925</v>
      </c>
      <c r="F379" s="69">
        <f t="shared" si="210"/>
        <v>-130975</v>
      </c>
      <c r="G379" s="69">
        <f t="shared" si="206"/>
        <v>18950</v>
      </c>
    </row>
    <row r="380" spans="1:10" ht="14.25" customHeight="1" x14ac:dyDescent="0.25">
      <c r="A380" s="70"/>
      <c r="B380" s="70" t="s">
        <v>37</v>
      </c>
      <c r="C380" s="70"/>
      <c r="D380" s="71">
        <f>SUM(D381:D384)</f>
        <v>-23824768</v>
      </c>
      <c r="E380" s="71">
        <f>SUM(E381:E384)</f>
        <v>-16134964</v>
      </c>
      <c r="F380" s="71">
        <f t="shared" ref="F380" si="211">SUM(F381:F384)</f>
        <v>-14808264</v>
      </c>
      <c r="G380" s="71">
        <f>F380-E380</f>
        <v>1326700</v>
      </c>
    </row>
    <row r="381" spans="1:10" ht="14.25" customHeight="1" x14ac:dyDescent="0.25">
      <c r="A381" s="90"/>
      <c r="B381" s="90"/>
      <c r="C381" s="90" t="s">
        <v>60</v>
      </c>
      <c r="D381" s="69">
        <f>D386</f>
        <v>0</v>
      </c>
      <c r="E381" s="69">
        <f t="shared" ref="E381:F381" si="212">E386</f>
        <v>-820</v>
      </c>
      <c r="F381" s="69">
        <f t="shared" si="212"/>
        <v>-998</v>
      </c>
      <c r="G381" s="69">
        <f t="shared" ref="G381:G384" si="213">F381-E381</f>
        <v>-178</v>
      </c>
    </row>
    <row r="382" spans="1:10" x14ac:dyDescent="0.25">
      <c r="A382" s="90"/>
      <c r="B382" s="90"/>
      <c r="C382" s="90" t="s">
        <v>61</v>
      </c>
      <c r="D382" s="69">
        <f>D387</f>
        <v>-453657</v>
      </c>
      <c r="E382" s="69">
        <f>E387</f>
        <v>-349897</v>
      </c>
      <c r="F382" s="69">
        <f t="shared" ref="F382" si="214">F387</f>
        <v>-264973</v>
      </c>
      <c r="G382" s="69">
        <f t="shared" si="213"/>
        <v>84924</v>
      </c>
    </row>
    <row r="383" spans="1:10" x14ac:dyDescent="0.25">
      <c r="A383" s="90"/>
      <c r="B383" s="90"/>
      <c r="C383" s="90" t="s">
        <v>117</v>
      </c>
      <c r="D383" s="69">
        <f>D388</f>
        <v>-1496516</v>
      </c>
      <c r="E383" s="69">
        <f t="shared" ref="E383:F383" si="215">E388</f>
        <v>-2010815</v>
      </c>
      <c r="F383" s="69">
        <f t="shared" si="215"/>
        <v>-1013396</v>
      </c>
      <c r="G383" s="69">
        <f t="shared" si="213"/>
        <v>997419</v>
      </c>
    </row>
    <row r="384" spans="1:10" x14ac:dyDescent="0.25">
      <c r="A384" s="70"/>
      <c r="B384" s="70"/>
      <c r="C384" s="90" t="s">
        <v>107</v>
      </c>
      <c r="D384" s="69">
        <f>D389</f>
        <v>-21874595</v>
      </c>
      <c r="E384" s="69">
        <f>E389</f>
        <v>-13773432</v>
      </c>
      <c r="F384" s="69">
        <f t="shared" ref="F384" si="216">F389</f>
        <v>-13528897</v>
      </c>
      <c r="G384" s="69">
        <f t="shared" si="213"/>
        <v>244535</v>
      </c>
    </row>
    <row r="385" spans="1:7" x14ac:dyDescent="0.25">
      <c r="A385" s="70"/>
      <c r="B385" s="70"/>
      <c r="C385" s="70" t="s">
        <v>111</v>
      </c>
      <c r="D385" s="71">
        <f>SUM(D386:D389)</f>
        <v>-23824768</v>
      </c>
      <c r="E385" s="71">
        <f>SUM(E386:E389)</f>
        <v>-16134964</v>
      </c>
      <c r="F385" s="71">
        <f t="shared" ref="F385" si="217">SUM(F386:F389)</f>
        <v>-14808264</v>
      </c>
      <c r="G385" s="71">
        <f>F385-E385</f>
        <v>1326700</v>
      </c>
    </row>
    <row r="386" spans="1:7" x14ac:dyDescent="0.25">
      <c r="A386" s="90"/>
      <c r="B386" s="90"/>
      <c r="C386" s="90" t="s">
        <v>60</v>
      </c>
      <c r="D386" s="69">
        <v>0</v>
      </c>
      <c r="E386" s="69">
        <v>-820</v>
      </c>
      <c r="F386" s="69">
        <v>-998</v>
      </c>
      <c r="G386" s="69">
        <f t="shared" ref="G386:G389" si="218">F386-E386</f>
        <v>-178</v>
      </c>
    </row>
    <row r="387" spans="1:7" x14ac:dyDescent="0.25">
      <c r="A387" s="90"/>
      <c r="B387" s="90"/>
      <c r="C387" s="90" t="s">
        <v>61</v>
      </c>
      <c r="D387" s="69">
        <v>-453657</v>
      </c>
      <c r="E387" s="69">
        <v>-349897</v>
      </c>
      <c r="F387" s="69">
        <v>-264973</v>
      </c>
      <c r="G387" s="69">
        <f t="shared" si="218"/>
        <v>84924</v>
      </c>
    </row>
    <row r="388" spans="1:7" x14ac:dyDescent="0.25">
      <c r="A388" s="90"/>
      <c r="B388" s="90"/>
      <c r="C388" s="90" t="s">
        <v>117</v>
      </c>
      <c r="D388" s="69">
        <v>-1496516</v>
      </c>
      <c r="E388" s="69">
        <v>-2010815</v>
      </c>
      <c r="F388" s="69">
        <v>-1013396</v>
      </c>
      <c r="G388" s="69">
        <f t="shared" si="218"/>
        <v>997419</v>
      </c>
    </row>
    <row r="389" spans="1:7" x14ac:dyDescent="0.25">
      <c r="A389" s="70"/>
      <c r="B389" s="70"/>
      <c r="C389" s="90" t="s">
        <v>107</v>
      </c>
      <c r="D389" s="69">
        <f>-23371111+1496516</f>
        <v>-21874595</v>
      </c>
      <c r="E389" s="69">
        <v>-13773432</v>
      </c>
      <c r="F389" s="69">
        <v>-13528897</v>
      </c>
      <c r="G389" s="69">
        <f t="shared" si="218"/>
        <v>244535</v>
      </c>
    </row>
    <row r="390" spans="1:7" ht="14.25" customHeight="1" x14ac:dyDescent="0.25">
      <c r="A390" s="70"/>
      <c r="B390" s="70" t="s">
        <v>135</v>
      </c>
      <c r="C390" s="70"/>
      <c r="D390" s="71">
        <f>SUM(D391:D396)</f>
        <v>-2567161</v>
      </c>
      <c r="E390" s="71">
        <f>SUM(E391:E396)</f>
        <v>-2921066</v>
      </c>
      <c r="F390" s="71">
        <f t="shared" ref="F390" si="219">SUM(F391:F396)</f>
        <v>-2818085</v>
      </c>
      <c r="G390" s="71">
        <f>F390-E390</f>
        <v>102981</v>
      </c>
    </row>
    <row r="391" spans="1:7" ht="14.25" customHeight="1" x14ac:dyDescent="0.25">
      <c r="A391" s="90"/>
      <c r="B391" s="90"/>
      <c r="C391" s="90" t="s">
        <v>146</v>
      </c>
      <c r="D391" s="69">
        <f>D409+D404</f>
        <v>0</v>
      </c>
      <c r="E391" s="69">
        <f>E409+E404</f>
        <v>-279718</v>
      </c>
      <c r="F391" s="69">
        <f t="shared" ref="F391" si="220">F409+F404</f>
        <v>0</v>
      </c>
      <c r="G391" s="69">
        <f t="shared" ref="G391:G396" si="221">F391-E391</f>
        <v>279718</v>
      </c>
    </row>
    <row r="392" spans="1:7" ht="14.25" customHeight="1" x14ac:dyDescent="0.25">
      <c r="A392" s="90"/>
      <c r="B392" s="90"/>
      <c r="C392" s="90" t="s">
        <v>60</v>
      </c>
      <c r="D392" s="69">
        <f>D398+D410+D405</f>
        <v>-1407942</v>
      </c>
      <c r="E392" s="69">
        <f t="shared" ref="E392:F392" si="222">E398+E410+E405</f>
        <v>-1525251</v>
      </c>
      <c r="F392" s="69">
        <f t="shared" si="222"/>
        <v>-1619841</v>
      </c>
      <c r="G392" s="69">
        <f t="shared" si="221"/>
        <v>-94590</v>
      </c>
    </row>
    <row r="393" spans="1:7" ht="14.25" customHeight="1" x14ac:dyDescent="0.25">
      <c r="A393" s="90"/>
      <c r="B393" s="90"/>
      <c r="C393" s="90" t="s">
        <v>61</v>
      </c>
      <c r="D393" s="69">
        <f>D399+D411+D406</f>
        <v>-833514</v>
      </c>
      <c r="E393" s="69">
        <f t="shared" ref="E393:F393" si="223">E399+E411+E406</f>
        <v>-792549</v>
      </c>
      <c r="F393" s="69">
        <f t="shared" si="223"/>
        <v>-813038</v>
      </c>
      <c r="G393" s="69">
        <f t="shared" si="221"/>
        <v>-20489</v>
      </c>
    </row>
    <row r="394" spans="1:7" ht="14.25" customHeight="1" x14ac:dyDescent="0.25">
      <c r="A394" s="90"/>
      <c r="B394" s="90"/>
      <c r="C394" s="90" t="s">
        <v>106</v>
      </c>
      <c r="D394" s="69">
        <f>D400</f>
        <v>-3000</v>
      </c>
      <c r="E394" s="69">
        <f t="shared" ref="E394:F394" si="224">E400</f>
        <v>-4500</v>
      </c>
      <c r="F394" s="69">
        <f t="shared" si="224"/>
        <v>-4500</v>
      </c>
      <c r="G394" s="69">
        <f t="shared" si="221"/>
        <v>0</v>
      </c>
    </row>
    <row r="395" spans="1:7" ht="14.25" customHeight="1" x14ac:dyDescent="0.25">
      <c r="A395" s="90"/>
      <c r="B395" s="90"/>
      <c r="C395" s="90" t="s">
        <v>107</v>
      </c>
      <c r="D395" s="69">
        <f>D401+D407</f>
        <v>-200000</v>
      </c>
      <c r="E395" s="69">
        <f t="shared" ref="E395:F395" si="225">E401+E407</f>
        <v>-196130</v>
      </c>
      <c r="F395" s="69">
        <f t="shared" si="225"/>
        <v>-258870</v>
      </c>
      <c r="G395" s="69">
        <f t="shared" si="221"/>
        <v>-62740</v>
      </c>
    </row>
    <row r="396" spans="1:7" ht="14.25" customHeight="1" x14ac:dyDescent="0.25">
      <c r="A396" s="90"/>
      <c r="B396" s="90"/>
      <c r="C396" s="90" t="s">
        <v>108</v>
      </c>
      <c r="D396" s="69">
        <f>D412+D402</f>
        <v>-122705</v>
      </c>
      <c r="E396" s="69">
        <f t="shared" ref="E396" si="226">E412+E402</f>
        <v>-122918</v>
      </c>
      <c r="F396" s="69">
        <f>F412+F402</f>
        <v>-121836</v>
      </c>
      <c r="G396" s="69">
        <f t="shared" si="221"/>
        <v>1082</v>
      </c>
    </row>
    <row r="397" spans="1:7" ht="14.25" customHeight="1" x14ac:dyDescent="0.25">
      <c r="A397" s="70"/>
      <c r="B397" s="70"/>
      <c r="C397" s="70" t="s">
        <v>111</v>
      </c>
      <c r="D397" s="71">
        <f>SUM(D398:D402)</f>
        <v>-2352028</v>
      </c>
      <c r="E397" s="71">
        <f>SUM(E398:E402)</f>
        <v>-2518643</v>
      </c>
      <c r="F397" s="71">
        <f t="shared" ref="F397" si="227">SUM(F398:F402)</f>
        <v>-2454563</v>
      </c>
      <c r="G397" s="71">
        <f>F397-E397</f>
        <v>64080</v>
      </c>
    </row>
    <row r="398" spans="1:7" x14ac:dyDescent="0.25">
      <c r="A398" s="90"/>
      <c r="B398" s="90"/>
      <c r="C398" s="90" t="s">
        <v>60</v>
      </c>
      <c r="D398" s="69">
        <v>-1369662</v>
      </c>
      <c r="E398" s="69">
        <v>-1525251</v>
      </c>
      <c r="F398" s="69">
        <v>-1521220</v>
      </c>
      <c r="G398" s="69">
        <f t="shared" ref="G398:G399" si="228">F398-E398</f>
        <v>4031</v>
      </c>
    </row>
    <row r="399" spans="1:7" x14ac:dyDescent="0.25">
      <c r="A399" s="90"/>
      <c r="B399" s="90"/>
      <c r="C399" s="90" t="s">
        <v>61</v>
      </c>
      <c r="D399" s="69">
        <v>-779366</v>
      </c>
      <c r="E399" s="69">
        <v>-792549</v>
      </c>
      <c r="F399" s="69">
        <v>-733281</v>
      </c>
      <c r="G399" s="69">
        <f t="shared" si="228"/>
        <v>59268</v>
      </c>
    </row>
    <row r="400" spans="1:7" x14ac:dyDescent="0.25">
      <c r="A400" s="90"/>
      <c r="B400" s="90"/>
      <c r="C400" s="90" t="s">
        <v>106</v>
      </c>
      <c r="D400" s="69">
        <v>-3000</v>
      </c>
      <c r="E400" s="69">
        <v>-4500</v>
      </c>
      <c r="F400" s="69">
        <v>-4500</v>
      </c>
      <c r="G400" s="69">
        <f t="shared" ref="G400:G402" si="229">F400-E400</f>
        <v>0</v>
      </c>
    </row>
    <row r="401" spans="1:8" x14ac:dyDescent="0.25">
      <c r="A401" s="90"/>
      <c r="B401" s="90"/>
      <c r="C401" s="90" t="s">
        <v>107</v>
      </c>
      <c r="D401" s="69">
        <v>-200000</v>
      </c>
      <c r="E401" s="69">
        <v>-196130</v>
      </c>
      <c r="F401" s="69">
        <v>-195348</v>
      </c>
      <c r="G401" s="69">
        <f t="shared" si="229"/>
        <v>782</v>
      </c>
    </row>
    <row r="402" spans="1:8" x14ac:dyDescent="0.25">
      <c r="A402" s="90"/>
      <c r="B402" s="90"/>
      <c r="C402" s="90" t="s">
        <v>62</v>
      </c>
      <c r="D402" s="69">
        <v>0</v>
      </c>
      <c r="E402" s="69">
        <v>-213</v>
      </c>
      <c r="F402" s="69">
        <v>-214</v>
      </c>
      <c r="G402" s="69">
        <f t="shared" si="229"/>
        <v>-1</v>
      </c>
    </row>
    <row r="403" spans="1:8" x14ac:dyDescent="0.25">
      <c r="A403" s="90"/>
      <c r="B403" s="90"/>
      <c r="C403" s="70" t="s">
        <v>113</v>
      </c>
      <c r="D403" s="71">
        <f>SUM(D404:D407)</f>
        <v>0</v>
      </c>
      <c r="E403" s="71">
        <f t="shared" ref="E403:F403" si="230">SUM(E404:E407)</f>
        <v>-150026</v>
      </c>
      <c r="F403" s="71">
        <f t="shared" si="230"/>
        <v>-144086</v>
      </c>
      <c r="G403" s="71">
        <f t="shared" ref="G403:G407" si="231">F403-E403</f>
        <v>5940</v>
      </c>
    </row>
    <row r="404" spans="1:8" x14ac:dyDescent="0.25">
      <c r="A404" s="90"/>
      <c r="B404" s="90"/>
      <c r="C404" s="90" t="s">
        <v>146</v>
      </c>
      <c r="D404" s="69">
        <v>0</v>
      </c>
      <c r="E404" s="69">
        <v>-150026</v>
      </c>
      <c r="F404" s="69">
        <v>0</v>
      </c>
      <c r="G404" s="69">
        <f t="shared" si="231"/>
        <v>150026</v>
      </c>
    </row>
    <row r="405" spans="1:8" x14ac:dyDescent="0.25">
      <c r="A405" s="90"/>
      <c r="B405" s="90"/>
      <c r="C405" s="90" t="s">
        <v>60</v>
      </c>
      <c r="D405" s="69">
        <v>0</v>
      </c>
      <c r="E405" s="69">
        <v>0</v>
      </c>
      <c r="F405" s="69">
        <v>-52693</v>
      </c>
      <c r="G405" s="69">
        <f t="shared" si="231"/>
        <v>-52693</v>
      </c>
    </row>
    <row r="406" spans="1:8" x14ac:dyDescent="0.25">
      <c r="A406" s="90"/>
      <c r="B406" s="90"/>
      <c r="C406" s="90" t="s">
        <v>61</v>
      </c>
      <c r="D406" s="69">
        <v>0</v>
      </c>
      <c r="E406" s="69">
        <v>0</v>
      </c>
      <c r="F406" s="69">
        <v>-27871</v>
      </c>
      <c r="G406" s="69">
        <f t="shared" si="231"/>
        <v>-27871</v>
      </c>
    </row>
    <row r="407" spans="1:8" x14ac:dyDescent="0.25">
      <c r="A407" s="90"/>
      <c r="B407" s="90"/>
      <c r="C407" s="90" t="s">
        <v>107</v>
      </c>
      <c r="D407" s="69">
        <v>0</v>
      </c>
      <c r="E407" s="69">
        <v>0</v>
      </c>
      <c r="F407" s="69">
        <v>-63522</v>
      </c>
      <c r="G407" s="69">
        <f t="shared" si="231"/>
        <v>-63522</v>
      </c>
    </row>
    <row r="408" spans="1:8" s="34" customFormat="1" ht="16.5" customHeight="1" x14ac:dyDescent="0.25">
      <c r="A408" s="70"/>
      <c r="B408" s="70"/>
      <c r="C408" s="70" t="s">
        <v>114</v>
      </c>
      <c r="D408" s="71">
        <f>SUM(D409:D411)</f>
        <v>-92428</v>
      </c>
      <c r="E408" s="71">
        <f t="shared" ref="E408:F408" si="232">SUM(E409:E411)</f>
        <v>-129692</v>
      </c>
      <c r="F408" s="71">
        <f t="shared" si="232"/>
        <v>-97814</v>
      </c>
      <c r="G408" s="71">
        <f>F408-E408</f>
        <v>31878</v>
      </c>
      <c r="H408" s="17"/>
    </row>
    <row r="409" spans="1:8" x14ac:dyDescent="0.25">
      <c r="A409" s="90"/>
      <c r="B409" s="90"/>
      <c r="C409" s="90" t="s">
        <v>146</v>
      </c>
      <c r="D409" s="69">
        <v>0</v>
      </c>
      <c r="E409" s="69">
        <v>-129692</v>
      </c>
      <c r="F409" s="69">
        <v>0</v>
      </c>
      <c r="G409" s="69">
        <f t="shared" ref="G409:G412" si="233">F409-E409</f>
        <v>129692</v>
      </c>
    </row>
    <row r="410" spans="1:8" x14ac:dyDescent="0.25">
      <c r="A410" s="90"/>
      <c r="B410" s="90"/>
      <c r="C410" s="90" t="s">
        <v>60</v>
      </c>
      <c r="D410" s="69">
        <v>-38280</v>
      </c>
      <c r="E410" s="69">
        <v>0</v>
      </c>
      <c r="F410" s="69">
        <v>-45928</v>
      </c>
      <c r="G410" s="69">
        <f t="shared" si="233"/>
        <v>-45928</v>
      </c>
    </row>
    <row r="411" spans="1:8" x14ac:dyDescent="0.25">
      <c r="A411" s="90"/>
      <c r="B411" s="90"/>
      <c r="C411" s="90" t="s">
        <v>61</v>
      </c>
      <c r="D411" s="69">
        <v>-54148</v>
      </c>
      <c r="E411" s="69">
        <v>0</v>
      </c>
      <c r="F411" s="69">
        <v>-51886</v>
      </c>
      <c r="G411" s="69">
        <f t="shared" si="233"/>
        <v>-51886</v>
      </c>
    </row>
    <row r="412" spans="1:8" s="34" customFormat="1" x14ac:dyDescent="0.25">
      <c r="A412" s="70"/>
      <c r="B412" s="70"/>
      <c r="C412" s="70" t="s">
        <v>116</v>
      </c>
      <c r="D412" s="71">
        <v>-122705</v>
      </c>
      <c r="E412" s="71">
        <f t="shared" ref="E412" si="234">D412</f>
        <v>-122705</v>
      </c>
      <c r="F412" s="71">
        <v>-121622</v>
      </c>
      <c r="G412" s="71">
        <f t="shared" si="233"/>
        <v>1083</v>
      </c>
      <c r="H412" s="17"/>
    </row>
    <row r="413" spans="1:8" ht="14.25" customHeight="1" x14ac:dyDescent="0.25">
      <c r="A413" s="70"/>
      <c r="B413" s="70" t="s">
        <v>121</v>
      </c>
      <c r="C413" s="70"/>
      <c r="D413" s="71">
        <f>SUM(D414:D418)</f>
        <v>-1612791</v>
      </c>
      <c r="E413" s="71">
        <f t="shared" ref="E413:F413" si="235">SUM(E414:E418)</f>
        <v>-2287991</v>
      </c>
      <c r="F413" s="71">
        <f t="shared" si="235"/>
        <v>-1655028</v>
      </c>
      <c r="G413" s="71">
        <f>F413-E413</f>
        <v>632963</v>
      </c>
    </row>
    <row r="414" spans="1:8" x14ac:dyDescent="0.25">
      <c r="A414" s="90"/>
      <c r="B414" s="90"/>
      <c r="C414" s="90" t="s">
        <v>60</v>
      </c>
      <c r="D414" s="69">
        <f>D420</f>
        <v>-384659</v>
      </c>
      <c r="E414" s="69">
        <f t="shared" ref="E414:F414" si="236">E420</f>
        <v>-186091</v>
      </c>
      <c r="F414" s="69">
        <f t="shared" si="236"/>
        <v>-185745</v>
      </c>
      <c r="G414" s="69">
        <f t="shared" ref="G414:G418" si="237">F414-E414</f>
        <v>346</v>
      </c>
    </row>
    <row r="415" spans="1:8" x14ac:dyDescent="0.25">
      <c r="A415" s="90"/>
      <c r="B415" s="90"/>
      <c r="C415" s="90" t="s">
        <v>61</v>
      </c>
      <c r="D415" s="69">
        <f>D421</f>
        <v>-877032</v>
      </c>
      <c r="E415" s="69">
        <f t="shared" ref="E415:F415" si="238">E421</f>
        <v>-1652249</v>
      </c>
      <c r="F415" s="69">
        <f t="shared" si="238"/>
        <v>-1139369</v>
      </c>
      <c r="G415" s="69">
        <f t="shared" si="237"/>
        <v>512880</v>
      </c>
    </row>
    <row r="416" spans="1:8" x14ac:dyDescent="0.25">
      <c r="A416" s="90"/>
      <c r="B416" s="90"/>
      <c r="C416" s="90" t="s">
        <v>106</v>
      </c>
      <c r="D416" s="69">
        <f>D422</f>
        <v>-26000</v>
      </c>
      <c r="E416" s="69">
        <f t="shared" ref="E416:F416" si="239">E422</f>
        <v>-148650</v>
      </c>
      <c r="F416" s="69">
        <f t="shared" si="239"/>
        <v>-100588</v>
      </c>
      <c r="G416" s="69">
        <f t="shared" si="237"/>
        <v>48062</v>
      </c>
    </row>
    <row r="417" spans="1:8" x14ac:dyDescent="0.25">
      <c r="A417" s="90"/>
      <c r="B417" s="90"/>
      <c r="C417" s="90" t="s">
        <v>107</v>
      </c>
      <c r="D417" s="69">
        <f>D423</f>
        <v>-317000</v>
      </c>
      <c r="E417" s="69">
        <f t="shared" ref="E417:F417" si="240">E423</f>
        <v>-292901</v>
      </c>
      <c r="F417" s="69">
        <f t="shared" si="240"/>
        <v>-219973</v>
      </c>
      <c r="G417" s="69">
        <f t="shared" si="237"/>
        <v>72928</v>
      </c>
    </row>
    <row r="418" spans="1:8" x14ac:dyDescent="0.25">
      <c r="A418" s="90"/>
      <c r="B418" s="90"/>
      <c r="C418" s="90" t="s">
        <v>108</v>
      </c>
      <c r="D418" s="69">
        <f>D424</f>
        <v>-8100</v>
      </c>
      <c r="E418" s="69">
        <f t="shared" ref="E418:F418" si="241">E424</f>
        <v>-8100</v>
      </c>
      <c r="F418" s="69">
        <f t="shared" si="241"/>
        <v>-9353</v>
      </c>
      <c r="G418" s="69">
        <f t="shared" si="237"/>
        <v>-1253</v>
      </c>
    </row>
    <row r="419" spans="1:8" x14ac:dyDescent="0.25">
      <c r="A419" s="70"/>
      <c r="B419" s="70"/>
      <c r="C419" s="70" t="s">
        <v>111</v>
      </c>
      <c r="D419" s="71">
        <f>SUM(D420:D423)</f>
        <v>-1604691</v>
      </c>
      <c r="E419" s="71">
        <f t="shared" ref="E419:F419" si="242">SUM(E420:E423)</f>
        <v>-2279891</v>
      </c>
      <c r="F419" s="71">
        <f t="shared" si="242"/>
        <v>-1645675</v>
      </c>
      <c r="G419" s="71">
        <f>F419-E419</f>
        <v>634216</v>
      </c>
    </row>
    <row r="420" spans="1:8" x14ac:dyDescent="0.25">
      <c r="A420" s="90"/>
      <c r="B420" s="90"/>
      <c r="C420" s="90" t="s">
        <v>60</v>
      </c>
      <c r="D420" s="69">
        <v>-384659</v>
      </c>
      <c r="E420" s="69">
        <v>-186091</v>
      </c>
      <c r="F420" s="69">
        <v>-185745</v>
      </c>
      <c r="G420" s="69">
        <f t="shared" ref="G420:G423" si="243">F420-E420</f>
        <v>346</v>
      </c>
    </row>
    <row r="421" spans="1:8" x14ac:dyDescent="0.25">
      <c r="A421" s="70"/>
      <c r="B421" s="70"/>
      <c r="C421" s="90" t="s">
        <v>61</v>
      </c>
      <c r="D421" s="69">
        <v>-877032</v>
      </c>
      <c r="E421" s="69">
        <v>-1652249</v>
      </c>
      <c r="F421" s="69">
        <v>-1139369</v>
      </c>
      <c r="G421" s="69">
        <f t="shared" si="243"/>
        <v>512880</v>
      </c>
    </row>
    <row r="422" spans="1:8" x14ac:dyDescent="0.25">
      <c r="A422" s="70"/>
      <c r="B422" s="70"/>
      <c r="C422" s="90" t="s">
        <v>106</v>
      </c>
      <c r="D422" s="69">
        <v>-26000</v>
      </c>
      <c r="E422" s="69">
        <v>-148650</v>
      </c>
      <c r="F422" s="69">
        <v>-100588</v>
      </c>
      <c r="G422" s="69">
        <f t="shared" si="243"/>
        <v>48062</v>
      </c>
    </row>
    <row r="423" spans="1:8" x14ac:dyDescent="0.25">
      <c r="A423" s="70"/>
      <c r="B423" s="70"/>
      <c r="C423" s="90" t="s">
        <v>107</v>
      </c>
      <c r="D423" s="69">
        <v>-317000</v>
      </c>
      <c r="E423" s="69">
        <v>-292901</v>
      </c>
      <c r="F423" s="69">
        <v>-219973</v>
      </c>
      <c r="G423" s="69">
        <f t="shared" si="243"/>
        <v>72928</v>
      </c>
    </row>
    <row r="424" spans="1:8" s="34" customFormat="1" x14ac:dyDescent="0.25">
      <c r="A424" s="70"/>
      <c r="B424" s="70"/>
      <c r="C424" s="70" t="s">
        <v>116</v>
      </c>
      <c r="D424" s="71">
        <v>-8100</v>
      </c>
      <c r="E424" s="71">
        <f t="shared" ref="E424" si="244">D424</f>
        <v>-8100</v>
      </c>
      <c r="F424" s="71">
        <v>-9353</v>
      </c>
      <c r="G424" s="71">
        <f>F424-E424</f>
        <v>-1253</v>
      </c>
      <c r="H424" s="17"/>
    </row>
    <row r="425" spans="1:8" ht="14.25" customHeight="1" x14ac:dyDescent="0.25">
      <c r="A425" s="70"/>
      <c r="B425" s="70" t="s">
        <v>122</v>
      </c>
      <c r="C425" s="70"/>
      <c r="D425" s="71">
        <f>SUM(D426:D427)</f>
        <v>-509835</v>
      </c>
      <c r="E425" s="71">
        <f t="shared" ref="E425:F425" si="245">SUM(E426:E427)</f>
        <v>-545888</v>
      </c>
      <c r="F425" s="71">
        <f t="shared" si="245"/>
        <v>-454474</v>
      </c>
      <c r="G425" s="71">
        <f>F425-E425</f>
        <v>91414</v>
      </c>
    </row>
    <row r="426" spans="1:8" x14ac:dyDescent="0.25">
      <c r="A426" s="70"/>
      <c r="B426" s="70"/>
      <c r="C426" s="90" t="s">
        <v>60</v>
      </c>
      <c r="D426" s="69">
        <f>D429</f>
        <v>0</v>
      </c>
      <c r="E426" s="69">
        <f t="shared" ref="E426:F426" si="246">E429</f>
        <v>-14566</v>
      </c>
      <c r="F426" s="69">
        <f t="shared" si="246"/>
        <v>-14566</v>
      </c>
      <c r="G426" s="69">
        <f t="shared" ref="G426" si="247">F426-E426</f>
        <v>0</v>
      </c>
    </row>
    <row r="427" spans="1:8" x14ac:dyDescent="0.25">
      <c r="A427" s="90"/>
      <c r="B427" s="90"/>
      <c r="C427" s="90" t="s">
        <v>61</v>
      </c>
      <c r="D427" s="69">
        <f>D430</f>
        <v>-509835</v>
      </c>
      <c r="E427" s="69">
        <f t="shared" ref="E427:F427" si="248">E430</f>
        <v>-531322</v>
      </c>
      <c r="F427" s="69">
        <f t="shared" si="248"/>
        <v>-439908</v>
      </c>
      <c r="G427" s="69">
        <f t="shared" ref="G427" si="249">F427-E427</f>
        <v>91414</v>
      </c>
    </row>
    <row r="428" spans="1:8" x14ac:dyDescent="0.25">
      <c r="A428" s="70"/>
      <c r="B428" s="70"/>
      <c r="C428" s="70" t="s">
        <v>111</v>
      </c>
      <c r="D428" s="71">
        <f>SUM(D429:D430)</f>
        <v>-509835</v>
      </c>
      <c r="E428" s="71">
        <f t="shared" ref="E428:F428" si="250">SUM(E429:E430)</f>
        <v>-545888</v>
      </c>
      <c r="F428" s="71">
        <f t="shared" si="250"/>
        <v>-454474</v>
      </c>
      <c r="G428" s="71">
        <f>SUM(G430:G430)</f>
        <v>91414</v>
      </c>
    </row>
    <row r="429" spans="1:8" x14ac:dyDescent="0.25">
      <c r="A429" s="70"/>
      <c r="B429" s="70"/>
      <c r="C429" s="90" t="s">
        <v>60</v>
      </c>
      <c r="D429" s="69">
        <v>0</v>
      </c>
      <c r="E429" s="69">
        <v>-14566</v>
      </c>
      <c r="F429" s="69">
        <v>-14566</v>
      </c>
      <c r="G429" s="69">
        <f>F429-E429</f>
        <v>0</v>
      </c>
    </row>
    <row r="430" spans="1:8" x14ac:dyDescent="0.25">
      <c r="A430" s="70"/>
      <c r="B430" s="70"/>
      <c r="C430" s="90" t="s">
        <v>61</v>
      </c>
      <c r="D430" s="69">
        <v>-509835</v>
      </c>
      <c r="E430" s="69">
        <v>-531322</v>
      </c>
      <c r="F430" s="69">
        <v>-439908</v>
      </c>
      <c r="G430" s="69">
        <f t="shared" ref="G430" si="251">F430-E430</f>
        <v>91414</v>
      </c>
    </row>
    <row r="431" spans="1:8" ht="14.25" customHeight="1" x14ac:dyDescent="0.25">
      <c r="A431" s="70"/>
      <c r="B431" s="70" t="s">
        <v>120</v>
      </c>
      <c r="C431" s="70"/>
      <c r="D431" s="71">
        <f>SUM(D432:D433)</f>
        <v>-245913</v>
      </c>
      <c r="E431" s="71">
        <f>SUM(E432:E433)</f>
        <v>-230491</v>
      </c>
      <c r="F431" s="71">
        <f>SUM(F432:F433)</f>
        <v>-199441</v>
      </c>
      <c r="G431" s="71">
        <f>F431-E431</f>
        <v>31050</v>
      </c>
    </row>
    <row r="432" spans="1:8" x14ac:dyDescent="0.25">
      <c r="A432" s="90"/>
      <c r="B432" s="90"/>
      <c r="C432" s="90" t="s">
        <v>61</v>
      </c>
      <c r="D432" s="69">
        <f>D435</f>
        <v>-226793</v>
      </c>
      <c r="E432" s="69">
        <f t="shared" ref="E432:F432" si="252">E435</f>
        <v>-211371</v>
      </c>
      <c r="F432" s="69">
        <f t="shared" si="252"/>
        <v>-199441</v>
      </c>
      <c r="G432" s="69">
        <f t="shared" ref="G432:G433" si="253">F432-E432</f>
        <v>11930</v>
      </c>
    </row>
    <row r="433" spans="1:8" x14ac:dyDescent="0.25">
      <c r="A433" s="90"/>
      <c r="B433" s="90"/>
      <c r="C433" s="90" t="s">
        <v>108</v>
      </c>
      <c r="D433" s="69">
        <f>D436</f>
        <v>-19120</v>
      </c>
      <c r="E433" s="69">
        <f t="shared" ref="E433:F433" si="254">E436</f>
        <v>-19120</v>
      </c>
      <c r="F433" s="69">
        <f t="shared" si="254"/>
        <v>0</v>
      </c>
      <c r="G433" s="69">
        <f t="shared" si="253"/>
        <v>19120</v>
      </c>
    </row>
    <row r="434" spans="1:8" x14ac:dyDescent="0.25">
      <c r="A434" s="70"/>
      <c r="B434" s="70"/>
      <c r="C434" s="70" t="s">
        <v>111</v>
      </c>
      <c r="D434" s="71">
        <f>SUM(D435:D435)</f>
        <v>-226793</v>
      </c>
      <c r="E434" s="71">
        <f>SUM(E435:E435)</f>
        <v>-211371</v>
      </c>
      <c r="F434" s="71">
        <f>SUM(F435:F435)</f>
        <v>-199441</v>
      </c>
      <c r="G434" s="71">
        <f>SUM(G435:G435)</f>
        <v>11930</v>
      </c>
    </row>
    <row r="435" spans="1:8" x14ac:dyDescent="0.25">
      <c r="A435" s="70"/>
      <c r="B435" s="70"/>
      <c r="C435" s="90" t="s">
        <v>61</v>
      </c>
      <c r="D435" s="69">
        <v>-226793</v>
      </c>
      <c r="E435" s="69">
        <v>-211371</v>
      </c>
      <c r="F435" s="69">
        <v>-199441</v>
      </c>
      <c r="G435" s="69">
        <f t="shared" ref="G435:G442" si="255">F435-E435</f>
        <v>11930</v>
      </c>
    </row>
    <row r="436" spans="1:8" s="34" customFormat="1" x14ac:dyDescent="0.25">
      <c r="A436" s="70"/>
      <c r="B436" s="70"/>
      <c r="C436" s="70" t="s">
        <v>116</v>
      </c>
      <c r="D436" s="71">
        <v>-19120</v>
      </c>
      <c r="E436" s="71">
        <f t="shared" ref="E436" si="256">D436</f>
        <v>-19120</v>
      </c>
      <c r="F436" s="71">
        <v>0</v>
      </c>
      <c r="G436" s="71">
        <f t="shared" si="255"/>
        <v>19120</v>
      </c>
    </row>
    <row r="437" spans="1:8" ht="15.75" x14ac:dyDescent="0.25">
      <c r="A437" s="92" t="s">
        <v>137</v>
      </c>
      <c r="B437" s="70"/>
      <c r="C437" s="70"/>
      <c r="D437" s="71">
        <f>SUM(D438:D442)</f>
        <v>-53727711</v>
      </c>
      <c r="E437" s="71">
        <f>SUM(E438:E442)</f>
        <v>-59867535</v>
      </c>
      <c r="F437" s="71">
        <f>SUM(F438:F442)</f>
        <v>-57901680</v>
      </c>
      <c r="G437" s="71">
        <f t="shared" si="255"/>
        <v>1965855</v>
      </c>
      <c r="H437" s="37" t="s">
        <v>90</v>
      </c>
    </row>
    <row r="438" spans="1:8" x14ac:dyDescent="0.25">
      <c r="A438" s="90"/>
      <c r="B438" s="90" t="s">
        <v>111</v>
      </c>
      <c r="C438" s="90"/>
      <c r="D438" s="69">
        <f>D445+D454+D477+D495</f>
        <v>-53581289</v>
      </c>
      <c r="E438" s="69">
        <f>E445+E454+E477+E495</f>
        <v>-59633625</v>
      </c>
      <c r="F438" s="69">
        <f>F445+F454+F477+F495</f>
        <v>-57365866</v>
      </c>
      <c r="G438" s="69">
        <f t="shared" si="255"/>
        <v>2267759</v>
      </c>
    </row>
    <row r="439" spans="1:8" x14ac:dyDescent="0.25">
      <c r="A439" s="90"/>
      <c r="B439" s="90" t="s">
        <v>112</v>
      </c>
      <c r="C439" s="90"/>
      <c r="D439" s="69">
        <f>SUM(D460)</f>
        <v>0</v>
      </c>
      <c r="E439" s="69">
        <f>SUM(E460)</f>
        <v>0</v>
      </c>
      <c r="F439" s="69">
        <f t="shared" ref="F439" si="257">SUM(F460)</f>
        <v>-981</v>
      </c>
      <c r="G439" s="69">
        <f t="shared" si="255"/>
        <v>-981</v>
      </c>
    </row>
    <row r="440" spans="1:8" x14ac:dyDescent="0.25">
      <c r="A440" s="90"/>
      <c r="B440" s="90" t="s">
        <v>113</v>
      </c>
      <c r="C440" s="90"/>
      <c r="D440" s="69">
        <f>D462+D483</f>
        <v>-18615</v>
      </c>
      <c r="E440" s="69">
        <f>E462+E483</f>
        <v>-104467</v>
      </c>
      <c r="F440" s="69">
        <f>F462+F483</f>
        <v>-53440</v>
      </c>
      <c r="G440" s="69">
        <f>F440-E440</f>
        <v>51027</v>
      </c>
    </row>
    <row r="441" spans="1:8" ht="15.75" customHeight="1" x14ac:dyDescent="0.25">
      <c r="A441" s="90"/>
      <c r="B441" s="90" t="s">
        <v>114</v>
      </c>
      <c r="C441" s="90"/>
      <c r="D441" s="69">
        <f>SUM(D466+D488)</f>
        <v>0</v>
      </c>
      <c r="E441" s="69">
        <f>SUM(E466+E488)</f>
        <v>-1635</v>
      </c>
      <c r="F441" s="69">
        <f>SUM(F466+F488)</f>
        <v>-213103</v>
      </c>
      <c r="G441" s="69">
        <f t="shared" si="255"/>
        <v>-211468</v>
      </c>
    </row>
    <row r="442" spans="1:8" x14ac:dyDescent="0.25">
      <c r="A442" s="90"/>
      <c r="B442" s="90" t="s">
        <v>115</v>
      </c>
      <c r="C442" s="90"/>
      <c r="D442" s="69">
        <f>D469+D491+D498</f>
        <v>-127807</v>
      </c>
      <c r="E442" s="69">
        <f>E469+E491+E498</f>
        <v>-127808</v>
      </c>
      <c r="F442" s="69">
        <f>F469+F491+F498</f>
        <v>-268290</v>
      </c>
      <c r="G442" s="69">
        <f t="shared" si="255"/>
        <v>-140482</v>
      </c>
    </row>
    <row r="443" spans="1:8" ht="14.25" customHeight="1" x14ac:dyDescent="0.25">
      <c r="A443" s="70"/>
      <c r="B443" s="70" t="s">
        <v>37</v>
      </c>
      <c r="C443" s="70"/>
      <c r="D443" s="71">
        <f>SUM(D444:D444)</f>
        <v>-265890</v>
      </c>
      <c r="E443" s="71">
        <f>SUM(E444:E444)</f>
        <v>-274705</v>
      </c>
      <c r="F443" s="71">
        <f>SUM(F444:F444)</f>
        <v>-274705</v>
      </c>
      <c r="G443" s="71">
        <f>F443-E443</f>
        <v>0</v>
      </c>
    </row>
    <row r="444" spans="1:8" x14ac:dyDescent="0.25">
      <c r="A444" s="70"/>
      <c r="B444" s="70"/>
      <c r="C444" s="90" t="s">
        <v>107</v>
      </c>
      <c r="D444" s="69">
        <f>D446</f>
        <v>-265890</v>
      </c>
      <c r="E444" s="69">
        <f t="shared" ref="E444:F444" si="258">E446</f>
        <v>-274705</v>
      </c>
      <c r="F444" s="69">
        <f t="shared" si="258"/>
        <v>-274705</v>
      </c>
      <c r="G444" s="69">
        <f t="shared" ref="G444" si="259">F444-E444</f>
        <v>0</v>
      </c>
    </row>
    <row r="445" spans="1:8" x14ac:dyDescent="0.25">
      <c r="A445" s="70"/>
      <c r="B445" s="70"/>
      <c r="C445" s="70" t="s">
        <v>111</v>
      </c>
      <c r="D445" s="71">
        <f>SUM(D446:D446)</f>
        <v>-265890</v>
      </c>
      <c r="E445" s="71">
        <f>SUM(E446:E446)</f>
        <v>-274705</v>
      </c>
      <c r="F445" s="71">
        <f>SUM(F446:F446)</f>
        <v>-274705</v>
      </c>
      <c r="G445" s="71">
        <f>F445-E445</f>
        <v>0</v>
      </c>
    </row>
    <row r="446" spans="1:8" x14ac:dyDescent="0.25">
      <c r="A446" s="70"/>
      <c r="B446" s="70"/>
      <c r="C446" s="90" t="s">
        <v>107</v>
      </c>
      <c r="D446" s="69">
        <v>-265890</v>
      </c>
      <c r="E446" s="69">
        <v>-274705</v>
      </c>
      <c r="F446" s="71">
        <v>-274705</v>
      </c>
      <c r="G446" s="69">
        <f t="shared" ref="G446" si="260">F446-E446</f>
        <v>0</v>
      </c>
    </row>
    <row r="447" spans="1:8" ht="14.25" customHeight="1" x14ac:dyDescent="0.25">
      <c r="A447" s="70"/>
      <c r="B447" s="70" t="s">
        <v>121</v>
      </c>
      <c r="C447" s="70"/>
      <c r="D447" s="71">
        <f>SUM(D448:D453)</f>
        <v>-11166839</v>
      </c>
      <c r="E447" s="71">
        <f>SUM(E448:E453)</f>
        <v>-15243427</v>
      </c>
      <c r="F447" s="71">
        <f>SUM(F448:F453)</f>
        <v>-14021868</v>
      </c>
      <c r="G447" s="71">
        <f>F447-E447</f>
        <v>1221559</v>
      </c>
    </row>
    <row r="448" spans="1:8" s="74" customFormat="1" x14ac:dyDescent="0.25">
      <c r="A448" s="101"/>
      <c r="B448" s="101"/>
      <c r="C448" s="101" t="s">
        <v>146</v>
      </c>
      <c r="D448" s="102">
        <v>0</v>
      </c>
      <c r="E448" s="102">
        <f>SUM(+E463+E467)</f>
        <v>-18892</v>
      </c>
      <c r="F448" s="102">
        <v>0</v>
      </c>
      <c r="G448" s="69">
        <f>F448-E448</f>
        <v>18892</v>
      </c>
    </row>
    <row r="449" spans="1:8" x14ac:dyDescent="0.25">
      <c r="A449" s="90"/>
      <c r="B449" s="90"/>
      <c r="C449" s="90" t="s">
        <v>60</v>
      </c>
      <c r="D449" s="69">
        <f>SUM(D455+D464+D468)</f>
        <v>-7090405</v>
      </c>
      <c r="E449" s="69">
        <f>SUM(E455+E464+E468)</f>
        <v>-7992643</v>
      </c>
      <c r="F449" s="69">
        <f>SUM(F455+F464+F468)</f>
        <v>-7736799</v>
      </c>
      <c r="G449" s="69">
        <f t="shared" ref="G449" si="261">F449-E449</f>
        <v>255844</v>
      </c>
    </row>
    <row r="450" spans="1:8" x14ac:dyDescent="0.25">
      <c r="A450" s="90"/>
      <c r="B450" s="90"/>
      <c r="C450" s="90" t="s">
        <v>61</v>
      </c>
      <c r="D450" s="69">
        <f>D456+D465</f>
        <v>-2849163</v>
      </c>
      <c r="E450" s="69">
        <f>E456+E465</f>
        <v>-6097057</v>
      </c>
      <c r="F450" s="69">
        <f>F456+F465</f>
        <v>-5162243</v>
      </c>
      <c r="G450" s="69">
        <f t="shared" ref="G450:G453" si="262">F450-E450</f>
        <v>934814</v>
      </c>
    </row>
    <row r="451" spans="1:8" x14ac:dyDescent="0.25">
      <c r="A451" s="90"/>
      <c r="B451" s="90"/>
      <c r="C451" s="90" t="s">
        <v>106</v>
      </c>
      <c r="D451" s="69">
        <f>D457</f>
        <v>-1227271</v>
      </c>
      <c r="E451" s="69">
        <f t="shared" ref="E451:F451" si="263">E457</f>
        <v>-1129275</v>
      </c>
      <c r="F451" s="69">
        <f t="shared" si="263"/>
        <v>-1109931</v>
      </c>
      <c r="G451" s="69">
        <f t="shared" si="262"/>
        <v>19344</v>
      </c>
    </row>
    <row r="452" spans="1:8" x14ac:dyDescent="0.25">
      <c r="A452" s="90"/>
      <c r="B452" s="90"/>
      <c r="C452" s="90" t="s">
        <v>107</v>
      </c>
      <c r="D452" s="69">
        <f>SUM(D458)</f>
        <v>0</v>
      </c>
      <c r="E452" s="69">
        <f>SUM(E458)</f>
        <v>-4560</v>
      </c>
      <c r="F452" s="69">
        <f>SUM(F458)</f>
        <v>-4560</v>
      </c>
      <c r="G452" s="69">
        <f t="shared" si="262"/>
        <v>0</v>
      </c>
    </row>
    <row r="453" spans="1:8" x14ac:dyDescent="0.25">
      <c r="A453" s="90"/>
      <c r="B453" s="90"/>
      <c r="C453" s="90" t="s">
        <v>108</v>
      </c>
      <c r="D453" s="69">
        <f>SUM(D469)</f>
        <v>0</v>
      </c>
      <c r="E453" s="69">
        <f>SUM(E459+E469)</f>
        <v>-1000</v>
      </c>
      <c r="F453" s="69">
        <f>SUM(F459+F461+F469)</f>
        <v>-8335</v>
      </c>
      <c r="G453" s="69">
        <f t="shared" si="262"/>
        <v>-7335</v>
      </c>
    </row>
    <row r="454" spans="1:8" x14ac:dyDescent="0.25">
      <c r="A454" s="70"/>
      <c r="B454" s="70"/>
      <c r="C454" s="70" t="s">
        <v>111</v>
      </c>
      <c r="D454" s="71">
        <f>SUM(D455:D459)</f>
        <v>-11148224</v>
      </c>
      <c r="E454" s="71">
        <f>SUM(E455:E459)</f>
        <v>-15224535</v>
      </c>
      <c r="F454" s="71">
        <f>SUM(F455:F459)</f>
        <v>-13996100</v>
      </c>
      <c r="G454" s="71">
        <f>F454-E454</f>
        <v>1228435</v>
      </c>
    </row>
    <row r="455" spans="1:8" x14ac:dyDescent="0.25">
      <c r="A455" s="90"/>
      <c r="B455" s="90"/>
      <c r="C455" s="90" t="s">
        <v>60</v>
      </c>
      <c r="D455" s="69">
        <v>-7077733</v>
      </c>
      <c r="E455" s="97">
        <v>-7992643</v>
      </c>
      <c r="F455" s="69">
        <v>-7718372</v>
      </c>
      <c r="G455" s="69">
        <f t="shared" ref="G455:G460" si="264">F455-E455</f>
        <v>274271</v>
      </c>
    </row>
    <row r="456" spans="1:8" x14ac:dyDescent="0.25">
      <c r="A456" s="70"/>
      <c r="B456" s="70"/>
      <c r="C456" s="90" t="s">
        <v>61</v>
      </c>
      <c r="D456" s="69">
        <v>-2843220</v>
      </c>
      <c r="E456" s="69">
        <f>-6091020-6037</f>
        <v>-6097057</v>
      </c>
      <c r="F456" s="69">
        <v>-5162243</v>
      </c>
      <c r="G456" s="69">
        <f t="shared" si="264"/>
        <v>934814</v>
      </c>
    </row>
    <row r="457" spans="1:8" x14ac:dyDescent="0.25">
      <c r="A457" s="70"/>
      <c r="B457" s="70"/>
      <c r="C457" s="90" t="s">
        <v>106</v>
      </c>
      <c r="D457" s="69">
        <v>-1227271</v>
      </c>
      <c r="E457" s="69">
        <v>-1129275</v>
      </c>
      <c r="F457" s="69">
        <v>-1109931</v>
      </c>
      <c r="G457" s="69">
        <f t="shared" si="264"/>
        <v>19344</v>
      </c>
    </row>
    <row r="458" spans="1:8" x14ac:dyDescent="0.25">
      <c r="A458" s="90"/>
      <c r="B458" s="90"/>
      <c r="C458" s="90" t="s">
        <v>107</v>
      </c>
      <c r="D458" s="69">
        <v>0</v>
      </c>
      <c r="E458" s="69">
        <v>-4560</v>
      </c>
      <c r="F458" s="69">
        <v>-4560</v>
      </c>
      <c r="G458" s="69">
        <f t="shared" si="264"/>
        <v>0</v>
      </c>
    </row>
    <row r="459" spans="1:8" x14ac:dyDescent="0.25">
      <c r="A459" s="90"/>
      <c r="B459" s="90"/>
      <c r="C459" s="90" t="s">
        <v>108</v>
      </c>
      <c r="D459" s="69">
        <v>0</v>
      </c>
      <c r="E459" s="69">
        <v>-1000</v>
      </c>
      <c r="F459" s="69">
        <v>-994</v>
      </c>
      <c r="G459" s="69">
        <f t="shared" si="264"/>
        <v>6</v>
      </c>
    </row>
    <row r="460" spans="1:8" ht="17.25" customHeight="1" x14ac:dyDescent="0.25">
      <c r="A460" s="90"/>
      <c r="B460" s="90"/>
      <c r="C460" s="70" t="s">
        <v>112</v>
      </c>
      <c r="D460" s="71">
        <f>SUM(D461)</f>
        <v>0</v>
      </c>
      <c r="E460" s="71">
        <f t="shared" ref="E460:F460" si="265">SUM(E461)</f>
        <v>0</v>
      </c>
      <c r="F460" s="71">
        <f t="shared" si="265"/>
        <v>-981</v>
      </c>
      <c r="G460" s="69">
        <f t="shared" si="264"/>
        <v>-981</v>
      </c>
    </row>
    <row r="461" spans="1:8" s="34" customFormat="1" x14ac:dyDescent="0.25">
      <c r="A461" s="90"/>
      <c r="B461" s="90"/>
      <c r="C461" s="90" t="s">
        <v>62</v>
      </c>
      <c r="D461" s="69">
        <v>0</v>
      </c>
      <c r="E461" s="93">
        <v>0</v>
      </c>
      <c r="F461" s="93">
        <v>-981</v>
      </c>
      <c r="G461" s="69">
        <f>F461-E461</f>
        <v>-981</v>
      </c>
      <c r="H461" s="17"/>
    </row>
    <row r="462" spans="1:8" s="34" customFormat="1" ht="16.5" customHeight="1" x14ac:dyDescent="0.25">
      <c r="A462" s="70"/>
      <c r="B462" s="70"/>
      <c r="C462" s="70" t="s">
        <v>113</v>
      </c>
      <c r="D462" s="71">
        <f t="shared" ref="D462:E462" si="266">SUM(D463:D465)</f>
        <v>-18615</v>
      </c>
      <c r="E462" s="71">
        <f t="shared" si="266"/>
        <v>-17257</v>
      </c>
      <c r="F462" s="71">
        <f>SUM(F463:F465)</f>
        <v>-16792</v>
      </c>
      <c r="G462" s="71">
        <f>F462-E462</f>
        <v>465</v>
      </c>
      <c r="H462" s="17"/>
    </row>
    <row r="463" spans="1:8" s="74" customFormat="1" ht="16.5" customHeight="1" x14ac:dyDescent="0.25">
      <c r="A463" s="101"/>
      <c r="B463" s="101"/>
      <c r="C463" s="101" t="s">
        <v>146</v>
      </c>
      <c r="D463" s="102">
        <v>0</v>
      </c>
      <c r="E463" s="102">
        <v>-17257</v>
      </c>
      <c r="F463" s="102">
        <v>0</v>
      </c>
      <c r="G463" s="69">
        <f>F463-E463</f>
        <v>17257</v>
      </c>
      <c r="H463" s="67"/>
    </row>
    <row r="464" spans="1:8" x14ac:dyDescent="0.25">
      <c r="A464" s="90"/>
      <c r="B464" s="90"/>
      <c r="C464" s="90" t="s">
        <v>60</v>
      </c>
      <c r="D464" s="69">
        <v>-12672</v>
      </c>
      <c r="E464" s="69">
        <v>0</v>
      </c>
      <c r="F464" s="69">
        <v>-16792</v>
      </c>
      <c r="G464" s="69">
        <f>F464-E464</f>
        <v>-16792</v>
      </c>
    </row>
    <row r="465" spans="1:8" ht="16.5" customHeight="1" x14ac:dyDescent="0.25">
      <c r="A465" s="70"/>
      <c r="B465" s="70"/>
      <c r="C465" s="90" t="s">
        <v>61</v>
      </c>
      <c r="D465" s="69">
        <v>-5943</v>
      </c>
      <c r="E465" s="69">
        <v>0</v>
      </c>
      <c r="F465" s="71">
        <v>0</v>
      </c>
      <c r="G465" s="69">
        <f t="shared" ref="G465:G469" si="267">F465-E465</f>
        <v>0</v>
      </c>
    </row>
    <row r="466" spans="1:8" s="34" customFormat="1" ht="16.5" customHeight="1" x14ac:dyDescent="0.25">
      <c r="A466" s="70"/>
      <c r="B466" s="70"/>
      <c r="C466" s="70" t="s">
        <v>114</v>
      </c>
      <c r="D466" s="71">
        <f t="shared" ref="D466:E466" si="268">SUM(D467:D468)</f>
        <v>0</v>
      </c>
      <c r="E466" s="71">
        <f t="shared" si="268"/>
        <v>-1635</v>
      </c>
      <c r="F466" s="71">
        <f>SUM(F467:F468)</f>
        <v>-1635</v>
      </c>
      <c r="G466" s="71">
        <f>F466-E466</f>
        <v>0</v>
      </c>
      <c r="H466" s="17"/>
    </row>
    <row r="467" spans="1:8" x14ac:dyDescent="0.25">
      <c r="A467" s="90"/>
      <c r="B467" s="90"/>
      <c r="C467" s="90" t="s">
        <v>146</v>
      </c>
      <c r="D467" s="69">
        <v>0</v>
      </c>
      <c r="E467" s="69">
        <v>-1635</v>
      </c>
      <c r="F467" s="69">
        <v>0</v>
      </c>
      <c r="G467" s="69">
        <f t="shared" ref="G467:G468" si="269">F467-E467</f>
        <v>1635</v>
      </c>
    </row>
    <row r="468" spans="1:8" x14ac:dyDescent="0.25">
      <c r="A468" s="90"/>
      <c r="B468" s="90"/>
      <c r="C468" s="90" t="s">
        <v>60</v>
      </c>
      <c r="D468" s="69">
        <v>0</v>
      </c>
      <c r="E468" s="69">
        <v>0</v>
      </c>
      <c r="F468" s="69">
        <v>-1635</v>
      </c>
      <c r="G468" s="69">
        <f t="shared" si="269"/>
        <v>-1635</v>
      </c>
    </row>
    <row r="469" spans="1:8" s="34" customFormat="1" x14ac:dyDescent="0.25">
      <c r="A469" s="70"/>
      <c r="B469" s="70"/>
      <c r="C469" s="70" t="s">
        <v>116</v>
      </c>
      <c r="D469" s="71">
        <v>0</v>
      </c>
      <c r="E469" s="71">
        <f t="shared" ref="E469" si="270">D469</f>
        <v>0</v>
      </c>
      <c r="F469" s="71">
        <v>-6360</v>
      </c>
      <c r="G469" s="71">
        <f t="shared" si="267"/>
        <v>-6360</v>
      </c>
      <c r="H469" s="17"/>
    </row>
    <row r="470" spans="1:8" ht="14.25" customHeight="1" x14ac:dyDescent="0.25">
      <c r="A470" s="70"/>
      <c r="B470" s="70" t="s">
        <v>122</v>
      </c>
      <c r="C470" s="70"/>
      <c r="D470" s="71">
        <f>SUM(D471:D476)</f>
        <v>-41490264</v>
      </c>
      <c r="E470" s="71">
        <f>SUM(E471:E476)</f>
        <v>-43351652</v>
      </c>
      <c r="F470" s="71">
        <f>SUM(F471:F476)</f>
        <v>-42647516</v>
      </c>
      <c r="G470" s="71">
        <f>F470-E470</f>
        <v>704136</v>
      </c>
    </row>
    <row r="471" spans="1:8" s="74" customFormat="1" x14ac:dyDescent="0.25">
      <c r="A471" s="101"/>
      <c r="B471" s="101"/>
      <c r="C471" s="101" t="s">
        <v>146</v>
      </c>
      <c r="D471" s="102">
        <v>0</v>
      </c>
      <c r="E471" s="102">
        <f>SUM(E484)</f>
        <v>-87210</v>
      </c>
      <c r="F471" s="102">
        <f>SUM(F484)</f>
        <v>0</v>
      </c>
      <c r="G471" s="69">
        <f>F471-E471</f>
        <v>87210</v>
      </c>
      <c r="H471" s="67"/>
    </row>
    <row r="472" spans="1:8" ht="14.25" customHeight="1" x14ac:dyDescent="0.25">
      <c r="A472" s="90"/>
      <c r="B472" s="90"/>
      <c r="C472" s="90" t="s">
        <v>60</v>
      </c>
      <c r="D472" s="69">
        <f t="shared" ref="D472:F473" si="271">D478+D485+D489</f>
        <v>-15412798</v>
      </c>
      <c r="E472" s="69">
        <f t="shared" si="271"/>
        <v>-17442805</v>
      </c>
      <c r="F472" s="69">
        <f t="shared" si="271"/>
        <v>-17456402</v>
      </c>
      <c r="G472" s="69">
        <f t="shared" ref="G472:G474" si="272">F472-E472</f>
        <v>-13597</v>
      </c>
    </row>
    <row r="473" spans="1:8" ht="14.25" customHeight="1" x14ac:dyDescent="0.25">
      <c r="A473" s="90"/>
      <c r="B473" s="90"/>
      <c r="C473" s="90" t="s">
        <v>61</v>
      </c>
      <c r="D473" s="69">
        <f t="shared" si="271"/>
        <v>-6364661</v>
      </c>
      <c r="E473" s="69">
        <f t="shared" si="271"/>
        <v>-7227306</v>
      </c>
      <c r="F473" s="69">
        <f t="shared" si="271"/>
        <v>-7315738</v>
      </c>
      <c r="G473" s="69">
        <f t="shared" si="272"/>
        <v>-88432</v>
      </c>
    </row>
    <row r="474" spans="1:8" ht="14.25" customHeight="1" x14ac:dyDescent="0.25">
      <c r="A474" s="90"/>
      <c r="B474" s="90"/>
      <c r="C474" s="90" t="s">
        <v>106</v>
      </c>
      <c r="D474" s="69">
        <f>D480+D487</f>
        <v>-17604659</v>
      </c>
      <c r="E474" s="69">
        <f t="shared" ref="E474:F474" si="273">E480+E487</f>
        <v>-16393887</v>
      </c>
      <c r="F474" s="69">
        <f t="shared" si="273"/>
        <v>-15711576</v>
      </c>
      <c r="G474" s="69">
        <f t="shared" si="272"/>
        <v>682311</v>
      </c>
    </row>
    <row r="475" spans="1:8" x14ac:dyDescent="0.25">
      <c r="A475" s="90"/>
      <c r="B475" s="90"/>
      <c r="C475" s="90" t="s">
        <v>107</v>
      </c>
      <c r="D475" s="69">
        <f>D481</f>
        <v>-1992545</v>
      </c>
      <c r="E475" s="69">
        <f>E481</f>
        <v>-2084685</v>
      </c>
      <c r="F475" s="69">
        <f>F481</f>
        <v>-1907246</v>
      </c>
      <c r="G475" s="69">
        <f t="shared" ref="G475:G476" si="274">F475-E475</f>
        <v>177439</v>
      </c>
    </row>
    <row r="476" spans="1:8" x14ac:dyDescent="0.25">
      <c r="A476" s="90"/>
      <c r="B476" s="90"/>
      <c r="C476" s="90" t="s">
        <v>108</v>
      </c>
      <c r="D476" s="69">
        <f>D491</f>
        <v>-115601</v>
      </c>
      <c r="E476" s="69">
        <f>E491+E482</f>
        <v>-115759</v>
      </c>
      <c r="F476" s="69">
        <f>F491+F482</f>
        <v>-256554</v>
      </c>
      <c r="G476" s="69">
        <f t="shared" si="274"/>
        <v>-140795</v>
      </c>
    </row>
    <row r="477" spans="1:8" x14ac:dyDescent="0.25">
      <c r="A477" s="70"/>
      <c r="B477" s="70"/>
      <c r="C477" s="70" t="s">
        <v>111</v>
      </c>
      <c r="D477" s="71">
        <f t="shared" ref="D477:E477" si="275">SUM(D478:D482)</f>
        <v>-41374663</v>
      </c>
      <c r="E477" s="71">
        <f t="shared" si="275"/>
        <v>-43148841</v>
      </c>
      <c r="F477" s="71">
        <f>SUM(F478:F482)</f>
        <v>-42143004</v>
      </c>
      <c r="G477" s="71">
        <f>F477-E477</f>
        <v>1005837</v>
      </c>
    </row>
    <row r="478" spans="1:8" x14ac:dyDescent="0.25">
      <c r="A478" s="90"/>
      <c r="B478" s="90"/>
      <c r="C478" s="90" t="s">
        <v>60</v>
      </c>
      <c r="D478" s="69">
        <v>-15412798</v>
      </c>
      <c r="E478" s="69">
        <v>-17442805</v>
      </c>
      <c r="F478" s="69">
        <v>-17395149</v>
      </c>
      <c r="G478" s="69">
        <f t="shared" ref="G478:G480" si="276">F478-E478</f>
        <v>47656</v>
      </c>
    </row>
    <row r="479" spans="1:8" x14ac:dyDescent="0.25">
      <c r="A479" s="70"/>
      <c r="B479" s="70"/>
      <c r="C479" s="90" t="s">
        <v>61</v>
      </c>
      <c r="D479" s="69">
        <v>-6364661</v>
      </c>
      <c r="E479" s="69">
        <v>-7227306</v>
      </c>
      <c r="F479" s="69">
        <v>-7131602</v>
      </c>
      <c r="G479" s="69">
        <f t="shared" si="276"/>
        <v>95704</v>
      </c>
    </row>
    <row r="480" spans="1:8" x14ac:dyDescent="0.25">
      <c r="A480" s="70"/>
      <c r="B480" s="70"/>
      <c r="C480" s="90" t="s">
        <v>106</v>
      </c>
      <c r="D480" s="69">
        <v>-17604659</v>
      </c>
      <c r="E480" s="69">
        <v>-16393887</v>
      </c>
      <c r="F480" s="69">
        <v>-15708849</v>
      </c>
      <c r="G480" s="69">
        <f t="shared" si="276"/>
        <v>685038</v>
      </c>
    </row>
    <row r="481" spans="1:8" x14ac:dyDescent="0.25">
      <c r="A481" s="70"/>
      <c r="B481" s="70"/>
      <c r="C481" s="90" t="s">
        <v>107</v>
      </c>
      <c r="D481" s="69">
        <v>-1992545</v>
      </c>
      <c r="E481" s="69">
        <v>-2084685</v>
      </c>
      <c r="F481" s="69">
        <v>-1907246</v>
      </c>
      <c r="G481" s="69">
        <f>F481-E481</f>
        <v>177439</v>
      </c>
    </row>
    <row r="482" spans="1:8" x14ac:dyDescent="0.25">
      <c r="A482" s="70"/>
      <c r="B482" s="70"/>
      <c r="C482" s="90" t="s">
        <v>108</v>
      </c>
      <c r="D482" s="69">
        <v>0</v>
      </c>
      <c r="E482" s="69">
        <v>-158</v>
      </c>
      <c r="F482" s="69">
        <v>-158</v>
      </c>
      <c r="G482" s="69">
        <f t="shared" ref="G482:G491" si="277">F482-E482</f>
        <v>0</v>
      </c>
    </row>
    <row r="483" spans="1:8" s="34" customFormat="1" ht="16.5" customHeight="1" x14ac:dyDescent="0.25">
      <c r="A483" s="70"/>
      <c r="B483" s="70"/>
      <c r="C483" s="70" t="s">
        <v>113</v>
      </c>
      <c r="D483" s="71">
        <f t="shared" ref="D483:E483" si="278">SUM(D484:D487)</f>
        <v>0</v>
      </c>
      <c r="E483" s="71">
        <f t="shared" si="278"/>
        <v>-87210</v>
      </c>
      <c r="F483" s="71">
        <f>SUM(F484:F487)</f>
        <v>-36648</v>
      </c>
      <c r="G483" s="71">
        <f>F483-E483</f>
        <v>50562</v>
      </c>
      <c r="H483" s="17"/>
    </row>
    <row r="484" spans="1:8" s="74" customFormat="1" ht="16.5" customHeight="1" x14ac:dyDescent="0.25">
      <c r="A484" s="101"/>
      <c r="B484" s="101"/>
      <c r="C484" s="101" t="s">
        <v>146</v>
      </c>
      <c r="D484" s="102">
        <v>0</v>
      </c>
      <c r="E484" s="102">
        <v>-87210</v>
      </c>
      <c r="F484" s="102">
        <v>0</v>
      </c>
      <c r="G484" s="69">
        <f>F484-E484</f>
        <v>87210</v>
      </c>
      <c r="H484" s="67"/>
    </row>
    <row r="485" spans="1:8" x14ac:dyDescent="0.25">
      <c r="A485" s="90"/>
      <c r="B485" s="90"/>
      <c r="C485" s="90" t="s">
        <v>60</v>
      </c>
      <c r="D485" s="69">
        <v>0</v>
      </c>
      <c r="E485" s="69">
        <v>0</v>
      </c>
      <c r="F485" s="69">
        <v>-824</v>
      </c>
      <c r="G485" s="69">
        <f>F485-E485</f>
        <v>-824</v>
      </c>
    </row>
    <row r="486" spans="1:8" ht="16.5" customHeight="1" x14ac:dyDescent="0.25">
      <c r="A486" s="70"/>
      <c r="B486" s="70"/>
      <c r="C486" s="90" t="s">
        <v>61</v>
      </c>
      <c r="D486" s="69">
        <v>0</v>
      </c>
      <c r="E486" s="69">
        <v>0</v>
      </c>
      <c r="F486" s="69">
        <v>-33097</v>
      </c>
      <c r="G486" s="69">
        <f>F486-E486</f>
        <v>-33097</v>
      </c>
    </row>
    <row r="487" spans="1:8" x14ac:dyDescent="0.25">
      <c r="A487" s="70"/>
      <c r="B487" s="70"/>
      <c r="C487" s="90" t="s">
        <v>106</v>
      </c>
      <c r="D487" s="69">
        <v>0</v>
      </c>
      <c r="E487" s="69">
        <v>0</v>
      </c>
      <c r="F487" s="69">
        <v>-2727</v>
      </c>
      <c r="G487" s="69">
        <f t="shared" ref="G487" si="279">F487-E487</f>
        <v>-2727</v>
      </c>
    </row>
    <row r="488" spans="1:8" s="34" customFormat="1" ht="16.5" customHeight="1" x14ac:dyDescent="0.25">
      <c r="A488" s="70"/>
      <c r="B488" s="70"/>
      <c r="C488" s="70" t="s">
        <v>114</v>
      </c>
      <c r="D488" s="71">
        <f t="shared" ref="D488:E488" si="280">SUM(D489:D490)</f>
        <v>0</v>
      </c>
      <c r="E488" s="71">
        <f t="shared" si="280"/>
        <v>0</v>
      </c>
      <c r="F488" s="71">
        <f>SUM(F489:F490)</f>
        <v>-211468</v>
      </c>
      <c r="G488" s="71">
        <f>F488-E488</f>
        <v>-211468</v>
      </c>
      <c r="H488" s="17"/>
    </row>
    <row r="489" spans="1:8" x14ac:dyDescent="0.25">
      <c r="A489" s="90"/>
      <c r="B489" s="90"/>
      <c r="C489" s="90" t="s">
        <v>60</v>
      </c>
      <c r="D489" s="69">
        <v>0</v>
      </c>
      <c r="E489" s="69">
        <v>0</v>
      </c>
      <c r="F489" s="69">
        <v>-60429</v>
      </c>
      <c r="G489" s="69">
        <f>F489-E489</f>
        <v>-60429</v>
      </c>
    </row>
    <row r="490" spans="1:8" x14ac:dyDescent="0.25">
      <c r="A490" s="90"/>
      <c r="B490" s="90"/>
      <c r="C490" s="90" t="s">
        <v>61</v>
      </c>
      <c r="D490" s="69">
        <v>0</v>
      </c>
      <c r="E490" s="69">
        <v>0</v>
      </c>
      <c r="F490" s="69">
        <v>-151039</v>
      </c>
      <c r="G490" s="69">
        <f>F490-E490</f>
        <v>-151039</v>
      </c>
    </row>
    <row r="491" spans="1:8" s="34" customFormat="1" x14ac:dyDescent="0.25">
      <c r="A491" s="70"/>
      <c r="B491" s="70"/>
      <c r="C491" s="70" t="s">
        <v>116</v>
      </c>
      <c r="D491" s="71">
        <v>-115601</v>
      </c>
      <c r="E491" s="71">
        <v>-115601</v>
      </c>
      <c r="F491" s="71">
        <v>-256396</v>
      </c>
      <c r="G491" s="71">
        <f t="shared" si="277"/>
        <v>-140795</v>
      </c>
      <c r="H491" s="17"/>
    </row>
    <row r="492" spans="1:8" ht="14.25" customHeight="1" x14ac:dyDescent="0.25">
      <c r="A492" s="70"/>
      <c r="B492" s="70" t="s">
        <v>120</v>
      </c>
      <c r="C492" s="70"/>
      <c r="D492" s="71">
        <f>SUM(D493:D494)</f>
        <v>-804718</v>
      </c>
      <c r="E492" s="71">
        <f>SUM(E493:E494)</f>
        <v>-997751</v>
      </c>
      <c r="F492" s="71">
        <f>SUM(F493:F494)</f>
        <v>-957591</v>
      </c>
      <c r="G492" s="71">
        <f>F492-E492</f>
        <v>40160</v>
      </c>
    </row>
    <row r="493" spans="1:8" x14ac:dyDescent="0.25">
      <c r="A493" s="90"/>
      <c r="B493" s="90"/>
      <c r="C493" s="90" t="s">
        <v>61</v>
      </c>
      <c r="D493" s="69">
        <f>D496</f>
        <v>-792512</v>
      </c>
      <c r="E493" s="69">
        <f t="shared" ref="E493:F493" si="281">E496</f>
        <v>-985084</v>
      </c>
      <c r="F493" s="69">
        <f t="shared" si="281"/>
        <v>-951597</v>
      </c>
      <c r="G493" s="69">
        <f t="shared" ref="G493:G494" si="282">F493-E493</f>
        <v>33487</v>
      </c>
    </row>
    <row r="494" spans="1:8" x14ac:dyDescent="0.25">
      <c r="A494" s="90"/>
      <c r="B494" s="90"/>
      <c r="C494" s="90" t="s">
        <v>108</v>
      </c>
      <c r="D494" s="69">
        <f>D498</f>
        <v>-12206</v>
      </c>
      <c r="E494" s="69">
        <f>E497+E498</f>
        <v>-12667</v>
      </c>
      <c r="F494" s="69">
        <f>F497+F498</f>
        <v>-5994</v>
      </c>
      <c r="G494" s="69">
        <f t="shared" si="282"/>
        <v>6673</v>
      </c>
    </row>
    <row r="495" spans="1:8" x14ac:dyDescent="0.25">
      <c r="A495" s="70"/>
      <c r="B495" s="70"/>
      <c r="C495" s="70" t="s">
        <v>111</v>
      </c>
      <c r="D495" s="71">
        <f>SUM(D496:D497)</f>
        <v>-792512</v>
      </c>
      <c r="E495" s="71">
        <f t="shared" ref="E495:F495" si="283">SUM(E496:E497)</f>
        <v>-985544</v>
      </c>
      <c r="F495" s="71">
        <f t="shared" si="283"/>
        <v>-952057</v>
      </c>
      <c r="G495" s="71">
        <f>SUM(G496:G496)</f>
        <v>33487</v>
      </c>
    </row>
    <row r="496" spans="1:8" x14ac:dyDescent="0.25">
      <c r="A496" s="70"/>
      <c r="B496" s="70"/>
      <c r="C496" s="90" t="s">
        <v>61</v>
      </c>
      <c r="D496" s="69">
        <v>-792512</v>
      </c>
      <c r="E496" s="69">
        <v>-985084</v>
      </c>
      <c r="F496" s="69">
        <v>-951597</v>
      </c>
      <c r="G496" s="69">
        <f t="shared" ref="G496:G499" si="284">F496-E496</f>
        <v>33487</v>
      </c>
    </row>
    <row r="497" spans="1:8" x14ac:dyDescent="0.25">
      <c r="A497" s="70"/>
      <c r="B497" s="70"/>
      <c r="C497" s="90" t="s">
        <v>108</v>
      </c>
      <c r="D497" s="69">
        <v>0</v>
      </c>
      <c r="E497" s="69">
        <v>-460</v>
      </c>
      <c r="F497" s="69">
        <v>-460</v>
      </c>
      <c r="G497" s="71">
        <f t="shared" si="284"/>
        <v>0</v>
      </c>
    </row>
    <row r="498" spans="1:8" s="34" customFormat="1" x14ac:dyDescent="0.25">
      <c r="A498" s="70"/>
      <c r="B498" s="70"/>
      <c r="C498" s="70" t="s">
        <v>116</v>
      </c>
      <c r="D498" s="71">
        <v>-12206</v>
      </c>
      <c r="E498" s="71">
        <v>-12207</v>
      </c>
      <c r="F498" s="71">
        <v>-5534</v>
      </c>
      <c r="G498" s="71">
        <f t="shared" si="284"/>
        <v>6673</v>
      </c>
      <c r="H498" s="17"/>
    </row>
    <row r="499" spans="1:8" s="34" customFormat="1" ht="15.75" x14ac:dyDescent="0.25">
      <c r="A499" s="92" t="s">
        <v>139</v>
      </c>
      <c r="B499" s="70"/>
      <c r="C499" s="70"/>
      <c r="D499" s="71">
        <f>SUM(D500:D504)</f>
        <v>-10424089</v>
      </c>
      <c r="E499" s="71">
        <f>SUM(E500:E504)</f>
        <v>-567453620.53999996</v>
      </c>
      <c r="F499" s="71">
        <f>SUM(F500:F504)</f>
        <v>-246167280</v>
      </c>
      <c r="G499" s="71">
        <f t="shared" si="284"/>
        <v>321286340.53999996</v>
      </c>
      <c r="H499" s="37" t="s">
        <v>91</v>
      </c>
    </row>
    <row r="500" spans="1:8" x14ac:dyDescent="0.25">
      <c r="A500" s="90"/>
      <c r="B500" s="90" t="s">
        <v>111</v>
      </c>
      <c r="C500" s="90"/>
      <c r="D500" s="69">
        <f>D507+D511+D520</f>
        <v>-10290140</v>
      </c>
      <c r="E500" s="69">
        <f>E507+E511+E520</f>
        <v>-13613989</v>
      </c>
      <c r="F500" s="69">
        <f t="shared" ref="F500" si="285">F507+F511+F520</f>
        <v>-13013972</v>
      </c>
      <c r="G500" s="69">
        <f t="shared" ref="G500:G504" si="286">F500-E500</f>
        <v>600017</v>
      </c>
    </row>
    <row r="501" spans="1:8" x14ac:dyDescent="0.25">
      <c r="A501" s="90"/>
      <c r="B501" s="90" t="s">
        <v>112</v>
      </c>
      <c r="C501" s="90"/>
      <c r="D501" s="69">
        <f>SUM(D526)</f>
        <v>0</v>
      </c>
      <c r="E501" s="69">
        <f>SUM(E526)</f>
        <v>0</v>
      </c>
      <c r="F501" s="69">
        <f>SUM(F526)</f>
        <v>262941</v>
      </c>
      <c r="G501" s="69">
        <f t="shared" si="286"/>
        <v>262941</v>
      </c>
    </row>
    <row r="502" spans="1:8" x14ac:dyDescent="0.25">
      <c r="A502" s="90"/>
      <c r="B502" s="90" t="s">
        <v>113</v>
      </c>
      <c r="C502" s="90"/>
      <c r="D502" s="69">
        <f>D526+D547</f>
        <v>0</v>
      </c>
      <c r="E502" s="69">
        <f>SUM(E528)</f>
        <v>-553702692.53999996</v>
      </c>
      <c r="F502" s="69">
        <f>SUM(F528)</f>
        <v>-232883216</v>
      </c>
      <c r="G502" s="69">
        <f>F502-E502</f>
        <v>320819476.53999996</v>
      </c>
    </row>
    <row r="503" spans="1:8" ht="15.75" customHeight="1" x14ac:dyDescent="0.25">
      <c r="A503" s="90"/>
      <c r="B503" s="90" t="s">
        <v>114</v>
      </c>
      <c r="C503" s="90"/>
      <c r="D503" s="69">
        <f>SUM(D531+D553)</f>
        <v>0</v>
      </c>
      <c r="E503" s="69">
        <f>SUM(E533)</f>
        <v>-2990</v>
      </c>
      <c r="F503" s="69">
        <f>SUM(F533)</f>
        <v>0</v>
      </c>
      <c r="G503" s="69">
        <f t="shared" si="286"/>
        <v>2990</v>
      </c>
    </row>
    <row r="504" spans="1:8" x14ac:dyDescent="0.25">
      <c r="A504" s="90"/>
      <c r="B504" s="90" t="s">
        <v>115</v>
      </c>
      <c r="C504" s="90"/>
      <c r="D504" s="69">
        <f>D535</f>
        <v>-133949</v>
      </c>
      <c r="E504" s="69">
        <f t="shared" ref="E504:F504" si="287">E535</f>
        <v>-133949</v>
      </c>
      <c r="F504" s="69">
        <f t="shared" si="287"/>
        <v>-533033</v>
      </c>
      <c r="G504" s="69">
        <f t="shared" si="286"/>
        <v>-399084</v>
      </c>
    </row>
    <row r="505" spans="1:8" ht="14.25" customHeight="1" x14ac:dyDescent="0.25">
      <c r="A505" s="70"/>
      <c r="B505" s="70" t="s">
        <v>121</v>
      </c>
      <c r="C505" s="70"/>
      <c r="D505" s="71">
        <f>SUM(D506:D506)</f>
        <v>-189639</v>
      </c>
      <c r="E505" s="71">
        <f>SUM(E506:E506)</f>
        <v>0</v>
      </c>
      <c r="F505" s="71">
        <f>SUM(F506:F506)</f>
        <v>0</v>
      </c>
      <c r="G505" s="71">
        <f>F505-E505</f>
        <v>0</v>
      </c>
    </row>
    <row r="506" spans="1:8" x14ac:dyDescent="0.25">
      <c r="A506" s="90"/>
      <c r="B506" s="90"/>
      <c r="C506" s="90" t="s">
        <v>61</v>
      </c>
      <c r="D506" s="69">
        <f>D508</f>
        <v>-189639</v>
      </c>
      <c r="E506" s="69">
        <f t="shared" ref="E506:F506" si="288">E508</f>
        <v>0</v>
      </c>
      <c r="F506" s="69">
        <f t="shared" si="288"/>
        <v>0</v>
      </c>
      <c r="G506" s="69">
        <f t="shared" ref="G506" si="289">F506-E506</f>
        <v>0</v>
      </c>
    </row>
    <row r="507" spans="1:8" x14ac:dyDescent="0.25">
      <c r="A507" s="70"/>
      <c r="B507" s="70"/>
      <c r="C507" s="70" t="s">
        <v>111</v>
      </c>
      <c r="D507" s="71">
        <f>SUM(D508:D508)</f>
        <v>-189639</v>
      </c>
      <c r="E507" s="71">
        <f>SUM(E508:E508)</f>
        <v>0</v>
      </c>
      <c r="F507" s="71">
        <f>SUM(F508:F508)</f>
        <v>0</v>
      </c>
      <c r="G507" s="71">
        <f>F507-E507</f>
        <v>0</v>
      </c>
    </row>
    <row r="508" spans="1:8" x14ac:dyDescent="0.25">
      <c r="A508" s="70"/>
      <c r="B508" s="70"/>
      <c r="C508" s="90" t="s">
        <v>61</v>
      </c>
      <c r="D508" s="69">
        <v>-189639</v>
      </c>
      <c r="E508" s="69">
        <v>0</v>
      </c>
      <c r="F508" s="71">
        <v>0</v>
      </c>
      <c r="G508" s="69">
        <f t="shared" ref="G508" si="290">F508-E508</f>
        <v>0</v>
      </c>
    </row>
    <row r="509" spans="1:8" ht="14.25" customHeight="1" x14ac:dyDescent="0.25">
      <c r="A509" s="70"/>
      <c r="B509" s="70" t="s">
        <v>122</v>
      </c>
      <c r="C509" s="70"/>
      <c r="D509" s="71">
        <f>SUM(D510:D510)</f>
        <v>-131901</v>
      </c>
      <c r="E509" s="71">
        <f>SUM(E510:E510)</f>
        <v>-162830</v>
      </c>
      <c r="F509" s="71">
        <f>SUM(F510:F510)</f>
        <v>-35541</v>
      </c>
      <c r="G509" s="71">
        <f>F509-E509</f>
        <v>127289</v>
      </c>
    </row>
    <row r="510" spans="1:8" ht="14.25" customHeight="1" x14ac:dyDescent="0.25">
      <c r="A510" s="90"/>
      <c r="B510" s="90"/>
      <c r="C510" s="90" t="s">
        <v>61</v>
      </c>
      <c r="D510" s="69">
        <f t="shared" ref="D510:F510" si="291">D512</f>
        <v>-131901</v>
      </c>
      <c r="E510" s="69">
        <f t="shared" si="291"/>
        <v>-162830</v>
      </c>
      <c r="F510" s="69">
        <f t="shared" si="291"/>
        <v>-35541</v>
      </c>
      <c r="G510" s="69">
        <f t="shared" ref="G510" si="292">F510-E510</f>
        <v>127289</v>
      </c>
    </row>
    <row r="511" spans="1:8" x14ac:dyDescent="0.25">
      <c r="A511" s="70"/>
      <c r="B511" s="70"/>
      <c r="C511" s="70" t="s">
        <v>111</v>
      </c>
      <c r="D511" s="71">
        <f>SUM(D512:D512)</f>
        <v>-131901</v>
      </c>
      <c r="E511" s="71">
        <f>SUM(E512:E512)</f>
        <v>-162830</v>
      </c>
      <c r="F511" s="71">
        <f>SUM(F512:F512)</f>
        <v>-35541</v>
      </c>
      <c r="G511" s="71">
        <f>F511-E511</f>
        <v>127289</v>
      </c>
    </row>
    <row r="512" spans="1:8" x14ac:dyDescent="0.25">
      <c r="A512" s="70"/>
      <c r="B512" s="70"/>
      <c r="C512" s="90" t="s">
        <v>61</v>
      </c>
      <c r="D512" s="69">
        <v>-131901</v>
      </c>
      <c r="E512" s="69">
        <v>-162830</v>
      </c>
      <c r="F512" s="69">
        <v>-35541</v>
      </c>
      <c r="G512" s="69">
        <f t="shared" ref="G512" si="293">F512-E512</f>
        <v>127289</v>
      </c>
    </row>
    <row r="513" spans="1:8" ht="14.25" customHeight="1" x14ac:dyDescent="0.25">
      <c r="A513" s="70"/>
      <c r="B513" s="70" t="s">
        <v>120</v>
      </c>
      <c r="C513" s="70"/>
      <c r="D513" s="71">
        <f>SUM(D514:D519)</f>
        <v>-10102549</v>
      </c>
      <c r="E513" s="71">
        <f>SUM(E514:E519)</f>
        <v>-567290790.53999996</v>
      </c>
      <c r="F513" s="71">
        <f>SUM(F514:F519)</f>
        <v>-246131739</v>
      </c>
      <c r="G513" s="71">
        <f>F513-E513</f>
        <v>321159051.53999996</v>
      </c>
    </row>
    <row r="514" spans="1:8" s="74" customFormat="1" ht="16.5" customHeight="1" x14ac:dyDescent="0.25">
      <c r="A514" s="101"/>
      <c r="B514" s="101"/>
      <c r="C514" s="101" t="s">
        <v>146</v>
      </c>
      <c r="D514" s="102">
        <f>SUM(D529+D534)</f>
        <v>0</v>
      </c>
      <c r="E514" s="102">
        <f>SUM(E529+E534)</f>
        <v>-553705682.53999996</v>
      </c>
      <c r="F514" s="102">
        <f t="shared" ref="F514" si="294">SUM(F529+F534)</f>
        <v>0</v>
      </c>
      <c r="G514" s="69">
        <f>F514-E514</f>
        <v>553705682.53999996</v>
      </c>
      <c r="H514" s="67"/>
    </row>
    <row r="515" spans="1:8" ht="14.25" customHeight="1" x14ac:dyDescent="0.25">
      <c r="A515" s="90"/>
      <c r="B515" s="90"/>
      <c r="C515" s="90" t="s">
        <v>60</v>
      </c>
      <c r="D515" s="69">
        <f>SUM(D521+D530)</f>
        <v>-8362910</v>
      </c>
      <c r="E515" s="69">
        <f t="shared" ref="E515:F515" si="295">SUM(E521+E530)</f>
        <v>-9479533</v>
      </c>
      <c r="F515" s="69">
        <f t="shared" si="295"/>
        <v>-10500161</v>
      </c>
      <c r="G515" s="69">
        <f t="shared" ref="G515:G519" si="296">F515-E515</f>
        <v>-1020628</v>
      </c>
    </row>
    <row r="516" spans="1:8" x14ac:dyDescent="0.25">
      <c r="A516" s="90"/>
      <c r="B516" s="90"/>
      <c r="C516" s="90" t="s">
        <v>61</v>
      </c>
      <c r="D516" s="69">
        <f>SUM(D522+D531)</f>
        <v>-1587718</v>
      </c>
      <c r="E516" s="69">
        <f t="shared" ref="E516:F516" si="297">SUM(E522+E531)</f>
        <v>-2794830</v>
      </c>
      <c r="F516" s="69">
        <f t="shared" si="297"/>
        <v>-3480602</v>
      </c>
      <c r="G516" s="69">
        <f t="shared" si="296"/>
        <v>-685772</v>
      </c>
    </row>
    <row r="517" spans="1:8" x14ac:dyDescent="0.25">
      <c r="A517" s="90"/>
      <c r="B517" s="90"/>
      <c r="C517" s="90" t="s">
        <v>117</v>
      </c>
      <c r="D517" s="69">
        <v>0</v>
      </c>
      <c r="E517" s="69">
        <f>SUM(E523)</f>
        <v>-1092000</v>
      </c>
      <c r="F517" s="69">
        <f>SUM(F523)</f>
        <v>-636446</v>
      </c>
      <c r="G517" s="69">
        <f t="shared" si="296"/>
        <v>455554</v>
      </c>
    </row>
    <row r="518" spans="1:8" x14ac:dyDescent="0.25">
      <c r="A518" s="90"/>
      <c r="B518" s="90"/>
      <c r="C518" s="90" t="s">
        <v>107</v>
      </c>
      <c r="D518" s="69">
        <f>SUM(D524,D532,D532)</f>
        <v>0</v>
      </c>
      <c r="E518" s="69">
        <f>SUM(E524,E532)</f>
        <v>-58559</v>
      </c>
      <c r="F518" s="69">
        <f>SUM(F524,F532)</f>
        <v>-231225750</v>
      </c>
      <c r="G518" s="69">
        <f t="shared" si="296"/>
        <v>-231167191</v>
      </c>
    </row>
    <row r="519" spans="1:8" x14ac:dyDescent="0.25">
      <c r="A519" s="90"/>
      <c r="B519" s="90"/>
      <c r="C519" s="90" t="s">
        <v>108</v>
      </c>
      <c r="D519" s="69">
        <f>D525+D527+D535</f>
        <v>-151921</v>
      </c>
      <c r="E519" s="69">
        <f>E525+E527+E535</f>
        <v>-160186</v>
      </c>
      <c r="F519" s="69">
        <f>F525+F527+F535</f>
        <v>-288780</v>
      </c>
      <c r="G519" s="69">
        <f t="shared" si="296"/>
        <v>-128594</v>
      </c>
    </row>
    <row r="520" spans="1:8" x14ac:dyDescent="0.25">
      <c r="A520" s="70"/>
      <c r="B520" s="70"/>
      <c r="C520" s="70" t="s">
        <v>111</v>
      </c>
      <c r="D520" s="71">
        <f>SUM(D521:D525)</f>
        <v>-9968600</v>
      </c>
      <c r="E520" s="71">
        <f t="shared" ref="E520:F520" si="298">SUM(E521:E525)</f>
        <v>-13451159</v>
      </c>
      <c r="F520" s="71">
        <f t="shared" si="298"/>
        <v>-12978431</v>
      </c>
      <c r="G520" s="71">
        <f>F520-E520</f>
        <v>472728</v>
      </c>
    </row>
    <row r="521" spans="1:8" x14ac:dyDescent="0.25">
      <c r="A521" s="90"/>
      <c r="B521" s="90"/>
      <c r="C521" s="90" t="s">
        <v>60</v>
      </c>
      <c r="D521" s="69">
        <v>-8362910</v>
      </c>
      <c r="E521" s="69">
        <v>-9479533</v>
      </c>
      <c r="F521" s="69">
        <v>-9472075</v>
      </c>
      <c r="G521" s="69">
        <f t="shared" ref="G521:G523" si="299">F521-E521</f>
        <v>7458</v>
      </c>
    </row>
    <row r="522" spans="1:8" x14ac:dyDescent="0.25">
      <c r="A522" s="70"/>
      <c r="B522" s="70"/>
      <c r="C522" s="90" t="s">
        <v>61</v>
      </c>
      <c r="D522" s="69">
        <v>-1587718</v>
      </c>
      <c r="E522" s="69">
        <f>-2793642-1188</f>
        <v>-2794830</v>
      </c>
      <c r="F522" s="69">
        <v>-2792663</v>
      </c>
      <c r="G522" s="69">
        <f t="shared" si="299"/>
        <v>2167</v>
      </c>
    </row>
    <row r="523" spans="1:8" x14ac:dyDescent="0.25">
      <c r="A523" s="70"/>
      <c r="B523" s="70"/>
      <c r="C523" s="90" t="s">
        <v>117</v>
      </c>
      <c r="D523" s="69">
        <v>0</v>
      </c>
      <c r="E523" s="69">
        <v>-1092000</v>
      </c>
      <c r="F523" s="69">
        <v>-636446</v>
      </c>
      <c r="G523" s="69">
        <f t="shared" si="299"/>
        <v>455554</v>
      </c>
    </row>
    <row r="524" spans="1:8" x14ac:dyDescent="0.25">
      <c r="A524" s="90"/>
      <c r="B524" s="90"/>
      <c r="C524" s="90" t="s">
        <v>107</v>
      </c>
      <c r="D524" s="69">
        <f>SUM(D540)</f>
        <v>0</v>
      </c>
      <c r="E524" s="69">
        <f>-58559</f>
        <v>-58559</v>
      </c>
      <c r="F524" s="69">
        <f>-58559</f>
        <v>-58559</v>
      </c>
      <c r="G524" s="69">
        <f>F524-E524</f>
        <v>0</v>
      </c>
    </row>
    <row r="525" spans="1:8" x14ac:dyDescent="0.25">
      <c r="A525" s="70"/>
      <c r="B525" s="70"/>
      <c r="C525" s="90" t="s">
        <v>62</v>
      </c>
      <c r="D525" s="69">
        <v>-17972</v>
      </c>
      <c r="E525" s="69">
        <v>-26237</v>
      </c>
      <c r="F525" s="69">
        <v>-18688</v>
      </c>
      <c r="G525" s="69">
        <f t="shared" ref="G525:G535" si="300">F525-E525</f>
        <v>7549</v>
      </c>
    </row>
    <row r="526" spans="1:8" ht="17.25" customHeight="1" x14ac:dyDescent="0.25">
      <c r="A526" s="90"/>
      <c r="B526" s="90"/>
      <c r="C526" s="70" t="s">
        <v>112</v>
      </c>
      <c r="D526" s="71">
        <f>SUM(D527)</f>
        <v>0</v>
      </c>
      <c r="E526" s="71">
        <f t="shared" ref="E526" si="301">SUM(E527)</f>
        <v>0</v>
      </c>
      <c r="F526" s="71">
        <f>SUM(F527)</f>
        <v>262941</v>
      </c>
      <c r="G526" s="71">
        <f t="shared" si="300"/>
        <v>262941</v>
      </c>
    </row>
    <row r="527" spans="1:8" s="34" customFormat="1" x14ac:dyDescent="0.25">
      <c r="A527" s="90"/>
      <c r="B527" s="90"/>
      <c r="C527" s="90" t="s">
        <v>62</v>
      </c>
      <c r="D527" s="69">
        <v>0</v>
      </c>
      <c r="E527" s="93">
        <v>0</v>
      </c>
      <c r="F527" s="93">
        <v>262941</v>
      </c>
      <c r="G527" s="69">
        <f t="shared" si="300"/>
        <v>262941</v>
      </c>
      <c r="H527" s="17"/>
    </row>
    <row r="528" spans="1:8" s="34" customFormat="1" ht="16.5" customHeight="1" x14ac:dyDescent="0.25">
      <c r="A528" s="70"/>
      <c r="B528" s="70"/>
      <c r="C528" s="70" t="s">
        <v>113</v>
      </c>
      <c r="D528" s="71">
        <f>SUM(D529:D532)</f>
        <v>0</v>
      </c>
      <c r="E528" s="71">
        <f>SUM(E529:E532)</f>
        <v>-553702692.53999996</v>
      </c>
      <c r="F528" s="71">
        <f>SUM(F529:F532)</f>
        <v>-232883216</v>
      </c>
      <c r="G528" s="71">
        <f>F528-E528</f>
        <v>320819476.53999996</v>
      </c>
      <c r="H528" s="17"/>
    </row>
    <row r="529" spans="1:8" s="74" customFormat="1" ht="18" customHeight="1" x14ac:dyDescent="0.25">
      <c r="A529" s="101"/>
      <c r="B529" s="101"/>
      <c r="C529" s="101" t="s">
        <v>146</v>
      </c>
      <c r="D529" s="102">
        <v>0</v>
      </c>
      <c r="E529" s="102">
        <f>-232872147-320830545.54</f>
        <v>-553702692.53999996</v>
      </c>
      <c r="F529" s="102">
        <v>0</v>
      </c>
      <c r="G529" s="69">
        <f>F529-E529</f>
        <v>553702692.53999996</v>
      </c>
      <c r="H529" s="67"/>
    </row>
    <row r="530" spans="1:8" x14ac:dyDescent="0.25">
      <c r="A530" s="90"/>
      <c r="B530" s="90"/>
      <c r="C530" s="90" t="s">
        <v>60</v>
      </c>
      <c r="D530" s="69">
        <v>0</v>
      </c>
      <c r="E530" s="69">
        <v>0</v>
      </c>
      <c r="F530" s="69">
        <v>-1028086</v>
      </c>
      <c r="G530" s="69">
        <f>F530-E530</f>
        <v>-1028086</v>
      </c>
    </row>
    <row r="531" spans="1:8" ht="16.5" customHeight="1" x14ac:dyDescent="0.25">
      <c r="A531" s="70"/>
      <c r="B531" s="70"/>
      <c r="C531" s="90" t="s">
        <v>61</v>
      </c>
      <c r="D531" s="69">
        <v>0</v>
      </c>
      <c r="E531" s="69">
        <v>0</v>
      </c>
      <c r="F531" s="69">
        <v>-687939</v>
      </c>
      <c r="G531" s="69">
        <f>F531-E531</f>
        <v>-687939</v>
      </c>
    </row>
    <row r="532" spans="1:8" x14ac:dyDescent="0.25">
      <c r="A532" s="70"/>
      <c r="B532" s="70"/>
      <c r="C532" s="90" t="s">
        <v>107</v>
      </c>
      <c r="D532" s="69">
        <v>0</v>
      </c>
      <c r="E532" s="69">
        <v>0</v>
      </c>
      <c r="F532" s="69">
        <v>-231167191</v>
      </c>
      <c r="G532" s="69">
        <f t="shared" ref="G532" si="302">F532-E532</f>
        <v>-231167191</v>
      </c>
    </row>
    <row r="533" spans="1:8" s="34" customFormat="1" ht="16.5" customHeight="1" x14ac:dyDescent="0.25">
      <c r="A533" s="70"/>
      <c r="B533" s="70"/>
      <c r="C533" s="70" t="s">
        <v>114</v>
      </c>
      <c r="D533" s="71">
        <f>SUM(D534)</f>
        <v>0</v>
      </c>
      <c r="E533" s="71">
        <f>SUM(E534)</f>
        <v>-2990</v>
      </c>
      <c r="F533" s="71">
        <f>SUM(F534)</f>
        <v>0</v>
      </c>
      <c r="G533" s="71">
        <f>F533-E533</f>
        <v>2990</v>
      </c>
      <c r="H533" s="17"/>
    </row>
    <row r="534" spans="1:8" x14ac:dyDescent="0.25">
      <c r="A534" s="90"/>
      <c r="B534" s="90"/>
      <c r="C534" s="90" t="s">
        <v>146</v>
      </c>
      <c r="D534" s="69">
        <v>0</v>
      </c>
      <c r="E534" s="69">
        <v>-2990</v>
      </c>
      <c r="F534" s="69">
        <v>0</v>
      </c>
      <c r="G534" s="69">
        <f t="shared" ref="G534" si="303">F534-E534</f>
        <v>2990</v>
      </c>
    </row>
    <row r="535" spans="1:8" s="34" customFormat="1" x14ac:dyDescent="0.25">
      <c r="A535" s="70"/>
      <c r="B535" s="70"/>
      <c r="C535" s="70" t="s">
        <v>116</v>
      </c>
      <c r="D535" s="71">
        <v>-133949</v>
      </c>
      <c r="E535" s="71">
        <f t="shared" ref="E535" si="304">D535</f>
        <v>-133949</v>
      </c>
      <c r="F535" s="71">
        <v>-533033</v>
      </c>
      <c r="G535" s="71">
        <f t="shared" si="300"/>
        <v>-399084</v>
      </c>
      <c r="H535" s="17"/>
    </row>
    <row r="536" spans="1:8" s="34" customFormat="1" x14ac:dyDescent="0.25">
      <c r="A536" s="70" t="s">
        <v>57</v>
      </c>
      <c r="B536" s="70"/>
      <c r="C536" s="70"/>
      <c r="D536" s="71">
        <f>SUM(D537:D539)</f>
        <v>-84234859</v>
      </c>
      <c r="E536" s="71">
        <f>SUM(E537:E539)</f>
        <v>-81119923.159999996</v>
      </c>
      <c r="F536" s="71">
        <f>SUM(F537:F539)</f>
        <v>-162266506</v>
      </c>
      <c r="G536" s="71">
        <f>SUM(G537:G539)</f>
        <v>-81146582.840000004</v>
      </c>
      <c r="H536" s="17"/>
    </row>
    <row r="537" spans="1:8" x14ac:dyDescent="0.25">
      <c r="A537" s="90"/>
      <c r="B537" s="90" t="s">
        <v>112</v>
      </c>
      <c r="C537" s="90"/>
      <c r="D537" s="69">
        <v>-80569632</v>
      </c>
      <c r="E537" s="69">
        <f t="shared" ref="E537" si="305">D537</f>
        <v>-80569632</v>
      </c>
      <c r="F537" s="69">
        <v>-161716214.84</v>
      </c>
      <c r="G537" s="69">
        <f>F537-E537</f>
        <v>-81146582.840000004</v>
      </c>
    </row>
    <row r="538" spans="1:8" x14ac:dyDescent="0.25">
      <c r="A538" s="90"/>
      <c r="B538" s="90" t="s">
        <v>113</v>
      </c>
      <c r="C538" s="90"/>
      <c r="D538" s="69">
        <v>0</v>
      </c>
      <c r="E538" s="69">
        <v>-25570.17</v>
      </c>
      <c r="F538" s="69">
        <v>-25570.17</v>
      </c>
      <c r="G538" s="69">
        <f t="shared" ref="G538:G539" si="306">F538-E538</f>
        <v>0</v>
      </c>
    </row>
    <row r="539" spans="1:8" x14ac:dyDescent="0.25">
      <c r="A539" s="90"/>
      <c r="B539" s="90" t="s">
        <v>114</v>
      </c>
      <c r="C539" s="90"/>
      <c r="D539" s="69">
        <f>-3662655-2572</f>
        <v>-3665227</v>
      </c>
      <c r="E539" s="69">
        <v>-524720.99</v>
      </c>
      <c r="F539" s="69">
        <v>-524720.99</v>
      </c>
      <c r="G539" s="69">
        <f t="shared" si="306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9403-50E9-43C6-AF9D-B37F0A9328D9}">
  <dimension ref="A1:O18"/>
  <sheetViews>
    <sheetView workbookViewId="0">
      <selection activeCell="C27" sqref="C27"/>
    </sheetView>
  </sheetViews>
  <sheetFormatPr defaultRowHeight="15" x14ac:dyDescent="0.25"/>
  <cols>
    <col min="1" max="1" width="15.85546875" customWidth="1"/>
    <col min="2" max="2" width="39.140625" customWidth="1"/>
    <col min="3" max="3" width="16.7109375" style="35" bestFit="1" customWidth="1"/>
    <col min="4" max="4" width="16.140625" style="35" bestFit="1" customWidth="1"/>
    <col min="5" max="5" width="16.7109375" style="35" bestFit="1" customWidth="1"/>
    <col min="6" max="6" width="9.140625" style="17"/>
    <col min="7" max="7" width="16" style="17" bestFit="1" customWidth="1"/>
    <col min="8" max="8" width="16.7109375" style="17" bestFit="1" customWidth="1"/>
    <col min="9" max="9" width="15.85546875" style="17" bestFit="1" customWidth="1"/>
    <col min="11" max="11" width="14.28515625" bestFit="1" customWidth="1"/>
    <col min="13" max="13" width="14.28515625" bestFit="1" customWidth="1"/>
    <col min="14" max="14" width="10.7109375" bestFit="1" customWidth="1"/>
    <col min="15" max="15" width="13.28515625" customWidth="1"/>
  </cols>
  <sheetData>
    <row r="1" spans="1:15" x14ac:dyDescent="0.25">
      <c r="A1" s="11" t="s">
        <v>26</v>
      </c>
      <c r="B1" s="12"/>
      <c r="C1" s="38"/>
      <c r="D1" s="38"/>
      <c r="E1" s="38"/>
      <c r="F1" s="13"/>
      <c r="G1" s="14"/>
      <c r="H1" s="15"/>
      <c r="I1" s="16"/>
      <c r="J1" s="17"/>
    </row>
    <row r="2" spans="1:15" x14ac:dyDescent="0.25">
      <c r="A2" s="11" t="s">
        <v>27</v>
      </c>
      <c r="B2" s="12"/>
      <c r="C2" s="38"/>
      <c r="D2" s="38"/>
      <c r="E2" s="38"/>
      <c r="F2" s="13"/>
      <c r="G2" s="38"/>
      <c r="H2" s="38"/>
      <c r="I2" s="15"/>
      <c r="J2" s="17"/>
    </row>
    <row r="3" spans="1:15" x14ac:dyDescent="0.25">
      <c r="A3" s="11"/>
      <c r="B3" s="12"/>
      <c r="C3" s="39">
        <f>SUBTOTAL(9,C5:C18)</f>
        <v>-1495094850.0599999</v>
      </c>
      <c r="D3" s="39">
        <f>SUBTOTAL(9,D5:D18)</f>
        <v>-1495094850.0610003</v>
      </c>
      <c r="E3" s="39">
        <f>SUBTOTAL(9,E5:E18)</f>
        <v>9.9997222423553467E-4</v>
      </c>
      <c r="F3" s="13"/>
      <c r="G3" s="39">
        <f>SUBTOTAL(9,G5:G18)</f>
        <v>-1463898007.4199998</v>
      </c>
      <c r="H3" s="39">
        <f>SUBTOTAL(9,H5:H18)</f>
        <v>-1463898007.3600001</v>
      </c>
      <c r="I3" s="39">
        <f>SUBTOTAL(9,I5:I18)</f>
        <v>-5.9999838471412659E-2</v>
      </c>
    </row>
    <row r="4" spans="1:15" ht="25.5" x14ac:dyDescent="0.25">
      <c r="A4" s="18" t="s">
        <v>36</v>
      </c>
      <c r="B4" s="18" t="s">
        <v>28</v>
      </c>
      <c r="C4" s="40" t="s">
        <v>149</v>
      </c>
      <c r="D4" s="40" t="s">
        <v>150</v>
      </c>
      <c r="E4" s="40" t="s">
        <v>151</v>
      </c>
      <c r="F4" s="42" t="s">
        <v>29</v>
      </c>
      <c r="G4" s="19" t="s">
        <v>100</v>
      </c>
      <c r="H4" s="19" t="s">
        <v>101</v>
      </c>
      <c r="I4" s="19" t="s">
        <v>102</v>
      </c>
      <c r="J4" s="18" t="s">
        <v>29</v>
      </c>
    </row>
    <row r="5" spans="1:15" x14ac:dyDescent="0.25">
      <c r="A5" t="s">
        <v>35</v>
      </c>
      <c r="B5" t="s">
        <v>5</v>
      </c>
      <c r="C5" s="35">
        <v>4018417.01</v>
      </c>
      <c r="D5" s="15">
        <f>aruanne!E6+aruanne!E70</f>
        <v>4018417.01</v>
      </c>
      <c r="E5" s="15">
        <f t="shared" ref="E5:E12" si="0">C5-D5</f>
        <v>0</v>
      </c>
      <c r="G5" s="35">
        <v>2142162.86</v>
      </c>
      <c r="H5" s="15">
        <f>aruanne!F6+aruanne!F70</f>
        <v>2142162.86</v>
      </c>
      <c r="I5" s="15">
        <f t="shared" ref="I5:I12" si="1">G5-H5</f>
        <v>0</v>
      </c>
      <c r="K5" s="17"/>
      <c r="O5" s="17"/>
    </row>
    <row r="6" spans="1:15" x14ac:dyDescent="0.25">
      <c r="A6" t="s">
        <v>35</v>
      </c>
      <c r="B6" t="s">
        <v>4</v>
      </c>
      <c r="C6" s="88">
        <f>479683067.5+8316190.58</f>
        <v>487999258.07999998</v>
      </c>
      <c r="D6" s="15">
        <f>aruanne!E7+aruanne!E65+aruanne!E66+aruanne!E64</f>
        <v>487999258.07999992</v>
      </c>
      <c r="E6" s="15">
        <f t="shared" si="0"/>
        <v>0</v>
      </c>
      <c r="G6" s="35">
        <v>184269133.30000001</v>
      </c>
      <c r="H6" s="15">
        <f>aruanne!F7+aruanne!F65+aruanne!F66+aruanne!F64</f>
        <v>184269133.30000004</v>
      </c>
      <c r="I6" s="15">
        <f t="shared" si="1"/>
        <v>0</v>
      </c>
      <c r="K6" s="17"/>
      <c r="O6" s="17"/>
    </row>
    <row r="7" spans="1:15" x14ac:dyDescent="0.25">
      <c r="A7" t="s">
        <v>35</v>
      </c>
      <c r="B7" t="s">
        <v>67</v>
      </c>
      <c r="C7" s="35">
        <v>6900456.96</v>
      </c>
      <c r="D7" s="15">
        <f>aruanne!E8+aruanne!E63</f>
        <v>6900456.959999999</v>
      </c>
      <c r="E7" s="15">
        <f t="shared" si="0"/>
        <v>0</v>
      </c>
      <c r="G7" s="35">
        <v>1327760.02</v>
      </c>
      <c r="H7" s="15">
        <f>aruanne!F8+aruanne!F63</f>
        <v>1327760.0199999996</v>
      </c>
      <c r="I7" s="15">
        <f t="shared" si="1"/>
        <v>0</v>
      </c>
      <c r="K7" s="17"/>
      <c r="O7" s="17"/>
    </row>
    <row r="8" spans="1:15" x14ac:dyDescent="0.25">
      <c r="A8" t="s">
        <v>35</v>
      </c>
      <c r="B8" t="s">
        <v>70</v>
      </c>
      <c r="C8" s="35">
        <v>2669121.44</v>
      </c>
      <c r="D8" s="15">
        <f>aruanne!E9+aruanne!E67</f>
        <v>2669121.44</v>
      </c>
      <c r="E8" s="15">
        <f t="shared" si="0"/>
        <v>0</v>
      </c>
      <c r="G8" s="35">
        <v>675438.72</v>
      </c>
      <c r="H8" s="15">
        <f>aruanne!F9</f>
        <v>675438.72</v>
      </c>
      <c r="I8" s="15">
        <f t="shared" si="1"/>
        <v>0</v>
      </c>
      <c r="K8" s="17"/>
      <c r="O8" s="17"/>
    </row>
    <row r="9" spans="1:15" x14ac:dyDescent="0.25">
      <c r="A9" t="s">
        <v>35</v>
      </c>
      <c r="B9" t="s">
        <v>59</v>
      </c>
      <c r="C9" s="35">
        <v>1174178.21</v>
      </c>
      <c r="D9" s="15">
        <f>aruanne!E10</f>
        <v>1174178.21</v>
      </c>
      <c r="E9" s="15">
        <f t="shared" si="0"/>
        <v>0</v>
      </c>
      <c r="G9" s="35">
        <v>1005662.04</v>
      </c>
      <c r="H9" s="15">
        <f>aruanne!F10</f>
        <v>1005662.06</v>
      </c>
      <c r="I9" s="15">
        <f t="shared" si="1"/>
        <v>-2.0000000018626451E-2</v>
      </c>
      <c r="K9" s="17"/>
      <c r="O9" s="17"/>
    </row>
    <row r="10" spans="1:15" x14ac:dyDescent="0.25">
      <c r="A10" t="s">
        <v>35</v>
      </c>
      <c r="B10" t="s">
        <v>32</v>
      </c>
      <c r="D10" s="15"/>
      <c r="E10" s="15">
        <f t="shared" si="0"/>
        <v>0</v>
      </c>
      <c r="G10" s="35">
        <v>0.02</v>
      </c>
      <c r="H10" s="15"/>
      <c r="I10" s="15">
        <f t="shared" si="1"/>
        <v>0.02</v>
      </c>
      <c r="K10" s="17"/>
      <c r="O10" s="17"/>
    </row>
    <row r="11" spans="1:15" x14ac:dyDescent="0.25">
      <c r="A11" t="s">
        <v>35</v>
      </c>
      <c r="B11" t="s">
        <v>30</v>
      </c>
      <c r="C11" s="35">
        <v>642581.72</v>
      </c>
      <c r="D11" s="15">
        <f>aruanne!E11</f>
        <v>642581.72</v>
      </c>
      <c r="E11" s="15">
        <f t="shared" si="0"/>
        <v>0</v>
      </c>
      <c r="G11" s="35">
        <f>273472.82+2062.5</f>
        <v>275535.32</v>
      </c>
      <c r="H11" s="15">
        <f>aruanne!F11</f>
        <v>275535.32</v>
      </c>
      <c r="I11" s="15">
        <f t="shared" si="1"/>
        <v>0</v>
      </c>
      <c r="K11" s="17"/>
      <c r="O11" s="17"/>
    </row>
    <row r="12" spans="1:15" x14ac:dyDescent="0.25">
      <c r="A12" t="s">
        <v>35</v>
      </c>
      <c r="B12" t="s">
        <v>66</v>
      </c>
      <c r="C12" s="88">
        <f>-1513230767.42-C15-C18</f>
        <v>-1221028100.1900001</v>
      </c>
      <c r="D12" s="75">
        <f>aruanne!E12+aruanne!E61+aruanne!E68+aruanne!E69-D15+aruanne!E72+aruanne!E71</f>
        <v>-1221028100.1900001</v>
      </c>
      <c r="E12" s="15">
        <f t="shared" si="0"/>
        <v>0</v>
      </c>
      <c r="G12" s="35">
        <f>-1160446267.98-G15-G18</f>
        <v>-983677564.33000004</v>
      </c>
      <c r="H12" s="15">
        <f>aruanne!F12+aruanne!F61+aruanne!F68+aruanne!F69-aruanne!F42+aruanne!F71</f>
        <v>-983677563.96000016</v>
      </c>
      <c r="I12" s="15">
        <f t="shared" si="1"/>
        <v>-0.36999988555908203</v>
      </c>
      <c r="K12" s="17"/>
      <c r="O12" s="17"/>
    </row>
    <row r="13" spans="1:15" x14ac:dyDescent="0.25">
      <c r="A13" t="s">
        <v>35</v>
      </c>
      <c r="B13" t="s">
        <v>33</v>
      </c>
      <c r="D13" s="15"/>
      <c r="E13" s="15">
        <f t="shared" ref="E13:E18" si="2">C13-D13</f>
        <v>0</v>
      </c>
      <c r="G13" s="35">
        <v>-0.02</v>
      </c>
      <c r="H13" s="15"/>
      <c r="I13" s="15">
        <f t="shared" ref="I13:I18" si="3">G13-H13</f>
        <v>-0.02</v>
      </c>
      <c r="K13" s="17"/>
      <c r="O13" s="17"/>
    </row>
    <row r="14" spans="1:15" x14ac:dyDescent="0.25">
      <c r="A14" t="s">
        <v>35</v>
      </c>
      <c r="B14" t="s">
        <v>31</v>
      </c>
      <c r="C14" s="35">
        <v>-29301876</v>
      </c>
      <c r="D14" s="15">
        <f>aruanne!E62</f>
        <v>-29301876</v>
      </c>
      <c r="E14" s="15">
        <f t="shared" si="2"/>
        <v>0</v>
      </c>
      <c r="G14" s="35">
        <v>-29776392</v>
      </c>
      <c r="H14" s="15">
        <f>aruanne!F62</f>
        <v>-29776392</v>
      </c>
      <c r="I14" s="15">
        <f t="shared" si="3"/>
        <v>0</v>
      </c>
      <c r="K14" s="17"/>
      <c r="O14" s="17"/>
    </row>
    <row r="15" spans="1:15" x14ac:dyDescent="0.25">
      <c r="A15" t="s">
        <v>35</v>
      </c>
      <c r="B15" s="20" t="s">
        <v>58</v>
      </c>
      <c r="C15" s="35">
        <f>-162471837.32+205331.32</f>
        <v>-162266506</v>
      </c>
      <c r="D15" s="15">
        <f>aruanne!E42</f>
        <v>-162266506</v>
      </c>
      <c r="E15" s="15">
        <f t="shared" si="2"/>
        <v>0</v>
      </c>
      <c r="F15" s="21"/>
      <c r="G15" s="35">
        <v>-115364411.61</v>
      </c>
      <c r="H15" s="15">
        <f>aruanne!F42</f>
        <v>-115364411.61</v>
      </c>
      <c r="I15" s="15">
        <f t="shared" si="3"/>
        <v>0</v>
      </c>
      <c r="K15" s="17"/>
      <c r="O15" s="17"/>
    </row>
    <row r="16" spans="1:15" x14ac:dyDescent="0.25">
      <c r="A16" t="s">
        <v>35</v>
      </c>
      <c r="B16" s="20" t="s">
        <v>18</v>
      </c>
      <c r="C16" s="35">
        <f>-502162758.42+102361275-4172391.16-5821333.4</f>
        <v>-409795207.98000002</v>
      </c>
      <c r="D16" s="15">
        <f>aruanne!E43-aruanne!E59</f>
        <v>-455966220.06099999</v>
      </c>
      <c r="E16" s="15">
        <f t="shared" si="2"/>
        <v>46171012.08099997</v>
      </c>
      <c r="F16" s="21"/>
      <c r="G16" s="35">
        <f>-520608690.75+8626985.41-3136553.9+13970000-4132496.03</f>
        <v>-505280755.26999992</v>
      </c>
      <c r="H16" s="15">
        <f>aruanne!F43-aruanne!F59</f>
        <v>-463371040.02999997</v>
      </c>
      <c r="I16" s="15">
        <f t="shared" si="3"/>
        <v>-41909715.23999995</v>
      </c>
      <c r="K16" s="17"/>
      <c r="O16" s="17"/>
    </row>
    <row r="17" spans="1:15" x14ac:dyDescent="0.25">
      <c r="A17" t="s">
        <v>35</v>
      </c>
      <c r="B17" t="s">
        <v>34</v>
      </c>
      <c r="C17" s="35">
        <f>34979690.1-78655845-2494857.18</f>
        <v>-46171012.079999998</v>
      </c>
      <c r="D17" s="15">
        <v>0</v>
      </c>
      <c r="E17" s="15">
        <f t="shared" ref="E17" si="4">C17-D17</f>
        <v>-46171012.079999998</v>
      </c>
      <c r="G17" s="35">
        <f>63771693.6-7891978.03-13970000</f>
        <v>41909715.57</v>
      </c>
      <c r="H17" s="15">
        <v>0</v>
      </c>
      <c r="I17" s="15">
        <f t="shared" ref="I17" si="5">G17-H17</f>
        <v>41909715.57</v>
      </c>
      <c r="K17" s="17"/>
      <c r="O17" s="17"/>
    </row>
    <row r="18" spans="1:15" x14ac:dyDescent="0.25">
      <c r="A18" t="s">
        <v>35</v>
      </c>
      <c r="B18" t="s">
        <v>65</v>
      </c>
      <c r="C18" s="88">
        <f>-129730829.91-205331.32</f>
        <v>-129936161.22999999</v>
      </c>
      <c r="D18" s="75">
        <f>aruanne!E59</f>
        <v>-129936161.23</v>
      </c>
      <c r="E18" s="15">
        <f t="shared" si="2"/>
        <v>0</v>
      </c>
      <c r="G18" s="35">
        <v>-61404292.039999999</v>
      </c>
      <c r="H18" s="15">
        <f>aruanne!F59</f>
        <v>-61404292.039999999</v>
      </c>
      <c r="I18" s="15">
        <f t="shared" si="3"/>
        <v>0</v>
      </c>
      <c r="K18" s="17"/>
      <c r="M18" s="17"/>
      <c r="O18" s="1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086A9-CF0E-4B82-AA53-D93B7E26FB31}">
  <sheetPr>
    <tabColor theme="2"/>
  </sheetPr>
  <dimension ref="A1:D33"/>
  <sheetViews>
    <sheetView tabSelected="1" workbookViewId="0">
      <selection activeCell="D32" sqref="D32"/>
    </sheetView>
  </sheetViews>
  <sheetFormatPr defaultRowHeight="15" x14ac:dyDescent="0.25"/>
  <cols>
    <col min="1" max="1" width="58.28515625" customWidth="1"/>
    <col min="2" max="2" width="10.85546875" bestFit="1" customWidth="1"/>
    <col min="3" max="3" width="12.85546875" bestFit="1" customWidth="1"/>
    <col min="4" max="4" width="66.42578125" customWidth="1"/>
  </cols>
  <sheetData>
    <row r="1" spans="1:4" x14ac:dyDescent="0.25">
      <c r="A1" s="11" t="s">
        <v>26</v>
      </c>
      <c r="D1" s="17"/>
    </row>
    <row r="2" spans="1:4" x14ac:dyDescent="0.25">
      <c r="A2" s="11" t="s">
        <v>38</v>
      </c>
      <c r="D2" s="17"/>
    </row>
    <row r="3" spans="1:4" x14ac:dyDescent="0.25">
      <c r="A3" s="22" t="s">
        <v>0</v>
      </c>
      <c r="C3" s="2"/>
      <c r="D3" s="17"/>
    </row>
    <row r="4" spans="1:4" x14ac:dyDescent="0.25">
      <c r="A4" s="11"/>
      <c r="B4">
        <v>9</v>
      </c>
      <c r="C4">
        <v>9</v>
      </c>
      <c r="D4" s="17"/>
    </row>
    <row r="5" spans="1:4" ht="52.5" customHeight="1" x14ac:dyDescent="0.25">
      <c r="A5" s="24"/>
      <c r="B5" s="25" t="s">
        <v>39</v>
      </c>
      <c r="C5" s="25" t="s">
        <v>69</v>
      </c>
      <c r="D5" s="17"/>
    </row>
    <row r="6" spans="1:4" x14ac:dyDescent="0.25">
      <c r="A6" s="26" t="s">
        <v>40</v>
      </c>
      <c r="B6" s="27">
        <f>aruanne!C5</f>
        <v>193720128</v>
      </c>
      <c r="C6" s="27">
        <f>aruanne!C12+aruanne!C43</f>
        <v>-1713066527</v>
      </c>
      <c r="D6" s="13"/>
    </row>
    <row r="7" spans="1:4" x14ac:dyDescent="0.25">
      <c r="A7" s="26" t="s">
        <v>41</v>
      </c>
      <c r="B7" s="27"/>
      <c r="C7" s="118">
        <f>-302727136-408267683</f>
        <v>-710994819</v>
      </c>
      <c r="D7" s="13"/>
    </row>
    <row r="8" spans="1:4" x14ac:dyDescent="0.25">
      <c r="A8" s="26" t="s">
        <v>144</v>
      </c>
      <c r="B8" s="27">
        <v>291000</v>
      </c>
      <c r="C8" s="27">
        <v>-23499</v>
      </c>
      <c r="D8" s="13"/>
    </row>
    <row r="9" spans="1:4" x14ac:dyDescent="0.25">
      <c r="A9" s="26" t="s">
        <v>145</v>
      </c>
      <c r="B9" s="27"/>
      <c r="C9" s="27">
        <v>-39045000</v>
      </c>
      <c r="D9" s="13"/>
    </row>
    <row r="10" spans="1:4" x14ac:dyDescent="0.25">
      <c r="A10" s="28" t="s">
        <v>94</v>
      </c>
      <c r="B10" s="27"/>
      <c r="C10" s="27"/>
      <c r="D10" s="13"/>
    </row>
    <row r="11" spans="1:4" x14ac:dyDescent="0.25">
      <c r="A11" s="28" t="s">
        <v>42</v>
      </c>
      <c r="B11" s="27"/>
      <c r="C11" s="27"/>
      <c r="D11" s="13"/>
    </row>
    <row r="12" spans="1:4" x14ac:dyDescent="0.25">
      <c r="A12" s="68" t="s">
        <v>43</v>
      </c>
      <c r="B12" s="27"/>
      <c r="C12" s="27">
        <v>168493974</v>
      </c>
      <c r="D12" s="13"/>
    </row>
    <row r="13" spans="1:4" x14ac:dyDescent="0.25">
      <c r="A13" s="26" t="s">
        <v>44</v>
      </c>
      <c r="B13" s="27"/>
      <c r="C13" s="118">
        <f>-394226312+4540000+87437137</f>
        <v>-302249175</v>
      </c>
      <c r="D13" s="29"/>
    </row>
    <row r="14" spans="1:4" x14ac:dyDescent="0.25">
      <c r="A14" s="68" t="s">
        <v>63</v>
      </c>
      <c r="B14" s="27"/>
      <c r="C14" s="27"/>
      <c r="D14" s="29"/>
    </row>
    <row r="15" spans="1:4" x14ac:dyDescent="0.25">
      <c r="A15" s="26" t="s">
        <v>64</v>
      </c>
      <c r="B15" s="27"/>
      <c r="C15" s="27"/>
      <c r="D15" s="13"/>
    </row>
    <row r="16" spans="1:4" x14ac:dyDescent="0.25">
      <c r="A16" s="68" t="s">
        <v>45</v>
      </c>
      <c r="B16" s="27"/>
      <c r="C16" s="27">
        <v>18754189</v>
      </c>
      <c r="D16" s="13"/>
    </row>
    <row r="17" spans="1:4" x14ac:dyDescent="0.25">
      <c r="A17" s="26" t="s">
        <v>46</v>
      </c>
      <c r="B17" s="27"/>
      <c r="C17" s="27"/>
      <c r="D17" s="13"/>
    </row>
    <row r="18" spans="1:4" x14ac:dyDescent="0.25">
      <c r="A18" s="26" t="s">
        <v>47</v>
      </c>
      <c r="B18" s="27"/>
      <c r="C18" s="27">
        <v>-17697753.02</v>
      </c>
      <c r="D18" s="13"/>
    </row>
    <row r="19" spans="1:4" x14ac:dyDescent="0.25">
      <c r="A19" s="68" t="s">
        <v>48</v>
      </c>
      <c r="B19" s="27"/>
      <c r="C19" s="27">
        <v>386000</v>
      </c>
      <c r="D19" s="13"/>
    </row>
    <row r="20" spans="1:4" x14ac:dyDescent="0.25">
      <c r="A20" s="26" t="s">
        <v>49</v>
      </c>
      <c r="B20" s="27"/>
      <c r="C20" s="27">
        <v>-382054</v>
      </c>
      <c r="D20" s="13"/>
    </row>
    <row r="21" spans="1:4" x14ac:dyDescent="0.25">
      <c r="A21" s="68" t="s">
        <v>50</v>
      </c>
      <c r="B21" s="27"/>
      <c r="C21" s="27">
        <f>20300000+9231333</f>
        <v>29531333</v>
      </c>
      <c r="D21" s="13"/>
    </row>
    <row r="22" spans="1:4" x14ac:dyDescent="0.25">
      <c r="A22" s="26" t="s">
        <v>95</v>
      </c>
      <c r="B22" s="27"/>
      <c r="C22" s="27">
        <f>-4540000-2990.07</f>
        <v>-4542990.07</v>
      </c>
      <c r="D22" s="13"/>
    </row>
    <row r="23" spans="1:4" x14ac:dyDescent="0.25">
      <c r="A23" s="68" t="s">
        <v>51</v>
      </c>
      <c r="B23" s="27"/>
      <c r="C23" s="27"/>
      <c r="D23" s="13"/>
    </row>
    <row r="24" spans="1:4" x14ac:dyDescent="0.25">
      <c r="A24" s="26" t="s">
        <v>52</v>
      </c>
      <c r="B24" s="27"/>
      <c r="C24" s="27"/>
      <c r="D24" s="13"/>
    </row>
    <row r="25" spans="1:4" x14ac:dyDescent="0.25">
      <c r="A25" s="26" t="s">
        <v>53</v>
      </c>
      <c r="B25" s="27"/>
      <c r="C25" s="27">
        <v>-127669</v>
      </c>
      <c r="D25" s="13"/>
    </row>
    <row r="26" spans="1:4" x14ac:dyDescent="0.25">
      <c r="A26" s="26" t="s">
        <v>54</v>
      </c>
      <c r="B26" s="27"/>
      <c r="C26" s="27"/>
      <c r="D26" s="13"/>
    </row>
    <row r="27" spans="1:4" x14ac:dyDescent="0.25">
      <c r="A27" s="26" t="s">
        <v>55</v>
      </c>
      <c r="B27" s="27"/>
      <c r="C27" s="27"/>
      <c r="D27" s="13"/>
    </row>
    <row r="28" spans="1:4" x14ac:dyDescent="0.25">
      <c r="A28" s="30" t="s">
        <v>56</v>
      </c>
      <c r="B28" s="31">
        <f t="shared" ref="B28:C28" si="0">SUM(B6:B27)</f>
        <v>194011128</v>
      </c>
      <c r="C28" s="31">
        <f t="shared" si="0"/>
        <v>-2570963990.0900002</v>
      </c>
      <c r="D28" s="17"/>
    </row>
    <row r="29" spans="1:4" x14ac:dyDescent="0.25">
      <c r="A29" s="32"/>
      <c r="B29" s="33">
        <f>aruanne!D5</f>
        <v>194011128</v>
      </c>
      <c r="C29" s="33">
        <f>aruanne!D12+aruanne!D43</f>
        <v>-2570963986.9951158</v>
      </c>
      <c r="D29" s="32"/>
    </row>
    <row r="30" spans="1:4" x14ac:dyDescent="0.25">
      <c r="A30" s="32"/>
      <c r="B30" s="32">
        <f t="shared" ref="B30" si="1">B28-B29</f>
        <v>0</v>
      </c>
      <c r="C30" s="32">
        <f>C28-C29</f>
        <v>-3.0948843955993652</v>
      </c>
      <c r="D30" s="32"/>
    </row>
    <row r="31" spans="1:4" x14ac:dyDescent="0.25">
      <c r="C31" s="2"/>
    </row>
    <row r="32" spans="1:4" x14ac:dyDescent="0.25">
      <c r="C32" s="2"/>
    </row>
    <row r="33" spans="3:3" x14ac:dyDescent="0.25">
      <c r="C33" s="2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8ACCEF77512D40B856060F62DF5D0F" ma:contentTypeVersion="20" ma:contentTypeDescription="Create a new document." ma:contentTypeScope="" ma:versionID="b61493ed251ff123e52fe1c53903337c">
  <xsd:schema xmlns:xsd="http://www.w3.org/2001/XMLSchema" xmlns:xs="http://www.w3.org/2001/XMLSchema" xmlns:p="http://schemas.microsoft.com/office/2006/metadata/properties" xmlns:ns2="19db9c30-584d-4ad5-9af0-9aa7f98fdc73" xmlns:ns3="b8a1d2b4-14fc-4346-bc33-b5e3ce352a93" targetNamespace="http://schemas.microsoft.com/office/2006/metadata/properties" ma:root="true" ma:fieldsID="5fbf8d57db0fd44694ba5356269931ea" ns2:_="" ns3:_="">
    <xsd:import namespace="19db9c30-584d-4ad5-9af0-9aa7f98fdc73"/>
    <xsd:import namespace="b8a1d2b4-14fc-4346-bc33-b5e3ce352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REHAoktoober2025A_x002e_11398940t_x002e_1001515812summas495_x002c_9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b9c30-584d-4ad5-9af0-9aa7f98fdc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EHAoktoober2025A_x002e_11398940t_x002e_1001515812summas495_x002c_92" ma:index="20" nillable="true" ma:displayName="REHA oktoober 2025 A.11398940 t.1001515812 summas 495,92" ma:description="Maarjamaa Riigikool_koondaruanne_10.25_1, 2 isikut, summa 495,92 €" ma:format="Dropdown" ma:internalName="REHAoktoober2025A_x002e_11398940t_x002e_1001515812summas495_x002c_92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1d2b4-14fc-4346-bc33-b5e3ce352a9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5e503bb-8001-4011-ab10-845891afb5e6}" ma:internalName="TaxCatchAll" ma:showField="CatchAllData" ma:web="b8a1d2b4-14fc-4346-bc33-b5e3ce352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HAoktoober2025A_x002e_11398940t_x002e_1001515812summas495_x002c_92 xmlns="19db9c30-584d-4ad5-9af0-9aa7f98fdc73" xsi:nil="true"/>
    <lcf76f155ced4ddcb4097134ff3c332f xmlns="19db9c30-584d-4ad5-9af0-9aa7f98fdc73">
      <Terms xmlns="http://schemas.microsoft.com/office/infopath/2007/PartnerControls"/>
    </lcf76f155ced4ddcb4097134ff3c332f>
    <TaxCatchAll xmlns="b8a1d2b4-14fc-4346-bc33-b5e3ce352a93" xsi:nil="true"/>
  </documentManagement>
</p:properties>
</file>

<file path=customXml/itemProps1.xml><?xml version="1.0" encoding="utf-8"?>
<ds:datastoreItem xmlns:ds="http://schemas.openxmlformats.org/officeDocument/2006/customXml" ds:itemID="{C44C1F54-1CC6-4B26-8E90-D9770388E5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db9c30-584d-4ad5-9af0-9aa7f98fdc73"/>
    <ds:schemaRef ds:uri="b8a1d2b4-14fc-4346-bc33-b5e3ce352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47060A-250C-4453-98A2-6B783DFF7C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10323E-8F6B-45BF-A595-199D71548B5B}">
  <ds:schemaRefs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8a1d2b4-14fc-4346-bc33-b5e3ce352a93"/>
    <ds:schemaRef ds:uri="19db9c30-584d-4ad5-9af0-9aa7f98fdc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aruanne</vt:lpstr>
      <vt:lpstr>LISA</vt:lpstr>
      <vt:lpstr>vordlus</vt:lpstr>
      <vt:lpstr>lisa1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KAM_RETA_2025.xlsx</dc:title>
  <dc:creator>Juta Maar</dc:creator>
  <cp:lastModifiedBy>Katrin Jakobson</cp:lastModifiedBy>
  <dcterms:created xsi:type="dcterms:W3CDTF">2022-02-14T16:37:54Z</dcterms:created>
  <dcterms:modified xsi:type="dcterms:W3CDTF">2026-07-06T08:15:24Z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2025-05-15T14:01:08Z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4b5872ad-0275-42f8-b861-6180ced29fc8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0x010100A98ACCEF77512D40B856060F62DF5D0F</vt:lpwstr>
  </property>
  <property fmtid="{D5CDD505-2E9C-101B-9397-08002B2CF9AE}" pid="11" name="MediaServiceImageTags">
    <vt:lpwstr/>
  </property>
</Properties>
</file>