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inga.urke\Desktop\Audit 2024\"/>
    </mc:Choice>
  </mc:AlternateContent>
  <bookViews>
    <workbookView xWindow="0" yWindow="0" windowWidth="28800" windowHeight="12300"/>
  </bookViews>
  <sheets>
    <sheet name="aruanne" sheetId="1" r:id="rId1"/>
    <sheet name="vordlus" sheetId="2" r:id="rId2"/>
    <sheet name="lisa1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3" i="1" l="1"/>
  <c r="D58" i="1"/>
  <c r="I16" i="2"/>
  <c r="I3" i="2" s="1"/>
  <c r="D41" i="1" l="1"/>
  <c r="E41" i="1"/>
  <c r="F41" i="1"/>
  <c r="C41" i="1"/>
  <c r="D3" i="2"/>
  <c r="E3" i="2"/>
  <c r="F3" i="2"/>
  <c r="G3" i="2"/>
  <c r="H3" i="2"/>
  <c r="C3" i="2"/>
  <c r="F58" i="1" l="1"/>
  <c r="E58" i="1"/>
  <c r="G58" i="1" s="1"/>
  <c r="F59" i="1"/>
  <c r="F42" i="1" s="1"/>
  <c r="E59" i="1"/>
  <c r="D59" i="1"/>
  <c r="C59" i="1"/>
  <c r="C42" i="1" s="1"/>
  <c r="G48" i="1"/>
  <c r="G47" i="1"/>
  <c r="C58" i="1"/>
  <c r="C15" i="4"/>
  <c r="D38" i="1"/>
  <c r="G53" i="1"/>
  <c r="E30" i="1"/>
  <c r="E34" i="1"/>
  <c r="E27" i="1"/>
  <c r="E26" i="1"/>
  <c r="E35" i="1"/>
  <c r="E50" i="1" l="1"/>
  <c r="E42" i="1" s="1"/>
  <c r="E49" i="1"/>
  <c r="E7" i="1" l="1"/>
  <c r="G51" i="1" l="1"/>
  <c r="G52" i="1"/>
  <c r="G44" i="1"/>
  <c r="D50" i="1"/>
  <c r="D42" i="1" s="1"/>
  <c r="D20" i="1"/>
  <c r="D19" i="1"/>
  <c r="D17" i="1" s="1"/>
  <c r="D15" i="1" s="1"/>
  <c r="D13" i="1" s="1"/>
  <c r="G43" i="1" l="1"/>
  <c r="G41" i="1" s="1"/>
  <c r="D16" i="1"/>
  <c r="D14" i="1" s="1"/>
  <c r="D12" i="1" s="1"/>
  <c r="G50" i="1"/>
  <c r="F45" i="1"/>
  <c r="E5" i="1"/>
  <c r="E16" i="1" l="1"/>
  <c r="E14" i="1" s="1"/>
  <c r="E12" i="1" s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25" i="1"/>
  <c r="E17" i="1"/>
  <c r="F36" i="1" l="1"/>
  <c r="F16" i="1" s="1"/>
  <c r="F37" i="1"/>
  <c r="F39" i="1"/>
  <c r="E15" i="1" l="1"/>
  <c r="E13" i="1" s="1"/>
  <c r="E62" i="1" l="1"/>
  <c r="D60" i="1" l="1"/>
  <c r="G60" i="1" s="1"/>
  <c r="C23" i="4" l="1"/>
  <c r="D54" i="1"/>
  <c r="D55" i="1"/>
  <c r="G55" i="1" s="1"/>
  <c r="G54" i="1" l="1"/>
  <c r="F61" i="1" l="1"/>
  <c r="F53" i="1"/>
  <c r="F49" i="1"/>
  <c r="F43" i="1"/>
  <c r="F14" i="1"/>
  <c r="F10" i="1"/>
  <c r="F8" i="1"/>
  <c r="F7" i="1"/>
  <c r="F12" i="1" l="1"/>
  <c r="F17" i="1"/>
  <c r="F15" i="1" s="1"/>
  <c r="F13" i="1" s="1"/>
  <c r="F5" i="1"/>
  <c r="C16" i="1" l="1"/>
  <c r="C17" i="1"/>
  <c r="G46" i="1" l="1"/>
  <c r="G45" i="1" l="1"/>
  <c r="C15" i="1"/>
  <c r="C13" i="1" s="1"/>
  <c r="C14" i="1"/>
  <c r="C12" i="1" s="1"/>
  <c r="G49" i="1" l="1"/>
  <c r="G59" i="1" l="1"/>
  <c r="G57" i="1"/>
  <c r="G42" i="1" s="1"/>
  <c r="G56" i="1"/>
  <c r="G40" i="1"/>
  <c r="G24" i="1"/>
  <c r="G23" i="1"/>
  <c r="G22" i="1"/>
  <c r="G21" i="1"/>
  <c r="G20" i="1"/>
  <c r="G19" i="1"/>
  <c r="G18" i="1"/>
  <c r="D11" i="1"/>
  <c r="G11" i="1" s="1"/>
  <c r="D10" i="1"/>
  <c r="G10" i="1" s="1"/>
  <c r="D9" i="1"/>
  <c r="D8" i="1"/>
  <c r="D7" i="1"/>
  <c r="D6" i="1"/>
  <c r="G17" i="1" l="1"/>
  <c r="G15" i="1" s="1"/>
  <c r="G13" i="1" s="1"/>
  <c r="G16" i="1"/>
  <c r="G7" i="1"/>
  <c r="G6" i="1"/>
  <c r="G8" i="1"/>
  <c r="G9" i="1"/>
  <c r="D5" i="1"/>
  <c r="C5" i="1"/>
  <c r="G5" i="1" l="1"/>
  <c r="B7" i="4" l="1"/>
  <c r="B33" i="4" s="1"/>
  <c r="E61" i="1" l="1"/>
  <c r="C7" i="4" l="1"/>
  <c r="B34" i="4"/>
  <c r="B35" i="4" s="1"/>
  <c r="G14" i="1" l="1"/>
  <c r="G12" i="1" s="1"/>
  <c r="C33" i="4"/>
  <c r="C34" i="4" l="1"/>
  <c r="C35" i="4" s="1"/>
</calcChain>
</file>

<file path=xl/sharedStrings.xml><?xml version="1.0" encoding="utf-8"?>
<sst xmlns="http://schemas.openxmlformats.org/spreadsheetml/2006/main" count="165" uniqueCount="122">
  <si>
    <t>eurodes</t>
  </si>
  <si>
    <t>Algne eelarve</t>
  </si>
  <si>
    <t>Lõplik eelarve</t>
  </si>
  <si>
    <t>Täitmine miinus lõplik eelarve</t>
  </si>
  <si>
    <t>Saadud toetused</t>
  </si>
  <si>
    <t>Tulu majandustegevusest</t>
  </si>
  <si>
    <t>Intressi- ja omanikutulud</t>
  </si>
  <si>
    <t>sh piirmääraga vahendid</t>
  </si>
  <si>
    <t>Müüdud põhivara jääkväärtus</t>
  </si>
  <si>
    <t>Mitterahaliselt antud toetused</t>
  </si>
  <si>
    <t xml:space="preserve">TULUD </t>
  </si>
  <si>
    <t>KULUD</t>
  </si>
  <si>
    <t xml:space="preserve">INVESTEERINGUD </t>
  </si>
  <si>
    <t>KORRIGEERIMISED</t>
  </si>
  <si>
    <t>Intressikulu pensionieraldistelt</t>
  </si>
  <si>
    <t>Avaliku sektori eripensionid ja pensionisuurendused</t>
  </si>
  <si>
    <t>Investeeringud</t>
  </si>
  <si>
    <t>Teistelt valitsemisaladelt saadud välistoetuste kaasfinantseerimine</t>
  </si>
  <si>
    <t>Tulemusvaldkond: JULGEOLEK JA RIIGIKAITSE</t>
  </si>
  <si>
    <t>Mitterahaliselt saadud välistoetused</t>
  </si>
  <si>
    <t>Mitterahaliselt saadud kodumaised toetused</t>
  </si>
  <si>
    <t>Mitterahaliste toetuste arvel tehtud kulud</t>
  </si>
  <si>
    <t xml:space="preserve">Lisa </t>
  </si>
  <si>
    <t>Eelarve täitmise ja raamatupidamisaruannete võrdlus</t>
  </si>
  <si>
    <t>Kirje</t>
  </si>
  <si>
    <t>Selgitus</t>
  </si>
  <si>
    <t>Finantstulud</t>
  </si>
  <si>
    <t>Finantskulud</t>
  </si>
  <si>
    <t>3sisesed</t>
  </si>
  <si>
    <t>4,5,6sisesed</t>
  </si>
  <si>
    <t>15ettemaksed</t>
  </si>
  <si>
    <t>KAM</t>
  </si>
  <si>
    <t>Valitsemisala</t>
  </si>
  <si>
    <t>Lõpliku eelarve kujunemine</t>
  </si>
  <si>
    <t>Tulud</t>
  </si>
  <si>
    <t>Esialgne eelarve</t>
  </si>
  <si>
    <t>Üle toodud eelmisest aastast</t>
  </si>
  <si>
    <t>Sihtotstarbeliste vahendite reservist</t>
  </si>
  <si>
    <t>Eelarves kavandatud toetused</t>
  </si>
  <si>
    <t>Tegelikult saadud toetused ja avatud sildfinantseerimine</t>
  </si>
  <si>
    <t>Eelarves kavandatud saastekvootide müügist</t>
  </si>
  <si>
    <t>Tegelikult saadud saastekvootide müügist</t>
  </si>
  <si>
    <t>Saastekvootide müügist saadud eelarve ümberjaotamine</t>
  </si>
  <si>
    <t>Eelarves kavandatud majandustegevusest laekuv tulu</t>
  </si>
  <si>
    <t>Tegelikult majandustegevusest saadud tulu</t>
  </si>
  <si>
    <t>Eelarves kavandatud muud tuludest sõltuvad kulud</t>
  </si>
  <si>
    <t>Eelarves kavandatud edasiantavad maksud</t>
  </si>
  <si>
    <t>Tegelikud edasiantavad maksud</t>
  </si>
  <si>
    <t xml:space="preserve">Saadud Vabariigi Valitsuse reservfondist </t>
  </si>
  <si>
    <t>Antud Vabariigi valitsuse reservfondi</t>
  </si>
  <si>
    <t>Saadud omandireformi reservfondist</t>
  </si>
  <si>
    <t>Kokku lõplik eelarve</t>
  </si>
  <si>
    <t>Käibemaks</t>
  </si>
  <si>
    <t>Käibemaksukulu tegevuskuludelt</t>
  </si>
  <si>
    <t>Muud tulud</t>
  </si>
  <si>
    <t>Eelarves kavandatud välistoetuste kaasrahastamine</t>
  </si>
  <si>
    <t>Tegelik välistoetuste kaasrahastamine</t>
  </si>
  <si>
    <t>Käibemaksukulu investeeringutelt</t>
  </si>
  <si>
    <t>Tegevuskulud, v.a käibemaksukulu</t>
  </si>
  <si>
    <t>Tulu põhivarade ja varude müügist</t>
  </si>
  <si>
    <t>Muud investeeringud kokku</t>
  </si>
  <si>
    <t>Kulud, investeeringud</t>
  </si>
  <si>
    <t>Trahvid ja varalised karistused</t>
  </si>
  <si>
    <t xml:space="preserve">KAITSEMINISTEERIUMI valitsemisala </t>
  </si>
  <si>
    <t>Väeloome: maavägi</t>
  </si>
  <si>
    <t>Väeloome: merevägi</t>
  </si>
  <si>
    <t>Väeloome: õhuvägi</t>
  </si>
  <si>
    <t>Väeloome: muud üksused</t>
  </si>
  <si>
    <t>Kaitsevalmidus</t>
  </si>
  <si>
    <t>Liitlaste kohalolek Eestis</t>
  </si>
  <si>
    <t>Riigikaitseline inimvara</t>
  </si>
  <si>
    <t>Riigikaitseline investeeringute korraldus</t>
  </si>
  <si>
    <t>Hoonete ja rajatiste soetus ning renoveerimine</t>
  </si>
  <si>
    <t>Kaitseotstarbeline erivarustus</t>
  </si>
  <si>
    <t>Kaitseinvesteeringute programm</t>
  </si>
  <si>
    <t>IN041551</t>
  </si>
  <si>
    <t>IN040009</t>
  </si>
  <si>
    <t>IN040015</t>
  </si>
  <si>
    <t>Täitmine 2023</t>
  </si>
  <si>
    <t>JO05010800</t>
  </si>
  <si>
    <t>JO05010900</t>
  </si>
  <si>
    <t>JO05011000</t>
  </si>
  <si>
    <t>JO05010100</t>
  </si>
  <si>
    <t>JO05010200</t>
  </si>
  <si>
    <t>JO05011100</t>
  </si>
  <si>
    <t>Liitlaste kaasamine ja rahvusvaheline koostöö</t>
  </si>
  <si>
    <t>JO05010400</t>
  </si>
  <si>
    <t>Luure ja eelhoiatus</t>
  </si>
  <si>
    <t>JO05010500</t>
  </si>
  <si>
    <t>Kaitsetahe</t>
  </si>
  <si>
    <t>JO05010300</t>
  </si>
  <si>
    <t>JO05010700</t>
  </si>
  <si>
    <t>JO05010600</t>
  </si>
  <si>
    <t>Liitlaste taristu</t>
  </si>
  <si>
    <t>IN004041</t>
  </si>
  <si>
    <t>IN041552</t>
  </si>
  <si>
    <t>Muudatused Vabariigi Valitsuse korralduste alusel</t>
  </si>
  <si>
    <t>Tegelikud muud tuludest sõltuvad kulud</t>
  </si>
  <si>
    <t>Taastuvenergia statistiliste ühikute eelarve ümberjaotamine</t>
  </si>
  <si>
    <t>Omandireformi reservfondi vahendite ümberjaotamine</t>
  </si>
  <si>
    <t xml:space="preserve">Vabariigi Valitsuse reservfondi vahendite ümberjaotamine </t>
  </si>
  <si>
    <t>Raamatupidamisandmed 2023</t>
  </si>
  <si>
    <t>RE aruanne 2023</t>
  </si>
  <si>
    <t>Vahe 2023</t>
  </si>
  <si>
    <t>Radarid taastuvenergia statistikakaubanduse ülekantud vahenditest</t>
  </si>
  <si>
    <t>2024. aasta riigieelarve täitmise arunne</t>
  </si>
  <si>
    <t>Täitmine 2024</t>
  </si>
  <si>
    <t>Programm: Sõjaline riigikaitse ja heidutus</t>
  </si>
  <si>
    <t>IN040135</t>
  </si>
  <si>
    <t>IN004002</t>
  </si>
  <si>
    <t>Kirde-Eesti meetme radari taristu</t>
  </si>
  <si>
    <t>Lääne-Eesti meetme õhuseireseadmed</t>
  </si>
  <si>
    <t xml:space="preserve">Muud investeeringud </t>
  </si>
  <si>
    <t>Raamatupidamisandmed 2024</t>
  </si>
  <si>
    <t>RE aruanne 2024</t>
  </si>
  <si>
    <t>Vahe 2024</t>
  </si>
  <si>
    <t>Muudatused 19.06.2024 lisaeelarve seaduse alusel</t>
  </si>
  <si>
    <t>Muudatused 29.05.2024 riigieelarve muutmise seaduse alusel</t>
  </si>
  <si>
    <t>Muudatused 05.12.2024 riigieelarve seaduse muutmise seaduse alusel</t>
  </si>
  <si>
    <t>IN005000</t>
  </si>
  <si>
    <t>Maade soetus</t>
  </si>
  <si>
    <t>IN041550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</si>
</sst>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.00\ _€_-;\-* #,##0.00\ _€_-;_-* &quot;-&quot;??\ _€_-;_-@_-"/>
  </numFmts>
  <fonts count="16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  <font>
      <b/>
      <sz val="12"/>
      <color theme="1"/>
      <name val="Times New Roman"/>
      <family val="1"/>
      <charset val="186"/>
    </font>
    <font>
      <sz val="11"/>
      <name val="Calibri"/>
      <family val="2"/>
      <charset val="186"/>
      <scheme val="minor"/>
    </font>
    <font>
      <sz val="12"/>
      <color theme="1"/>
      <name val="Times New Roman"/>
      <family val="1"/>
      <charset val="186"/>
    </font>
    <font>
      <b/>
      <sz val="12"/>
      <name val="Times New Roman"/>
      <family val="1"/>
      <charset val="186"/>
    </font>
    <font>
      <sz val="12"/>
      <name val="Times New Roman"/>
      <family val="1"/>
      <charset val="186"/>
    </font>
    <font>
      <b/>
      <sz val="12"/>
      <color rgb="FF0000FF"/>
      <name val="Times New Roman"/>
      <family val="1"/>
      <charset val="186"/>
    </font>
    <font>
      <sz val="10"/>
      <name val="Arial"/>
      <family val="2"/>
      <charset val="186"/>
    </font>
    <font>
      <b/>
      <sz val="10"/>
      <name val="Times New Roman"/>
      <family val="1"/>
      <charset val="186"/>
    </font>
    <font>
      <b/>
      <sz val="11"/>
      <color theme="1"/>
      <name val="Calibri"/>
      <family val="2"/>
      <charset val="186"/>
      <scheme val="minor"/>
    </font>
    <font>
      <sz val="10"/>
      <name val="Times New Roman"/>
      <family val="1"/>
      <charset val="186"/>
    </font>
    <font>
      <b/>
      <sz val="11"/>
      <color rgb="FFFF0000"/>
      <name val="Calibri"/>
      <family val="2"/>
      <charset val="186"/>
      <scheme val="minor"/>
    </font>
    <font>
      <i/>
      <sz val="11"/>
      <color rgb="FF7F7F7F"/>
      <name val="Calibri"/>
      <family val="2"/>
      <charset val="186"/>
      <scheme val="minor"/>
    </font>
    <font>
      <sz val="8"/>
      <name val="Calibri"/>
      <family val="2"/>
      <charset val="186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C0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9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4" fillId="0" borderId="0" applyNumberFormat="0" applyFill="0" applyBorder="0" applyAlignment="0" applyProtection="0"/>
  </cellStyleXfs>
  <cellXfs count="98">
    <xf numFmtId="0" fontId="0" fillId="0" borderId="0" xfId="0"/>
    <xf numFmtId="3" fontId="0" fillId="0" borderId="0" xfId="0" applyNumberFormat="1"/>
    <xf numFmtId="3" fontId="3" fillId="0" borderId="1" xfId="0" applyNumberFormat="1" applyFont="1" applyBorder="1" applyAlignment="1">
      <alignment horizontal="center" wrapText="1"/>
    </xf>
    <xf numFmtId="3" fontId="5" fillId="0" borderId="1" xfId="0" applyNumberFormat="1" applyFont="1" applyBorder="1" applyAlignment="1">
      <alignment horizontal="right"/>
    </xf>
    <xf numFmtId="3" fontId="7" fillId="0" borderId="1" xfId="2" applyNumberFormat="1" applyFont="1" applyBorder="1" applyAlignment="1" applyProtection="1">
      <alignment horizontal="right"/>
      <protection locked="0"/>
    </xf>
    <xf numFmtId="3" fontId="7" fillId="0" borderId="1" xfId="1" applyNumberFormat="1" applyFont="1" applyBorder="1" applyAlignment="1" applyProtection="1">
      <alignment horizontal="right"/>
      <protection locked="0"/>
    </xf>
    <xf numFmtId="3" fontId="7" fillId="0" borderId="1" xfId="0" applyNumberFormat="1" applyFont="1" applyBorder="1" applyAlignment="1">
      <alignment horizontal="right"/>
    </xf>
    <xf numFmtId="3" fontId="6" fillId="0" borderId="1" xfId="0" applyNumberFormat="1" applyFont="1" applyBorder="1" applyAlignment="1">
      <alignment horizontal="right"/>
    </xf>
    <xf numFmtId="3" fontId="8" fillId="0" borderId="1" xfId="2" applyNumberFormat="1" applyFont="1" applyBorder="1" applyAlignment="1" applyProtection="1">
      <alignment horizontal="right"/>
      <protection locked="0"/>
    </xf>
    <xf numFmtId="3" fontId="7" fillId="2" borderId="1" xfId="2" applyNumberFormat="1" applyFont="1" applyFill="1" applyBorder="1" applyAlignment="1" applyProtection="1">
      <alignment horizontal="right"/>
      <protection locked="0"/>
    </xf>
    <xf numFmtId="3" fontId="7" fillId="2" borderId="1" xfId="0" applyNumberFormat="1" applyFont="1" applyFill="1" applyBorder="1" applyAlignment="1">
      <alignment horizontal="right"/>
    </xf>
    <xf numFmtId="0" fontId="10" fillId="0" borderId="0" xfId="0" applyFont="1"/>
    <xf numFmtId="3" fontId="9" fillId="0" borderId="0" xfId="0" applyNumberFormat="1" applyFont="1"/>
    <xf numFmtId="4" fontId="9" fillId="0" borderId="0" xfId="0" applyNumberFormat="1" applyFont="1"/>
    <xf numFmtId="4" fontId="9" fillId="0" borderId="0" xfId="0" applyNumberFormat="1" applyFont="1" applyAlignment="1">
      <alignment wrapText="1"/>
    </xf>
    <xf numFmtId="4" fontId="0" fillId="0" borderId="0" xfId="0" applyNumberFormat="1" applyAlignment="1">
      <alignment wrapText="1"/>
    </xf>
    <xf numFmtId="4" fontId="2" fillId="0" borderId="0" xfId="0" applyNumberFormat="1" applyFont="1" applyAlignment="1">
      <alignment wrapText="1"/>
    </xf>
    <xf numFmtId="4" fontId="0" fillId="0" borderId="0" xfId="0" applyNumberFormat="1"/>
    <xf numFmtId="0" fontId="10" fillId="3" borderId="1" xfId="0" applyFont="1" applyFill="1" applyBorder="1" applyAlignment="1">
      <alignment vertical="top"/>
    </xf>
    <xf numFmtId="4" fontId="10" fillId="3" borderId="1" xfId="0" applyNumberFormat="1" applyFont="1" applyFill="1" applyBorder="1" applyAlignment="1">
      <alignment vertical="top" wrapText="1"/>
    </xf>
    <xf numFmtId="0" fontId="0" fillId="0" borderId="0" xfId="0" applyAlignment="1">
      <alignment horizontal="left"/>
    </xf>
    <xf numFmtId="4" fontId="0" fillId="0" borderId="0" xfId="0" applyNumberFormat="1" applyAlignment="1">
      <alignment horizontal="left"/>
    </xf>
    <xf numFmtId="4" fontId="4" fillId="0" borderId="0" xfId="0" applyNumberFormat="1" applyFont="1" applyAlignment="1">
      <alignment wrapText="1"/>
    </xf>
    <xf numFmtId="0" fontId="12" fillId="0" borderId="0" xfId="0" applyFont="1"/>
    <xf numFmtId="0" fontId="10" fillId="4" borderId="1" xfId="0" applyFont="1" applyFill="1" applyBorder="1" applyAlignment="1">
      <alignment vertical="top"/>
    </xf>
    <xf numFmtId="3" fontId="12" fillId="4" borderId="1" xfId="0" applyNumberFormat="1" applyFont="1" applyFill="1" applyBorder="1" applyAlignment="1">
      <alignment horizontal="center" vertical="top" wrapText="1"/>
    </xf>
    <xf numFmtId="0" fontId="12" fillId="0" borderId="1" xfId="0" applyFont="1" applyBorder="1" applyAlignment="1">
      <alignment vertical="top"/>
    </xf>
    <xf numFmtId="3" fontId="12" fillId="0" borderId="1" xfId="0" applyNumberFormat="1" applyFont="1" applyBorder="1" applyAlignment="1">
      <alignment vertical="top"/>
    </xf>
    <xf numFmtId="0" fontId="12" fillId="0" borderId="1" xfId="0" applyFont="1" applyBorder="1"/>
    <xf numFmtId="4" fontId="9" fillId="0" borderId="0" xfId="0" quotePrefix="1" applyNumberFormat="1" applyFont="1"/>
    <xf numFmtId="0" fontId="10" fillId="0" borderId="1" xfId="0" applyFont="1" applyBorder="1" applyAlignment="1">
      <alignment vertical="top"/>
    </xf>
    <xf numFmtId="3" fontId="10" fillId="0" borderId="1" xfId="0" applyNumberFormat="1" applyFont="1" applyBorder="1" applyAlignment="1">
      <alignment vertical="top"/>
    </xf>
    <xf numFmtId="3" fontId="12" fillId="0" borderId="0" xfId="0" applyNumberFormat="1" applyFont="1"/>
    <xf numFmtId="3" fontId="12" fillId="0" borderId="3" xfId="0" applyNumberFormat="1" applyFont="1" applyBorder="1" applyAlignment="1">
      <alignment vertical="top"/>
    </xf>
    <xf numFmtId="0" fontId="11" fillId="0" borderId="0" xfId="0" applyFont="1"/>
    <xf numFmtId="4" fontId="0" fillId="0" borderId="0" xfId="0" applyNumberFormat="1" applyAlignment="1">
      <alignment horizontal="right"/>
    </xf>
    <xf numFmtId="3" fontId="6" fillId="0" borderId="1" xfId="2" applyNumberFormat="1" applyFont="1" applyBorder="1" applyAlignment="1" applyProtection="1">
      <alignment horizontal="right"/>
      <protection locked="0"/>
    </xf>
    <xf numFmtId="3" fontId="5" fillId="0" borderId="1" xfId="2" applyNumberFormat="1" applyFont="1" applyBorder="1" applyAlignment="1" applyProtection="1">
      <alignment horizontal="right"/>
      <protection locked="0"/>
    </xf>
    <xf numFmtId="43" fontId="0" fillId="0" borderId="0" xfId="6" applyFont="1"/>
    <xf numFmtId="4" fontId="9" fillId="0" borderId="0" xfId="0" applyNumberFormat="1" applyFont="1" applyAlignment="1">
      <alignment horizontal="right"/>
    </xf>
    <xf numFmtId="4" fontId="0" fillId="0" borderId="0" xfId="0" applyNumberFormat="1" applyAlignment="1">
      <alignment horizontal="right" wrapText="1"/>
    </xf>
    <xf numFmtId="4" fontId="10" fillId="3" borderId="1" xfId="0" applyNumberFormat="1" applyFont="1" applyFill="1" applyBorder="1" applyAlignment="1">
      <alignment horizontal="right" vertical="top" wrapText="1"/>
    </xf>
    <xf numFmtId="0" fontId="0" fillId="0" borderId="0" xfId="0" applyAlignment="1">
      <alignment horizontal="right"/>
    </xf>
    <xf numFmtId="43" fontId="1" fillId="0" borderId="0" xfId="6" applyFont="1"/>
    <xf numFmtId="164" fontId="0" fillId="0" borderId="0" xfId="0" applyNumberFormat="1"/>
    <xf numFmtId="4" fontId="10" fillId="3" borderId="1" xfId="0" applyNumberFormat="1" applyFont="1" applyFill="1" applyBorder="1" applyAlignment="1">
      <alignment vertical="top"/>
    </xf>
    <xf numFmtId="43" fontId="11" fillId="0" borderId="0" xfId="6" applyFont="1"/>
    <xf numFmtId="0" fontId="3" fillId="0" borderId="0" xfId="0" applyFont="1"/>
    <xf numFmtId="3" fontId="4" fillId="0" borderId="0" xfId="0" applyNumberFormat="1" applyFont="1"/>
    <xf numFmtId="3" fontId="5" fillId="0" borderId="0" xfId="0" applyNumberFormat="1" applyFont="1"/>
    <xf numFmtId="0" fontId="0" fillId="0" borderId="1" xfId="0" applyBorder="1"/>
    <xf numFmtId="0" fontId="3" fillId="0" borderId="1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3" fontId="3" fillId="0" borderId="1" xfId="0" applyNumberFormat="1" applyFont="1" applyBorder="1"/>
    <xf numFmtId="0" fontId="3" fillId="0" borderId="1" xfId="2" applyFont="1" applyBorder="1" applyAlignment="1" applyProtection="1">
      <alignment horizontal="left"/>
      <protection locked="0"/>
    </xf>
    <xf numFmtId="0" fontId="5" fillId="0" borderId="1" xfId="2" applyFont="1" applyBorder="1" applyAlignment="1" applyProtection="1">
      <alignment horizontal="left"/>
      <protection locked="0"/>
    </xf>
    <xf numFmtId="0" fontId="7" fillId="0" borderId="1" xfId="2" applyFont="1" applyBorder="1" applyAlignment="1" applyProtection="1">
      <alignment horizontal="center"/>
      <protection locked="0"/>
    </xf>
    <xf numFmtId="0" fontId="7" fillId="0" borderId="1" xfId="1" applyFont="1" applyBorder="1" applyAlignment="1" applyProtection="1">
      <alignment horizontal="center"/>
      <protection locked="0"/>
    </xf>
    <xf numFmtId="0" fontId="3" fillId="0" borderId="1" xfId="1" applyFont="1" applyBorder="1" applyAlignment="1" applyProtection="1">
      <alignment horizontal="left"/>
      <protection locked="0"/>
    </xf>
    <xf numFmtId="0" fontId="5" fillId="0" borderId="1" xfId="1" applyFont="1" applyBorder="1" applyAlignment="1" applyProtection="1">
      <alignment horizontal="left"/>
      <protection locked="0"/>
    </xf>
    <xf numFmtId="0" fontId="5" fillId="0" borderId="1" xfId="0" applyFont="1" applyBorder="1"/>
    <xf numFmtId="0" fontId="3" fillId="0" borderId="1" xfId="0" applyFont="1" applyBorder="1"/>
    <xf numFmtId="0" fontId="3" fillId="5" borderId="1" xfId="2" applyFont="1" applyFill="1" applyBorder="1" applyAlignment="1" applyProtection="1">
      <alignment horizontal="left"/>
      <protection locked="0"/>
    </xf>
    <xf numFmtId="0" fontId="12" fillId="3" borderId="1" xfId="0" applyFont="1" applyFill="1" applyBorder="1" applyAlignment="1">
      <alignment vertical="top"/>
    </xf>
    <xf numFmtId="3" fontId="0" fillId="2" borderId="0" xfId="0" applyNumberFormat="1" applyFill="1"/>
    <xf numFmtId="3" fontId="0" fillId="2" borderId="1" xfId="0" applyNumberFormat="1" applyFill="1" applyBorder="1"/>
    <xf numFmtId="3" fontId="2" fillId="0" borderId="0" xfId="0" applyNumberFormat="1" applyFont="1"/>
    <xf numFmtId="3" fontId="7" fillId="2" borderId="5" xfId="0" applyNumberFormat="1" applyFont="1" applyFill="1" applyBorder="1" applyAlignment="1">
      <alignment horizontal="right"/>
    </xf>
    <xf numFmtId="3" fontId="0" fillId="2" borderId="5" xfId="0" applyNumberFormat="1" applyFill="1" applyBorder="1"/>
    <xf numFmtId="49" fontId="1" fillId="0" borderId="0" xfId="6" applyNumberFormat="1" applyFont="1" applyAlignment="1">
      <alignment horizontal="right"/>
    </xf>
    <xf numFmtId="0" fontId="3" fillId="0" borderId="4" xfId="0" applyFont="1" applyBorder="1" applyAlignment="1">
      <alignment horizontal="left"/>
    </xf>
    <xf numFmtId="0" fontId="5" fillId="0" borderId="4" xfId="2" applyFont="1" applyBorder="1" applyAlignment="1" applyProtection="1">
      <alignment horizontal="left"/>
      <protection locked="0"/>
    </xf>
    <xf numFmtId="3" fontId="12" fillId="2" borderId="1" xfId="0" applyNumberFormat="1" applyFont="1" applyFill="1" applyBorder="1" applyAlignment="1">
      <alignment vertical="top"/>
    </xf>
    <xf numFmtId="43" fontId="2" fillId="0" borderId="0" xfId="6" applyFont="1"/>
    <xf numFmtId="43" fontId="13" fillId="0" borderId="0" xfId="6" applyFont="1"/>
    <xf numFmtId="3" fontId="13" fillId="0" borderId="0" xfId="0" applyNumberFormat="1" applyFont="1"/>
    <xf numFmtId="0" fontId="5" fillId="0" borderId="2" xfId="2" applyFont="1" applyBorder="1" applyAlignment="1" applyProtection="1">
      <alignment horizontal="left"/>
      <protection locked="0"/>
    </xf>
    <xf numFmtId="3" fontId="7" fillId="0" borderId="2" xfId="0" applyNumberFormat="1" applyFont="1" applyBorder="1" applyAlignment="1">
      <alignment horizontal="right"/>
    </xf>
    <xf numFmtId="4" fontId="13" fillId="0" borderId="0" xfId="0" applyNumberFormat="1" applyFont="1"/>
    <xf numFmtId="3" fontId="6" fillId="2" borderId="1" xfId="2" applyNumberFormat="1" applyFont="1" applyFill="1" applyBorder="1" applyAlignment="1" applyProtection="1">
      <alignment horizontal="right"/>
      <protection locked="0"/>
    </xf>
    <xf numFmtId="3" fontId="7" fillId="2" borderId="2" xfId="0" applyNumberFormat="1" applyFont="1" applyFill="1" applyBorder="1" applyAlignment="1">
      <alignment horizontal="right"/>
    </xf>
    <xf numFmtId="3" fontId="6" fillId="2" borderId="1" xfId="0" applyNumberFormat="1" applyFont="1" applyFill="1" applyBorder="1" applyAlignment="1">
      <alignment horizontal="right"/>
    </xf>
    <xf numFmtId="3" fontId="5" fillId="2" borderId="0" xfId="0" applyNumberFormat="1" applyFont="1" applyFill="1" applyAlignment="1">
      <alignment wrapText="1"/>
    </xf>
    <xf numFmtId="3" fontId="5" fillId="2" borderId="1" xfId="0" applyNumberFormat="1" applyFont="1" applyFill="1" applyBorder="1"/>
    <xf numFmtId="3" fontId="6" fillId="2" borderId="6" xfId="0" applyNumberFormat="1" applyFont="1" applyFill="1" applyBorder="1" applyAlignment="1">
      <alignment horizontal="right"/>
    </xf>
    <xf numFmtId="3" fontId="7" fillId="2" borderId="1" xfId="1" applyNumberFormat="1" applyFont="1" applyFill="1" applyBorder="1" applyAlignment="1" applyProtection="1">
      <alignment horizontal="right"/>
      <protection locked="0"/>
    </xf>
    <xf numFmtId="0" fontId="7" fillId="0" borderId="6" xfId="2" applyFont="1" applyBorder="1" applyAlignment="1" applyProtection="1">
      <alignment horizontal="center"/>
      <protection locked="0"/>
    </xf>
    <xf numFmtId="0" fontId="5" fillId="0" borderId="6" xfId="2" applyFont="1" applyBorder="1" applyAlignment="1" applyProtection="1">
      <alignment horizontal="left"/>
      <protection locked="0"/>
    </xf>
    <xf numFmtId="3" fontId="7" fillId="2" borderId="6" xfId="2" applyNumberFormat="1" applyFont="1" applyFill="1" applyBorder="1" applyAlignment="1" applyProtection="1">
      <alignment horizontal="right"/>
      <protection locked="0"/>
    </xf>
    <xf numFmtId="0" fontId="5" fillId="0" borderId="2" xfId="0" applyFont="1" applyBorder="1" applyAlignment="1">
      <alignment horizontal="left"/>
    </xf>
    <xf numFmtId="43" fontId="0" fillId="0" borderId="0" xfId="6" applyFont="1" applyBorder="1"/>
    <xf numFmtId="0" fontId="5" fillId="2" borderId="1" xfId="0" applyFont="1" applyFill="1" applyBorder="1"/>
    <xf numFmtId="0" fontId="5" fillId="2" borderId="1" xfId="2" applyFont="1" applyFill="1" applyBorder="1" applyAlignment="1" applyProtection="1">
      <alignment horizontal="left"/>
      <protection locked="0"/>
    </xf>
    <xf numFmtId="43" fontId="0" fillId="2" borderId="0" xfId="6" applyFont="1" applyFill="1"/>
    <xf numFmtId="3" fontId="6" fillId="0" borderId="6" xfId="0" applyNumberFormat="1" applyFont="1" applyBorder="1" applyAlignment="1">
      <alignment horizontal="right"/>
    </xf>
    <xf numFmtId="0" fontId="14" fillId="0" borderId="0" xfId="8"/>
    <xf numFmtId="3" fontId="5" fillId="2" borderId="0" xfId="0" applyNumberFormat="1" applyFont="1" applyFill="1"/>
    <xf numFmtId="3" fontId="7" fillId="2" borderId="2" xfId="2" applyNumberFormat="1" applyFont="1" applyFill="1" applyBorder="1" applyAlignment="1" applyProtection="1">
      <alignment horizontal="right"/>
      <protection locked="0"/>
    </xf>
  </cellXfs>
  <cellStyles count="9">
    <cellStyle name="Comma" xfId="6" builtinId="3"/>
    <cellStyle name="Comma 2" xfId="7"/>
    <cellStyle name="Explanatory Text" xfId="8" builtinId="53"/>
    <cellStyle name="Normaallaad 2" xfId="5"/>
    <cellStyle name="Normal" xfId="0" builtinId="0"/>
    <cellStyle name="Normal 10 2" xfId="1"/>
    <cellStyle name="Normal 25 3 6" xfId="4"/>
    <cellStyle name="Normal 25 9" xfId="2"/>
    <cellStyle name="Normal 25 9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’i kujundus 2013–2022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9"/>
  <sheetViews>
    <sheetView tabSelected="1" topLeftCell="A25" zoomScale="90" zoomScaleNormal="90" workbookViewId="0">
      <selection activeCell="D58" sqref="D58"/>
    </sheetView>
  </sheetViews>
  <sheetFormatPr defaultRowHeight="15" x14ac:dyDescent="0.25"/>
  <cols>
    <col min="1" max="1" width="7.42578125" customWidth="1"/>
    <col min="2" max="2" width="53.42578125" customWidth="1"/>
    <col min="3" max="7" width="22" style="1" customWidth="1"/>
    <col min="8" max="8" width="23.85546875" style="38" customWidth="1"/>
    <col min="9" max="9" width="14.28515625" style="38" customWidth="1"/>
    <col min="10" max="10" width="19.7109375" customWidth="1"/>
    <col min="11" max="11" width="17.5703125" customWidth="1"/>
  </cols>
  <sheetData>
    <row r="1" spans="1:11" ht="15.75" x14ac:dyDescent="0.25">
      <c r="A1" s="47" t="s">
        <v>105</v>
      </c>
      <c r="C1" s="48"/>
      <c r="E1" s="66"/>
      <c r="G1" s="49"/>
    </row>
    <row r="2" spans="1:11" ht="15.75" x14ac:dyDescent="0.25">
      <c r="A2" t="s">
        <v>0</v>
      </c>
      <c r="C2" s="48"/>
      <c r="G2" s="49"/>
    </row>
    <row r="3" spans="1:11" ht="31.5" x14ac:dyDescent="0.25">
      <c r="A3" s="50"/>
      <c r="B3" s="50"/>
      <c r="C3" s="2" t="s">
        <v>1</v>
      </c>
      <c r="D3" s="2" t="s">
        <v>2</v>
      </c>
      <c r="E3" s="2" t="s">
        <v>106</v>
      </c>
      <c r="F3" s="2" t="s">
        <v>78</v>
      </c>
      <c r="G3" s="2" t="s">
        <v>3</v>
      </c>
    </row>
    <row r="4" spans="1:11" ht="15.75" x14ac:dyDescent="0.25">
      <c r="A4" s="62" t="s">
        <v>63</v>
      </c>
      <c r="B4" s="62"/>
      <c r="C4" s="36"/>
      <c r="D4" s="8"/>
      <c r="E4" s="37"/>
      <c r="F4" s="37"/>
      <c r="G4" s="3"/>
    </row>
    <row r="5" spans="1:11" ht="15.75" x14ac:dyDescent="0.25">
      <c r="A5" s="54" t="s">
        <v>10</v>
      </c>
      <c r="B5" s="54"/>
      <c r="C5" s="79">
        <f t="shared" ref="C5:D5" si="0">SUM(C6:C11)</f>
        <v>135617512</v>
      </c>
      <c r="D5" s="79">
        <f t="shared" si="0"/>
        <v>135617512</v>
      </c>
      <c r="E5" s="79">
        <f>SUM(E6:E11)</f>
        <v>177777101.13</v>
      </c>
      <c r="F5" s="36">
        <f t="shared" ref="F5" si="1">SUM(F6:F11)</f>
        <v>44066167.460000001</v>
      </c>
      <c r="G5" s="36">
        <f>SUM(G6:G11)</f>
        <v>42159589.130000018</v>
      </c>
    </row>
    <row r="6" spans="1:11" ht="15.75" x14ac:dyDescent="0.25">
      <c r="A6" s="56"/>
      <c r="B6" s="55" t="s">
        <v>5</v>
      </c>
      <c r="C6" s="9">
        <v>1360154</v>
      </c>
      <c r="D6" s="9">
        <f>C6</f>
        <v>1360154</v>
      </c>
      <c r="E6" s="9">
        <v>2142163</v>
      </c>
      <c r="F6" s="4">
        <v>3369784.26</v>
      </c>
      <c r="G6" s="4">
        <f>E6-D6</f>
        <v>782009</v>
      </c>
      <c r="H6" s="69"/>
      <c r="I6" s="43"/>
    </row>
    <row r="7" spans="1:11" ht="15.75" x14ac:dyDescent="0.25">
      <c r="A7" s="56"/>
      <c r="B7" s="55" t="s">
        <v>4</v>
      </c>
      <c r="C7" s="9">
        <v>114351058</v>
      </c>
      <c r="D7" s="9">
        <f t="shared" ref="D7:D11" si="2">C7</f>
        <v>114351058</v>
      </c>
      <c r="E7" s="9">
        <f>184460458.78-191325.48-16216815.17+137.23</f>
        <v>168052455.36000001</v>
      </c>
      <c r="F7" s="4">
        <f>69071729.78-29240968.77-999603.07-44342.23</f>
        <v>38786815.710000008</v>
      </c>
      <c r="G7" s="4">
        <f t="shared" ref="G7:G9" si="3">E7-D7</f>
        <v>53701397.360000014</v>
      </c>
      <c r="H7" s="69"/>
      <c r="I7" s="43"/>
    </row>
    <row r="8" spans="1:11" ht="15.75" x14ac:dyDescent="0.25">
      <c r="A8" s="56"/>
      <c r="B8" s="55" t="s">
        <v>59</v>
      </c>
      <c r="C8" s="9">
        <v>19661300</v>
      </c>
      <c r="D8" s="9">
        <f t="shared" si="2"/>
        <v>19661300</v>
      </c>
      <c r="E8" s="9">
        <v>5625846.6699999999</v>
      </c>
      <c r="F8" s="4">
        <f>412625.28-70</f>
        <v>412555.28</v>
      </c>
      <c r="G8" s="4">
        <f t="shared" si="3"/>
        <v>-14035453.33</v>
      </c>
      <c r="H8" s="69"/>
      <c r="I8" s="43"/>
    </row>
    <row r="9" spans="1:11" ht="15.75" x14ac:dyDescent="0.25">
      <c r="A9" s="56"/>
      <c r="B9" s="55" t="s">
        <v>62</v>
      </c>
      <c r="C9" s="9">
        <v>205000</v>
      </c>
      <c r="D9" s="9">
        <f t="shared" si="2"/>
        <v>205000</v>
      </c>
      <c r="E9" s="9">
        <v>675438.72</v>
      </c>
      <c r="F9" s="4">
        <v>1272022.33</v>
      </c>
      <c r="G9" s="4">
        <f t="shared" si="3"/>
        <v>470438.72</v>
      </c>
      <c r="H9" s="69"/>
      <c r="I9" s="43"/>
    </row>
    <row r="10" spans="1:11" ht="15.75" x14ac:dyDescent="0.25">
      <c r="A10" s="56"/>
      <c r="B10" s="55" t="s">
        <v>54</v>
      </c>
      <c r="C10" s="9">
        <v>40000</v>
      </c>
      <c r="D10" s="9">
        <f t="shared" si="2"/>
        <v>40000</v>
      </c>
      <c r="E10" s="9">
        <v>1005662.06</v>
      </c>
      <c r="F10" s="4">
        <f>22662.95+232770.24</f>
        <v>255433.19</v>
      </c>
      <c r="G10" s="4">
        <f>E10-D10</f>
        <v>965662.06</v>
      </c>
      <c r="H10" s="42"/>
      <c r="I10" s="43"/>
    </row>
    <row r="11" spans="1:11" ht="15.75" x14ac:dyDescent="0.25">
      <c r="A11" s="56"/>
      <c r="B11" s="55" t="s">
        <v>6</v>
      </c>
      <c r="C11" s="9">
        <v>0</v>
      </c>
      <c r="D11" s="9">
        <f t="shared" si="2"/>
        <v>0</v>
      </c>
      <c r="E11" s="9">
        <v>275535.32</v>
      </c>
      <c r="F11" s="4">
        <v>-30443.31</v>
      </c>
      <c r="G11" s="4">
        <f>E11-D11</f>
        <v>275535.32</v>
      </c>
      <c r="H11" s="43"/>
      <c r="I11"/>
    </row>
    <row r="12" spans="1:11" ht="15.75" x14ac:dyDescent="0.25">
      <c r="A12" s="54" t="s">
        <v>11</v>
      </c>
      <c r="B12" s="54"/>
      <c r="C12" s="79">
        <f>C14+C40</f>
        <v>-1111458262</v>
      </c>
      <c r="D12" s="79">
        <f t="shared" ref="D12:G12" si="4">D14+D40</f>
        <v>-1257349391.24</v>
      </c>
      <c r="E12" s="79">
        <f t="shared" si="4"/>
        <v>-1047109501</v>
      </c>
      <c r="F12" s="79">
        <f t="shared" si="4"/>
        <v>-1005603640.13</v>
      </c>
      <c r="G12" s="79">
        <f t="shared" si="4"/>
        <v>210239890.24000001</v>
      </c>
      <c r="I12" s="74"/>
      <c r="J12" s="75"/>
    </row>
    <row r="13" spans="1:11" ht="15.75" x14ac:dyDescent="0.25">
      <c r="A13" s="86"/>
      <c r="B13" s="87" t="s">
        <v>7</v>
      </c>
      <c r="C13" s="88">
        <f>C15</f>
        <v>-844689746</v>
      </c>
      <c r="D13" s="88">
        <f t="shared" ref="D13:G13" si="5">D15</f>
        <v>-815652938</v>
      </c>
      <c r="E13" s="88">
        <f t="shared" si="5"/>
        <v>-729731634</v>
      </c>
      <c r="F13" s="88">
        <f t="shared" si="5"/>
        <v>-791535874</v>
      </c>
      <c r="G13" s="88">
        <f t="shared" si="5"/>
        <v>85921304</v>
      </c>
    </row>
    <row r="14" spans="1:11" ht="15.75" x14ac:dyDescent="0.25">
      <c r="A14" s="51" t="s">
        <v>18</v>
      </c>
      <c r="B14" s="51"/>
      <c r="C14" s="81">
        <f t="shared" ref="C14:E15" si="6">C16</f>
        <v>-1016578370</v>
      </c>
      <c r="D14" s="81">
        <f t="shared" si="6"/>
        <v>-1163163157.24</v>
      </c>
      <c r="E14" s="81">
        <f t="shared" si="6"/>
        <v>-931745089</v>
      </c>
      <c r="F14" s="7">
        <f t="shared" ref="F14" si="7">F16</f>
        <v>-918459049</v>
      </c>
      <c r="G14" s="7">
        <f t="shared" ref="G14" si="8">G16</f>
        <v>231418068.24000001</v>
      </c>
      <c r="H14" s="90"/>
      <c r="K14" s="1"/>
    </row>
    <row r="15" spans="1:11" ht="15.75" x14ac:dyDescent="0.25">
      <c r="A15" s="89"/>
      <c r="B15" s="76" t="s">
        <v>7</v>
      </c>
      <c r="C15" s="80">
        <f t="shared" si="6"/>
        <v>-844689746</v>
      </c>
      <c r="D15" s="80">
        <f t="shared" si="6"/>
        <v>-815652938</v>
      </c>
      <c r="E15" s="80">
        <f t="shared" si="6"/>
        <v>-729731634</v>
      </c>
      <c r="F15" s="77">
        <f t="shared" ref="F15:G15" si="9">F17</f>
        <v>-791535874</v>
      </c>
      <c r="G15" s="77">
        <f t="shared" si="9"/>
        <v>85921304</v>
      </c>
      <c r="I15" s="73"/>
    </row>
    <row r="16" spans="1:11" ht="15.75" x14ac:dyDescent="0.25">
      <c r="A16" s="53" t="s">
        <v>107</v>
      </c>
      <c r="B16" s="51"/>
      <c r="C16" s="81">
        <f>C18+C20+C22+C24+C26+C28+C30+C32+C34+C36+C38</f>
        <v>-1016578370</v>
      </c>
      <c r="D16" s="81">
        <f>D18+D20+D22+D24+D26+D28+D30+D32+D34+D36+D38</f>
        <v>-1163163157.24</v>
      </c>
      <c r="E16" s="81">
        <f>E18+E20+E22+E24+E26+E28+E30+E32+E34+E36+E38</f>
        <v>-931745089</v>
      </c>
      <c r="F16" s="7">
        <f>F18+F20+F22+F24+F26+F28+F30+F32+F34+F36+F38</f>
        <v>-918459049</v>
      </c>
      <c r="G16" s="7">
        <f>G18+G20+G22+G24+G26+G28+G30+G32+G34+G36+G38</f>
        <v>231418068.24000001</v>
      </c>
      <c r="I16" s="73"/>
      <c r="K16" s="1"/>
    </row>
    <row r="17" spans="1:10" ht="15.75" x14ac:dyDescent="0.25">
      <c r="A17" s="60"/>
      <c r="B17" s="55" t="s">
        <v>7</v>
      </c>
      <c r="C17" s="10">
        <f>C19+C21+C23+C25+C27+C29+C31+C33+C35+C37+C39</f>
        <v>-844689746</v>
      </c>
      <c r="D17" s="10">
        <f>D19+D21+D23+D25+D27+D29+D31+D33+D35+D37+D39</f>
        <v>-815652938</v>
      </c>
      <c r="E17" s="10">
        <f>E19+E21+E23+E25+E27+E29+E31+E33+E35+E37+E39</f>
        <v>-729731634</v>
      </c>
      <c r="F17" s="6">
        <f t="shared" ref="F17:G17" si="10">F19+F21+F23+F25+F27+F29+F31+F33+F35+F37+F39</f>
        <v>-791535874</v>
      </c>
      <c r="G17" s="6">
        <f t="shared" si="10"/>
        <v>85921304</v>
      </c>
    </row>
    <row r="18" spans="1:10" ht="15.75" x14ac:dyDescent="0.25">
      <c r="A18" s="60" t="s">
        <v>64</v>
      </c>
      <c r="B18" s="55"/>
      <c r="C18" s="10">
        <v>-186408020</v>
      </c>
      <c r="D18" s="9">
        <v>-192863708</v>
      </c>
      <c r="E18" s="10">
        <v>-191274438</v>
      </c>
      <c r="F18" s="10">
        <v>-235899149</v>
      </c>
      <c r="G18" s="4">
        <f>E18-D18</f>
        <v>1589270</v>
      </c>
      <c r="H18" s="38" t="s">
        <v>79</v>
      </c>
    </row>
    <row r="19" spans="1:10" ht="15.75" x14ac:dyDescent="0.25">
      <c r="A19" s="60"/>
      <c r="B19" s="55" t="s">
        <v>7</v>
      </c>
      <c r="C19" s="10">
        <v>-176466813</v>
      </c>
      <c r="D19" s="9">
        <f>-182403188</f>
        <v>-182403188</v>
      </c>
      <c r="E19" s="82">
        <v>-170842876</v>
      </c>
      <c r="F19" s="10">
        <v>-213568927</v>
      </c>
      <c r="G19" s="4">
        <f>E19-D19</f>
        <v>11560312</v>
      </c>
    </row>
    <row r="20" spans="1:10" ht="15.75" x14ac:dyDescent="0.25">
      <c r="A20" s="60" t="s">
        <v>65</v>
      </c>
      <c r="B20" s="55"/>
      <c r="C20" s="10">
        <v>-21827651</v>
      </c>
      <c r="D20" s="9">
        <f>-45693528</f>
        <v>-45693528</v>
      </c>
      <c r="E20" s="10">
        <v>-28288596</v>
      </c>
      <c r="F20" s="10">
        <v>-40644393</v>
      </c>
      <c r="G20" s="4">
        <f t="shared" ref="G20:G24" si="11">E20-D20</f>
        <v>17404932</v>
      </c>
      <c r="H20" s="38" t="s">
        <v>80</v>
      </c>
    </row>
    <row r="21" spans="1:10" ht="15.75" x14ac:dyDescent="0.25">
      <c r="A21" s="60"/>
      <c r="B21" s="55" t="s">
        <v>7</v>
      </c>
      <c r="C21" s="10">
        <v>-20262261</v>
      </c>
      <c r="D21" s="9">
        <v>-40207050</v>
      </c>
      <c r="E21" s="83">
        <v>-22901516</v>
      </c>
      <c r="F21" s="64">
        <v>-33675651</v>
      </c>
      <c r="G21" s="4">
        <f t="shared" si="11"/>
        <v>17305534</v>
      </c>
    </row>
    <row r="22" spans="1:10" ht="15.75" x14ac:dyDescent="0.25">
      <c r="A22" s="60" t="s">
        <v>66</v>
      </c>
      <c r="B22" s="55"/>
      <c r="C22" s="10">
        <v>-22490738</v>
      </c>
      <c r="D22" s="9">
        <v>-17791316.559999999</v>
      </c>
      <c r="E22" s="83">
        <v>-16447459</v>
      </c>
      <c r="F22" s="67">
        <v>-24585589</v>
      </c>
      <c r="G22" s="4">
        <f t="shared" si="11"/>
        <v>1343857.5599999987</v>
      </c>
      <c r="H22" s="38" t="s">
        <v>81</v>
      </c>
      <c r="I22"/>
    </row>
    <row r="23" spans="1:10" ht="15.75" x14ac:dyDescent="0.25">
      <c r="A23" s="60"/>
      <c r="B23" s="55" t="s">
        <v>7</v>
      </c>
      <c r="C23" s="10">
        <v>-21501876</v>
      </c>
      <c r="D23" s="9">
        <v>-16802455</v>
      </c>
      <c r="E23" s="83">
        <v>-14990574</v>
      </c>
      <c r="F23" s="68">
        <v>-21367340</v>
      </c>
      <c r="G23" s="4">
        <f t="shared" si="11"/>
        <v>1811881</v>
      </c>
      <c r="I23"/>
    </row>
    <row r="24" spans="1:10" ht="15.75" x14ac:dyDescent="0.25">
      <c r="A24" s="60" t="s">
        <v>67</v>
      </c>
      <c r="B24" s="55"/>
      <c r="C24" s="10">
        <v>-554022908</v>
      </c>
      <c r="D24" s="9">
        <v>-510077988.68000001</v>
      </c>
      <c r="E24" s="83">
        <v>-337115837</v>
      </c>
      <c r="F24" s="68">
        <v>-382515142</v>
      </c>
      <c r="G24" s="4">
        <f t="shared" si="11"/>
        <v>172962151.68000001</v>
      </c>
      <c r="H24" s="38" t="s">
        <v>82</v>
      </c>
      <c r="I24"/>
    </row>
    <row r="25" spans="1:10" ht="15.75" x14ac:dyDescent="0.25">
      <c r="A25" s="60"/>
      <c r="B25" s="55" t="s">
        <v>7</v>
      </c>
      <c r="C25" s="10">
        <v>-402228399</v>
      </c>
      <c r="D25" s="9">
        <v>-326228064</v>
      </c>
      <c r="E25" s="83">
        <v>-296027409</v>
      </c>
      <c r="F25" s="68">
        <v>-293459658</v>
      </c>
      <c r="G25" s="4">
        <f>E25-D25</f>
        <v>30200655</v>
      </c>
      <c r="I25"/>
    </row>
    <row r="26" spans="1:10" ht="15.75" x14ac:dyDescent="0.25">
      <c r="A26" s="60" t="s">
        <v>68</v>
      </c>
      <c r="B26" s="55"/>
      <c r="C26" s="10">
        <v>-17090866</v>
      </c>
      <c r="D26" s="9">
        <v>-23709071</v>
      </c>
      <c r="E26" s="10">
        <f>-21019887-724</f>
        <v>-21020611</v>
      </c>
      <c r="F26" s="67">
        <v>-15058538</v>
      </c>
      <c r="G26" s="4">
        <f t="shared" ref="G26:G39" si="12">E26-D26</f>
        <v>2688460</v>
      </c>
      <c r="H26" s="38" t="s">
        <v>83</v>
      </c>
      <c r="I26"/>
    </row>
    <row r="27" spans="1:10" ht="15.75" x14ac:dyDescent="0.25">
      <c r="A27" s="60"/>
      <c r="B27" s="55" t="s">
        <v>7</v>
      </c>
      <c r="C27" s="10">
        <v>-12356749</v>
      </c>
      <c r="D27" s="9">
        <v>-19823978</v>
      </c>
      <c r="E27" s="83">
        <f>-17708472-724</f>
        <v>-17709196</v>
      </c>
      <c r="F27" s="64">
        <v>-14548214</v>
      </c>
      <c r="G27" s="4">
        <f t="shared" si="12"/>
        <v>2114782</v>
      </c>
      <c r="I27"/>
    </row>
    <row r="28" spans="1:10" ht="15.75" x14ac:dyDescent="0.25">
      <c r="A28" s="60" t="s">
        <v>85</v>
      </c>
      <c r="B28" s="55"/>
      <c r="C28" s="10">
        <v>-43889858</v>
      </c>
      <c r="D28" s="9">
        <v>-61221000</v>
      </c>
      <c r="E28" s="10">
        <v>-52836857</v>
      </c>
      <c r="F28" s="67">
        <v>-47325248</v>
      </c>
      <c r="G28" s="4">
        <f t="shared" si="12"/>
        <v>8384143</v>
      </c>
      <c r="H28" s="38" t="s">
        <v>86</v>
      </c>
      <c r="I28" s="95"/>
      <c r="J28" s="95"/>
    </row>
    <row r="29" spans="1:10" ht="15.75" x14ac:dyDescent="0.25">
      <c r="A29" s="60"/>
      <c r="B29" s="55" t="s">
        <v>7</v>
      </c>
      <c r="C29" s="10">
        <v>-43524031</v>
      </c>
      <c r="D29" s="9">
        <v>-56441869</v>
      </c>
      <c r="E29" s="10">
        <v>-49755968</v>
      </c>
      <c r="F29" s="67">
        <v>-46013332</v>
      </c>
      <c r="G29" s="4">
        <f t="shared" si="12"/>
        <v>6685901</v>
      </c>
      <c r="I29"/>
    </row>
    <row r="30" spans="1:10" ht="15.75" x14ac:dyDescent="0.25">
      <c r="A30" s="60" t="s">
        <v>69</v>
      </c>
      <c r="B30" s="55"/>
      <c r="C30" s="10">
        <v>-11734334</v>
      </c>
      <c r="D30" s="9">
        <v>-9611365</v>
      </c>
      <c r="E30" s="96">
        <f>-7827974</f>
        <v>-7827974</v>
      </c>
      <c r="F30" s="10">
        <v>-22778656</v>
      </c>
      <c r="G30" s="4">
        <f t="shared" si="12"/>
        <v>1783391</v>
      </c>
      <c r="H30" s="38" t="s">
        <v>84</v>
      </c>
      <c r="I30"/>
    </row>
    <row r="31" spans="1:10" ht="15.75" x14ac:dyDescent="0.25">
      <c r="A31" s="60"/>
      <c r="B31" s="55" t="s">
        <v>7</v>
      </c>
      <c r="C31" s="10">
        <v>-11730711</v>
      </c>
      <c r="D31" s="9">
        <v>-9603283</v>
      </c>
      <c r="E31" s="10">
        <v>-7630160</v>
      </c>
      <c r="F31" s="10">
        <v>-22778656</v>
      </c>
      <c r="G31" s="4">
        <f t="shared" si="12"/>
        <v>1973123</v>
      </c>
      <c r="I31"/>
    </row>
    <row r="32" spans="1:10" ht="15.75" x14ac:dyDescent="0.25">
      <c r="A32" s="52" t="s">
        <v>87</v>
      </c>
      <c r="B32" s="52"/>
      <c r="C32" s="10">
        <v>-57846191</v>
      </c>
      <c r="D32" s="9">
        <v>-64899463</v>
      </c>
      <c r="E32" s="83">
        <v>-56308223</v>
      </c>
      <c r="F32" s="65">
        <v>-55902984</v>
      </c>
      <c r="G32" s="4">
        <f t="shared" si="12"/>
        <v>8591240</v>
      </c>
      <c r="H32" s="43" t="s">
        <v>88</v>
      </c>
      <c r="I32"/>
    </row>
    <row r="33" spans="1:11" ht="15.75" x14ac:dyDescent="0.25">
      <c r="A33" s="52"/>
      <c r="B33" s="55" t="s">
        <v>7</v>
      </c>
      <c r="C33" s="10">
        <v>-57846191</v>
      </c>
      <c r="D33" s="9">
        <v>-64899463</v>
      </c>
      <c r="E33" s="83">
        <v>-56308223</v>
      </c>
      <c r="F33" s="65">
        <v>-55902984</v>
      </c>
      <c r="G33" s="4">
        <f t="shared" si="12"/>
        <v>8591240</v>
      </c>
      <c r="I33"/>
    </row>
    <row r="34" spans="1:11" ht="15.75" x14ac:dyDescent="0.25">
      <c r="A34" s="60" t="s">
        <v>89</v>
      </c>
      <c r="B34" s="55"/>
      <c r="C34" s="10">
        <v>-31059679</v>
      </c>
      <c r="D34" s="9">
        <v>-35685580</v>
      </c>
      <c r="E34" s="83">
        <f>-32437858+724</f>
        <v>-32437134</v>
      </c>
      <c r="F34" s="65">
        <v>-29823432</v>
      </c>
      <c r="G34" s="4">
        <f t="shared" si="12"/>
        <v>3248446</v>
      </c>
      <c r="H34" s="38" t="s">
        <v>90</v>
      </c>
      <c r="I34"/>
    </row>
    <row r="35" spans="1:11" ht="15.75" x14ac:dyDescent="0.25">
      <c r="A35" s="60"/>
      <c r="B35" s="55" t="s">
        <v>7</v>
      </c>
      <c r="C35" s="10">
        <v>-30651065</v>
      </c>
      <c r="D35" s="9">
        <v>-35017286</v>
      </c>
      <c r="E35" s="10">
        <f>-31995097+724</f>
        <v>-31994373</v>
      </c>
      <c r="F35" s="10">
        <v>-29049397</v>
      </c>
      <c r="G35" s="4">
        <f t="shared" si="12"/>
        <v>3022913</v>
      </c>
      <c r="I35"/>
    </row>
    <row r="36" spans="1:11" ht="15.75" x14ac:dyDescent="0.25">
      <c r="A36" s="60" t="s">
        <v>70</v>
      </c>
      <c r="B36" s="55"/>
      <c r="C36" s="10">
        <v>-56413416</v>
      </c>
      <c r="D36" s="9">
        <v>-51136020</v>
      </c>
      <c r="E36" s="10">
        <v>-48979750</v>
      </c>
      <c r="F36" s="10">
        <f>-51908047-3</f>
        <v>-51908050</v>
      </c>
      <c r="G36" s="4">
        <f t="shared" si="12"/>
        <v>2156270</v>
      </c>
      <c r="H36" s="38" t="s">
        <v>91</v>
      </c>
      <c r="I36"/>
    </row>
    <row r="37" spans="1:11" ht="15.75" x14ac:dyDescent="0.25">
      <c r="A37" s="60"/>
      <c r="B37" s="55" t="s">
        <v>7</v>
      </c>
      <c r="C37" s="10">
        <v>-56076066</v>
      </c>
      <c r="D37" s="9">
        <v>-50442104</v>
      </c>
      <c r="E37" s="10">
        <v>-48603082</v>
      </c>
      <c r="F37" s="10">
        <f>-51291285-3</f>
        <v>-51291288</v>
      </c>
      <c r="G37" s="4">
        <f t="shared" si="12"/>
        <v>1839022</v>
      </c>
      <c r="I37"/>
    </row>
    <row r="38" spans="1:11" ht="15.75" x14ac:dyDescent="0.25">
      <c r="A38" s="91" t="s">
        <v>71</v>
      </c>
      <c r="B38" s="92"/>
      <c r="C38" s="10">
        <v>-13794709</v>
      </c>
      <c r="D38" s="9">
        <f>-558741798+408267682-1</f>
        <v>-150474117</v>
      </c>
      <c r="E38" s="10">
        <v>-139208210</v>
      </c>
      <c r="F38" s="10">
        <v>-12017868</v>
      </c>
      <c r="G38" s="9">
        <f t="shared" si="12"/>
        <v>11265907</v>
      </c>
      <c r="H38" s="93" t="s">
        <v>92</v>
      </c>
      <c r="I38" s="78"/>
      <c r="J38" s="78"/>
    </row>
    <row r="39" spans="1:11" ht="15.75" x14ac:dyDescent="0.25">
      <c r="A39" s="60"/>
      <c r="B39" s="55" t="s">
        <v>7</v>
      </c>
      <c r="C39" s="10">
        <v>-12045584</v>
      </c>
      <c r="D39" s="9">
        <v>-13784198</v>
      </c>
      <c r="E39" s="10">
        <v>-12968257</v>
      </c>
      <c r="F39" s="10">
        <f>-9880427</f>
        <v>-9880427</v>
      </c>
      <c r="G39" s="4">
        <f t="shared" si="12"/>
        <v>815941</v>
      </c>
      <c r="I39"/>
    </row>
    <row r="40" spans="1:11" s="34" customFormat="1" ht="15.75" x14ac:dyDescent="0.25">
      <c r="A40" s="61" t="s">
        <v>52</v>
      </c>
      <c r="B40" s="54"/>
      <c r="C40" s="84">
        <v>-94879892</v>
      </c>
      <c r="D40" s="84">
        <v>-94186234</v>
      </c>
      <c r="E40" s="84">
        <v>-115364412</v>
      </c>
      <c r="F40" s="94">
        <v>-87144591.129999995</v>
      </c>
      <c r="G40" s="36">
        <f t="shared" ref="G40" si="13">E40-D40</f>
        <v>-21178178</v>
      </c>
      <c r="H40" s="46"/>
    </row>
    <row r="41" spans="1:11" ht="15.75" x14ac:dyDescent="0.25">
      <c r="A41" s="61" t="s">
        <v>12</v>
      </c>
      <c r="B41" s="70"/>
      <c r="C41" s="81">
        <f>C43+C45+C49+C51+C53+C54+C55+C56+C58+C60+C47</f>
        <v>-454048143</v>
      </c>
      <c r="D41" s="81">
        <f t="shared" ref="D41:G41" si="14">D43+D45+D49+D51+D53+D54+D55+D56+D58+D60+D47</f>
        <v>-611032477.55000007</v>
      </c>
      <c r="E41" s="81">
        <f t="shared" si="14"/>
        <v>-524775332</v>
      </c>
      <c r="F41" s="81">
        <f t="shared" si="14"/>
        <v>-282718096.95999998</v>
      </c>
      <c r="G41" s="81">
        <f t="shared" si="14"/>
        <v>86257145.549999997</v>
      </c>
      <c r="J41" s="38"/>
      <c r="K41" s="38"/>
    </row>
    <row r="42" spans="1:11" ht="15.75" x14ac:dyDescent="0.25">
      <c r="A42" s="60"/>
      <c r="B42" s="71" t="s">
        <v>7</v>
      </c>
      <c r="C42" s="10">
        <f>C44+C46+C50+C52+C57+C59+C48</f>
        <v>-309641046</v>
      </c>
      <c r="D42" s="10">
        <f>D44+D46+D50+D52+D57+D59+D48</f>
        <v>-406735305</v>
      </c>
      <c r="E42" s="10">
        <f>E44+E46+E50+E52+E57+E59+E48</f>
        <v>-387591218</v>
      </c>
      <c r="F42" s="10">
        <f>F44+F46+F50+F52+F57+F59+F48</f>
        <v>-222897933.67999998</v>
      </c>
      <c r="G42" s="10">
        <f>G44+G46+G50+G52+G57+G59+G48</f>
        <v>19144087</v>
      </c>
      <c r="I42"/>
    </row>
    <row r="43" spans="1:11" ht="15.75" x14ac:dyDescent="0.25">
      <c r="A43" s="60" t="s">
        <v>72</v>
      </c>
      <c r="B43" s="55"/>
      <c r="C43" s="80">
        <v>-96223304</v>
      </c>
      <c r="D43" s="97">
        <f>-191125032+644547</f>
        <v>-190480485</v>
      </c>
      <c r="E43" s="80">
        <v>-160783163</v>
      </c>
      <c r="F43" s="80">
        <f>-48722790.67-493281.75</f>
        <v>-49216072.420000002</v>
      </c>
      <c r="G43" s="9">
        <f>E43-D43</f>
        <v>29697322</v>
      </c>
      <c r="H43" s="38" t="s">
        <v>75</v>
      </c>
      <c r="I43"/>
    </row>
    <row r="44" spans="1:11" ht="15.75" x14ac:dyDescent="0.25">
      <c r="A44" s="60"/>
      <c r="B44" s="55" t="s">
        <v>7</v>
      </c>
      <c r="C44" s="10">
        <v>-77030046</v>
      </c>
      <c r="D44" s="9">
        <v>-110089001</v>
      </c>
      <c r="E44" s="10">
        <v>-104486625</v>
      </c>
      <c r="F44" s="10">
        <v>-48722790.670000002</v>
      </c>
      <c r="G44" s="9">
        <f>E44-D44</f>
        <v>5602376</v>
      </c>
      <c r="I44"/>
    </row>
    <row r="45" spans="1:11" ht="15.75" x14ac:dyDescent="0.25">
      <c r="A45" s="60" t="s">
        <v>93</v>
      </c>
      <c r="B45" s="55"/>
      <c r="C45" s="10">
        <v>-13750000</v>
      </c>
      <c r="D45" s="9">
        <v>-19395261</v>
      </c>
      <c r="E45" s="10">
        <v>-19153827</v>
      </c>
      <c r="F45" s="10">
        <f>-44692607.08-646340.63</f>
        <v>-45338947.710000001</v>
      </c>
      <c r="G45" s="4">
        <f t="shared" ref="G45:G59" si="15">E45-D45</f>
        <v>241434</v>
      </c>
      <c r="H45" s="38" t="s">
        <v>95</v>
      </c>
      <c r="I45"/>
    </row>
    <row r="46" spans="1:11" ht="18" customHeight="1" x14ac:dyDescent="0.25">
      <c r="A46" s="60"/>
      <c r="B46" s="55" t="s">
        <v>7</v>
      </c>
      <c r="C46" s="10">
        <v>-13750000</v>
      </c>
      <c r="D46" s="9">
        <v>-19299607</v>
      </c>
      <c r="E46" s="10">
        <v>-19063137</v>
      </c>
      <c r="F46" s="10">
        <v>-44692607.079999998</v>
      </c>
      <c r="G46" s="4">
        <f t="shared" si="15"/>
        <v>236470</v>
      </c>
      <c r="I46"/>
    </row>
    <row r="47" spans="1:11" ht="15.75" x14ac:dyDescent="0.25">
      <c r="A47" s="91" t="s">
        <v>120</v>
      </c>
      <c r="B47" s="92"/>
      <c r="C47" s="10">
        <v>-7342000</v>
      </c>
      <c r="D47" s="9">
        <v>-16359017</v>
      </c>
      <c r="E47" s="10">
        <v>-14334126</v>
      </c>
      <c r="F47" s="10">
        <v>-6194364</v>
      </c>
      <c r="G47" s="9">
        <f t="shared" si="15"/>
        <v>2024891</v>
      </c>
      <c r="H47" s="38" t="s">
        <v>121</v>
      </c>
      <c r="I47"/>
    </row>
    <row r="48" spans="1:11" ht="15.75" x14ac:dyDescent="0.25">
      <c r="A48" s="91"/>
      <c r="B48" s="92" t="s">
        <v>7</v>
      </c>
      <c r="C48" s="10">
        <v>-7342000</v>
      </c>
      <c r="D48" s="9">
        <v>-16359017</v>
      </c>
      <c r="E48" s="10">
        <v>-14334126</v>
      </c>
      <c r="F48" s="10">
        <v>-6194364</v>
      </c>
      <c r="G48" s="9">
        <f t="shared" si="15"/>
        <v>2024891</v>
      </c>
      <c r="I48"/>
    </row>
    <row r="49" spans="1:9" ht="15.75" x14ac:dyDescent="0.25">
      <c r="A49" s="60" t="s">
        <v>73</v>
      </c>
      <c r="B49" s="55"/>
      <c r="C49" s="10">
        <v>-192491551</v>
      </c>
      <c r="D49" s="9">
        <v>-282427453</v>
      </c>
      <c r="E49" s="10">
        <f>-235517717-4132496</f>
        <v>-239650213</v>
      </c>
      <c r="F49" s="10">
        <f>-76196593.59</f>
        <v>-76196593.590000004</v>
      </c>
      <c r="G49" s="4">
        <f t="shared" si="15"/>
        <v>42777240</v>
      </c>
      <c r="H49" s="38" t="s">
        <v>76</v>
      </c>
      <c r="I49"/>
    </row>
    <row r="50" spans="1:9" ht="15.75" x14ac:dyDescent="0.25">
      <c r="A50" s="60"/>
      <c r="B50" s="55" t="s">
        <v>7</v>
      </c>
      <c r="C50" s="10">
        <v>-192491551</v>
      </c>
      <c r="D50" s="9">
        <f>-241670571</f>
        <v>-241670571</v>
      </c>
      <c r="E50" s="10">
        <f>-231359621-4132496</f>
        <v>-235492117</v>
      </c>
      <c r="F50" s="10">
        <v>-68263015.349999994</v>
      </c>
      <c r="G50" s="4">
        <f>E50-D50</f>
        <v>6178454</v>
      </c>
      <c r="I50"/>
    </row>
    <row r="51" spans="1:9" ht="15.75" x14ac:dyDescent="0.25">
      <c r="A51" s="60" t="s">
        <v>112</v>
      </c>
      <c r="B51" s="55"/>
      <c r="C51" s="10">
        <v>-13554751</v>
      </c>
      <c r="D51" s="9">
        <v>-11711818</v>
      </c>
      <c r="E51" s="10">
        <v>-9228853</v>
      </c>
      <c r="F51" s="10">
        <v>0</v>
      </c>
      <c r="G51" s="4">
        <f t="shared" ref="G51:G52" si="16">E51-D51</f>
        <v>2482965</v>
      </c>
      <c r="H51" s="38" t="s">
        <v>119</v>
      </c>
      <c r="I51"/>
    </row>
    <row r="52" spans="1:9" ht="15.75" x14ac:dyDescent="0.25">
      <c r="A52" s="60"/>
      <c r="B52" s="55" t="s">
        <v>7</v>
      </c>
      <c r="C52" s="10">
        <v>-13554751</v>
      </c>
      <c r="D52" s="9">
        <v>-11711818</v>
      </c>
      <c r="E52" s="10">
        <v>-9228853</v>
      </c>
      <c r="F52" s="10">
        <v>0</v>
      </c>
      <c r="G52" s="4">
        <f t="shared" si="16"/>
        <v>2482965</v>
      </c>
      <c r="I52"/>
    </row>
    <row r="53" spans="1:9" ht="15.75" x14ac:dyDescent="0.25">
      <c r="A53" s="91" t="s">
        <v>104</v>
      </c>
      <c r="B53" s="92"/>
      <c r="C53" s="10">
        <v>0</v>
      </c>
      <c r="D53" s="9">
        <v>-1581140.22</v>
      </c>
      <c r="E53" s="10">
        <v>-960000</v>
      </c>
      <c r="F53" s="10">
        <f>-7840000</f>
        <v>-7840000</v>
      </c>
      <c r="G53" s="9">
        <f>E53-D53</f>
        <v>621140.22</v>
      </c>
      <c r="H53" s="38" t="s">
        <v>94</v>
      </c>
      <c r="I53"/>
    </row>
    <row r="54" spans="1:9" ht="15.75" x14ac:dyDescent="0.25">
      <c r="A54" s="60" t="s">
        <v>111</v>
      </c>
      <c r="B54" s="55"/>
      <c r="C54" s="10">
        <v>-28300000</v>
      </c>
      <c r="D54" s="9">
        <f>C54+28300000</f>
        <v>0</v>
      </c>
      <c r="E54" s="10">
        <v>0</v>
      </c>
      <c r="F54" s="6">
        <v>0</v>
      </c>
      <c r="G54" s="4">
        <f t="shared" si="15"/>
        <v>0</v>
      </c>
      <c r="H54" s="38" t="s">
        <v>109</v>
      </c>
      <c r="I54"/>
    </row>
    <row r="55" spans="1:9" ht="15.75" x14ac:dyDescent="0.25">
      <c r="A55" s="60" t="s">
        <v>110</v>
      </c>
      <c r="B55" s="55"/>
      <c r="C55" s="10">
        <v>-11506875</v>
      </c>
      <c r="D55" s="9">
        <f>C55+11506875</f>
        <v>0</v>
      </c>
      <c r="E55" s="10">
        <v>0</v>
      </c>
      <c r="F55" s="6">
        <v>0</v>
      </c>
      <c r="G55" s="4">
        <f t="shared" si="15"/>
        <v>0</v>
      </c>
      <c r="H55" s="38" t="s">
        <v>108</v>
      </c>
      <c r="I55"/>
    </row>
    <row r="56" spans="1:9" ht="15.75" x14ac:dyDescent="0.25">
      <c r="A56" s="60" t="s">
        <v>74</v>
      </c>
      <c r="B56" s="55"/>
      <c r="C56" s="10">
        <v>0</v>
      </c>
      <c r="D56" s="9">
        <v>-121</v>
      </c>
      <c r="E56" s="10">
        <v>0</v>
      </c>
      <c r="F56" s="6">
        <v>-45685523.359999999</v>
      </c>
      <c r="G56" s="4">
        <f t="shared" si="15"/>
        <v>121</v>
      </c>
      <c r="H56" s="38" t="s">
        <v>77</v>
      </c>
      <c r="I56"/>
    </row>
    <row r="57" spans="1:9" ht="15.75" x14ac:dyDescent="0.25">
      <c r="A57" s="60"/>
      <c r="B57" s="55" t="s">
        <v>7</v>
      </c>
      <c r="C57" s="10">
        <v>0</v>
      </c>
      <c r="D57" s="9">
        <v>-121</v>
      </c>
      <c r="E57" s="10">
        <v>0</v>
      </c>
      <c r="F57" s="6">
        <v>-45685523.359999999</v>
      </c>
      <c r="G57" s="4">
        <f t="shared" si="15"/>
        <v>121</v>
      </c>
      <c r="H57" s="43"/>
    </row>
    <row r="58" spans="1:9" ht="15.75" x14ac:dyDescent="0.25">
      <c r="A58" s="91" t="s">
        <v>60</v>
      </c>
      <c r="B58" s="92"/>
      <c r="C58" s="10">
        <f>-29836219-C47</f>
        <v>-22494219</v>
      </c>
      <c r="D58" s="9">
        <f>-36535306-D47-3163739-644547</f>
        <v>-23984575</v>
      </c>
      <c r="E58" s="10">
        <f>-30431650-1-E47-3163333</f>
        <v>-19260858</v>
      </c>
      <c r="F58" s="10">
        <f>-15973295.55-1351978-F47-7870297</f>
        <v>-19001206.550000001</v>
      </c>
      <c r="G58" s="9">
        <f>E58-D58</f>
        <v>4723717</v>
      </c>
      <c r="H58" s="43"/>
    </row>
    <row r="59" spans="1:9" ht="15.75" x14ac:dyDescent="0.25">
      <c r="A59" s="60"/>
      <c r="B59" s="55" t="s">
        <v>7</v>
      </c>
      <c r="C59" s="10">
        <f>-12814698-C48</f>
        <v>-5472698</v>
      </c>
      <c r="D59" s="9">
        <f>-23964183-4-D48</f>
        <v>-7605170</v>
      </c>
      <c r="E59" s="10">
        <f>-19320486-E48</f>
        <v>-4986360</v>
      </c>
      <c r="F59" s="10">
        <f>-15533997.22-F48</f>
        <v>-9339633.2200000007</v>
      </c>
      <c r="G59" s="4">
        <f t="shared" si="15"/>
        <v>2618810</v>
      </c>
      <c r="H59" s="43"/>
    </row>
    <row r="60" spans="1:9" ht="15.75" x14ac:dyDescent="0.25">
      <c r="A60" s="60" t="s">
        <v>52</v>
      </c>
      <c r="B60" s="55"/>
      <c r="C60" s="10">
        <v>-68385443</v>
      </c>
      <c r="D60" s="9">
        <f>C60+7290628-627983.48-1911494.58-1458314.27</f>
        <v>-65092607.329999998</v>
      </c>
      <c r="E60" s="10">
        <v>-61404292</v>
      </c>
      <c r="F60" s="10">
        <v>-33245389.329999998</v>
      </c>
      <c r="G60" s="4">
        <f>E60-D60</f>
        <v>3688315.3299999982</v>
      </c>
      <c r="H60" s="43"/>
      <c r="I60" s="43"/>
    </row>
    <row r="61" spans="1:9" ht="15.75" x14ac:dyDescent="0.25">
      <c r="A61" s="58" t="s">
        <v>13</v>
      </c>
      <c r="B61" s="58"/>
      <c r="C61" s="79"/>
      <c r="D61" s="79"/>
      <c r="E61" s="79">
        <f>SUM(E62:E69)</f>
        <v>-69790275.670000017</v>
      </c>
      <c r="F61" s="36">
        <f>SUM(F62:F69)</f>
        <v>-45601932.690000005</v>
      </c>
      <c r="G61" s="36"/>
    </row>
    <row r="62" spans="1:9" ht="15.75" x14ac:dyDescent="0.25">
      <c r="A62" s="57"/>
      <c r="B62" s="55" t="s">
        <v>15</v>
      </c>
      <c r="C62" s="85"/>
      <c r="D62" s="85"/>
      <c r="E62" s="85">
        <f>-39106274</f>
        <v>-39106274</v>
      </c>
      <c r="F62" s="5">
        <v>-38847541</v>
      </c>
      <c r="G62" s="3"/>
    </row>
    <row r="63" spans="1:9" ht="15.75" x14ac:dyDescent="0.25">
      <c r="A63" s="57"/>
      <c r="B63" s="59" t="s">
        <v>14</v>
      </c>
      <c r="C63" s="85"/>
      <c r="D63" s="85"/>
      <c r="E63" s="85">
        <v>-29776392</v>
      </c>
      <c r="F63" s="5">
        <v>-28479813</v>
      </c>
      <c r="G63" s="3"/>
    </row>
    <row r="64" spans="1:9" ht="15.75" x14ac:dyDescent="0.25">
      <c r="A64" s="57"/>
      <c r="B64" s="59" t="s">
        <v>8</v>
      </c>
      <c r="C64" s="85"/>
      <c r="D64" s="85"/>
      <c r="E64" s="85">
        <v>-4298086.6500000004</v>
      </c>
      <c r="F64" s="5">
        <v>0</v>
      </c>
      <c r="G64" s="3"/>
    </row>
    <row r="65" spans="1:7" ht="15.75" x14ac:dyDescent="0.25">
      <c r="A65" s="57"/>
      <c r="B65" s="59" t="s">
        <v>17</v>
      </c>
      <c r="C65" s="85"/>
      <c r="D65" s="85"/>
      <c r="E65" s="85">
        <v>-137.22999999999999</v>
      </c>
      <c r="F65" s="5">
        <v>44342.23</v>
      </c>
      <c r="G65" s="3"/>
    </row>
    <row r="66" spans="1:7" ht="15.75" x14ac:dyDescent="0.25">
      <c r="A66" s="57"/>
      <c r="B66" s="59" t="s">
        <v>19</v>
      </c>
      <c r="C66" s="85"/>
      <c r="D66" s="85"/>
      <c r="E66" s="85">
        <v>15447351.460000001</v>
      </c>
      <c r="F66" s="5">
        <v>29240968.77</v>
      </c>
      <c r="G66" s="3"/>
    </row>
    <row r="67" spans="1:7" ht="15.75" x14ac:dyDescent="0.25">
      <c r="A67" s="57"/>
      <c r="B67" s="59" t="s">
        <v>20</v>
      </c>
      <c r="C67" s="85"/>
      <c r="D67" s="85"/>
      <c r="E67" s="85">
        <v>769463.71</v>
      </c>
      <c r="F67" s="5">
        <v>0</v>
      </c>
      <c r="G67" s="3"/>
    </row>
    <row r="68" spans="1:7" ht="15.75" x14ac:dyDescent="0.25">
      <c r="A68" s="57"/>
      <c r="B68" s="59" t="s">
        <v>9</v>
      </c>
      <c r="C68" s="85"/>
      <c r="D68" s="85"/>
      <c r="E68" s="9">
        <v>-4049703.14</v>
      </c>
      <c r="F68" s="4">
        <v>-1615013.77</v>
      </c>
      <c r="G68" s="3"/>
    </row>
    <row r="69" spans="1:7" ht="15.75" x14ac:dyDescent="0.25">
      <c r="A69" s="57"/>
      <c r="B69" s="59" t="s">
        <v>21</v>
      </c>
      <c r="C69" s="5"/>
      <c r="D69" s="5"/>
      <c r="E69" s="5">
        <v>-8776497.8200000003</v>
      </c>
      <c r="F69" s="5">
        <v>-5944875.9199999999</v>
      </c>
      <c r="G69" s="3"/>
    </row>
  </sheetData>
  <phoneticPr fontId="15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"/>
  <sheetViews>
    <sheetView workbookViewId="0">
      <selection activeCell="L17" sqref="L17"/>
    </sheetView>
  </sheetViews>
  <sheetFormatPr defaultRowHeight="15" x14ac:dyDescent="0.25"/>
  <cols>
    <col min="1" max="1" width="15.85546875" customWidth="1"/>
    <col min="2" max="2" width="39.140625" customWidth="1"/>
    <col min="3" max="3" width="16.7109375" style="35" bestFit="1" customWidth="1"/>
    <col min="4" max="4" width="16.140625" style="35" bestFit="1" customWidth="1"/>
    <col min="5" max="5" width="16.7109375" style="35" bestFit="1" customWidth="1"/>
    <col min="6" max="6" width="9.140625" style="17"/>
    <col min="7" max="7" width="16" style="17" bestFit="1" customWidth="1"/>
    <col min="8" max="8" width="16.7109375" style="17" bestFit="1" customWidth="1"/>
    <col min="9" max="9" width="15.85546875" style="17" bestFit="1" customWidth="1"/>
    <col min="11" max="11" width="13.5703125" bestFit="1" customWidth="1"/>
    <col min="13" max="13" width="14.28515625" bestFit="1" customWidth="1"/>
    <col min="14" max="14" width="10.7109375" bestFit="1" customWidth="1"/>
    <col min="15" max="15" width="13.28515625" customWidth="1"/>
  </cols>
  <sheetData>
    <row r="1" spans="1:15" x14ac:dyDescent="0.25">
      <c r="A1" s="11" t="s">
        <v>22</v>
      </c>
      <c r="B1" s="12"/>
      <c r="C1" s="39"/>
      <c r="D1" s="39"/>
      <c r="E1" s="39"/>
      <c r="F1" s="13"/>
      <c r="G1" s="14"/>
      <c r="H1" s="15"/>
      <c r="I1" s="16"/>
      <c r="J1" s="17"/>
    </row>
    <row r="2" spans="1:15" x14ac:dyDescent="0.25">
      <c r="A2" s="11" t="s">
        <v>23</v>
      </c>
      <c r="B2" s="12"/>
      <c r="C2" s="39"/>
      <c r="D2" s="39"/>
      <c r="E2" s="39"/>
      <c r="F2" s="13"/>
      <c r="G2" s="39"/>
      <c r="H2" s="39"/>
      <c r="I2" s="15"/>
      <c r="J2" s="17"/>
    </row>
    <row r="3" spans="1:15" x14ac:dyDescent="0.25">
      <c r="A3" s="11"/>
      <c r="B3" s="12"/>
      <c r="C3" s="40">
        <f>SUM(C5:C18)</f>
        <v>-1463898007.4199998</v>
      </c>
      <c r="D3" s="40">
        <f t="shared" ref="D3:H3" si="0">SUM(D5:D18)</f>
        <v>-1463898007.3599999</v>
      </c>
      <c r="E3" s="40">
        <f t="shared" si="0"/>
        <v>-6.0000002384185791E-2</v>
      </c>
      <c r="F3" s="40">
        <f t="shared" si="0"/>
        <v>0</v>
      </c>
      <c r="G3" s="40">
        <f t="shared" si="0"/>
        <v>-1289857502.8599999</v>
      </c>
      <c r="H3" s="40">
        <f t="shared" si="0"/>
        <v>-1289857502.3899999</v>
      </c>
      <c r="I3" s="40">
        <f>SUM(I5:I18)</f>
        <v>-0.47000017762184143</v>
      </c>
    </row>
    <row r="4" spans="1:15" ht="25.5" x14ac:dyDescent="0.25">
      <c r="A4" s="18" t="s">
        <v>32</v>
      </c>
      <c r="B4" s="18" t="s">
        <v>24</v>
      </c>
      <c r="C4" s="41" t="s">
        <v>113</v>
      </c>
      <c r="D4" s="41" t="s">
        <v>114</v>
      </c>
      <c r="E4" s="41" t="s">
        <v>115</v>
      </c>
      <c r="F4" s="45" t="s">
        <v>25</v>
      </c>
      <c r="G4" s="19" t="s">
        <v>101</v>
      </c>
      <c r="H4" s="19" t="s">
        <v>102</v>
      </c>
      <c r="I4" s="19" t="s">
        <v>103</v>
      </c>
      <c r="J4" s="18" t="s">
        <v>25</v>
      </c>
    </row>
    <row r="5" spans="1:15" x14ac:dyDescent="0.25">
      <c r="A5" t="s">
        <v>31</v>
      </c>
      <c r="B5" t="s">
        <v>5</v>
      </c>
      <c r="C5" s="35">
        <v>2142162.86</v>
      </c>
      <c r="D5" s="15">
        <v>2142162.86</v>
      </c>
      <c r="E5" s="15">
        <v>0</v>
      </c>
      <c r="G5" s="35">
        <v>3369784.26</v>
      </c>
      <c r="H5" s="15">
        <v>3369784.26</v>
      </c>
      <c r="I5" s="15">
        <v>0</v>
      </c>
      <c r="K5" s="17"/>
      <c r="O5" s="17"/>
    </row>
    <row r="6" spans="1:15" x14ac:dyDescent="0.25">
      <c r="A6" t="s">
        <v>31</v>
      </c>
      <c r="B6" t="s">
        <v>4</v>
      </c>
      <c r="C6" s="35">
        <v>184269133.30000001</v>
      </c>
      <c r="D6" s="15">
        <v>184269133.30000004</v>
      </c>
      <c r="E6" s="15">
        <v>0</v>
      </c>
      <c r="G6" s="35">
        <v>68072126.709999993</v>
      </c>
      <c r="H6" s="15">
        <v>68072126.710000008</v>
      </c>
      <c r="I6" s="15">
        <v>0</v>
      </c>
      <c r="K6" s="17"/>
      <c r="O6" s="17"/>
    </row>
    <row r="7" spans="1:15" x14ac:dyDescent="0.25">
      <c r="A7" t="s">
        <v>31</v>
      </c>
      <c r="B7" t="s">
        <v>59</v>
      </c>
      <c r="C7" s="35">
        <v>1327760.02</v>
      </c>
      <c r="D7" s="15">
        <v>1327760.0199999996</v>
      </c>
      <c r="E7" s="15">
        <v>0</v>
      </c>
      <c r="G7" s="35">
        <v>412555.28</v>
      </c>
      <c r="H7" s="15">
        <v>412555.28</v>
      </c>
      <c r="I7" s="15">
        <v>0</v>
      </c>
      <c r="K7" s="17"/>
      <c r="O7" s="17"/>
    </row>
    <row r="8" spans="1:15" x14ac:dyDescent="0.25">
      <c r="A8" t="s">
        <v>31</v>
      </c>
      <c r="B8" t="s">
        <v>62</v>
      </c>
      <c r="C8" s="35">
        <v>675438.72</v>
      </c>
      <c r="D8" s="15">
        <v>675438.72</v>
      </c>
      <c r="E8" s="15">
        <v>0</v>
      </c>
      <c r="G8" s="35">
        <v>1272022.33</v>
      </c>
      <c r="H8" s="15">
        <v>1272022.33</v>
      </c>
      <c r="I8" s="15">
        <v>0</v>
      </c>
      <c r="K8" s="17"/>
      <c r="O8" s="17"/>
    </row>
    <row r="9" spans="1:15" x14ac:dyDescent="0.25">
      <c r="A9" t="s">
        <v>31</v>
      </c>
      <c r="B9" t="s">
        <v>54</v>
      </c>
      <c r="C9" s="35">
        <v>1005662.04</v>
      </c>
      <c r="D9" s="15">
        <v>1005662.06</v>
      </c>
      <c r="E9" s="15">
        <v>-2.0000000018626451E-2</v>
      </c>
      <c r="G9" s="35">
        <v>255433.19</v>
      </c>
      <c r="H9" s="15">
        <v>255433.19</v>
      </c>
      <c r="I9" s="15">
        <v>0</v>
      </c>
      <c r="K9" s="17"/>
      <c r="O9" s="17"/>
    </row>
    <row r="10" spans="1:15" x14ac:dyDescent="0.25">
      <c r="A10" t="s">
        <v>31</v>
      </c>
      <c r="B10" t="s">
        <v>28</v>
      </c>
      <c r="C10" s="35">
        <v>0.02</v>
      </c>
      <c r="D10" s="15"/>
      <c r="E10" s="15">
        <v>0.02</v>
      </c>
      <c r="G10" s="35">
        <v>0</v>
      </c>
      <c r="H10" s="15"/>
      <c r="I10" s="15">
        <v>0</v>
      </c>
      <c r="K10" s="17"/>
      <c r="O10" s="17"/>
    </row>
    <row r="11" spans="1:15" x14ac:dyDescent="0.25">
      <c r="A11" t="s">
        <v>31</v>
      </c>
      <c r="B11" t="s">
        <v>26</v>
      </c>
      <c r="C11" s="35">
        <v>275535.32</v>
      </c>
      <c r="D11" s="15">
        <v>275535.32</v>
      </c>
      <c r="E11" s="15">
        <v>0</v>
      </c>
      <c r="G11" s="35">
        <v>-30443.310000000005</v>
      </c>
      <c r="H11" s="15">
        <v>-30443.31</v>
      </c>
      <c r="I11" s="15">
        <v>0</v>
      </c>
      <c r="K11" s="17"/>
      <c r="O11" s="17"/>
    </row>
    <row r="12" spans="1:15" x14ac:dyDescent="0.25">
      <c r="A12" t="s">
        <v>31</v>
      </c>
      <c r="B12" t="s">
        <v>58</v>
      </c>
      <c r="C12" s="35">
        <v>-983677564.33000004</v>
      </c>
      <c r="D12" s="15">
        <v>-983677563.96000004</v>
      </c>
      <c r="E12" s="15">
        <v>-0.37</v>
      </c>
      <c r="G12" s="35">
        <v>-964866480.43000007</v>
      </c>
      <c r="H12" s="15">
        <v>-964866479.68999994</v>
      </c>
      <c r="I12" s="15">
        <v>-0.74000012874603271</v>
      </c>
      <c r="K12" s="17"/>
      <c r="O12" s="17"/>
    </row>
    <row r="13" spans="1:15" x14ac:dyDescent="0.25">
      <c r="A13" t="s">
        <v>31</v>
      </c>
      <c r="B13" t="s">
        <v>29</v>
      </c>
      <c r="C13" s="35">
        <v>-0.02</v>
      </c>
      <c r="D13" s="15"/>
      <c r="E13" s="15">
        <v>-0.02</v>
      </c>
      <c r="G13" s="35"/>
      <c r="H13" s="15"/>
      <c r="I13" s="15">
        <v>0</v>
      </c>
      <c r="K13" s="17"/>
      <c r="O13" s="17"/>
    </row>
    <row r="14" spans="1:15" x14ac:dyDescent="0.25">
      <c r="A14" t="s">
        <v>31</v>
      </c>
      <c r="B14" t="s">
        <v>27</v>
      </c>
      <c r="C14" s="35">
        <v>-29776392</v>
      </c>
      <c r="D14" s="15">
        <v>-29776392</v>
      </c>
      <c r="E14" s="15">
        <v>0</v>
      </c>
      <c r="G14" s="35">
        <v>-28479813</v>
      </c>
      <c r="H14" s="15">
        <v>-28479813</v>
      </c>
      <c r="I14" s="15">
        <v>0</v>
      </c>
      <c r="K14" s="17"/>
      <c r="O14" s="17"/>
    </row>
    <row r="15" spans="1:15" x14ac:dyDescent="0.25">
      <c r="A15" t="s">
        <v>31</v>
      </c>
      <c r="B15" s="20" t="s">
        <v>53</v>
      </c>
      <c r="C15" s="35">
        <v>-115364411.61</v>
      </c>
      <c r="D15" s="15">
        <v>-115364411.61</v>
      </c>
      <c r="E15" s="15">
        <v>0</v>
      </c>
      <c r="F15" s="21"/>
      <c r="G15" s="35">
        <v>-87144591.129999995</v>
      </c>
      <c r="H15" s="15">
        <v>-87144591.129999995</v>
      </c>
      <c r="I15" s="15">
        <v>0</v>
      </c>
      <c r="K15" s="17"/>
      <c r="O15" s="17"/>
    </row>
    <row r="16" spans="1:15" x14ac:dyDescent="0.25">
      <c r="A16" t="s">
        <v>31</v>
      </c>
      <c r="B16" s="20" t="s">
        <v>16</v>
      </c>
      <c r="C16" s="35">
        <v>-505280755.26999992</v>
      </c>
      <c r="D16" s="15">
        <v>-463371040.02999997</v>
      </c>
      <c r="E16" s="15">
        <v>-41909715.240000002</v>
      </c>
      <c r="F16" s="21"/>
      <c r="G16" s="35">
        <v>-386861187.11000001</v>
      </c>
      <c r="H16" s="15">
        <v>-249472707.69999999</v>
      </c>
      <c r="I16" s="22">
        <f>SUM(G16-H16)</f>
        <v>-137388479.41000003</v>
      </c>
      <c r="K16" s="17"/>
      <c r="O16" s="17"/>
    </row>
    <row r="17" spans="1:15" x14ac:dyDescent="0.25">
      <c r="A17" t="s">
        <v>31</v>
      </c>
      <c r="B17" t="s">
        <v>30</v>
      </c>
      <c r="C17" s="35">
        <v>41909715.57</v>
      </c>
      <c r="D17" s="15">
        <v>0</v>
      </c>
      <c r="E17" s="15">
        <v>41909715.57</v>
      </c>
      <c r="G17" s="35">
        <v>137388479.67999998</v>
      </c>
      <c r="H17" s="15">
        <v>0</v>
      </c>
      <c r="I17" s="22">
        <v>137388479.67999998</v>
      </c>
      <c r="K17" s="17"/>
      <c r="O17" s="17"/>
    </row>
    <row r="18" spans="1:15" x14ac:dyDescent="0.25">
      <c r="A18" t="s">
        <v>31</v>
      </c>
      <c r="B18" t="s">
        <v>57</v>
      </c>
      <c r="C18" s="35">
        <v>-61404292.039999999</v>
      </c>
      <c r="D18" s="15">
        <v>-61404292.039999999</v>
      </c>
      <c r="E18" s="15">
        <v>0</v>
      </c>
      <c r="G18" s="35">
        <v>-33245389.329999998</v>
      </c>
      <c r="H18" s="15">
        <v>-33245389.329999998</v>
      </c>
      <c r="I18" s="15">
        <v>0</v>
      </c>
      <c r="K18" s="17"/>
      <c r="O18" s="17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6"/>
  <sheetViews>
    <sheetView topLeftCell="A15" workbookViewId="0">
      <selection activeCell="C33" sqref="C33"/>
    </sheetView>
  </sheetViews>
  <sheetFormatPr defaultRowHeight="15" x14ac:dyDescent="0.25"/>
  <cols>
    <col min="1" max="1" width="58.28515625" customWidth="1"/>
    <col min="2" max="2" width="13.5703125" customWidth="1"/>
    <col min="3" max="3" width="12.85546875" bestFit="1" customWidth="1"/>
    <col min="5" max="5" width="16.85546875" customWidth="1"/>
  </cols>
  <sheetData>
    <row r="1" spans="1:5" x14ac:dyDescent="0.25">
      <c r="A1" s="11" t="s">
        <v>22</v>
      </c>
      <c r="D1" s="17"/>
    </row>
    <row r="2" spans="1:5" x14ac:dyDescent="0.25">
      <c r="A2" s="11" t="s">
        <v>33</v>
      </c>
      <c r="D2" s="17"/>
    </row>
    <row r="3" spans="1:5" x14ac:dyDescent="0.25">
      <c r="A3" s="23" t="s">
        <v>0</v>
      </c>
      <c r="C3" s="1"/>
      <c r="D3" s="17"/>
    </row>
    <row r="4" spans="1:5" x14ac:dyDescent="0.25">
      <c r="A4" s="11"/>
      <c r="B4" s="12"/>
      <c r="C4" s="12"/>
      <c r="D4" s="17"/>
    </row>
    <row r="5" spans="1:5" x14ac:dyDescent="0.25">
      <c r="A5" s="11"/>
      <c r="B5">
        <v>9</v>
      </c>
      <c r="C5">
        <v>9</v>
      </c>
      <c r="D5" s="17"/>
    </row>
    <row r="6" spans="1:5" ht="52.5" customHeight="1" x14ac:dyDescent="0.25">
      <c r="A6" s="24"/>
      <c r="B6" s="25" t="s">
        <v>34</v>
      </c>
      <c r="C6" s="25" t="s">
        <v>61</v>
      </c>
      <c r="D6" s="17"/>
    </row>
    <row r="7" spans="1:5" x14ac:dyDescent="0.25">
      <c r="A7" s="26" t="s">
        <v>35</v>
      </c>
      <c r="B7" s="27">
        <f>aruanne!C5</f>
        <v>135617512</v>
      </c>
      <c r="C7" s="27">
        <f>aruanne!C12+aruanne!C41</f>
        <v>-1565506405</v>
      </c>
      <c r="D7" s="13"/>
      <c r="E7" s="1"/>
    </row>
    <row r="8" spans="1:5" x14ac:dyDescent="0.25">
      <c r="A8" s="26" t="s">
        <v>36</v>
      </c>
      <c r="B8" s="27"/>
      <c r="C8" s="27">
        <v>-162593494</v>
      </c>
      <c r="D8" s="13"/>
    </row>
    <row r="9" spans="1:5" x14ac:dyDescent="0.25">
      <c r="A9" s="26" t="s">
        <v>117</v>
      </c>
      <c r="B9" s="27"/>
      <c r="C9" s="27"/>
      <c r="D9" s="13"/>
    </row>
    <row r="10" spans="1:5" x14ac:dyDescent="0.25">
      <c r="A10" s="26" t="s">
        <v>116</v>
      </c>
      <c r="B10" s="27"/>
      <c r="C10" s="27"/>
      <c r="D10" s="13"/>
    </row>
    <row r="11" spans="1:5" x14ac:dyDescent="0.25">
      <c r="A11" s="26" t="s">
        <v>118</v>
      </c>
      <c r="B11" s="27"/>
      <c r="C11" s="27">
        <v>-72797</v>
      </c>
      <c r="D11" s="13"/>
    </row>
    <row r="12" spans="1:5" x14ac:dyDescent="0.25">
      <c r="A12" s="28" t="s">
        <v>96</v>
      </c>
      <c r="B12" s="27"/>
      <c r="C12" s="27"/>
      <c r="D12" s="13"/>
      <c r="E12" s="38"/>
    </row>
    <row r="13" spans="1:5" x14ac:dyDescent="0.25">
      <c r="A13" s="28" t="s">
        <v>37</v>
      </c>
      <c r="B13" s="27"/>
      <c r="C13" s="27">
        <v>-961129</v>
      </c>
      <c r="D13" s="13"/>
      <c r="E13" s="44"/>
    </row>
    <row r="14" spans="1:5" x14ac:dyDescent="0.25">
      <c r="A14" s="26" t="s">
        <v>38</v>
      </c>
      <c r="B14" s="27"/>
      <c r="C14" s="27">
        <v>114351058</v>
      </c>
      <c r="D14" s="13"/>
      <c r="E14" s="1"/>
    </row>
    <row r="15" spans="1:5" x14ac:dyDescent="0.25">
      <c r="A15" s="26" t="s">
        <v>39</v>
      </c>
      <c r="B15" s="27"/>
      <c r="C15" s="27">
        <f>-694204735.86+408267682.85+191325.22</f>
        <v>-285745727.78999996</v>
      </c>
      <c r="D15" s="29"/>
    </row>
    <row r="16" spans="1:5" x14ac:dyDescent="0.25">
      <c r="A16" s="26" t="s">
        <v>55</v>
      </c>
      <c r="B16" s="27"/>
      <c r="C16" s="27"/>
      <c r="D16" s="29"/>
    </row>
    <row r="17" spans="1:4" x14ac:dyDescent="0.25">
      <c r="A17" s="26" t="s">
        <v>56</v>
      </c>
      <c r="B17" s="27"/>
      <c r="C17" s="72">
        <v>84780.06</v>
      </c>
      <c r="D17" s="13"/>
    </row>
    <row r="18" spans="1:4" x14ac:dyDescent="0.25">
      <c r="A18" s="26" t="s">
        <v>40</v>
      </c>
      <c r="B18" s="27"/>
      <c r="C18" s="27">
        <v>24236189</v>
      </c>
      <c r="D18" s="13"/>
    </row>
    <row r="19" spans="1:4" x14ac:dyDescent="0.25">
      <c r="A19" s="26" t="s">
        <v>41</v>
      </c>
      <c r="B19" s="27"/>
      <c r="C19" s="27"/>
      <c r="D19" s="13"/>
    </row>
    <row r="20" spans="1:4" x14ac:dyDescent="0.25">
      <c r="A20" s="63" t="s">
        <v>42</v>
      </c>
      <c r="B20" s="27"/>
      <c r="C20" s="27">
        <v>-11384370</v>
      </c>
      <c r="D20" s="13"/>
    </row>
    <row r="21" spans="1:4" x14ac:dyDescent="0.25">
      <c r="A21" s="26" t="s">
        <v>43</v>
      </c>
      <c r="B21" s="27"/>
      <c r="C21" s="27">
        <v>93000</v>
      </c>
      <c r="D21" s="13"/>
    </row>
    <row r="22" spans="1:4" x14ac:dyDescent="0.25">
      <c r="A22" s="26" t="s">
        <v>44</v>
      </c>
      <c r="B22" s="27"/>
      <c r="C22" s="27">
        <v>-416338.72</v>
      </c>
      <c r="D22" s="13"/>
    </row>
    <row r="23" spans="1:4" x14ac:dyDescent="0.25">
      <c r="A23" s="26" t="s">
        <v>45</v>
      </c>
      <c r="B23" s="27"/>
      <c r="C23" s="27">
        <f>19574299+8930400</f>
        <v>28504699</v>
      </c>
      <c r="D23" s="13"/>
    </row>
    <row r="24" spans="1:4" x14ac:dyDescent="0.25">
      <c r="A24" s="26" t="s">
        <v>97</v>
      </c>
      <c r="B24" s="27"/>
      <c r="C24" s="27"/>
      <c r="D24" s="13"/>
    </row>
    <row r="25" spans="1:4" x14ac:dyDescent="0.25">
      <c r="A25" s="63" t="s">
        <v>98</v>
      </c>
      <c r="B25" s="27"/>
      <c r="C25" s="27">
        <v>-8971334</v>
      </c>
      <c r="D25" s="13"/>
    </row>
    <row r="26" spans="1:4" x14ac:dyDescent="0.25">
      <c r="A26" s="26" t="s">
        <v>46</v>
      </c>
      <c r="B26" s="27"/>
      <c r="C26" s="27"/>
      <c r="D26" s="13"/>
    </row>
    <row r="27" spans="1:4" x14ac:dyDescent="0.25">
      <c r="A27" s="26" t="s">
        <v>47</v>
      </c>
      <c r="B27" s="27"/>
      <c r="C27" s="27"/>
      <c r="D27" s="13"/>
    </row>
    <row r="28" spans="1:4" x14ac:dyDescent="0.25">
      <c r="A28" s="26" t="s">
        <v>48</v>
      </c>
      <c r="B28" s="27"/>
      <c r="C28" s="27"/>
      <c r="D28" s="13"/>
    </row>
    <row r="29" spans="1:4" x14ac:dyDescent="0.25">
      <c r="A29" s="63" t="s">
        <v>100</v>
      </c>
      <c r="B29" s="27"/>
      <c r="C29" s="27"/>
      <c r="D29" s="13"/>
    </row>
    <row r="30" spans="1:4" x14ac:dyDescent="0.25">
      <c r="A30" s="26" t="s">
        <v>49</v>
      </c>
      <c r="B30" s="27"/>
      <c r="C30" s="27"/>
      <c r="D30" s="13"/>
    </row>
    <row r="31" spans="1:4" x14ac:dyDescent="0.25">
      <c r="A31" s="63" t="s">
        <v>99</v>
      </c>
      <c r="B31" s="27"/>
      <c r="C31" s="27"/>
      <c r="D31" s="13"/>
    </row>
    <row r="32" spans="1:4" x14ac:dyDescent="0.25">
      <c r="A32" s="26" t="s">
        <v>50</v>
      </c>
      <c r="B32" s="27"/>
      <c r="C32" s="27"/>
      <c r="D32" s="13"/>
    </row>
    <row r="33" spans="1:4" x14ac:dyDescent="0.25">
      <c r="A33" s="30" t="s">
        <v>51</v>
      </c>
      <c r="B33" s="31">
        <f t="shared" ref="B33:C33" si="0">SUM(B7:B32)</f>
        <v>135617512</v>
      </c>
      <c r="C33" s="31">
        <f t="shared" si="0"/>
        <v>-1868381869.45</v>
      </c>
      <c r="D33" s="17"/>
    </row>
    <row r="34" spans="1:4" x14ac:dyDescent="0.25">
      <c r="A34" s="32"/>
      <c r="B34" s="33">
        <f>aruanne!D5</f>
        <v>135617512</v>
      </c>
      <c r="C34" s="33">
        <f>aruanne!D12+aruanne!D41</f>
        <v>-1868381868.79</v>
      </c>
      <c r="D34" s="32"/>
    </row>
    <row r="35" spans="1:4" x14ac:dyDescent="0.25">
      <c r="A35" s="32"/>
      <c r="B35" s="32">
        <f t="shared" ref="B35:C35" si="1">B33-B34</f>
        <v>0</v>
      </c>
      <c r="C35" s="32">
        <f t="shared" si="1"/>
        <v>-0.66000008583068848</v>
      </c>
      <c r="D35" s="32"/>
    </row>
    <row r="36" spans="1:4" x14ac:dyDescent="0.25">
      <c r="C36" s="1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98ACCEF77512D40B856060F62DF5D0F" ma:contentTypeVersion="18" ma:contentTypeDescription="Create a new document." ma:contentTypeScope="" ma:versionID="e568bee3369ab4e285dbc33ac0d0e9c5">
  <xsd:schema xmlns:xsd="http://www.w3.org/2001/XMLSchema" xmlns:xs="http://www.w3.org/2001/XMLSchema" xmlns:p="http://schemas.microsoft.com/office/2006/metadata/properties" xmlns:ns2="19db9c30-584d-4ad5-9af0-9aa7f98fdc73" xmlns:ns3="b8a1d2b4-14fc-4346-bc33-b5e3ce352a93" targetNamespace="http://schemas.microsoft.com/office/2006/metadata/properties" ma:root="true" ma:fieldsID="2978f2bdf5d6054f60cd3f93c4fa4a44" ns2:_="" ns3:_="">
    <xsd:import namespace="19db9c30-584d-4ad5-9af0-9aa7f98fdc73"/>
    <xsd:import namespace="b8a1d2b4-14fc-4346-bc33-b5e3ce352a9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db9c30-584d-4ad5-9af0-9aa7f98fdc7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4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5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Pildisildid" ma:readOnly="false" ma:fieldId="{5cf76f15-5ced-4ddc-b409-7134ff3c332f}" ma:taxonomyMulti="true" ma:sspId="8bf6974d-894c-4b76-94e9-da4eaeb0c39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18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a1d2b4-14fc-4346-bc33-b5e3ce352a93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85e503bb-8001-4011-ab10-845891afb5e6}" ma:internalName="TaxCatchAll" ma:showField="CatchAllData" ma:web="b8a1d2b4-14fc-4346-bc33-b5e3ce352a9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Sisutüüp"/>
        <xsd:element ref="dc:title" minOccurs="0" maxOccurs="1" ma:index="3" ma:displayName="Pealkiri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9db9c30-584d-4ad5-9af0-9aa7f98fdc73">
      <Terms xmlns="http://schemas.microsoft.com/office/infopath/2007/PartnerControls"/>
    </lcf76f155ced4ddcb4097134ff3c332f>
    <TaxCatchAll xmlns="b8a1d2b4-14fc-4346-bc33-b5e3ce352a93" xsi:nil="true"/>
  </documentManagement>
</p:properties>
</file>

<file path=customXml/itemProps1.xml><?xml version="1.0" encoding="utf-8"?>
<ds:datastoreItem xmlns:ds="http://schemas.openxmlformats.org/officeDocument/2006/customXml" ds:itemID="{C2CE2768-10D7-48D0-8D77-D47BB9E714D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9db9c30-584d-4ad5-9af0-9aa7f98fdc73"/>
    <ds:schemaRef ds:uri="b8a1d2b4-14fc-4346-bc33-b5e3ce352a9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A4B52EF-BD50-4522-92D4-8F22982D953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3DDEEFE-4D3F-4A7E-9340-23C7BA543CF5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19db9c30-584d-4ad5-9af0-9aa7f98fdc73"/>
    <ds:schemaRef ds:uri="http://schemas.openxmlformats.org/package/2006/metadata/core-properties"/>
    <ds:schemaRef ds:uri="b8a1d2b4-14fc-4346-bc33-b5e3ce352a93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aruanne</vt:lpstr>
      <vt:lpstr>vordlus</vt:lpstr>
      <vt:lpstr>lisa1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Juta Maar</dc:creator>
  <cp:lastModifiedBy>Inga Urke</cp:lastModifiedBy>
  <dcterms:created xsi:type="dcterms:W3CDTF">2022-02-14T16:37:54Z</dcterms:created>
  <dcterms:modified xsi:type="dcterms:W3CDTF">2025-06-19T07:14:07Z</dcterms:modified>
  <dc:title>KaM riigieelarve täitmise aruanne 2024</dc:titl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0x010100A98ACCEF77512D40B856060F62DF5D0F</vt:lpwstr>
  </property>
  <property fmtid="{D5CDD505-2E9C-101B-9397-08002B2CF9AE}" pid="3" name="Order">
    <vt:r8>99168600</vt:r8>
  </property>
  <property fmtid="{D5CDD505-2E9C-101B-9397-08002B2CF9AE}" pid="4" name="MSIP_Label_defa4170-0d19-0005-0004-bc88714345d2_Enabled">
    <vt:lpwstr>true</vt:lpwstr>
  </property>
  <property fmtid="{D5CDD505-2E9C-101B-9397-08002B2CF9AE}" pid="5" name="MSIP_Label_defa4170-0d19-0005-0004-bc88714345d2_SetDate">
    <vt:lpwstr>2025-06-02T09:41:42Z</vt:lpwstr>
  </property>
  <property fmtid="{D5CDD505-2E9C-101B-9397-08002B2CF9AE}" pid="6" name="MSIP_Label_defa4170-0d19-0005-0004-bc88714345d2_Method">
    <vt:lpwstr>Standard</vt:lpwstr>
  </property>
  <property fmtid="{D5CDD505-2E9C-101B-9397-08002B2CF9AE}" pid="7" name="MSIP_Label_defa4170-0d19-0005-0004-bc88714345d2_Name">
    <vt:lpwstr>defa4170-0d19-0005-0004-bc88714345d2</vt:lpwstr>
  </property>
  <property fmtid="{D5CDD505-2E9C-101B-9397-08002B2CF9AE}" pid="8" name="MSIP_Label_defa4170-0d19-0005-0004-bc88714345d2_SiteId">
    <vt:lpwstr>8fe098d2-428d-4bd4-9803-7195fe96f0e2</vt:lpwstr>
  </property>
  <property fmtid="{D5CDD505-2E9C-101B-9397-08002B2CF9AE}" pid="9" name="MSIP_Label_defa4170-0d19-0005-0004-bc88714345d2_ActionId">
    <vt:lpwstr>67858473-1fc7-4925-a27b-02e42a27a235</vt:lpwstr>
  </property>
  <property fmtid="{D5CDD505-2E9C-101B-9397-08002B2CF9AE}" pid="10" name="MSIP_Label_defa4170-0d19-0005-0004-bc88714345d2_ContentBits">
    <vt:lpwstr>0</vt:lpwstr>
  </property>
  <property fmtid="{D5CDD505-2E9C-101B-9397-08002B2CF9AE}" pid="11" name="MSIP_Label_defa4170-0d19-0005-0004-bc88714345d2_Tag">
    <vt:lpwstr>10, 3, 0, 1</vt:lpwstr>
  </property>
  <property fmtid="{D5CDD505-2E9C-101B-9397-08002B2CF9AE}" pid="12" name="MediaServiceImageTags">
    <vt:lpwstr/>
  </property>
</Properties>
</file>