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ta.sm.ee/dhs/webdav/0a1f59f8ace684caf407615967dafba460a7ebcc/48003110277/135ec3c3-44b3-44c5-87af-9eb1c6dc2821/"/>
    </mc:Choice>
  </mc:AlternateContent>
  <xr:revisionPtr revIDLastSave="0" documentId="13_ncr:40000001_{0280AB89-A707-4BC7-8410-4B278AB2C4C3}" xr6:coauthVersionLast="47" xr6:coauthVersionMax="47" xr10:uidLastSave="{00000000-0000-0000-0000-000000000000}"/>
  <bookViews>
    <workbookView xWindow="-108" yWindow="-108" windowWidth="23256" windowHeight="12456" xr2:uid="{9347DFEE-701E-4A3C-990E-09A19551A3E7}"/>
  </bookViews>
  <sheets>
    <sheet name="Leh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34" i="1"/>
  <c r="G33" i="1"/>
  <c r="G31" i="1"/>
  <c r="G30" i="1"/>
  <c r="G28" i="1"/>
  <c r="G27" i="1"/>
  <c r="G25" i="1"/>
  <c r="G24" i="1"/>
  <c r="G23" i="1" s="1"/>
  <c r="G22" i="1"/>
  <c r="G21" i="1"/>
  <c r="G19" i="1"/>
  <c r="G18" i="1"/>
  <c r="G20" i="1"/>
  <c r="E17" i="1" l="1"/>
  <c r="E16" i="1" s="1"/>
  <c r="F39" i="1"/>
  <c r="D39" i="1"/>
  <c r="C46" i="1"/>
  <c r="E35" i="1"/>
  <c r="E32" i="1"/>
  <c r="E29" i="1"/>
  <c r="E26" i="1"/>
  <c r="E23" i="1"/>
  <c r="E20" i="1"/>
  <c r="I36" i="1"/>
  <c r="G37" i="1"/>
  <c r="I37" i="1" s="1"/>
  <c r="G26" i="1"/>
  <c r="I18" i="1"/>
  <c r="F17" i="1"/>
  <c r="F40" i="1" s="1"/>
  <c r="G14" i="1"/>
  <c r="I14" i="1" s="1"/>
  <c r="H14" i="1"/>
  <c r="F31" i="1"/>
  <c r="F22" i="1"/>
  <c r="F20" i="1" s="1"/>
  <c r="F24" i="1"/>
  <c r="F23" i="1" s="1"/>
  <c r="I19" i="1"/>
  <c r="I21" i="1"/>
  <c r="I25" i="1"/>
  <c r="I28" i="1"/>
  <c r="I33" i="1"/>
  <c r="I34" i="1"/>
  <c r="I15" i="1"/>
  <c r="H40" i="1"/>
  <c r="H38" i="1" s="1"/>
  <c r="H32" i="1"/>
  <c r="H29" i="1"/>
  <c r="H26" i="1"/>
  <c r="H23" i="1"/>
  <c r="H20" i="1"/>
  <c r="H16" i="1"/>
  <c r="E13" i="1" l="1"/>
  <c r="G40" i="1"/>
  <c r="I31" i="1"/>
  <c r="I22" i="1"/>
  <c r="I17" i="1"/>
  <c r="H13" i="1"/>
  <c r="D16" i="1"/>
  <c r="D40" i="1"/>
  <c r="D38" i="1" s="1"/>
  <c r="C40" i="1"/>
  <c r="G35" i="1"/>
  <c r="F35" i="1"/>
  <c r="D35" i="1"/>
  <c r="C35" i="1"/>
  <c r="G32" i="1"/>
  <c r="F32" i="1"/>
  <c r="D32" i="1"/>
  <c r="C32" i="1"/>
  <c r="D29" i="1"/>
  <c r="C29" i="1"/>
  <c r="F26" i="1"/>
  <c r="D26" i="1"/>
  <c r="C26" i="1"/>
  <c r="D23" i="1"/>
  <c r="C23" i="1"/>
  <c r="D20" i="1"/>
  <c r="C20" i="1"/>
  <c r="G16" i="1"/>
  <c r="F16" i="1"/>
  <c r="C16" i="1"/>
  <c r="I16" i="1" l="1"/>
  <c r="E39" i="1"/>
  <c r="G46" i="1" s="1"/>
  <c r="G38" i="1"/>
  <c r="I35" i="1"/>
  <c r="I20" i="1"/>
  <c r="I32" i="1"/>
  <c r="C38" i="1"/>
  <c r="H39" i="1"/>
  <c r="D13" i="1"/>
  <c r="E46" i="1" s="1"/>
  <c r="E48" i="1" s="1"/>
  <c r="C13" i="1"/>
  <c r="I24" i="1"/>
  <c r="G48" i="1" l="1"/>
  <c r="C39" i="1"/>
  <c r="C48" i="1" s="1"/>
  <c r="M46" i="1"/>
  <c r="I26" i="1"/>
  <c r="I27" i="1"/>
  <c r="E49" i="1"/>
  <c r="E47" i="1" s="1"/>
  <c r="F47" i="1" s="1"/>
  <c r="G49" i="1"/>
  <c r="F29" i="1"/>
  <c r="F13" i="1" s="1"/>
  <c r="I23" i="1"/>
  <c r="I40" i="1"/>
  <c r="G47" i="1" l="1"/>
  <c r="H47" i="1" s="1"/>
  <c r="C49" i="1"/>
  <c r="C47" i="1" s="1"/>
  <c r="D47" i="1" s="1"/>
  <c r="M49" i="1"/>
  <c r="M48" i="1"/>
  <c r="G29" i="1"/>
  <c r="I29" i="1" s="1"/>
  <c r="I30" i="1"/>
  <c r="F38" i="1"/>
  <c r="I38" i="1" s="1"/>
  <c r="G13" i="1" l="1"/>
  <c r="I13" i="1" s="1"/>
  <c r="M47" i="1"/>
  <c r="N47" i="1" s="1"/>
  <c r="G39" i="1" l="1"/>
  <c r="I39" i="1" s="1"/>
  <c r="I46" i="1"/>
  <c r="K46" i="1" l="1"/>
  <c r="I48" i="1"/>
  <c r="I49" i="1"/>
  <c r="K48" i="1" l="1"/>
  <c r="O46" i="1"/>
  <c r="O48" i="1" s="1"/>
  <c r="K49" i="1"/>
  <c r="I47" i="1"/>
  <c r="J47" i="1" s="1"/>
  <c r="O49" i="1" l="1"/>
  <c r="O47" i="1"/>
  <c r="P47" i="1" s="1"/>
  <c r="K47" i="1"/>
  <c r="L47" i="1" s="1"/>
</calcChain>
</file>

<file path=xl/sharedStrings.xml><?xml version="1.0" encoding="utf-8"?>
<sst xmlns="http://schemas.openxmlformats.org/spreadsheetml/2006/main" count="101" uniqueCount="77">
  <si>
    <t xml:space="preserve">kinnitatud toetuse andmise tingimuste „Laste ja </t>
  </si>
  <si>
    <t xml:space="preserve">perede toetamine“ </t>
  </si>
  <si>
    <t>Lisa 1</t>
  </si>
  <si>
    <t>TAT finantsplaan ja eelarve kulukohtade kaupa</t>
  </si>
  <si>
    <t>TAT abikõlblikkuse periood: 01.01.2023–31.12.2028</t>
  </si>
  <si>
    <t>TAT nimi: Laste ja perede toetamine</t>
  </si>
  <si>
    <t>TAT elluviija: Sotsiaalministeerium</t>
  </si>
  <si>
    <t>Aasta</t>
  </si>
  <si>
    <t>Rea nr</t>
  </si>
  <si>
    <t>Kulukoht</t>
  </si>
  <si>
    <t>Abikõlblik kulu</t>
  </si>
  <si>
    <t xml:space="preserve">Abikõlblik kulu </t>
  </si>
  <si>
    <t>1</t>
  </si>
  <si>
    <t xml:space="preserve">TAT otsesed kulud </t>
  </si>
  <si>
    <t>1.1</t>
  </si>
  <si>
    <t>TAT juhtimiskulud (väljund)</t>
  </si>
  <si>
    <t>1.2</t>
  </si>
  <si>
    <t>Teavitusüritus</t>
  </si>
  <si>
    <t xml:space="preserve"> </t>
  </si>
  <si>
    <t>2.1</t>
  </si>
  <si>
    <t>2.1. Vanemlike oskuste arendamine ja vanemluse toetamine ning laste riskikäitumise ennetamine</t>
  </si>
  <si>
    <t>2.1.1</t>
  </si>
  <si>
    <t>Sisutegevuste personalikulu</t>
  </si>
  <si>
    <t>2.1.2</t>
  </si>
  <si>
    <t xml:space="preserve">Vanemlike oskuste arendamine ja vanemluse toetamine </t>
  </si>
  <si>
    <t>2.1.3</t>
  </si>
  <si>
    <t>Laste riskikäitumise ennetamine (VEPA)</t>
  </si>
  <si>
    <t>2.2</t>
  </si>
  <si>
    <t xml:space="preserve">2.2. Mitmekülgse abivajadusega laste ja nende perede toetamine </t>
  </si>
  <si>
    <t>2.2.1</t>
  </si>
  <si>
    <t xml:space="preserve">Sisutegevuste personalikulu </t>
  </si>
  <si>
    <t>2.2.2</t>
  </si>
  <si>
    <t>Mitmekülgse abivajadusega laste ja nende perede toetamine</t>
  </si>
  <si>
    <t>2.3</t>
  </si>
  <si>
    <t>2.3. Valdkondadeülese lastekaitse korraldusmudeli väljatöötamine</t>
  </si>
  <si>
    <t>2.3.1</t>
  </si>
  <si>
    <t>2.3.2</t>
  </si>
  <si>
    <t>Valdkondadeülese lastekaitse korraldusmudeli väljatöötamine</t>
  </si>
  <si>
    <t>2.4</t>
  </si>
  <si>
    <t>2.4. Asendus- ja järelhooldusteenuse kvaliteedi parandamine ja mitmekesistamine ning perepõhise hoolduse arendamine</t>
  </si>
  <si>
    <t>2.4.1</t>
  </si>
  <si>
    <t>2.4.2</t>
  </si>
  <si>
    <t>Asendus- ja järelhooldusteenuse kvaliteedi parandamine ja mitmekesistamine ning  perepõhise hoolduse arendamine</t>
  </si>
  <si>
    <t>2.5</t>
  </si>
  <si>
    <t>2.5. Lapsi ja peresid ning tulemuslikku lastekaitsetööd toetavate IT-lahenduste loomine</t>
  </si>
  <si>
    <t>2.5.1</t>
  </si>
  <si>
    <t>2.5.2</t>
  </si>
  <si>
    <t>Lapsi ja peresid ning tulemuslikku lastekaitsetööd toetavate IT-lahenduste loomine</t>
  </si>
  <si>
    <t>2.6</t>
  </si>
  <si>
    <t xml:space="preserve">2.6. Peresõbraliku tööandja märgise programmi arendamine ja rakendamine  </t>
  </si>
  <si>
    <t>2.6.1</t>
  </si>
  <si>
    <t xml:space="preserve">Peresõbraliku tööandja märgise programmi rakendamine </t>
  </si>
  <si>
    <t>2.6.2.</t>
  </si>
  <si>
    <t>Sisutegevuse personalikulu (SoM)</t>
  </si>
  <si>
    <t>2.7</t>
  </si>
  <si>
    <t>2.7. Kohalikes omavalitsustes pereteenuste loomine ja arendamine</t>
  </si>
  <si>
    <t>2.7.1</t>
  </si>
  <si>
    <t>2.7.2</t>
  </si>
  <si>
    <t>Kohalikes omavalitsustes pereteenuste loomine ja arendamine</t>
  </si>
  <si>
    <t>3</t>
  </si>
  <si>
    <t>Kaudsed kulud</t>
  </si>
  <si>
    <t>4</t>
  </si>
  <si>
    <t>Kokku (rida 1 + rida 2)</t>
  </si>
  <si>
    <t>5</t>
  </si>
  <si>
    <t>Otsesed personalikulud kokku</t>
  </si>
  <si>
    <t>TAT finantsplaan</t>
  </si>
  <si>
    <t>Kokku</t>
  </si>
  <si>
    <t>Finantsallikate jaotus</t>
  </si>
  <si>
    <t>Summa</t>
  </si>
  <si>
    <t>Osakaal (%)</t>
  </si>
  <si>
    <t>TAT eelarve kokku aastate kaupa</t>
  </si>
  <si>
    <t>Toetus kokku (rida 2.1 + rida 2.2)</t>
  </si>
  <si>
    <t>sh ESF+ osalus (kuni 70%)</t>
  </si>
  <si>
    <t>sh riiklik kaasfinantseering</t>
  </si>
  <si>
    <t xml:space="preserve">Sotsiaalkaitseministri 29.03.2023 käskkirjaga nr 53 </t>
  </si>
  <si>
    <t>(muudetud sõnastuses)</t>
  </si>
  <si>
    <r>
      <rPr>
        <b/>
        <sz val="9"/>
        <color rgb="FF000000"/>
        <rFont val="Arial"/>
      </rPr>
      <t>Kokku 2023</t>
    </r>
    <r>
      <rPr>
        <b/>
        <sz val="9"/>
        <color rgb="FF000000"/>
        <rFont val="Calibri"/>
      </rPr>
      <t>–</t>
    </r>
    <r>
      <rPr>
        <b/>
        <sz val="9"/>
        <color rgb="FF000000"/>
        <rFont val="Arial"/>
      </rPr>
      <t>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</si>
</sst>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r_-;\-* #,##0.00\ _k_r_-;_-* &quot;-&quot;??\ _k_r_-;_-@_-"/>
    <numFmt numFmtId="165" formatCode="_-* #,##0.000000_-;\-* #,##0.000000_-;_-* &quot;-&quot;??_-;_-@_-"/>
    <numFmt numFmtId="166" formatCode="_-* #,##0.00\ _€_-;\-* #,##0.00\ _€_-;_-* &quot;-&quot;??\ _€_-;_-@_-"/>
  </numFmts>
  <fonts count="2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9"/>
      <color theme="1"/>
      <name val="Aptos Narrow"/>
      <family val="2"/>
      <charset val="186"/>
      <scheme val="minor"/>
    </font>
    <font>
      <sz val="9"/>
      <color rgb="FF000000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rgb="FF000000"/>
      <name val="Aptos Narrow"/>
      <family val="2"/>
      <charset val="186"/>
      <scheme val="minor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Aptos Narrow"/>
      <family val="2"/>
      <scheme val="minor"/>
    </font>
    <font>
      <b/>
      <sz val="9"/>
      <color theme="1"/>
      <name val="Arial"/>
      <family val="2"/>
      <charset val="186"/>
    </font>
    <font>
      <b/>
      <sz val="9"/>
      <color rgb="FF000000"/>
      <name val="Arial"/>
    </font>
    <font>
      <b/>
      <sz val="9"/>
      <color rgb="FF000000"/>
      <name val="Calibri"/>
    </font>
    <font>
      <b/>
      <sz val="9"/>
      <color rgb="FF000000"/>
      <name val="Arial"/>
      <family val="2"/>
      <charset val="186"/>
    </font>
    <font>
      <b/>
      <sz val="9"/>
      <name val="Arial"/>
    </font>
    <font>
      <sz val="9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Down">
        <bgColor theme="0" tint="-4.9989318521683403E-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top"/>
    </xf>
    <xf numFmtId="1" fontId="9" fillId="0" borderId="1" xfId="1" applyNumberFormat="1" applyFont="1" applyFill="1" applyBorder="1" applyAlignment="1">
      <alignment horizontal="center" vertical="center"/>
    </xf>
    <xf numFmtId="1" fontId="9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/>
    <xf numFmtId="0" fontId="12" fillId="0" borderId="1" xfId="0" applyFont="1" applyBorder="1" applyAlignment="1">
      <alignment vertical="top" wrapText="1"/>
    </xf>
    <xf numFmtId="4" fontId="3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left" vertical="top" wrapText="1"/>
    </xf>
    <xf numFmtId="3" fontId="3" fillId="0" borderId="0" xfId="0" applyNumberFormat="1" applyFont="1"/>
    <xf numFmtId="0" fontId="10" fillId="0" borderId="1" xfId="0" applyFont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center"/>
    </xf>
    <xf numFmtId="0" fontId="9" fillId="0" borderId="1" xfId="2" applyFont="1" applyBorder="1" applyAlignment="1">
      <alignment vertical="top" wrapText="1"/>
    </xf>
    <xf numFmtId="49" fontId="9" fillId="0" borderId="1" xfId="2" applyNumberFormat="1" applyFont="1" applyBorder="1" applyAlignment="1">
      <alignment vertical="center"/>
    </xf>
    <xf numFmtId="49" fontId="9" fillId="0" borderId="0" xfId="2" applyNumberFormat="1" applyFont="1" applyAlignment="1">
      <alignment horizontal="left" vertical="top"/>
    </xf>
    <xf numFmtId="0" fontId="9" fillId="0" borderId="0" xfId="2" applyFont="1" applyAlignment="1">
      <alignment wrapText="1"/>
    </xf>
    <xf numFmtId="3" fontId="10" fillId="2" borderId="0" xfId="2" applyNumberFormat="1" applyFont="1" applyFill="1" applyAlignment="1">
      <alignment horizontal="right"/>
    </xf>
    <xf numFmtId="0" fontId="5" fillId="0" borderId="0" xfId="0" applyFont="1"/>
    <xf numFmtId="3" fontId="10" fillId="0" borderId="0" xfId="2" applyNumberFormat="1" applyFont="1" applyAlignment="1">
      <alignment horizontal="right"/>
    </xf>
    <xf numFmtId="0" fontId="10" fillId="0" borderId="0" xfId="2" applyFont="1" applyAlignment="1">
      <alignment horizontal="left"/>
    </xf>
    <xf numFmtId="0" fontId="10" fillId="0" borderId="0" xfId="2" applyFont="1" applyAlignment="1">
      <alignment wrapText="1"/>
    </xf>
    <xf numFmtId="0" fontId="10" fillId="0" borderId="3" xfId="2" applyFont="1" applyBorder="1" applyAlignment="1">
      <alignment horizontal="left" vertical="top"/>
    </xf>
    <xf numFmtId="0" fontId="9" fillId="0" borderId="4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3" fontId="9" fillId="0" borderId="1" xfId="2" applyNumberFormat="1" applyFont="1" applyBorder="1" applyAlignment="1">
      <alignment horizontal="center" vertical="top" wrapText="1"/>
    </xf>
    <xf numFmtId="3" fontId="9" fillId="0" borderId="5" xfId="2" applyNumberFormat="1" applyFont="1" applyBorder="1" applyAlignment="1">
      <alignment horizontal="center" vertical="top" wrapText="1"/>
    </xf>
    <xf numFmtId="3" fontId="9" fillId="0" borderId="9" xfId="2" applyNumberFormat="1" applyFont="1" applyBorder="1" applyAlignment="1">
      <alignment horizontal="center" vertical="top" wrapText="1"/>
    </xf>
    <xf numFmtId="0" fontId="9" fillId="0" borderId="8" xfId="2" applyFont="1" applyBorder="1" applyAlignment="1">
      <alignment horizontal="left" vertical="top"/>
    </xf>
    <xf numFmtId="0" fontId="9" fillId="0" borderId="1" xfId="2" applyFont="1" applyBorder="1" applyAlignment="1">
      <alignment vertical="top" wrapText="1" shrinkToFit="1"/>
    </xf>
    <xf numFmtId="3" fontId="9" fillId="2" borderId="1" xfId="2" applyNumberFormat="1" applyFont="1" applyFill="1" applyBorder="1" applyAlignment="1">
      <alignment vertical="top"/>
    </xf>
    <xf numFmtId="3" fontId="9" fillId="3" borderId="1" xfId="2" applyNumberFormat="1" applyFont="1" applyFill="1" applyBorder="1" applyAlignment="1">
      <alignment vertical="top"/>
    </xf>
    <xf numFmtId="3" fontId="9" fillId="3" borderId="5" xfId="2" applyNumberFormat="1" applyFont="1" applyFill="1" applyBorder="1" applyAlignment="1">
      <alignment vertical="top"/>
    </xf>
    <xf numFmtId="3" fontId="9" fillId="0" borderId="1" xfId="2" applyNumberFormat="1" applyFont="1" applyBorder="1" applyAlignment="1">
      <alignment vertical="top"/>
    </xf>
    <xf numFmtId="3" fontId="9" fillId="3" borderId="9" xfId="2" applyNumberFormat="1" applyFont="1" applyFill="1" applyBorder="1" applyAlignment="1">
      <alignment vertical="top"/>
    </xf>
    <xf numFmtId="0" fontId="9" fillId="0" borderId="1" xfId="2" applyFont="1" applyBorder="1" applyAlignment="1">
      <alignment vertical="top"/>
    </xf>
    <xf numFmtId="0" fontId="9" fillId="0" borderId="9" xfId="2" applyFont="1" applyBorder="1" applyAlignment="1">
      <alignment vertical="top"/>
    </xf>
    <xf numFmtId="49" fontId="10" fillId="0" borderId="8" xfId="2" applyNumberFormat="1" applyFont="1" applyBorder="1" applyAlignment="1">
      <alignment horizontal="left" vertical="top"/>
    </xf>
    <xf numFmtId="0" fontId="10" fillId="0" borderId="1" xfId="2" applyFont="1" applyBorder="1" applyAlignment="1">
      <alignment vertical="top" wrapText="1" shrinkToFit="1"/>
    </xf>
    <xf numFmtId="3" fontId="10" fillId="0" borderId="1" xfId="2" applyNumberFormat="1" applyFont="1" applyBorder="1" applyAlignment="1">
      <alignment vertical="top"/>
    </xf>
    <xf numFmtId="3" fontId="10" fillId="0" borderId="5" xfId="2" applyNumberFormat="1" applyFont="1" applyBorder="1" applyAlignment="1">
      <alignment vertical="top"/>
    </xf>
    <xf numFmtId="0" fontId="10" fillId="0" borderId="1" xfId="2" applyFont="1" applyBorder="1" applyAlignment="1">
      <alignment vertical="top"/>
    </xf>
    <xf numFmtId="0" fontId="10" fillId="0" borderId="9" xfId="2" applyFont="1" applyBorder="1" applyAlignment="1">
      <alignment vertical="top"/>
    </xf>
    <xf numFmtId="49" fontId="10" fillId="0" borderId="10" xfId="2" applyNumberFormat="1" applyFont="1" applyBorder="1" applyAlignment="1">
      <alignment horizontal="left" vertical="top"/>
    </xf>
    <xf numFmtId="0" fontId="10" fillId="2" borderId="11" xfId="0" applyFont="1" applyFill="1" applyBorder="1" applyAlignment="1">
      <alignment horizontal="left" vertical="top" wrapText="1"/>
    </xf>
    <xf numFmtId="3" fontId="10" fillId="0" borderId="11" xfId="2" applyNumberFormat="1" applyFont="1" applyBorder="1" applyAlignment="1">
      <alignment horizontal="right" vertical="center"/>
    </xf>
    <xf numFmtId="3" fontId="10" fillId="0" borderId="12" xfId="2" applyNumberFormat="1" applyFont="1" applyBorder="1" applyAlignment="1">
      <alignment horizontal="right" vertical="center"/>
    </xf>
    <xf numFmtId="0" fontId="10" fillId="0" borderId="11" xfId="2" applyFont="1" applyBorder="1" applyAlignment="1">
      <alignment vertical="top"/>
    </xf>
    <xf numFmtId="3" fontId="10" fillId="0" borderId="11" xfId="2" applyNumberFormat="1" applyFont="1" applyBorder="1" applyAlignment="1">
      <alignment vertical="top"/>
    </xf>
    <xf numFmtId="0" fontId="10" fillId="0" borderId="13" xfId="2" applyFont="1" applyBorder="1" applyAlignment="1">
      <alignment vertical="top"/>
    </xf>
    <xf numFmtId="4" fontId="9" fillId="0" borderId="1" xfId="0" applyNumberFormat="1" applyFont="1" applyBorder="1" applyAlignment="1">
      <alignment horizontal="right" vertical="center" wrapText="1"/>
    </xf>
    <xf numFmtId="43" fontId="9" fillId="0" borderId="1" xfId="1" applyFont="1" applyBorder="1" applyAlignment="1">
      <alignment horizontal="right" vertical="center" wrapText="1"/>
    </xf>
    <xf numFmtId="43" fontId="10" fillId="0" borderId="1" xfId="1" applyFont="1" applyBorder="1" applyAlignment="1">
      <alignment horizontal="right" vertical="center" wrapText="1"/>
    </xf>
    <xf numFmtId="43" fontId="9" fillId="0" borderId="1" xfId="1" applyFont="1" applyBorder="1" applyAlignment="1">
      <alignment horizontal="right" vertical="center"/>
    </xf>
    <xf numFmtId="43" fontId="10" fillId="0" borderId="1" xfId="1" applyFont="1" applyBorder="1" applyAlignment="1">
      <alignment horizontal="right" vertical="center"/>
    </xf>
    <xf numFmtId="43" fontId="10" fillId="2" borderId="1" xfId="1" applyFont="1" applyFill="1" applyBorder="1" applyAlignment="1">
      <alignment horizontal="right" vertical="center"/>
    </xf>
    <xf numFmtId="43" fontId="10" fillId="0" borderId="2" xfId="1" applyFont="1" applyBorder="1" applyAlignment="1">
      <alignment horizontal="right" vertical="center" wrapText="1"/>
    </xf>
    <xf numFmtId="43" fontId="3" fillId="0" borderId="0" xfId="0" applyNumberFormat="1" applyFont="1"/>
    <xf numFmtId="43" fontId="3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43" fontId="3" fillId="2" borderId="0" xfId="0" applyNumberFormat="1" applyFont="1" applyFill="1"/>
    <xf numFmtId="43" fontId="16" fillId="2" borderId="0" xfId="1" applyFont="1" applyFill="1" applyBorder="1" applyAlignment="1">
      <alignment horizontal="right" vertical="center" wrapText="1"/>
    </xf>
    <xf numFmtId="43" fontId="17" fillId="2" borderId="0" xfId="1" applyFont="1" applyFill="1" applyBorder="1" applyAlignment="1">
      <alignment horizontal="right" vertical="center" wrapText="1"/>
    </xf>
    <xf numFmtId="43" fontId="16" fillId="2" borderId="0" xfId="1" applyFont="1" applyFill="1" applyBorder="1" applyAlignment="1">
      <alignment horizontal="right" vertical="center"/>
    </xf>
    <xf numFmtId="43" fontId="17" fillId="2" borderId="0" xfId="1" applyFont="1" applyFill="1" applyBorder="1" applyAlignment="1">
      <alignment horizontal="right" vertical="center"/>
    </xf>
    <xf numFmtId="43" fontId="18" fillId="2" borderId="0" xfId="1" applyFont="1" applyFill="1" applyBorder="1" applyAlignment="1">
      <alignment vertical="center"/>
    </xf>
    <xf numFmtId="43" fontId="19" fillId="2" borderId="0" xfId="1" applyFont="1" applyFill="1" applyBorder="1" applyAlignment="1">
      <alignment vertical="center"/>
    </xf>
    <xf numFmtId="43" fontId="16" fillId="2" borderId="0" xfId="1" applyFont="1" applyFill="1" applyBorder="1" applyAlignment="1">
      <alignment vertical="center"/>
    </xf>
    <xf numFmtId="43" fontId="17" fillId="2" borderId="0" xfId="1" applyFont="1" applyFill="1" applyBorder="1" applyAlignment="1">
      <alignment vertical="center"/>
    </xf>
    <xf numFmtId="4" fontId="11" fillId="0" borderId="1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43" fontId="12" fillId="0" borderId="1" xfId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3" fontId="5" fillId="0" borderId="1" xfId="1" applyFont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16" fillId="0" borderId="15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right" vertical="center" wrapText="1"/>
    </xf>
    <xf numFmtId="4" fontId="16" fillId="0" borderId="15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/>
    </xf>
    <xf numFmtId="4" fontId="17" fillId="0" borderId="15" xfId="0" applyNumberFormat="1" applyFont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right" vertical="center"/>
    </xf>
    <xf numFmtId="43" fontId="10" fillId="0" borderId="1" xfId="1" applyFont="1" applyFill="1" applyBorder="1" applyAlignment="1">
      <alignment horizontal="right" vertical="center"/>
    </xf>
    <xf numFmtId="43" fontId="12" fillId="0" borderId="1" xfId="1" applyFont="1" applyFill="1" applyBorder="1" applyAlignment="1">
      <alignment horizontal="right" vertical="center"/>
    </xf>
    <xf numFmtId="43" fontId="5" fillId="0" borderId="1" xfId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43" fontId="15" fillId="0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166" fontId="3" fillId="0" borderId="0" xfId="0" applyNumberFormat="1" applyFont="1"/>
    <xf numFmtId="4" fontId="20" fillId="0" borderId="15" xfId="0" applyNumberFormat="1" applyFont="1" applyBorder="1" applyAlignment="1">
      <alignment horizontal="right" vertical="center"/>
    </xf>
    <xf numFmtId="3" fontId="10" fillId="2" borderId="1" xfId="2" applyNumberFormat="1" applyFont="1" applyFill="1" applyBorder="1" applyAlignment="1">
      <alignment vertical="top"/>
    </xf>
    <xf numFmtId="3" fontId="10" fillId="2" borderId="11" xfId="2" applyNumberFormat="1" applyFont="1" applyFill="1" applyBorder="1" applyAlignment="1">
      <alignment vertical="top"/>
    </xf>
    <xf numFmtId="3" fontId="9" fillId="0" borderId="7" xfId="3" applyNumberFormat="1" applyFont="1" applyBorder="1" applyAlignment="1">
      <alignment horizontal="center" vertical="top" wrapText="1"/>
    </xf>
    <xf numFmtId="3" fontId="9" fillId="0" borderId="14" xfId="3" applyNumberFormat="1" applyFont="1" applyBorder="1" applyAlignment="1">
      <alignment horizontal="center" vertical="top" wrapText="1"/>
    </xf>
    <xf numFmtId="1" fontId="15" fillId="0" borderId="1" xfId="1" applyNumberFormat="1" applyFont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 vertical="center" wrapText="1"/>
    </xf>
    <xf numFmtId="1" fontId="9" fillId="0" borderId="7" xfId="3" applyNumberFormat="1" applyFont="1" applyBorder="1" applyAlignment="1">
      <alignment horizontal="center" vertical="top"/>
    </xf>
    <xf numFmtId="1" fontId="9" fillId="0" borderId="6" xfId="3" applyNumberFormat="1" applyFont="1" applyBorder="1" applyAlignment="1">
      <alignment horizontal="center" vertical="top"/>
    </xf>
    <xf numFmtId="4" fontId="3" fillId="2" borderId="0" xfId="0" applyNumberFormat="1" applyFont="1" applyFill="1"/>
    <xf numFmtId="3" fontId="9" fillId="2" borderId="1" xfId="0" applyNumberFormat="1" applyFont="1" applyFill="1" applyBorder="1" applyAlignment="1">
      <alignment horizontal="right" vertical="center" wrapText="1"/>
    </xf>
  </cellXfs>
  <cellStyles count="4">
    <cellStyle name="Koma" xfId="1" builtinId="3"/>
    <cellStyle name="Koma 2" xfId="3" xr:uid="{389E9B19-892D-41C8-91AC-5AC611308121}"/>
    <cellStyle name="Normaallaad" xfId="0" builtinId="0"/>
    <cellStyle name="Normaallaad 2" xfId="2" xr:uid="{18F7E0BE-6C38-413E-BFB4-13D8E207A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9E28-A520-4D9A-8C31-B66758B5CB6D}">
  <dimension ref="A1:U49"/>
  <sheetViews>
    <sheetView tabSelected="1" topLeftCell="C3" zoomScale="95" zoomScaleNormal="95" workbookViewId="0">
      <selection activeCell="K13" sqref="K13"/>
    </sheetView>
  </sheetViews>
  <sheetFormatPr defaultColWidth="8.77734375" defaultRowHeight="12" x14ac:dyDescent="0.25"/>
  <cols>
    <col min="1" max="1" width="8.77734375" style="1"/>
    <col min="2" max="2" width="33" style="2" customWidth="1"/>
    <col min="3" max="3" width="15.21875" style="3" customWidth="1"/>
    <col min="4" max="4" width="15.77734375" style="3" customWidth="1"/>
    <col min="5" max="5" width="16.21875" style="3" customWidth="1"/>
    <col min="6" max="6" width="16.44140625" style="3" customWidth="1"/>
    <col min="7" max="8" width="15" style="3" customWidth="1"/>
    <col min="9" max="9" width="16.21875" style="3" customWidth="1"/>
    <col min="10" max="10" width="13" style="1" customWidth="1"/>
    <col min="11" max="11" width="13.44140625" style="1" customWidth="1"/>
    <col min="12" max="12" width="15.44140625" style="1" customWidth="1"/>
    <col min="13" max="13" width="16" style="1" customWidth="1"/>
    <col min="14" max="14" width="12.77734375" style="1" customWidth="1"/>
    <col min="15" max="15" width="12.21875" style="1" customWidth="1"/>
    <col min="16" max="16384" width="8.77734375" style="1"/>
  </cols>
  <sheetData>
    <row r="1" spans="1:12" x14ac:dyDescent="0.25">
      <c r="G1" s="4"/>
      <c r="H1" s="4"/>
      <c r="I1" s="5" t="s">
        <v>74</v>
      </c>
      <c r="J1" s="6"/>
      <c r="K1" s="6"/>
    </row>
    <row r="2" spans="1:12" x14ac:dyDescent="0.25">
      <c r="G2" s="4"/>
      <c r="H2" s="4"/>
      <c r="I2" s="5" t="s">
        <v>0</v>
      </c>
      <c r="J2" s="6"/>
      <c r="K2" s="6"/>
    </row>
    <row r="3" spans="1:12" x14ac:dyDescent="0.25">
      <c r="G3" s="4"/>
      <c r="H3" s="4"/>
      <c r="I3" s="5" t="s">
        <v>1</v>
      </c>
      <c r="J3" s="6"/>
      <c r="K3" s="6"/>
    </row>
    <row r="4" spans="1:12" x14ac:dyDescent="0.25">
      <c r="G4" s="4"/>
      <c r="H4" s="4"/>
      <c r="I4" s="8" t="s">
        <v>2</v>
      </c>
      <c r="J4" s="6"/>
      <c r="K4" s="6"/>
    </row>
    <row r="5" spans="1:12" x14ac:dyDescent="0.25">
      <c r="G5" s="7"/>
      <c r="H5" s="7"/>
      <c r="I5" s="3" t="s">
        <v>75</v>
      </c>
      <c r="J5" s="6"/>
      <c r="K5" s="6"/>
    </row>
    <row r="6" spans="1:12" x14ac:dyDescent="0.25">
      <c r="A6" s="9" t="s">
        <v>3</v>
      </c>
      <c r="B6" s="10"/>
      <c r="I6" s="11"/>
      <c r="J6" s="6"/>
      <c r="K6" s="6"/>
    </row>
    <row r="7" spans="1:12" x14ac:dyDescent="0.25">
      <c r="A7" s="12" t="s">
        <v>4</v>
      </c>
      <c r="B7" s="13"/>
      <c r="C7" s="14"/>
      <c r="I7" s="11"/>
      <c r="J7" s="6"/>
      <c r="K7" s="6"/>
    </row>
    <row r="8" spans="1:12" x14ac:dyDescent="0.25">
      <c r="A8" s="1" t="s">
        <v>5</v>
      </c>
      <c r="I8" s="11"/>
      <c r="J8" s="6"/>
      <c r="K8" s="6"/>
    </row>
    <row r="9" spans="1:12" x14ac:dyDescent="0.25">
      <c r="A9" s="1" t="s">
        <v>6</v>
      </c>
      <c r="I9" s="11"/>
      <c r="J9" s="6"/>
      <c r="K9" s="86"/>
      <c r="L9" s="87"/>
    </row>
    <row r="10" spans="1:12" x14ac:dyDescent="0.25">
      <c r="I10" s="11"/>
      <c r="J10" s="6"/>
      <c r="K10" s="86"/>
      <c r="L10" s="87"/>
    </row>
    <row r="11" spans="1:12" x14ac:dyDescent="0.25">
      <c r="A11" s="15"/>
      <c r="B11" s="20" t="s">
        <v>7</v>
      </c>
      <c r="C11" s="16">
        <v>2023</v>
      </c>
      <c r="D11" s="17">
        <v>2024</v>
      </c>
      <c r="E11" s="18">
        <v>2025</v>
      </c>
      <c r="F11" s="18">
        <v>2026</v>
      </c>
      <c r="G11" s="18">
        <v>2027</v>
      </c>
      <c r="H11" s="18">
        <v>2028</v>
      </c>
      <c r="I11" s="124" t="s">
        <v>76</v>
      </c>
      <c r="K11" s="87"/>
      <c r="L11" s="87"/>
    </row>
    <row r="12" spans="1:12" x14ac:dyDescent="0.25">
      <c r="A12" s="19" t="s">
        <v>8</v>
      </c>
      <c r="B12" s="20" t="s">
        <v>9</v>
      </c>
      <c r="C12" s="21" t="s">
        <v>10</v>
      </c>
      <c r="D12" s="21" t="s">
        <v>10</v>
      </c>
      <c r="E12" s="21" t="s">
        <v>11</v>
      </c>
      <c r="F12" s="21" t="s">
        <v>11</v>
      </c>
      <c r="G12" s="21" t="s">
        <v>11</v>
      </c>
      <c r="H12" s="21" t="s">
        <v>11</v>
      </c>
      <c r="I12" s="125"/>
      <c r="K12" s="87"/>
      <c r="L12" s="87"/>
    </row>
    <row r="13" spans="1:12" x14ac:dyDescent="0.25">
      <c r="A13" s="22" t="s">
        <v>12</v>
      </c>
      <c r="B13" s="23" t="s">
        <v>13</v>
      </c>
      <c r="C13" s="77">
        <f>C14+C15+C16+C20+C23+C26+C29+C32+C35</f>
        <v>1205999.99</v>
      </c>
      <c r="D13" s="77">
        <f>SUM(D14+D16+D20+D23+D26+D29+D32+D35)</f>
        <v>3096610.18</v>
      </c>
      <c r="E13" s="78">
        <f>E14+E15+E16+E20+E23+E26+E29+E32+E35</f>
        <v>5580703.25</v>
      </c>
      <c r="F13" s="78">
        <f>F14+F15+F16+F20+F23+F26+F29+F32+F35</f>
        <v>8888446</v>
      </c>
      <c r="G13" s="109">
        <f>G14+G15+G16+G20+G23+G26+G29+G32+G35</f>
        <v>9358825.5500000007</v>
      </c>
      <c r="H13" s="78">
        <f>H14+H15+H16+H20+H23+H26+H29+H32+H35</f>
        <v>2655336</v>
      </c>
      <c r="I13" s="129">
        <f>C13+D13+E13+F13+G13+H13</f>
        <v>30785920.970000003</v>
      </c>
      <c r="J13" s="118"/>
      <c r="K13" s="128"/>
      <c r="L13" s="88"/>
    </row>
    <row r="14" spans="1:12" x14ac:dyDescent="0.25">
      <c r="A14" s="22" t="s">
        <v>14</v>
      </c>
      <c r="B14" s="23" t="s">
        <v>15</v>
      </c>
      <c r="C14" s="31">
        <v>14695.94</v>
      </c>
      <c r="D14" s="31">
        <v>21543.279999999999</v>
      </c>
      <c r="E14" s="104">
        <v>20963.740000000002</v>
      </c>
      <c r="F14" s="78">
        <v>30000</v>
      </c>
      <c r="G14" s="109">
        <f>44600+1036.26</f>
        <v>45636.26</v>
      </c>
      <c r="H14" s="78">
        <f>44600</f>
        <v>44600</v>
      </c>
      <c r="I14" s="129">
        <f>C14+D14+E14+F14+G14+H14</f>
        <v>177439.22</v>
      </c>
      <c r="J14" s="118"/>
      <c r="K14" s="89"/>
      <c r="L14" s="88"/>
    </row>
    <row r="15" spans="1:12" x14ac:dyDescent="0.25">
      <c r="A15" s="22" t="s">
        <v>16</v>
      </c>
      <c r="B15" s="24" t="s">
        <v>17</v>
      </c>
      <c r="C15" s="31">
        <v>0</v>
      </c>
      <c r="D15" s="31">
        <v>0</v>
      </c>
      <c r="E15" s="105">
        <v>0</v>
      </c>
      <c r="F15" s="79">
        <v>0</v>
      </c>
      <c r="G15" s="110">
        <v>0</v>
      </c>
      <c r="H15" s="83">
        <v>25000</v>
      </c>
      <c r="I15" s="129">
        <f>C15+D15+E15+F15+G15+H15</f>
        <v>25000</v>
      </c>
      <c r="J15" s="118"/>
      <c r="K15" s="90"/>
      <c r="L15" s="88"/>
    </row>
    <row r="16" spans="1:12" ht="36" x14ac:dyDescent="0.25">
      <c r="A16" s="25" t="s">
        <v>19</v>
      </c>
      <c r="B16" s="26" t="s">
        <v>20</v>
      </c>
      <c r="C16" s="27">
        <f>SUM(C17:C19)</f>
        <v>117690.95999999999</v>
      </c>
      <c r="D16" s="27">
        <f>D17+D18+D19</f>
        <v>584295.56000000006</v>
      </c>
      <c r="E16" s="106">
        <f>E17+E18+E19</f>
        <v>722965.79</v>
      </c>
      <c r="F16" s="80">
        <f>F17+F18+F19</f>
        <v>1712905</v>
      </c>
      <c r="G16" s="111">
        <f>G17+G18+G19</f>
        <v>1721186.83</v>
      </c>
      <c r="H16" s="80">
        <f>H17+H18+H19</f>
        <v>0</v>
      </c>
      <c r="I16" s="129">
        <f t="shared" ref="I16:I40" si="0">C16+D16+E16+F16+G16+H16</f>
        <v>4859044.1400000006</v>
      </c>
      <c r="J16" s="118"/>
      <c r="K16" s="91"/>
      <c r="L16" s="88"/>
    </row>
    <row r="17" spans="1:14" x14ac:dyDescent="0.25">
      <c r="A17" s="28" t="s">
        <v>21</v>
      </c>
      <c r="B17" s="29" t="s">
        <v>22</v>
      </c>
      <c r="C17" s="30">
        <v>88586.11</v>
      </c>
      <c r="D17" s="31">
        <v>271186.09000000003</v>
      </c>
      <c r="E17" s="108">
        <f>324294.09</f>
        <v>324294.09000000003</v>
      </c>
      <c r="F17" s="82">
        <f>384905</f>
        <v>384905</v>
      </c>
      <c r="G17" s="112">
        <f>427686-11193.17</f>
        <v>416492.83</v>
      </c>
      <c r="H17" s="81">
        <v>0</v>
      </c>
      <c r="I17" s="129">
        <f t="shared" si="0"/>
        <v>1485464.12</v>
      </c>
      <c r="J17" s="118"/>
      <c r="K17" s="92"/>
      <c r="L17" s="88"/>
    </row>
    <row r="18" spans="1:14" ht="22.8" x14ac:dyDescent="0.25">
      <c r="A18" s="28" t="s">
        <v>23</v>
      </c>
      <c r="B18" s="29" t="s">
        <v>24</v>
      </c>
      <c r="C18" s="30">
        <v>23733.599999999999</v>
      </c>
      <c r="D18" s="30">
        <v>80373.75</v>
      </c>
      <c r="E18" s="108">
        <v>356865.75</v>
      </c>
      <c r="F18" s="81">
        <v>1172900</v>
      </c>
      <c r="G18" s="112">
        <f>1000000+40500</f>
        <v>1040500</v>
      </c>
      <c r="H18" s="81">
        <v>0</v>
      </c>
      <c r="I18" s="129">
        <f t="shared" si="0"/>
        <v>2674373.1</v>
      </c>
      <c r="J18" s="118"/>
      <c r="K18" s="92"/>
      <c r="L18" s="88"/>
    </row>
    <row r="19" spans="1:14" x14ac:dyDescent="0.25">
      <c r="A19" s="28" t="s">
        <v>25</v>
      </c>
      <c r="B19" s="29" t="s">
        <v>26</v>
      </c>
      <c r="C19" s="97">
        <v>5371.25</v>
      </c>
      <c r="D19" s="30">
        <v>232735.72</v>
      </c>
      <c r="E19" s="108">
        <v>41805.949999999997</v>
      </c>
      <c r="F19" s="81">
        <v>155100</v>
      </c>
      <c r="G19" s="112">
        <f>160000+104194</f>
        <v>264194</v>
      </c>
      <c r="H19" s="81">
        <v>0</v>
      </c>
      <c r="I19" s="129">
        <f t="shared" si="0"/>
        <v>699206.91999999993</v>
      </c>
      <c r="J19" s="118"/>
      <c r="K19" s="92"/>
      <c r="L19" s="88"/>
    </row>
    <row r="20" spans="1:14" ht="24" x14ac:dyDescent="0.25">
      <c r="A20" s="28" t="s">
        <v>27</v>
      </c>
      <c r="B20" s="26" t="s">
        <v>28</v>
      </c>
      <c r="C20" s="98">
        <f>SUM(C21:C22)</f>
        <v>150271.74</v>
      </c>
      <c r="D20" s="98">
        <f>SUM(D21+D22)</f>
        <v>473676.13</v>
      </c>
      <c r="E20" s="107">
        <f>E21+E22</f>
        <v>1166652.99</v>
      </c>
      <c r="F20" s="116">
        <f>SUM(F21+F22)</f>
        <v>1680135</v>
      </c>
      <c r="G20" s="113">
        <f>SUM(G21+G22)</f>
        <v>2060620</v>
      </c>
      <c r="H20" s="99">
        <f t="shared" ref="H20" si="1">SUM(H21+H22)</f>
        <v>0</v>
      </c>
      <c r="I20" s="129">
        <f t="shared" si="0"/>
        <v>5531355.8599999994</v>
      </c>
      <c r="J20" s="118"/>
      <c r="K20" s="93"/>
      <c r="L20" s="88"/>
      <c r="M20" s="84"/>
    </row>
    <row r="21" spans="1:14" x14ac:dyDescent="0.25">
      <c r="A21" s="28" t="s">
        <v>29</v>
      </c>
      <c r="B21" s="29" t="s">
        <v>30</v>
      </c>
      <c r="C21" s="100">
        <v>62655.869999999995</v>
      </c>
      <c r="D21" s="30">
        <v>267192.37</v>
      </c>
      <c r="E21" s="108">
        <v>476455.5</v>
      </c>
      <c r="F21" s="112">
        <v>454135</v>
      </c>
      <c r="G21" s="112">
        <f>504681-43959</f>
        <v>460722</v>
      </c>
      <c r="H21" s="81">
        <v>0</v>
      </c>
      <c r="I21" s="129">
        <f t="shared" si="0"/>
        <v>1721160.74</v>
      </c>
      <c r="J21" s="118"/>
      <c r="K21" s="92"/>
      <c r="L21" s="88"/>
    </row>
    <row r="22" spans="1:14" ht="22.8" x14ac:dyDescent="0.25">
      <c r="A22" s="28" t="s">
        <v>31</v>
      </c>
      <c r="B22" s="29" t="s">
        <v>32</v>
      </c>
      <c r="C22" s="30">
        <v>87615.87</v>
      </c>
      <c r="D22" s="30">
        <v>206483.76</v>
      </c>
      <c r="E22" s="108">
        <v>690197.49</v>
      </c>
      <c r="F22" s="117">
        <f>1286000-60000</f>
        <v>1226000</v>
      </c>
      <c r="G22" s="112">
        <f>1636295-36397</f>
        <v>1599898</v>
      </c>
      <c r="H22" s="81">
        <v>0</v>
      </c>
      <c r="I22" s="129">
        <f t="shared" si="0"/>
        <v>3810195.12</v>
      </c>
      <c r="J22" s="118"/>
      <c r="K22" s="92"/>
      <c r="L22" s="88"/>
    </row>
    <row r="23" spans="1:14" ht="24" x14ac:dyDescent="0.25">
      <c r="A23" s="25" t="s">
        <v>33</v>
      </c>
      <c r="B23" s="26" t="s">
        <v>34</v>
      </c>
      <c r="C23" s="27">
        <f>SUM(C24:C25)</f>
        <v>19650.699999999997</v>
      </c>
      <c r="D23" s="27">
        <f>SUM(D24+D25)</f>
        <v>490779.27999999997</v>
      </c>
      <c r="E23" s="106">
        <f>E24+E25</f>
        <v>1072287.54</v>
      </c>
      <c r="F23" s="116">
        <f>SUM(F24+F25)</f>
        <v>1782174</v>
      </c>
      <c r="G23" s="111">
        <f>SUM(G24+G25)</f>
        <v>1891801</v>
      </c>
      <c r="H23" s="80">
        <f t="shared" ref="H23" si="2">SUM(H24+H25)</f>
        <v>1397832</v>
      </c>
      <c r="I23" s="129">
        <f t="shared" si="0"/>
        <v>6654524.5199999996</v>
      </c>
      <c r="J23" s="118"/>
      <c r="K23" s="91"/>
      <c r="L23" s="88"/>
      <c r="M23" s="84"/>
      <c r="N23" s="84"/>
    </row>
    <row r="24" spans="1:14" x14ac:dyDescent="0.25">
      <c r="A24" s="25" t="s">
        <v>35</v>
      </c>
      <c r="B24" s="29" t="s">
        <v>22</v>
      </c>
      <c r="C24" s="30">
        <v>17307.349999999999</v>
      </c>
      <c r="D24" s="30">
        <v>191289.37</v>
      </c>
      <c r="E24" s="108">
        <v>342195.34</v>
      </c>
      <c r="F24" s="117">
        <f>530586-4162</f>
        <v>526424</v>
      </c>
      <c r="G24" s="112">
        <f>557115-15424</f>
        <v>541691</v>
      </c>
      <c r="H24" s="81">
        <v>200000</v>
      </c>
      <c r="I24" s="129">
        <f t="shared" si="0"/>
        <v>1818907.06</v>
      </c>
      <c r="J24" s="118"/>
      <c r="K24" s="92"/>
      <c r="L24" s="88"/>
    </row>
    <row r="25" spans="1:14" ht="22.8" x14ac:dyDescent="0.25">
      <c r="A25" s="25" t="s">
        <v>36</v>
      </c>
      <c r="B25" s="29" t="s">
        <v>37</v>
      </c>
      <c r="C25" s="30">
        <v>2343.35</v>
      </c>
      <c r="D25" s="30">
        <v>299489.90999999997</v>
      </c>
      <c r="E25" s="108">
        <v>730092.2</v>
      </c>
      <c r="F25" s="112">
        <v>1255750</v>
      </c>
      <c r="G25" s="112">
        <f>1369850-19740</f>
        <v>1350110</v>
      </c>
      <c r="H25" s="81">
        <v>1197832</v>
      </c>
      <c r="I25" s="129">
        <f t="shared" si="0"/>
        <v>4835617.46</v>
      </c>
      <c r="J25" s="118"/>
      <c r="K25" s="92"/>
      <c r="L25" s="88"/>
    </row>
    <row r="26" spans="1:14" ht="48" x14ac:dyDescent="0.25">
      <c r="A26" s="25" t="s">
        <v>38</v>
      </c>
      <c r="B26" s="26" t="s">
        <v>39</v>
      </c>
      <c r="C26" s="27">
        <f>SUM(C27:C28)</f>
        <v>416750.71</v>
      </c>
      <c r="D26" s="27">
        <f>SUM(D27+D28)</f>
        <v>272770.55</v>
      </c>
      <c r="E26" s="106">
        <f>E27+E28</f>
        <v>359494.47</v>
      </c>
      <c r="F26" s="111">
        <f t="shared" ref="F26:H26" si="3">SUM(F27+F28)</f>
        <v>649097</v>
      </c>
      <c r="G26" s="111">
        <f>SUM(G27+G28)</f>
        <v>826761.85</v>
      </c>
      <c r="H26" s="80">
        <f t="shared" si="3"/>
        <v>0</v>
      </c>
      <c r="I26" s="129">
        <f t="shared" si="0"/>
        <v>2524874.58</v>
      </c>
      <c r="J26" s="118"/>
      <c r="K26" s="91"/>
      <c r="L26" s="88"/>
    </row>
    <row r="27" spans="1:14" x14ac:dyDescent="0.25">
      <c r="A27" s="25" t="s">
        <v>40</v>
      </c>
      <c r="B27" s="29" t="s">
        <v>22</v>
      </c>
      <c r="C27" s="30">
        <v>143324.12</v>
      </c>
      <c r="D27" s="30">
        <v>65074.83</v>
      </c>
      <c r="E27" s="108">
        <v>62814.3</v>
      </c>
      <c r="F27" s="112">
        <v>95097</v>
      </c>
      <c r="G27" s="112">
        <f>(F27+F27*0.05)-17814</f>
        <v>82037.850000000006</v>
      </c>
      <c r="H27" s="81">
        <v>0</v>
      </c>
      <c r="I27" s="129">
        <f t="shared" si="0"/>
        <v>448348.1</v>
      </c>
      <c r="J27" s="118"/>
      <c r="K27" s="92"/>
      <c r="L27" s="88"/>
    </row>
    <row r="28" spans="1:14" ht="34.200000000000003" x14ac:dyDescent="0.25">
      <c r="A28" s="25" t="s">
        <v>41</v>
      </c>
      <c r="B28" s="29" t="s">
        <v>42</v>
      </c>
      <c r="C28" s="30">
        <v>273426.59000000003</v>
      </c>
      <c r="D28" s="30">
        <v>207695.72</v>
      </c>
      <c r="E28" s="108">
        <v>296680.17</v>
      </c>
      <c r="F28" s="112">
        <v>554000</v>
      </c>
      <c r="G28" s="112">
        <f>800000-55276</f>
        <v>744724</v>
      </c>
      <c r="H28" s="81">
        <v>0</v>
      </c>
      <c r="I28" s="129">
        <f t="shared" si="0"/>
        <v>2076526.48</v>
      </c>
      <c r="J28" s="118"/>
      <c r="K28" s="92"/>
      <c r="L28" s="88"/>
    </row>
    <row r="29" spans="1:14" ht="36" x14ac:dyDescent="0.25">
      <c r="A29" s="32" t="s">
        <v>43</v>
      </c>
      <c r="B29" s="33" t="s">
        <v>44</v>
      </c>
      <c r="C29" s="98">
        <f t="shared" ref="C29" si="4">SUM(C30:C31)</f>
        <v>472654.24</v>
      </c>
      <c r="D29" s="27">
        <f>SUM(D30+D31)</f>
        <v>863645.4</v>
      </c>
      <c r="E29" s="106">
        <f>E30+E31</f>
        <v>1599977.8399999999</v>
      </c>
      <c r="F29" s="116">
        <f t="shared" ref="F29:H29" si="5">SUM(F30+F31)</f>
        <v>1413973</v>
      </c>
      <c r="G29" s="111">
        <f t="shared" si="5"/>
        <v>1437160.65</v>
      </c>
      <c r="H29" s="80">
        <f t="shared" si="5"/>
        <v>0</v>
      </c>
      <c r="I29" s="129">
        <f t="shared" si="0"/>
        <v>5787411.1300000008</v>
      </c>
      <c r="J29" s="118"/>
      <c r="K29" s="91"/>
      <c r="L29" s="88"/>
    </row>
    <row r="30" spans="1:14" x14ac:dyDescent="0.25">
      <c r="A30" s="25" t="s">
        <v>45</v>
      </c>
      <c r="B30" s="29" t="s">
        <v>22</v>
      </c>
      <c r="C30" s="30">
        <v>125914.24000000002</v>
      </c>
      <c r="D30" s="30">
        <v>218552.54</v>
      </c>
      <c r="E30" s="108">
        <v>291962.39</v>
      </c>
      <c r="F30" s="112">
        <v>361973</v>
      </c>
      <c r="G30" s="112">
        <f>(F30+F30*0.05)+16803</f>
        <v>396874.65</v>
      </c>
      <c r="H30" s="81">
        <v>0</v>
      </c>
      <c r="I30" s="129">
        <f t="shared" si="0"/>
        <v>1395276.82</v>
      </c>
      <c r="J30" s="118"/>
      <c r="K30" s="92"/>
      <c r="L30" s="88"/>
    </row>
    <row r="31" spans="1:14" ht="34.200000000000003" x14ac:dyDescent="0.25">
      <c r="A31" s="25" t="s">
        <v>46</v>
      </c>
      <c r="B31" s="29" t="s">
        <v>47</v>
      </c>
      <c r="C31" s="30">
        <v>346740</v>
      </c>
      <c r="D31" s="34">
        <v>645092.86</v>
      </c>
      <c r="E31" s="108">
        <v>1308015.45</v>
      </c>
      <c r="F31" s="117">
        <f>992000+60000</f>
        <v>1052000</v>
      </c>
      <c r="G31" s="112">
        <f>1000000+40286</f>
        <v>1040286</v>
      </c>
      <c r="H31" s="81">
        <v>0</v>
      </c>
      <c r="I31" s="129">
        <f t="shared" si="0"/>
        <v>4392134.3100000005</v>
      </c>
      <c r="J31" s="118"/>
      <c r="K31" s="92"/>
      <c r="L31" s="88"/>
    </row>
    <row r="32" spans="1:14" ht="24" x14ac:dyDescent="0.25">
      <c r="A32" s="32" t="s">
        <v>48</v>
      </c>
      <c r="B32" s="35" t="s">
        <v>49</v>
      </c>
      <c r="C32" s="98">
        <f t="shared" ref="C32" si="6">SUM(C33:C33)</f>
        <v>0</v>
      </c>
      <c r="D32" s="98">
        <f>D33+D34</f>
        <v>214546.4</v>
      </c>
      <c r="E32" s="107">
        <f>E33+E34</f>
        <v>262599.83999999997</v>
      </c>
      <c r="F32" s="113">
        <f t="shared" ref="F32:H32" si="7">F33+F34</f>
        <v>306000</v>
      </c>
      <c r="G32" s="113">
        <f t="shared" si="7"/>
        <v>305497</v>
      </c>
      <c r="H32" s="99">
        <f t="shared" si="7"/>
        <v>0</v>
      </c>
      <c r="I32" s="129">
        <f>C32+D32+E32+F32+G32+H32</f>
        <v>1088643.24</v>
      </c>
      <c r="J32" s="118"/>
      <c r="K32" s="93"/>
      <c r="L32" s="88"/>
    </row>
    <row r="33" spans="1:21" ht="22.8" x14ac:dyDescent="0.25">
      <c r="A33" s="25" t="s">
        <v>50</v>
      </c>
      <c r="B33" s="29" t="s">
        <v>51</v>
      </c>
      <c r="C33" s="100">
        <v>0</v>
      </c>
      <c r="D33" s="100">
        <v>206443.83</v>
      </c>
      <c r="E33" s="119">
        <v>254214.34</v>
      </c>
      <c r="F33" s="114">
        <v>296000</v>
      </c>
      <c r="G33" s="114">
        <f>250000+45786</f>
        <v>295786</v>
      </c>
      <c r="H33" s="101">
        <v>0</v>
      </c>
      <c r="I33" s="129">
        <f t="shared" si="0"/>
        <v>1052444.17</v>
      </c>
      <c r="J33" s="118"/>
      <c r="K33" s="94"/>
      <c r="L33" s="88"/>
    </row>
    <row r="34" spans="1:21" x14ac:dyDescent="0.25">
      <c r="A34" s="25" t="s">
        <v>52</v>
      </c>
      <c r="B34" s="29" t="s">
        <v>53</v>
      </c>
      <c r="C34" s="100">
        <v>0</v>
      </c>
      <c r="D34" s="30">
        <v>8102.57</v>
      </c>
      <c r="E34" s="119">
        <v>8385.5</v>
      </c>
      <c r="F34" s="114">
        <v>10000</v>
      </c>
      <c r="G34" s="114">
        <f>10000-289</f>
        <v>9711</v>
      </c>
      <c r="H34" s="101">
        <v>0</v>
      </c>
      <c r="I34" s="129">
        <f t="shared" si="0"/>
        <v>36199.07</v>
      </c>
      <c r="J34" s="118"/>
      <c r="K34" s="94"/>
      <c r="L34" s="88"/>
    </row>
    <row r="35" spans="1:21" ht="27" customHeight="1" x14ac:dyDescent="0.25">
      <c r="A35" s="32" t="s">
        <v>54</v>
      </c>
      <c r="B35" s="33" t="s">
        <v>55</v>
      </c>
      <c r="C35" s="98">
        <f>SUM(C36:C37)</f>
        <v>14285.7</v>
      </c>
      <c r="D35" s="27">
        <f>D36+D37</f>
        <v>175353.58</v>
      </c>
      <c r="E35" s="106">
        <f>E36+E37</f>
        <v>375761.04</v>
      </c>
      <c r="F35" s="116">
        <f t="shared" ref="F35:G35" si="8">F36+F37</f>
        <v>1314162</v>
      </c>
      <c r="G35" s="111">
        <f t="shared" si="8"/>
        <v>1070161.96</v>
      </c>
      <c r="H35" s="80">
        <v>1187904</v>
      </c>
      <c r="I35" s="129">
        <f t="shared" si="0"/>
        <v>4137628.28</v>
      </c>
      <c r="J35" s="118"/>
      <c r="K35" s="95"/>
      <c r="L35" s="88"/>
    </row>
    <row r="36" spans="1:21" x14ac:dyDescent="0.25">
      <c r="A36" s="25" t="s">
        <v>56</v>
      </c>
      <c r="B36" s="29" t="s">
        <v>22</v>
      </c>
      <c r="C36" s="100">
        <v>0</v>
      </c>
      <c r="D36" s="30">
        <v>0</v>
      </c>
      <c r="E36" s="119">
        <v>0</v>
      </c>
      <c r="F36" s="117">
        <v>4162</v>
      </c>
      <c r="G36" s="115">
        <v>0</v>
      </c>
      <c r="H36" s="102">
        <v>0</v>
      </c>
      <c r="I36" s="129">
        <f>C36+D36+E36+F36+G36+H36</f>
        <v>4162</v>
      </c>
      <c r="J36" s="118"/>
      <c r="K36" s="94"/>
      <c r="L36" s="88"/>
    </row>
    <row r="37" spans="1:21" x14ac:dyDescent="0.25">
      <c r="A37" s="25" t="s">
        <v>57</v>
      </c>
      <c r="B37" s="37" t="s">
        <v>58</v>
      </c>
      <c r="C37" s="30">
        <v>14285.7</v>
      </c>
      <c r="D37" s="30">
        <v>175353.58</v>
      </c>
      <c r="E37" s="108">
        <v>375761.04</v>
      </c>
      <c r="F37" s="112">
        <v>1310000</v>
      </c>
      <c r="G37" s="112">
        <f>1200000-129838.04</f>
        <v>1070161.96</v>
      </c>
      <c r="H37" s="81">
        <v>1187904</v>
      </c>
      <c r="I37" s="129">
        <f t="shared" si="0"/>
        <v>4133466.28</v>
      </c>
      <c r="J37" s="118"/>
      <c r="K37" s="96"/>
      <c r="L37" s="88"/>
    </row>
    <row r="38" spans="1:21" x14ac:dyDescent="0.25">
      <c r="A38" s="25" t="s">
        <v>59</v>
      </c>
      <c r="B38" s="26" t="s">
        <v>60</v>
      </c>
      <c r="C38" s="38">
        <f>C40*0.15+0.13</f>
        <v>67872.674500000008</v>
      </c>
      <c r="D38" s="27">
        <f>D40*0.15</f>
        <v>156441.15749999997</v>
      </c>
      <c r="E38" s="106">
        <v>229061.02</v>
      </c>
      <c r="F38" s="80">
        <f t="shared" ref="F38:H38" si="9">F40*0.15</f>
        <v>280004.39999999997</v>
      </c>
      <c r="G38" s="111">
        <f>G40*0.15</f>
        <v>292974.83850000001</v>
      </c>
      <c r="H38" s="80">
        <f t="shared" si="9"/>
        <v>36690</v>
      </c>
      <c r="I38" s="129">
        <f t="shared" si="0"/>
        <v>1063044.0904999999</v>
      </c>
      <c r="J38" s="118"/>
      <c r="K38" s="91"/>
      <c r="L38" s="88"/>
    </row>
    <row r="39" spans="1:21" x14ac:dyDescent="0.25">
      <c r="A39" s="25" t="s">
        <v>61</v>
      </c>
      <c r="B39" s="39" t="s">
        <v>62</v>
      </c>
      <c r="C39" s="38">
        <f t="shared" ref="C39:H39" si="10">C13+C38</f>
        <v>1273872.6645</v>
      </c>
      <c r="D39" s="27">
        <f>D13+D38</f>
        <v>3253051.3375000004</v>
      </c>
      <c r="E39" s="27">
        <f>E13+E38</f>
        <v>5809764.2699999996</v>
      </c>
      <c r="F39" s="80">
        <f>F13+F38</f>
        <v>9168450.4000000004</v>
      </c>
      <c r="G39" s="111">
        <f>G13+G38</f>
        <v>9651800.3885000013</v>
      </c>
      <c r="H39" s="80">
        <f t="shared" si="10"/>
        <v>2692026</v>
      </c>
      <c r="I39" s="129">
        <f>C39+D39+E39+F39+G39+H39</f>
        <v>31848965.0605</v>
      </c>
      <c r="J39" s="118"/>
      <c r="K39" s="91"/>
      <c r="L39" s="88"/>
      <c r="M39" s="36"/>
    </row>
    <row r="40" spans="1:21" x14ac:dyDescent="0.25">
      <c r="A40" s="40" t="s">
        <v>63</v>
      </c>
      <c r="B40" s="39" t="s">
        <v>64</v>
      </c>
      <c r="C40" s="103">
        <f>C14+C17+C21+C24+C27+C30+C36</f>
        <v>452483.63</v>
      </c>
      <c r="D40" s="100">
        <f>D14+D17+D21+D24+D27+D30+D34+D36</f>
        <v>1042941.0499999999</v>
      </c>
      <c r="E40" s="119">
        <v>1527071</v>
      </c>
      <c r="F40" s="101">
        <f>F14+F17+F21+F24+F27+F30+F34+F36</f>
        <v>1866696</v>
      </c>
      <c r="G40" s="114">
        <f>G14+G17+G21+G24+G27+G30+G34+G36</f>
        <v>1953165.5900000003</v>
      </c>
      <c r="H40" s="101">
        <f t="shared" ref="H40" si="11">H14+H17+H21+H24+H27+H30+H34+H36</f>
        <v>244600</v>
      </c>
      <c r="I40" s="129">
        <f t="shared" si="0"/>
        <v>7086957.2699999996</v>
      </c>
      <c r="J40" s="118"/>
      <c r="K40" s="94"/>
      <c r="L40" s="88"/>
    </row>
    <row r="41" spans="1:21" x14ac:dyDescent="0.25">
      <c r="G41" s="85"/>
      <c r="K41" s="87"/>
      <c r="L41" s="87"/>
    </row>
    <row r="42" spans="1:21" x14ac:dyDescent="0.25">
      <c r="A42" s="41" t="s">
        <v>65</v>
      </c>
      <c r="B42" s="42"/>
      <c r="C42" s="43"/>
      <c r="D42" s="44"/>
      <c r="E42" s="43" t="s">
        <v>18</v>
      </c>
      <c r="F42" s="43"/>
      <c r="G42" s="43"/>
      <c r="H42" s="43"/>
      <c r="I42" s="45"/>
      <c r="J42" s="44"/>
      <c r="K42" s="45"/>
      <c r="L42" s="44"/>
      <c r="M42" s="44"/>
      <c r="N42" s="44"/>
      <c r="O42" s="44"/>
      <c r="P42" s="44"/>
    </row>
    <row r="43" spans="1:21" ht="12.6" thickBot="1" x14ac:dyDescent="0.3">
      <c r="A43" s="46"/>
      <c r="B43" s="47"/>
      <c r="C43" s="45"/>
      <c r="D43" s="44"/>
      <c r="E43" s="45"/>
      <c r="F43" s="45"/>
      <c r="G43" s="45"/>
      <c r="H43" s="45"/>
      <c r="I43" s="45"/>
      <c r="J43" s="45"/>
      <c r="K43" s="45"/>
      <c r="L43" s="44"/>
      <c r="M43" s="44"/>
      <c r="N43" s="44"/>
      <c r="O43" s="44"/>
      <c r="P43" s="44"/>
      <c r="Q43" s="3"/>
      <c r="R43" s="3"/>
      <c r="S43" s="3"/>
      <c r="T43" s="3"/>
      <c r="U43" s="3"/>
    </row>
    <row r="44" spans="1:21" x14ac:dyDescent="0.25">
      <c r="A44" s="48"/>
      <c r="B44" s="49" t="s">
        <v>7</v>
      </c>
      <c r="C44" s="126">
        <v>2023</v>
      </c>
      <c r="D44" s="127"/>
      <c r="E44" s="126">
        <v>2024</v>
      </c>
      <c r="F44" s="127"/>
      <c r="G44" s="126">
        <v>2025</v>
      </c>
      <c r="H44" s="127"/>
      <c r="I44" s="126">
        <v>2026</v>
      </c>
      <c r="J44" s="127"/>
      <c r="K44" s="126">
        <v>2027</v>
      </c>
      <c r="L44" s="127"/>
      <c r="M44" s="126">
        <v>2028</v>
      </c>
      <c r="N44" s="127"/>
      <c r="O44" s="122" t="s">
        <v>66</v>
      </c>
      <c r="P44" s="123"/>
      <c r="Q44" s="3"/>
      <c r="R44" s="3"/>
      <c r="S44" s="3"/>
      <c r="T44" s="3"/>
      <c r="U44" s="3"/>
    </row>
    <row r="45" spans="1:21" ht="24" x14ac:dyDescent="0.25">
      <c r="A45" s="50" t="s">
        <v>8</v>
      </c>
      <c r="B45" s="51" t="s">
        <v>67</v>
      </c>
      <c r="C45" s="52" t="s">
        <v>68</v>
      </c>
      <c r="D45" s="52" t="s">
        <v>69</v>
      </c>
      <c r="E45" s="52" t="s">
        <v>68</v>
      </c>
      <c r="F45" s="53" t="s">
        <v>69</v>
      </c>
      <c r="G45" s="52" t="s">
        <v>68</v>
      </c>
      <c r="H45" s="53" t="s">
        <v>69</v>
      </c>
      <c r="I45" s="52" t="s">
        <v>68</v>
      </c>
      <c r="J45" s="53" t="s">
        <v>69</v>
      </c>
      <c r="K45" s="52" t="s">
        <v>68</v>
      </c>
      <c r="L45" s="53" t="s">
        <v>69</v>
      </c>
      <c r="M45" s="52" t="s">
        <v>68</v>
      </c>
      <c r="N45" s="53" t="s">
        <v>69</v>
      </c>
      <c r="O45" s="52" t="s">
        <v>68</v>
      </c>
      <c r="P45" s="54" t="s">
        <v>69</v>
      </c>
    </row>
    <row r="46" spans="1:21" x14ac:dyDescent="0.25">
      <c r="A46" s="55">
        <v>1</v>
      </c>
      <c r="B46" s="56" t="s">
        <v>70</v>
      </c>
      <c r="C46" s="57">
        <f>C39</f>
        <v>1273872.6645</v>
      </c>
      <c r="D46" s="58"/>
      <c r="E46" s="57">
        <f>D39</f>
        <v>3253051.3375000004</v>
      </c>
      <c r="F46" s="59"/>
      <c r="G46" s="57">
        <f>E39</f>
        <v>5809764.2699999996</v>
      </c>
      <c r="H46" s="59"/>
      <c r="I46" s="57">
        <f>F39</f>
        <v>9168450.4000000004</v>
      </c>
      <c r="J46" s="59"/>
      <c r="K46" s="57">
        <f>G39</f>
        <v>9651800.3885000013</v>
      </c>
      <c r="L46" s="59"/>
      <c r="M46" s="60">
        <f>H39</f>
        <v>2692026</v>
      </c>
      <c r="N46" s="59"/>
      <c r="O46" s="57">
        <f>C46+E46+G46+I46+K46+M46</f>
        <v>31848965.0605</v>
      </c>
      <c r="P46" s="61"/>
    </row>
    <row r="47" spans="1:21" x14ac:dyDescent="0.25">
      <c r="A47" s="55">
        <v>2</v>
      </c>
      <c r="B47" s="39" t="s">
        <v>71</v>
      </c>
      <c r="C47" s="57">
        <f>C48+C49</f>
        <v>1273872.6645</v>
      </c>
      <c r="D47" s="60">
        <f>C47/C46*100</f>
        <v>100</v>
      </c>
      <c r="E47" s="57">
        <f>E48+E49</f>
        <v>3253051.3375000004</v>
      </c>
      <c r="F47" s="60">
        <f>E47/E46*100</f>
        <v>100</v>
      </c>
      <c r="G47" s="57">
        <f>G48+G49</f>
        <v>5809764.2699999996</v>
      </c>
      <c r="H47" s="62">
        <f>G47/G46*100</f>
        <v>100</v>
      </c>
      <c r="I47" s="57">
        <f>I48+I49</f>
        <v>9168450.4000000004</v>
      </c>
      <c r="J47" s="62">
        <f>I47/I46*100</f>
        <v>100</v>
      </c>
      <c r="K47" s="57">
        <f>K48+K49</f>
        <v>9651800.3885000013</v>
      </c>
      <c r="L47" s="62">
        <f>K47/K46*100</f>
        <v>100</v>
      </c>
      <c r="M47" s="60">
        <f>M48+M49</f>
        <v>2692026</v>
      </c>
      <c r="N47" s="62">
        <f>M47/M46*100</f>
        <v>100</v>
      </c>
      <c r="O47" s="60">
        <f>O46</f>
        <v>31848965.0605</v>
      </c>
      <c r="P47" s="63">
        <f>O47/O46*100</f>
        <v>100</v>
      </c>
    </row>
    <row r="48" spans="1:21" x14ac:dyDescent="0.25">
      <c r="A48" s="64" t="s">
        <v>19</v>
      </c>
      <c r="B48" s="65" t="s">
        <v>72</v>
      </c>
      <c r="C48" s="120">
        <f>C46*0.7</f>
        <v>891710.86514999997</v>
      </c>
      <c r="D48" s="66">
        <v>70</v>
      </c>
      <c r="E48" s="120">
        <f>E46*70/100</f>
        <v>2277135.9362500003</v>
      </c>
      <c r="F48" s="67">
        <v>70</v>
      </c>
      <c r="G48" s="120">
        <f>G46*70/100</f>
        <v>4066834.9889999996</v>
      </c>
      <c r="H48" s="68">
        <v>70</v>
      </c>
      <c r="I48" s="120">
        <f>I46*70/100</f>
        <v>6417915.2800000003</v>
      </c>
      <c r="J48" s="68">
        <v>70</v>
      </c>
      <c r="K48" s="120">
        <f>K46*70/100</f>
        <v>6756260.2719500009</v>
      </c>
      <c r="L48" s="68">
        <v>70</v>
      </c>
      <c r="M48" s="66">
        <f>M46*70/100</f>
        <v>1884418.2</v>
      </c>
      <c r="N48" s="68">
        <v>70</v>
      </c>
      <c r="O48" s="66">
        <f>O46*70/100</f>
        <v>22294275.542350002</v>
      </c>
      <c r="P48" s="69">
        <v>70</v>
      </c>
    </row>
    <row r="49" spans="1:16" ht="12.6" thickBot="1" x14ac:dyDescent="0.3">
      <c r="A49" s="70" t="s">
        <v>27</v>
      </c>
      <c r="B49" s="71" t="s">
        <v>73</v>
      </c>
      <c r="C49" s="121">
        <f>C46*0.3</f>
        <v>382161.79934999999</v>
      </c>
      <c r="D49" s="72">
        <v>30</v>
      </c>
      <c r="E49" s="121">
        <f>E46*30/100</f>
        <v>975915.40125000011</v>
      </c>
      <c r="F49" s="73">
        <v>30</v>
      </c>
      <c r="G49" s="121">
        <f>G46*30/100</f>
        <v>1742929.281</v>
      </c>
      <c r="H49" s="74">
        <v>30</v>
      </c>
      <c r="I49" s="121">
        <f>I46*30/100</f>
        <v>2750535.12</v>
      </c>
      <c r="J49" s="74">
        <v>30</v>
      </c>
      <c r="K49" s="121">
        <f>K46*30/100</f>
        <v>2895540.1165500004</v>
      </c>
      <c r="L49" s="74">
        <v>30</v>
      </c>
      <c r="M49" s="75">
        <f>M46*30/100</f>
        <v>807607.8</v>
      </c>
      <c r="N49" s="74">
        <v>30</v>
      </c>
      <c r="O49" s="72">
        <f>O46*30/100</f>
        <v>9554689.5181499999</v>
      </c>
      <c r="P49" s="76">
        <v>30</v>
      </c>
    </row>
  </sheetData>
  <mergeCells count="8">
    <mergeCell ref="O44:P44"/>
    <mergeCell ref="I11:I12"/>
    <mergeCell ref="C44:D44"/>
    <mergeCell ref="E44:F44"/>
    <mergeCell ref="G44:H44"/>
    <mergeCell ref="I44:J44"/>
    <mergeCell ref="K44:L44"/>
    <mergeCell ref="M44:N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adef74-251f-42fc-9024-6df5c4e3f36b" xsi:nil="true"/>
    <lcf76f155ced4ddcb4097134ff3c332f xmlns="1ade1d93-9233-43d5-9b98-da0cbf1d2e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ACCEEE999F7848977B87A9F7B69648" ma:contentTypeVersion="10" ma:contentTypeDescription="Loo uus dokument" ma:contentTypeScope="" ma:versionID="f02672792ebe2cdb476847ce8f426007">
  <xsd:schema xmlns:xsd="http://www.w3.org/2001/XMLSchema" xmlns:xs="http://www.w3.org/2001/XMLSchema" xmlns:p="http://schemas.microsoft.com/office/2006/metadata/properties" xmlns:ns2="1ade1d93-9233-43d5-9b98-da0cbf1d2e2d" xmlns:ns3="08adef74-251f-42fc-9024-6df5c4e3f36b" targetNamespace="http://schemas.microsoft.com/office/2006/metadata/properties" ma:root="true" ma:fieldsID="5478142df6101b9c5f7ed8c62361669f" ns2:_="" ns3:_="">
    <xsd:import namespace="1ade1d93-9233-43d5-9b98-da0cbf1d2e2d"/>
    <xsd:import namespace="08adef74-251f-42fc-9024-6df5c4e3f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e1d93-9233-43d5-9b98-da0cbf1d2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def74-251f-42fc-9024-6df5c4e3f3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0d2d6d2-f65b-4c89-ab29-d96283ed764a}" ma:internalName="TaxCatchAll" ma:showField="CatchAllData" ma:web="08adef74-251f-42fc-9024-6df5c4e3f3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2C566-9F6D-480D-9E28-6514DA2FAF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1D4EF7-CE8C-44DA-BCCD-88C89E64283C}">
  <ds:schemaRefs>
    <ds:schemaRef ds:uri="http://www.w3.org/XML/1998/namespace"/>
    <ds:schemaRef ds:uri="http://purl.org/dc/elements/1.1/"/>
    <ds:schemaRef ds:uri="1ade1d93-9233-43d5-9b98-da0cbf1d2e2d"/>
    <ds:schemaRef ds:uri="http://purl.org/dc/dcmitype/"/>
    <ds:schemaRef ds:uri="http://schemas.openxmlformats.org/package/2006/metadata/core-properties"/>
    <ds:schemaRef ds:uri="08adef74-251f-42fc-9024-6df5c4e3f36b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A47B2D-04E5-44DF-9525-CADCBAB1C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e1d93-9233-43d5-9b98-da0cbf1d2e2d"/>
    <ds:schemaRef ds:uri="08adef74-251f-42fc-9024-6df5c4e3f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Juurik - SOM</dc:creator>
  <cp:keywords/>
  <dc:description/>
  <cp:lastModifiedBy>Kristi Suur - SOM</cp:lastModifiedBy>
  <cp:revision/>
  <dcterms:created xsi:type="dcterms:W3CDTF">2024-12-26T17:23:48Z</dcterms:created>
  <dcterms:modified xsi:type="dcterms:W3CDTF">2026-06-30T09:21:59Z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2024-12-26T17:44:25Z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c7239ee4-569b-483f-a779-b871e99e7441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0x01010028ACCEEE999F7848977B87A9F7B69648</vt:lpwstr>
  </property>
  <property fmtid="{D5CDD505-2E9C-101B-9397-08002B2CF9AE}" pid="10" name="MediaServiceImageTags">
    <vt:lpwstr/>
  </property>
</Properties>
</file>