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_Baltijas_valstis\Baltijas sarakste _2017_2024\2025\"/>
    </mc:Choice>
  </mc:AlternateContent>
  <xr:revisionPtr revIDLastSave="0" documentId="13_ncr:1_{FFA3D567-07E5-4EB3-A0E7-BDE527BB1F09}" xr6:coauthVersionLast="47" xr6:coauthVersionMax="47" xr10:uidLastSave="{00000000-0000-0000-0000-000000000000}"/>
  <bookViews>
    <workbookView xWindow="-108" yWindow="-108" windowWidth="23256" windowHeight="12576" xr2:uid="{52817F11-DA33-4FBD-89C5-6CF49B769654}"/>
  </bookViews>
  <sheets>
    <sheet name="LATVIJA_LATVIA" sheetId="1" r:id="rId1"/>
    <sheet name="IGAUNIJA_ESTONIA" sheetId="2" r:id="rId2"/>
    <sheet name="LIETUVA_LITHUANIA" sheetId="3" r:id="rId3"/>
    <sheet name="Salary_calculator_2024_2026" sheetId="5" r:id="rId4"/>
    <sheet name="Baltic_states_revenue" sheetId="4" r:id="rId5"/>
  </sheets>
  <externalReferences>
    <externalReference r:id="rId6"/>
    <externalReference r:id="rId7"/>
    <externalReference r:id="rId8"/>
    <externalReference r:id="rId9"/>
  </externalReferences>
  <definedNames>
    <definedName name="___a1" localSheetId="4" hidden="1">{"vvv",#N/A,FALSE,"Kopbudz."}</definedName>
    <definedName name="___a1" localSheetId="1" hidden="1">{"vvv",#N/A,FALSE,"Kopbudz."}</definedName>
    <definedName name="___a1" localSheetId="0" hidden="1">{"vvv",#N/A,FALSE,"Kopbudz."}</definedName>
    <definedName name="___a1" localSheetId="2" hidden="1">{"vvv",#N/A,FALSE,"Kopbudz."}</definedName>
    <definedName name="___a1" localSheetId="3" hidden="1">{"vvv",#N/A,FALSE,"Kopbudz."}</definedName>
    <definedName name="___a1" hidden="1">{"vvv",#N/A,FALSE,"Kopbudz."}</definedName>
    <definedName name="___a10" localSheetId="4" hidden="1">{"L_kopbudz.",#N/A,FALSE,"Kopbudz."}</definedName>
    <definedName name="___a10" localSheetId="1" hidden="1">{"L_kopbudz.",#N/A,FALSE,"Kopbudz."}</definedName>
    <definedName name="___a10" localSheetId="0" hidden="1">{"L_kopbudz.",#N/A,FALSE,"Kopbudz."}</definedName>
    <definedName name="___a10" localSheetId="2" hidden="1">{"L_kopbudz.",#N/A,FALSE,"Kopbudz."}</definedName>
    <definedName name="___a10" localSheetId="3" hidden="1">{"L_kopbudz.",#N/A,FALSE,"Kopbudz."}</definedName>
    <definedName name="___a10" hidden="1">{"L_kopbudz.",#N/A,FALSE,"Kopbudz."}</definedName>
    <definedName name="___a11" localSheetId="4" hidden="1">{"vvv",#N/A,FALSE,"Kopbudz."}</definedName>
    <definedName name="___a11" localSheetId="1" hidden="1">{"vvv",#N/A,FALSE,"Kopbudz."}</definedName>
    <definedName name="___a11" localSheetId="0" hidden="1">{"vvv",#N/A,FALSE,"Kopbudz."}</definedName>
    <definedName name="___a11" localSheetId="2" hidden="1">{"vvv",#N/A,FALSE,"Kopbudz."}</definedName>
    <definedName name="___a11" localSheetId="3" hidden="1">{"vvv",#N/A,FALSE,"Kopbudz."}</definedName>
    <definedName name="___a11" hidden="1">{"vvv",#N/A,FALSE,"Kopbudz."}</definedName>
    <definedName name="___a12" localSheetId="4" hidden="1">{"L_kopbudz.",#N/A,FALSE,"Kopbudz."}</definedName>
    <definedName name="___a12" localSheetId="1" hidden="1">{"L_kopbudz.",#N/A,FALSE,"Kopbudz."}</definedName>
    <definedName name="___a12" localSheetId="0" hidden="1">{"L_kopbudz.",#N/A,FALSE,"Kopbudz."}</definedName>
    <definedName name="___a12" localSheetId="2" hidden="1">{"L_kopbudz.",#N/A,FALSE,"Kopbudz."}</definedName>
    <definedName name="___a12" localSheetId="3" hidden="1">{"L_kopbudz.",#N/A,FALSE,"Kopbudz."}</definedName>
    <definedName name="___a12" hidden="1">{"L_kopbudz.",#N/A,FALSE,"Kopbudz."}</definedName>
    <definedName name="___a2" localSheetId="4" hidden="1">{"L_kopbudz.",#N/A,FALSE,"Kopbudz."}</definedName>
    <definedName name="___a2" localSheetId="1" hidden="1">{"L_kopbudz.",#N/A,FALSE,"Kopbudz."}</definedName>
    <definedName name="___a2" localSheetId="0" hidden="1">{"L_kopbudz.",#N/A,FALSE,"Kopbudz."}</definedName>
    <definedName name="___a2" localSheetId="2" hidden="1">{"L_kopbudz.",#N/A,FALSE,"Kopbudz."}</definedName>
    <definedName name="___a2" localSheetId="3" hidden="1">{"L_kopbudz.",#N/A,FALSE,"Kopbudz."}</definedName>
    <definedName name="___a2" hidden="1">{"L_kopbudz.",#N/A,FALSE,"Kopbudz."}</definedName>
    <definedName name="___a3" localSheetId="4" hidden="1">{"vvv",#N/A,FALSE,"Kopbudz."}</definedName>
    <definedName name="___a3" localSheetId="1" hidden="1">{"vvv",#N/A,FALSE,"Kopbudz."}</definedName>
    <definedName name="___a3" localSheetId="0" hidden="1">{"vvv",#N/A,FALSE,"Kopbudz."}</definedName>
    <definedName name="___a3" localSheetId="2" hidden="1">{"vvv",#N/A,FALSE,"Kopbudz."}</definedName>
    <definedName name="___a3" localSheetId="3" hidden="1">{"vvv",#N/A,FALSE,"Kopbudz."}</definedName>
    <definedName name="___a3" hidden="1">{"vvv",#N/A,FALSE,"Kopbudz."}</definedName>
    <definedName name="___a4" localSheetId="4" hidden="1">{"L_kopbudz.",#N/A,FALSE,"Kopbudz."}</definedName>
    <definedName name="___a4" localSheetId="1" hidden="1">{"L_kopbudz.",#N/A,FALSE,"Kopbudz."}</definedName>
    <definedName name="___a4" localSheetId="0" hidden="1">{"L_kopbudz.",#N/A,FALSE,"Kopbudz."}</definedName>
    <definedName name="___a4" localSheetId="2" hidden="1">{"L_kopbudz.",#N/A,FALSE,"Kopbudz."}</definedName>
    <definedName name="___a4" localSheetId="3" hidden="1">{"L_kopbudz.",#N/A,FALSE,"Kopbudz."}</definedName>
    <definedName name="___a4" hidden="1">{"L_kopbudz.",#N/A,FALSE,"Kopbudz."}</definedName>
    <definedName name="___a5" localSheetId="4" hidden="1">{"vvv",#N/A,FALSE,"Kopbudz."}</definedName>
    <definedName name="___a5" localSheetId="1" hidden="1">{"vvv",#N/A,FALSE,"Kopbudz."}</definedName>
    <definedName name="___a5" localSheetId="0" hidden="1">{"vvv",#N/A,FALSE,"Kopbudz."}</definedName>
    <definedName name="___a5" localSheetId="2" hidden="1">{"vvv",#N/A,FALSE,"Kopbudz."}</definedName>
    <definedName name="___a5" localSheetId="3" hidden="1">{"vvv",#N/A,FALSE,"Kopbudz."}</definedName>
    <definedName name="___a5" hidden="1">{"vvv",#N/A,FALSE,"Kopbudz."}</definedName>
    <definedName name="___a6" localSheetId="4" hidden="1">{"vvv",#N/A,FALSE,"Kopbudz."}</definedName>
    <definedName name="___a6" localSheetId="1" hidden="1">{"vvv",#N/A,FALSE,"Kopbudz."}</definedName>
    <definedName name="___a6" localSheetId="0" hidden="1">{"vvv",#N/A,FALSE,"Kopbudz."}</definedName>
    <definedName name="___a6" localSheetId="2" hidden="1">{"vvv",#N/A,FALSE,"Kopbudz."}</definedName>
    <definedName name="___a6" localSheetId="3" hidden="1">{"vvv",#N/A,FALSE,"Kopbudz."}</definedName>
    <definedName name="___a6" hidden="1">{"vvv",#N/A,FALSE,"Kopbudz."}</definedName>
    <definedName name="___a7" localSheetId="4" hidden="1">{"L_kopbudz.",#N/A,FALSE,"Kopbudz."}</definedName>
    <definedName name="___a7" localSheetId="1" hidden="1">{"L_kopbudz.",#N/A,FALSE,"Kopbudz."}</definedName>
    <definedName name="___a7" localSheetId="0" hidden="1">{"L_kopbudz.",#N/A,FALSE,"Kopbudz."}</definedName>
    <definedName name="___a7" localSheetId="2" hidden="1">{"L_kopbudz.",#N/A,FALSE,"Kopbudz."}</definedName>
    <definedName name="___a7" localSheetId="3" hidden="1">{"L_kopbudz.",#N/A,FALSE,"Kopbudz."}</definedName>
    <definedName name="___a7" hidden="1">{"L_kopbudz.",#N/A,FALSE,"Kopbudz."}</definedName>
    <definedName name="___a8" localSheetId="4" hidden="1">{"L_kopbudz.",#N/A,FALSE,"Kopbudz."}</definedName>
    <definedName name="___a8" localSheetId="1" hidden="1">{"L_kopbudz.",#N/A,FALSE,"Kopbudz."}</definedName>
    <definedName name="___a8" localSheetId="0" hidden="1">{"L_kopbudz.",#N/A,FALSE,"Kopbudz."}</definedName>
    <definedName name="___a8" localSheetId="2" hidden="1">{"L_kopbudz.",#N/A,FALSE,"Kopbudz."}</definedName>
    <definedName name="___a8" localSheetId="3" hidden="1">{"L_kopbudz.",#N/A,FALSE,"Kopbudz."}</definedName>
    <definedName name="___a8" hidden="1">{"L_kopbudz.",#N/A,FALSE,"Kopbudz."}</definedName>
    <definedName name="___a9" localSheetId="4" hidden="1">{"vvv",#N/A,FALSE,"Kopbudz."}</definedName>
    <definedName name="___a9" localSheetId="1" hidden="1">{"vvv",#N/A,FALSE,"Kopbudz."}</definedName>
    <definedName name="___a9" localSheetId="0" hidden="1">{"vvv",#N/A,FALSE,"Kopbudz."}</definedName>
    <definedName name="___a9" localSheetId="2" hidden="1">{"vvv",#N/A,FALSE,"Kopbudz."}</definedName>
    <definedName name="___a9" localSheetId="3" hidden="1">{"vvv",#N/A,FALSE,"Kopbudz."}</definedName>
    <definedName name="___a9" hidden="1">{"vvv",#N/A,FALSE,"Kopbudz."}</definedName>
    <definedName name="___Ntl4" localSheetId="4">#REF!</definedName>
    <definedName name="___Ntl4" localSheetId="1">#REF!</definedName>
    <definedName name="___Ntl4" localSheetId="0">#REF!</definedName>
    <definedName name="___Ntl4" localSheetId="2">#REF!</definedName>
    <definedName name="___Ntl4" localSheetId="3">#REF!</definedName>
    <definedName name="___Ntl4">#REF!</definedName>
    <definedName name="___q1" localSheetId="4" hidden="1">{"vvv",#N/A,FALSE,"Kopbudz."}</definedName>
    <definedName name="___q1" localSheetId="1" hidden="1">{"vvv",#N/A,FALSE,"Kopbudz."}</definedName>
    <definedName name="___q1" localSheetId="0" hidden="1">{"vvv",#N/A,FALSE,"Kopbudz."}</definedName>
    <definedName name="___q1" localSheetId="2" hidden="1">{"vvv",#N/A,FALSE,"Kopbudz."}</definedName>
    <definedName name="___q1" localSheetId="3" hidden="1">{"vvv",#N/A,FALSE,"Kopbudz."}</definedName>
    <definedName name="___q1" hidden="1">{"vvv",#N/A,FALSE,"Kopbudz."}</definedName>
    <definedName name="___q10" localSheetId="4" hidden="1">{"vvv",#N/A,FALSE,"Kopbudz."}</definedName>
    <definedName name="___q10" localSheetId="1" hidden="1">{"vvv",#N/A,FALSE,"Kopbudz."}</definedName>
    <definedName name="___q10" localSheetId="0" hidden="1">{"vvv",#N/A,FALSE,"Kopbudz."}</definedName>
    <definedName name="___q10" localSheetId="2" hidden="1">{"vvv",#N/A,FALSE,"Kopbudz."}</definedName>
    <definedName name="___q10" localSheetId="3" hidden="1">{"vvv",#N/A,FALSE,"Kopbudz."}</definedName>
    <definedName name="___q10" hidden="1">{"vvv",#N/A,FALSE,"Kopbudz."}</definedName>
    <definedName name="___q11" localSheetId="4" hidden="1">{"L_kopbudz.",#N/A,FALSE,"Kopbudz."}</definedName>
    <definedName name="___q11" localSheetId="1" hidden="1">{"L_kopbudz.",#N/A,FALSE,"Kopbudz."}</definedName>
    <definedName name="___q11" localSheetId="0" hidden="1">{"L_kopbudz.",#N/A,FALSE,"Kopbudz."}</definedName>
    <definedName name="___q11" localSheetId="2" hidden="1">{"L_kopbudz.",#N/A,FALSE,"Kopbudz."}</definedName>
    <definedName name="___q11" localSheetId="3" hidden="1">{"L_kopbudz.",#N/A,FALSE,"Kopbudz."}</definedName>
    <definedName name="___q11" hidden="1">{"L_kopbudz.",#N/A,FALSE,"Kopbudz."}</definedName>
    <definedName name="___q12" localSheetId="4" hidden="1">{"L_kopbudz.",#N/A,FALSE,"Kopbudz."}</definedName>
    <definedName name="___q12" localSheetId="1" hidden="1">{"L_kopbudz.",#N/A,FALSE,"Kopbudz."}</definedName>
    <definedName name="___q12" localSheetId="0" hidden="1">{"L_kopbudz.",#N/A,FALSE,"Kopbudz."}</definedName>
    <definedName name="___q12" localSheetId="2" hidden="1">{"L_kopbudz.",#N/A,FALSE,"Kopbudz."}</definedName>
    <definedName name="___q12" localSheetId="3" hidden="1">{"L_kopbudz.",#N/A,FALSE,"Kopbudz."}</definedName>
    <definedName name="___q12" hidden="1">{"L_kopbudz.",#N/A,FALSE,"Kopbudz."}</definedName>
    <definedName name="___q13" localSheetId="4" hidden="1">{"vvv",#N/A,FALSE,"Kopbudz."}</definedName>
    <definedName name="___q13" localSheetId="1" hidden="1">{"vvv",#N/A,FALSE,"Kopbudz."}</definedName>
    <definedName name="___q13" localSheetId="0" hidden="1">{"vvv",#N/A,FALSE,"Kopbudz."}</definedName>
    <definedName name="___q13" localSheetId="2" hidden="1">{"vvv",#N/A,FALSE,"Kopbudz."}</definedName>
    <definedName name="___q13" localSheetId="3" hidden="1">{"vvv",#N/A,FALSE,"Kopbudz."}</definedName>
    <definedName name="___q13" hidden="1">{"vvv",#N/A,FALSE,"Kopbudz."}</definedName>
    <definedName name="___q14" localSheetId="4" hidden="1">{"L_kopbudz.",#N/A,FALSE,"Kopbudz."}</definedName>
    <definedName name="___q14" localSheetId="1" hidden="1">{"L_kopbudz.",#N/A,FALSE,"Kopbudz."}</definedName>
    <definedName name="___q14" localSheetId="0" hidden="1">{"L_kopbudz.",#N/A,FALSE,"Kopbudz."}</definedName>
    <definedName name="___q14" localSheetId="2" hidden="1">{"L_kopbudz.",#N/A,FALSE,"Kopbudz."}</definedName>
    <definedName name="___q14" localSheetId="3" hidden="1">{"L_kopbudz.",#N/A,FALSE,"Kopbudz."}</definedName>
    <definedName name="___q14" hidden="1">{"L_kopbudz.",#N/A,FALSE,"Kopbudz."}</definedName>
    <definedName name="___q2" localSheetId="4" hidden="1">{"L_kopbudz.",#N/A,FALSE,"Kopbudz."}</definedName>
    <definedName name="___q2" localSheetId="1" hidden="1">{"L_kopbudz.",#N/A,FALSE,"Kopbudz."}</definedName>
    <definedName name="___q2" localSheetId="0" hidden="1">{"L_kopbudz.",#N/A,FALSE,"Kopbudz."}</definedName>
    <definedName name="___q2" localSheetId="2" hidden="1">{"L_kopbudz.",#N/A,FALSE,"Kopbudz."}</definedName>
    <definedName name="___q2" localSheetId="3" hidden="1">{"L_kopbudz.",#N/A,FALSE,"Kopbudz."}</definedName>
    <definedName name="___q2" hidden="1">{"L_kopbudz.",#N/A,FALSE,"Kopbudz."}</definedName>
    <definedName name="___q3" localSheetId="4" hidden="1">{"vvv",#N/A,FALSE,"Kopbudz."}</definedName>
    <definedName name="___q3" localSheetId="1" hidden="1">{"vvv",#N/A,FALSE,"Kopbudz."}</definedName>
    <definedName name="___q3" localSheetId="0" hidden="1">{"vvv",#N/A,FALSE,"Kopbudz."}</definedName>
    <definedName name="___q3" localSheetId="2" hidden="1">{"vvv",#N/A,FALSE,"Kopbudz."}</definedName>
    <definedName name="___q3" localSheetId="3" hidden="1">{"vvv",#N/A,FALSE,"Kopbudz."}</definedName>
    <definedName name="___q3" hidden="1">{"vvv",#N/A,FALSE,"Kopbudz."}</definedName>
    <definedName name="___q4" localSheetId="4" hidden="1">{"L_kopbudz.",#N/A,FALSE,"Kopbudz."}</definedName>
    <definedName name="___q4" localSheetId="1" hidden="1">{"L_kopbudz.",#N/A,FALSE,"Kopbudz."}</definedName>
    <definedName name="___q4" localSheetId="0" hidden="1">{"L_kopbudz.",#N/A,FALSE,"Kopbudz."}</definedName>
    <definedName name="___q4" localSheetId="2" hidden="1">{"L_kopbudz.",#N/A,FALSE,"Kopbudz."}</definedName>
    <definedName name="___q4" localSheetId="3" hidden="1">{"L_kopbudz.",#N/A,FALSE,"Kopbudz."}</definedName>
    <definedName name="___q4" hidden="1">{"L_kopbudz.",#N/A,FALSE,"Kopbudz."}</definedName>
    <definedName name="___q5" localSheetId="4" hidden="1">{"vvv",#N/A,FALSE,"Kopbudz."}</definedName>
    <definedName name="___q5" localSheetId="1" hidden="1">{"vvv",#N/A,FALSE,"Kopbudz."}</definedName>
    <definedName name="___q5" localSheetId="0" hidden="1">{"vvv",#N/A,FALSE,"Kopbudz."}</definedName>
    <definedName name="___q5" localSheetId="2" hidden="1">{"vvv",#N/A,FALSE,"Kopbudz."}</definedName>
    <definedName name="___q5" localSheetId="3" hidden="1">{"vvv",#N/A,FALSE,"Kopbudz."}</definedName>
    <definedName name="___q5" hidden="1">{"vvv",#N/A,FALSE,"Kopbudz."}</definedName>
    <definedName name="___q6" localSheetId="4" hidden="1">{"L_kopbudz.",#N/A,FALSE,"Kopbudz."}</definedName>
    <definedName name="___q6" localSheetId="1" hidden="1">{"L_kopbudz.",#N/A,FALSE,"Kopbudz."}</definedName>
    <definedName name="___q6" localSheetId="0" hidden="1">{"L_kopbudz.",#N/A,FALSE,"Kopbudz."}</definedName>
    <definedName name="___q6" localSheetId="2" hidden="1">{"L_kopbudz.",#N/A,FALSE,"Kopbudz."}</definedName>
    <definedName name="___q6" localSheetId="3" hidden="1">{"L_kopbudz.",#N/A,FALSE,"Kopbudz."}</definedName>
    <definedName name="___q6" hidden="1">{"L_kopbudz.",#N/A,FALSE,"Kopbudz."}</definedName>
    <definedName name="___q7" localSheetId="4" hidden="1">{"vvv",#N/A,FALSE,"Kopbudz."}</definedName>
    <definedName name="___q7" localSheetId="1" hidden="1">{"vvv",#N/A,FALSE,"Kopbudz."}</definedName>
    <definedName name="___q7" localSheetId="0" hidden="1">{"vvv",#N/A,FALSE,"Kopbudz."}</definedName>
    <definedName name="___q7" localSheetId="2" hidden="1">{"vvv",#N/A,FALSE,"Kopbudz."}</definedName>
    <definedName name="___q7" localSheetId="3" hidden="1">{"vvv",#N/A,FALSE,"Kopbudz."}</definedName>
    <definedName name="___q7" hidden="1">{"vvv",#N/A,FALSE,"Kopbudz."}</definedName>
    <definedName name="___q8" localSheetId="4" hidden="1">{"L_kopbudz.",#N/A,FALSE,"Kopbudz."}</definedName>
    <definedName name="___q8" localSheetId="1" hidden="1">{"L_kopbudz.",#N/A,FALSE,"Kopbudz."}</definedName>
    <definedName name="___q8" localSheetId="0" hidden="1">{"L_kopbudz.",#N/A,FALSE,"Kopbudz."}</definedName>
    <definedName name="___q8" localSheetId="2" hidden="1">{"L_kopbudz.",#N/A,FALSE,"Kopbudz."}</definedName>
    <definedName name="___q8" localSheetId="3" hidden="1">{"L_kopbudz.",#N/A,FALSE,"Kopbudz."}</definedName>
    <definedName name="___q8" hidden="1">{"L_kopbudz.",#N/A,FALSE,"Kopbudz."}</definedName>
    <definedName name="___q9" localSheetId="4" hidden="1">{"vvv",#N/A,FALSE,"Kopbudz."}</definedName>
    <definedName name="___q9" localSheetId="1" hidden="1">{"vvv",#N/A,FALSE,"Kopbudz."}</definedName>
    <definedName name="___q9" localSheetId="0" hidden="1">{"vvv",#N/A,FALSE,"Kopbudz."}</definedName>
    <definedName name="___q9" localSheetId="2" hidden="1">{"vvv",#N/A,FALSE,"Kopbudz."}</definedName>
    <definedName name="___q9" localSheetId="3" hidden="1">{"vvv",#N/A,FALSE,"Kopbudz."}</definedName>
    <definedName name="___q9" hidden="1">{"vvv",#N/A,FALSE,"Kopbudz."}</definedName>
    <definedName name="___w1" localSheetId="4" hidden="1">{"vvv",#N/A,FALSE,"Kopbudz."}</definedName>
    <definedName name="___w1" localSheetId="1" hidden="1">{"vvv",#N/A,FALSE,"Kopbudz."}</definedName>
    <definedName name="___w1" localSheetId="0" hidden="1">{"vvv",#N/A,FALSE,"Kopbudz."}</definedName>
    <definedName name="___w1" localSheetId="2" hidden="1">{"vvv",#N/A,FALSE,"Kopbudz."}</definedName>
    <definedName name="___w1" localSheetId="3" hidden="1">{"vvv",#N/A,FALSE,"Kopbudz."}</definedName>
    <definedName name="___w1" hidden="1">{"vvv",#N/A,FALSE,"Kopbudz."}</definedName>
    <definedName name="___w2" localSheetId="4" hidden="1">{"L_kopbudz.",#N/A,FALSE,"Kopbudz."}</definedName>
    <definedName name="___w2" localSheetId="1" hidden="1">{"L_kopbudz.",#N/A,FALSE,"Kopbudz."}</definedName>
    <definedName name="___w2" localSheetId="0" hidden="1">{"L_kopbudz.",#N/A,FALSE,"Kopbudz."}</definedName>
    <definedName name="___w2" localSheetId="2" hidden="1">{"L_kopbudz.",#N/A,FALSE,"Kopbudz."}</definedName>
    <definedName name="___w2" localSheetId="3" hidden="1">{"L_kopbudz.",#N/A,FALSE,"Kopbudz."}</definedName>
    <definedName name="___w2" hidden="1">{"L_kopbudz.",#N/A,FALSE,"Kopbudz."}</definedName>
    <definedName name="___w3" localSheetId="4" hidden="1">{"L_kopbudz.",#N/A,FALSE,"Kopbudz."}</definedName>
    <definedName name="___w3" localSheetId="1" hidden="1">{"L_kopbudz.",#N/A,FALSE,"Kopbudz."}</definedName>
    <definedName name="___w3" localSheetId="0" hidden="1">{"L_kopbudz.",#N/A,FALSE,"Kopbudz."}</definedName>
    <definedName name="___w3" localSheetId="2" hidden="1">{"L_kopbudz.",#N/A,FALSE,"Kopbudz."}</definedName>
    <definedName name="___w3" localSheetId="3" hidden="1">{"L_kopbudz.",#N/A,FALSE,"Kopbudz."}</definedName>
    <definedName name="___w3" hidden="1">{"L_kopbudz.",#N/A,FALSE,"Kopbudz."}</definedName>
    <definedName name="___w4" localSheetId="4" hidden="1">{"vvv",#N/A,FALSE,"Kopbudz."}</definedName>
    <definedName name="___w4" localSheetId="1" hidden="1">{"vvv",#N/A,FALSE,"Kopbudz."}</definedName>
    <definedName name="___w4" localSheetId="0" hidden="1">{"vvv",#N/A,FALSE,"Kopbudz."}</definedName>
    <definedName name="___w4" localSheetId="2" hidden="1">{"vvv",#N/A,FALSE,"Kopbudz."}</definedName>
    <definedName name="___w4" localSheetId="3" hidden="1">{"vvv",#N/A,FALSE,"Kopbudz."}</definedName>
    <definedName name="___w4" hidden="1">{"vvv",#N/A,FALSE,"Kopbudz."}</definedName>
    <definedName name="___w5" localSheetId="4" hidden="1">{"L_kopbudz.",#N/A,FALSE,"Kopbudz."}</definedName>
    <definedName name="___w5" localSheetId="1" hidden="1">{"L_kopbudz.",#N/A,FALSE,"Kopbudz."}</definedName>
    <definedName name="___w5" localSheetId="0" hidden="1">{"L_kopbudz.",#N/A,FALSE,"Kopbudz."}</definedName>
    <definedName name="___w5" localSheetId="2" hidden="1">{"L_kopbudz.",#N/A,FALSE,"Kopbudz."}</definedName>
    <definedName name="___w5" localSheetId="3" hidden="1">{"L_kopbudz.",#N/A,FALSE,"Kopbudz."}</definedName>
    <definedName name="___w5" hidden="1">{"L_kopbudz.",#N/A,FALSE,"Kopbudz."}</definedName>
    <definedName name="__a1" localSheetId="4" hidden="1">{"vvv",#N/A,FALSE,"Kopbudz."}</definedName>
    <definedName name="__a1" localSheetId="1" hidden="1">{"vvv",#N/A,FALSE,"Kopbudz."}</definedName>
    <definedName name="__a1" localSheetId="0" hidden="1">{"vvv",#N/A,FALSE,"Kopbudz."}</definedName>
    <definedName name="__a1" localSheetId="2" hidden="1">{"vvv",#N/A,FALSE,"Kopbudz."}</definedName>
    <definedName name="__a1" localSheetId="3" hidden="1">{"vvv",#N/A,FALSE,"Kopbudz."}</definedName>
    <definedName name="__a1" hidden="1">{"vvv",#N/A,FALSE,"Kopbudz."}</definedName>
    <definedName name="__a10" localSheetId="4" hidden="1">{"L_kopbudz.",#N/A,FALSE,"Kopbudz."}</definedName>
    <definedName name="__a10" localSheetId="1" hidden="1">{"L_kopbudz.",#N/A,FALSE,"Kopbudz."}</definedName>
    <definedName name="__a10" localSheetId="0" hidden="1">{"L_kopbudz.",#N/A,FALSE,"Kopbudz."}</definedName>
    <definedName name="__a10" localSheetId="2" hidden="1">{"L_kopbudz.",#N/A,FALSE,"Kopbudz."}</definedName>
    <definedName name="__a10" localSheetId="3" hidden="1">{"L_kopbudz.",#N/A,FALSE,"Kopbudz."}</definedName>
    <definedName name="__a10" hidden="1">{"L_kopbudz.",#N/A,FALSE,"Kopbudz."}</definedName>
    <definedName name="__a11" localSheetId="4" hidden="1">{"vvv",#N/A,FALSE,"Kopbudz."}</definedName>
    <definedName name="__a11" localSheetId="1" hidden="1">{"vvv",#N/A,FALSE,"Kopbudz."}</definedName>
    <definedName name="__a11" localSheetId="0" hidden="1">{"vvv",#N/A,FALSE,"Kopbudz."}</definedName>
    <definedName name="__a11" localSheetId="2" hidden="1">{"vvv",#N/A,FALSE,"Kopbudz."}</definedName>
    <definedName name="__a11" localSheetId="3" hidden="1">{"vvv",#N/A,FALSE,"Kopbudz."}</definedName>
    <definedName name="__a11" hidden="1">{"vvv",#N/A,FALSE,"Kopbudz."}</definedName>
    <definedName name="__a12" localSheetId="4" hidden="1">{"L_kopbudz.",#N/A,FALSE,"Kopbudz."}</definedName>
    <definedName name="__a12" localSheetId="1" hidden="1">{"L_kopbudz.",#N/A,FALSE,"Kopbudz."}</definedName>
    <definedName name="__a12" localSheetId="0" hidden="1">{"L_kopbudz.",#N/A,FALSE,"Kopbudz."}</definedName>
    <definedName name="__a12" localSheetId="2" hidden="1">{"L_kopbudz.",#N/A,FALSE,"Kopbudz."}</definedName>
    <definedName name="__a12" localSheetId="3" hidden="1">{"L_kopbudz.",#N/A,FALSE,"Kopbudz."}</definedName>
    <definedName name="__a12" hidden="1">{"L_kopbudz.",#N/A,FALSE,"Kopbudz."}</definedName>
    <definedName name="__a2" localSheetId="4" hidden="1">{"L_kopbudz.",#N/A,FALSE,"Kopbudz."}</definedName>
    <definedName name="__a2" localSheetId="1" hidden="1">{"L_kopbudz.",#N/A,FALSE,"Kopbudz."}</definedName>
    <definedName name="__a2" localSheetId="0" hidden="1">{"L_kopbudz.",#N/A,FALSE,"Kopbudz."}</definedName>
    <definedName name="__a2" localSheetId="2" hidden="1">{"L_kopbudz.",#N/A,FALSE,"Kopbudz."}</definedName>
    <definedName name="__a2" localSheetId="3" hidden="1">{"L_kopbudz.",#N/A,FALSE,"Kopbudz."}</definedName>
    <definedName name="__a2" hidden="1">{"L_kopbudz.",#N/A,FALSE,"Kopbudz."}</definedName>
    <definedName name="__a3" localSheetId="4" hidden="1">{"vvv",#N/A,FALSE,"Kopbudz."}</definedName>
    <definedName name="__a3" localSheetId="1" hidden="1">{"vvv",#N/A,FALSE,"Kopbudz."}</definedName>
    <definedName name="__a3" localSheetId="0" hidden="1">{"vvv",#N/A,FALSE,"Kopbudz."}</definedName>
    <definedName name="__a3" localSheetId="2" hidden="1">{"vvv",#N/A,FALSE,"Kopbudz."}</definedName>
    <definedName name="__a3" localSheetId="3" hidden="1">{"vvv",#N/A,FALSE,"Kopbudz."}</definedName>
    <definedName name="__a3" hidden="1">{"vvv",#N/A,FALSE,"Kopbudz."}</definedName>
    <definedName name="__a4" localSheetId="4" hidden="1">{"L_kopbudz.",#N/A,FALSE,"Kopbudz."}</definedName>
    <definedName name="__a4" localSheetId="1" hidden="1">{"L_kopbudz.",#N/A,FALSE,"Kopbudz."}</definedName>
    <definedName name="__a4" localSheetId="0" hidden="1">{"L_kopbudz.",#N/A,FALSE,"Kopbudz."}</definedName>
    <definedName name="__a4" localSheetId="2" hidden="1">{"L_kopbudz.",#N/A,FALSE,"Kopbudz."}</definedName>
    <definedName name="__a4" localSheetId="3" hidden="1">{"L_kopbudz.",#N/A,FALSE,"Kopbudz."}</definedName>
    <definedName name="__a4" hidden="1">{"L_kopbudz.",#N/A,FALSE,"Kopbudz."}</definedName>
    <definedName name="__a5" localSheetId="4" hidden="1">{"vvv",#N/A,FALSE,"Kopbudz."}</definedName>
    <definedName name="__a5" localSheetId="1" hidden="1">{"vvv",#N/A,FALSE,"Kopbudz."}</definedName>
    <definedName name="__a5" localSheetId="0" hidden="1">{"vvv",#N/A,FALSE,"Kopbudz."}</definedName>
    <definedName name="__a5" localSheetId="2" hidden="1">{"vvv",#N/A,FALSE,"Kopbudz."}</definedName>
    <definedName name="__a5" localSheetId="3" hidden="1">{"vvv",#N/A,FALSE,"Kopbudz."}</definedName>
    <definedName name="__a5" hidden="1">{"vvv",#N/A,FALSE,"Kopbudz."}</definedName>
    <definedName name="__a6" localSheetId="4" hidden="1">{"vvv",#N/A,FALSE,"Kopbudz."}</definedName>
    <definedName name="__a6" localSheetId="1" hidden="1">{"vvv",#N/A,FALSE,"Kopbudz."}</definedName>
    <definedName name="__a6" localSheetId="0" hidden="1">{"vvv",#N/A,FALSE,"Kopbudz."}</definedName>
    <definedName name="__a6" localSheetId="2" hidden="1">{"vvv",#N/A,FALSE,"Kopbudz."}</definedName>
    <definedName name="__a6" localSheetId="3" hidden="1">{"vvv",#N/A,FALSE,"Kopbudz."}</definedName>
    <definedName name="__a6" hidden="1">{"vvv",#N/A,FALSE,"Kopbudz."}</definedName>
    <definedName name="__a7" localSheetId="4" hidden="1">{"L_kopbudz.",#N/A,FALSE,"Kopbudz."}</definedName>
    <definedName name="__a7" localSheetId="1" hidden="1">{"L_kopbudz.",#N/A,FALSE,"Kopbudz."}</definedName>
    <definedName name="__a7" localSheetId="0" hidden="1">{"L_kopbudz.",#N/A,FALSE,"Kopbudz."}</definedName>
    <definedName name="__a7" localSheetId="2" hidden="1">{"L_kopbudz.",#N/A,FALSE,"Kopbudz."}</definedName>
    <definedName name="__a7" localSheetId="3" hidden="1">{"L_kopbudz.",#N/A,FALSE,"Kopbudz."}</definedName>
    <definedName name="__a7" hidden="1">{"L_kopbudz.",#N/A,FALSE,"Kopbudz."}</definedName>
    <definedName name="__a8" localSheetId="4" hidden="1">{"L_kopbudz.",#N/A,FALSE,"Kopbudz."}</definedName>
    <definedName name="__a8" localSheetId="1" hidden="1">{"L_kopbudz.",#N/A,FALSE,"Kopbudz."}</definedName>
    <definedName name="__a8" localSheetId="0" hidden="1">{"L_kopbudz.",#N/A,FALSE,"Kopbudz."}</definedName>
    <definedName name="__a8" localSheetId="2" hidden="1">{"L_kopbudz.",#N/A,FALSE,"Kopbudz."}</definedName>
    <definedName name="__a8" localSheetId="3" hidden="1">{"L_kopbudz.",#N/A,FALSE,"Kopbudz."}</definedName>
    <definedName name="__a8" hidden="1">{"L_kopbudz.",#N/A,FALSE,"Kopbudz."}</definedName>
    <definedName name="__a9" localSheetId="4" hidden="1">{"vvv",#N/A,FALSE,"Kopbudz."}</definedName>
    <definedName name="__a9" localSheetId="1" hidden="1">{"vvv",#N/A,FALSE,"Kopbudz."}</definedName>
    <definedName name="__a9" localSheetId="0" hidden="1">{"vvv",#N/A,FALSE,"Kopbudz."}</definedName>
    <definedName name="__a9" localSheetId="2" hidden="1">{"vvv",#N/A,FALSE,"Kopbudz."}</definedName>
    <definedName name="__a9" localSheetId="3" hidden="1">{"vvv",#N/A,FALSE,"Kopbudz."}</definedName>
    <definedName name="__a9" hidden="1">{"vvv",#N/A,FALSE,"Kopbudz."}</definedName>
    <definedName name="__Ntl4" localSheetId="4">#REF!</definedName>
    <definedName name="__Ntl4" localSheetId="1">#REF!</definedName>
    <definedName name="__Ntl4" localSheetId="0">#REF!</definedName>
    <definedName name="__Ntl4" localSheetId="2">#REF!</definedName>
    <definedName name="__Ntl4" localSheetId="3">#REF!</definedName>
    <definedName name="__Ntl4">#REF!</definedName>
    <definedName name="__q1" localSheetId="4" hidden="1">{"vvv",#N/A,FALSE,"Kopbudz."}</definedName>
    <definedName name="__q1" localSheetId="1" hidden="1">{"vvv",#N/A,FALSE,"Kopbudz."}</definedName>
    <definedName name="__q1" localSheetId="0" hidden="1">{"vvv",#N/A,FALSE,"Kopbudz."}</definedName>
    <definedName name="__q1" localSheetId="2" hidden="1">{"vvv",#N/A,FALSE,"Kopbudz."}</definedName>
    <definedName name="__q1" localSheetId="3" hidden="1">{"vvv",#N/A,FALSE,"Kopbudz."}</definedName>
    <definedName name="__q1" hidden="1">{"vvv",#N/A,FALSE,"Kopbudz."}</definedName>
    <definedName name="__q10" localSheetId="4" hidden="1">{"vvv",#N/A,FALSE,"Kopbudz."}</definedName>
    <definedName name="__q10" localSheetId="1" hidden="1">{"vvv",#N/A,FALSE,"Kopbudz."}</definedName>
    <definedName name="__q10" localSheetId="0" hidden="1">{"vvv",#N/A,FALSE,"Kopbudz."}</definedName>
    <definedName name="__q10" localSheetId="2" hidden="1">{"vvv",#N/A,FALSE,"Kopbudz."}</definedName>
    <definedName name="__q10" localSheetId="3" hidden="1">{"vvv",#N/A,FALSE,"Kopbudz."}</definedName>
    <definedName name="__q10" hidden="1">{"vvv",#N/A,FALSE,"Kopbudz."}</definedName>
    <definedName name="__q11" localSheetId="4" hidden="1">{"L_kopbudz.",#N/A,FALSE,"Kopbudz."}</definedName>
    <definedName name="__q11" localSheetId="1" hidden="1">{"L_kopbudz.",#N/A,FALSE,"Kopbudz."}</definedName>
    <definedName name="__q11" localSheetId="0" hidden="1">{"L_kopbudz.",#N/A,FALSE,"Kopbudz."}</definedName>
    <definedName name="__q11" localSheetId="2" hidden="1">{"L_kopbudz.",#N/A,FALSE,"Kopbudz."}</definedName>
    <definedName name="__q11" localSheetId="3" hidden="1">{"L_kopbudz.",#N/A,FALSE,"Kopbudz."}</definedName>
    <definedName name="__q11" hidden="1">{"L_kopbudz.",#N/A,FALSE,"Kopbudz."}</definedName>
    <definedName name="__q12" localSheetId="4" hidden="1">{"L_kopbudz.",#N/A,FALSE,"Kopbudz."}</definedName>
    <definedName name="__q12" localSheetId="1" hidden="1">{"L_kopbudz.",#N/A,FALSE,"Kopbudz."}</definedName>
    <definedName name="__q12" localSheetId="0" hidden="1">{"L_kopbudz.",#N/A,FALSE,"Kopbudz."}</definedName>
    <definedName name="__q12" localSheetId="2" hidden="1">{"L_kopbudz.",#N/A,FALSE,"Kopbudz."}</definedName>
    <definedName name="__q12" localSheetId="3" hidden="1">{"L_kopbudz.",#N/A,FALSE,"Kopbudz."}</definedName>
    <definedName name="__q12" hidden="1">{"L_kopbudz.",#N/A,FALSE,"Kopbudz."}</definedName>
    <definedName name="__q13" localSheetId="4" hidden="1">{"vvv",#N/A,FALSE,"Kopbudz."}</definedName>
    <definedName name="__q13" localSheetId="1" hidden="1">{"vvv",#N/A,FALSE,"Kopbudz."}</definedName>
    <definedName name="__q13" localSheetId="0" hidden="1">{"vvv",#N/A,FALSE,"Kopbudz."}</definedName>
    <definedName name="__q13" localSheetId="2" hidden="1">{"vvv",#N/A,FALSE,"Kopbudz."}</definedName>
    <definedName name="__q13" localSheetId="3" hidden="1">{"vvv",#N/A,FALSE,"Kopbudz."}</definedName>
    <definedName name="__q13" hidden="1">{"vvv",#N/A,FALSE,"Kopbudz."}</definedName>
    <definedName name="__q14" localSheetId="4" hidden="1">{"L_kopbudz.",#N/A,FALSE,"Kopbudz."}</definedName>
    <definedName name="__q14" localSheetId="1" hidden="1">{"L_kopbudz.",#N/A,FALSE,"Kopbudz."}</definedName>
    <definedName name="__q14" localSheetId="0" hidden="1">{"L_kopbudz.",#N/A,FALSE,"Kopbudz."}</definedName>
    <definedName name="__q14" localSheetId="2" hidden="1">{"L_kopbudz.",#N/A,FALSE,"Kopbudz."}</definedName>
    <definedName name="__q14" localSheetId="3" hidden="1">{"L_kopbudz.",#N/A,FALSE,"Kopbudz."}</definedName>
    <definedName name="__q14" hidden="1">{"L_kopbudz.",#N/A,FALSE,"Kopbudz."}</definedName>
    <definedName name="__q2" localSheetId="4" hidden="1">{"L_kopbudz.",#N/A,FALSE,"Kopbudz."}</definedName>
    <definedName name="__q2" localSheetId="1" hidden="1">{"L_kopbudz.",#N/A,FALSE,"Kopbudz."}</definedName>
    <definedName name="__q2" localSheetId="0" hidden="1">{"L_kopbudz.",#N/A,FALSE,"Kopbudz."}</definedName>
    <definedName name="__q2" localSheetId="2" hidden="1">{"L_kopbudz.",#N/A,FALSE,"Kopbudz."}</definedName>
    <definedName name="__q2" localSheetId="3" hidden="1">{"L_kopbudz.",#N/A,FALSE,"Kopbudz."}</definedName>
    <definedName name="__q2" hidden="1">{"L_kopbudz.",#N/A,FALSE,"Kopbudz."}</definedName>
    <definedName name="__q3" localSheetId="4" hidden="1">{"vvv",#N/A,FALSE,"Kopbudz."}</definedName>
    <definedName name="__q3" localSheetId="1" hidden="1">{"vvv",#N/A,FALSE,"Kopbudz."}</definedName>
    <definedName name="__q3" localSheetId="0" hidden="1">{"vvv",#N/A,FALSE,"Kopbudz."}</definedName>
    <definedName name="__q3" localSheetId="2" hidden="1">{"vvv",#N/A,FALSE,"Kopbudz."}</definedName>
    <definedName name="__q3" localSheetId="3" hidden="1">{"vvv",#N/A,FALSE,"Kopbudz."}</definedName>
    <definedName name="__q3" hidden="1">{"vvv",#N/A,FALSE,"Kopbudz."}</definedName>
    <definedName name="__q4" localSheetId="4" hidden="1">{"L_kopbudz.",#N/A,FALSE,"Kopbudz."}</definedName>
    <definedName name="__q4" localSheetId="1" hidden="1">{"L_kopbudz.",#N/A,FALSE,"Kopbudz."}</definedName>
    <definedName name="__q4" localSheetId="0" hidden="1">{"L_kopbudz.",#N/A,FALSE,"Kopbudz."}</definedName>
    <definedName name="__q4" localSheetId="2" hidden="1">{"L_kopbudz.",#N/A,FALSE,"Kopbudz."}</definedName>
    <definedName name="__q4" localSheetId="3" hidden="1">{"L_kopbudz.",#N/A,FALSE,"Kopbudz."}</definedName>
    <definedName name="__q4" hidden="1">{"L_kopbudz.",#N/A,FALSE,"Kopbudz."}</definedName>
    <definedName name="__q5" localSheetId="4" hidden="1">{"vvv",#N/A,FALSE,"Kopbudz."}</definedName>
    <definedName name="__q5" localSheetId="1" hidden="1">{"vvv",#N/A,FALSE,"Kopbudz."}</definedName>
    <definedName name="__q5" localSheetId="0" hidden="1">{"vvv",#N/A,FALSE,"Kopbudz."}</definedName>
    <definedName name="__q5" localSheetId="2" hidden="1">{"vvv",#N/A,FALSE,"Kopbudz."}</definedName>
    <definedName name="__q5" localSheetId="3" hidden="1">{"vvv",#N/A,FALSE,"Kopbudz."}</definedName>
    <definedName name="__q5" hidden="1">{"vvv",#N/A,FALSE,"Kopbudz."}</definedName>
    <definedName name="__q6" localSheetId="4" hidden="1">{"L_kopbudz.",#N/A,FALSE,"Kopbudz."}</definedName>
    <definedName name="__q6" localSheetId="1" hidden="1">{"L_kopbudz.",#N/A,FALSE,"Kopbudz."}</definedName>
    <definedName name="__q6" localSheetId="0" hidden="1">{"L_kopbudz.",#N/A,FALSE,"Kopbudz."}</definedName>
    <definedName name="__q6" localSheetId="2" hidden="1">{"L_kopbudz.",#N/A,FALSE,"Kopbudz."}</definedName>
    <definedName name="__q6" localSheetId="3" hidden="1">{"L_kopbudz.",#N/A,FALSE,"Kopbudz."}</definedName>
    <definedName name="__q6" hidden="1">{"L_kopbudz.",#N/A,FALSE,"Kopbudz."}</definedName>
    <definedName name="__q7" localSheetId="4" hidden="1">{"vvv",#N/A,FALSE,"Kopbudz."}</definedName>
    <definedName name="__q7" localSheetId="1" hidden="1">{"vvv",#N/A,FALSE,"Kopbudz."}</definedName>
    <definedName name="__q7" localSheetId="0" hidden="1">{"vvv",#N/A,FALSE,"Kopbudz."}</definedName>
    <definedName name="__q7" localSheetId="2" hidden="1">{"vvv",#N/A,FALSE,"Kopbudz."}</definedName>
    <definedName name="__q7" localSheetId="3" hidden="1">{"vvv",#N/A,FALSE,"Kopbudz."}</definedName>
    <definedName name="__q7" hidden="1">{"vvv",#N/A,FALSE,"Kopbudz."}</definedName>
    <definedName name="__q8" localSheetId="4" hidden="1">{"L_kopbudz.",#N/A,FALSE,"Kopbudz."}</definedName>
    <definedName name="__q8" localSheetId="1" hidden="1">{"L_kopbudz.",#N/A,FALSE,"Kopbudz."}</definedName>
    <definedName name="__q8" localSheetId="0" hidden="1">{"L_kopbudz.",#N/A,FALSE,"Kopbudz."}</definedName>
    <definedName name="__q8" localSheetId="2" hidden="1">{"L_kopbudz.",#N/A,FALSE,"Kopbudz."}</definedName>
    <definedName name="__q8" localSheetId="3" hidden="1">{"L_kopbudz.",#N/A,FALSE,"Kopbudz."}</definedName>
    <definedName name="__q8" hidden="1">{"L_kopbudz.",#N/A,FALSE,"Kopbudz."}</definedName>
    <definedName name="__q9" localSheetId="4" hidden="1">{"vvv",#N/A,FALSE,"Kopbudz."}</definedName>
    <definedName name="__q9" localSheetId="1" hidden="1">{"vvv",#N/A,FALSE,"Kopbudz."}</definedName>
    <definedName name="__q9" localSheetId="0" hidden="1">{"vvv",#N/A,FALSE,"Kopbudz."}</definedName>
    <definedName name="__q9" localSheetId="2" hidden="1">{"vvv",#N/A,FALSE,"Kopbudz."}</definedName>
    <definedName name="__q9" localSheetId="3" hidden="1">{"vvv",#N/A,FALSE,"Kopbudz."}</definedName>
    <definedName name="__q9" hidden="1">{"vvv",#N/A,FALSE,"Kopbudz."}</definedName>
    <definedName name="__w1" localSheetId="4" hidden="1">{"vvv",#N/A,FALSE,"Kopbudz."}</definedName>
    <definedName name="__w1" localSheetId="1" hidden="1">{"vvv",#N/A,FALSE,"Kopbudz."}</definedName>
    <definedName name="__w1" localSheetId="0" hidden="1">{"vvv",#N/A,FALSE,"Kopbudz."}</definedName>
    <definedName name="__w1" localSheetId="2" hidden="1">{"vvv",#N/A,FALSE,"Kopbudz."}</definedName>
    <definedName name="__w1" localSheetId="3" hidden="1">{"vvv",#N/A,FALSE,"Kopbudz."}</definedName>
    <definedName name="__w1" hidden="1">{"vvv",#N/A,FALSE,"Kopbudz."}</definedName>
    <definedName name="__w2" localSheetId="4" hidden="1">{"L_kopbudz.",#N/A,FALSE,"Kopbudz."}</definedName>
    <definedName name="__w2" localSheetId="1" hidden="1">{"L_kopbudz.",#N/A,FALSE,"Kopbudz."}</definedName>
    <definedName name="__w2" localSheetId="0" hidden="1">{"L_kopbudz.",#N/A,FALSE,"Kopbudz."}</definedName>
    <definedName name="__w2" localSheetId="2" hidden="1">{"L_kopbudz.",#N/A,FALSE,"Kopbudz."}</definedName>
    <definedName name="__w2" localSheetId="3" hidden="1">{"L_kopbudz.",#N/A,FALSE,"Kopbudz."}</definedName>
    <definedName name="__w2" hidden="1">{"L_kopbudz.",#N/A,FALSE,"Kopbudz."}</definedName>
    <definedName name="__w3" localSheetId="4" hidden="1">{"L_kopbudz.",#N/A,FALSE,"Kopbudz."}</definedName>
    <definedName name="__w3" localSheetId="1" hidden="1">{"L_kopbudz.",#N/A,FALSE,"Kopbudz."}</definedName>
    <definedName name="__w3" localSheetId="0" hidden="1">{"L_kopbudz.",#N/A,FALSE,"Kopbudz."}</definedName>
    <definedName name="__w3" localSheetId="2" hidden="1">{"L_kopbudz.",#N/A,FALSE,"Kopbudz."}</definedName>
    <definedName name="__w3" localSheetId="3" hidden="1">{"L_kopbudz.",#N/A,FALSE,"Kopbudz."}</definedName>
    <definedName name="__w3" hidden="1">{"L_kopbudz.",#N/A,FALSE,"Kopbudz."}</definedName>
    <definedName name="__w4" localSheetId="4" hidden="1">{"vvv",#N/A,FALSE,"Kopbudz."}</definedName>
    <definedName name="__w4" localSheetId="1" hidden="1">{"vvv",#N/A,FALSE,"Kopbudz."}</definedName>
    <definedName name="__w4" localSheetId="0" hidden="1">{"vvv",#N/A,FALSE,"Kopbudz."}</definedName>
    <definedName name="__w4" localSheetId="2" hidden="1">{"vvv",#N/A,FALSE,"Kopbudz."}</definedName>
    <definedName name="__w4" localSheetId="3" hidden="1">{"vvv",#N/A,FALSE,"Kopbudz."}</definedName>
    <definedName name="__w4" hidden="1">{"vvv",#N/A,FALSE,"Kopbudz."}</definedName>
    <definedName name="__w5" localSheetId="4" hidden="1">{"L_kopbudz.",#N/A,FALSE,"Kopbudz."}</definedName>
    <definedName name="__w5" localSheetId="1" hidden="1">{"L_kopbudz.",#N/A,FALSE,"Kopbudz."}</definedName>
    <definedName name="__w5" localSheetId="0" hidden="1">{"L_kopbudz.",#N/A,FALSE,"Kopbudz."}</definedName>
    <definedName name="__w5" localSheetId="2" hidden="1">{"L_kopbudz.",#N/A,FALSE,"Kopbudz."}</definedName>
    <definedName name="__w5" localSheetId="3" hidden="1">{"L_kopbudz.",#N/A,FALSE,"Kopbudz."}</definedName>
    <definedName name="__w5" hidden="1">{"L_kopbudz.",#N/A,FALSE,"Kopbudz."}</definedName>
    <definedName name="_a1" localSheetId="4" hidden="1">{"vvv",#N/A,FALSE,"Kopbudz."}</definedName>
    <definedName name="_a1" localSheetId="1" hidden="1">{"vvv",#N/A,FALSE,"Kopbudz."}</definedName>
    <definedName name="_a1" localSheetId="0" hidden="1">{"vvv",#N/A,FALSE,"Kopbudz."}</definedName>
    <definedName name="_a1" localSheetId="2" hidden="1">{"vvv",#N/A,FALSE,"Kopbudz."}</definedName>
    <definedName name="_a1" localSheetId="3" hidden="1">{"vvv",#N/A,FALSE,"Kopbudz."}</definedName>
    <definedName name="_a1" hidden="1">{"vvv",#N/A,FALSE,"Kopbudz."}</definedName>
    <definedName name="_a10" localSheetId="4" hidden="1">{"L_kopbudz.",#N/A,FALSE,"Kopbudz."}</definedName>
    <definedName name="_a10" localSheetId="1" hidden="1">{"L_kopbudz.",#N/A,FALSE,"Kopbudz."}</definedName>
    <definedName name="_a10" localSheetId="0" hidden="1">{"L_kopbudz.",#N/A,FALSE,"Kopbudz."}</definedName>
    <definedName name="_a10" localSheetId="2" hidden="1">{"L_kopbudz.",#N/A,FALSE,"Kopbudz."}</definedName>
    <definedName name="_a10" localSheetId="3" hidden="1">{"L_kopbudz.",#N/A,FALSE,"Kopbudz."}</definedName>
    <definedName name="_a10" hidden="1">{"L_kopbudz.",#N/A,FALSE,"Kopbudz."}</definedName>
    <definedName name="_a100" localSheetId="4" hidden="1">{"L_kopbudz.",#N/A,FALSE,"Kopbudz."}</definedName>
    <definedName name="_a100" localSheetId="1" hidden="1">{"L_kopbudz.",#N/A,FALSE,"Kopbudz."}</definedName>
    <definedName name="_a100" localSheetId="0" hidden="1">{"L_kopbudz.",#N/A,FALSE,"Kopbudz."}</definedName>
    <definedName name="_a100" localSheetId="2" hidden="1">{"L_kopbudz.",#N/A,FALSE,"Kopbudz."}</definedName>
    <definedName name="_a100" localSheetId="3" hidden="1">{"L_kopbudz.",#N/A,FALSE,"Kopbudz."}</definedName>
    <definedName name="_a100" hidden="1">{"L_kopbudz.",#N/A,FALSE,"Kopbudz."}</definedName>
    <definedName name="_a11" localSheetId="4" hidden="1">{"vvv",#N/A,FALSE,"Kopbudz."}</definedName>
    <definedName name="_a11" localSheetId="1" hidden="1">{"vvv",#N/A,FALSE,"Kopbudz."}</definedName>
    <definedName name="_a11" localSheetId="0" hidden="1">{"vvv",#N/A,FALSE,"Kopbudz."}</definedName>
    <definedName name="_a11" localSheetId="2" hidden="1">{"vvv",#N/A,FALSE,"Kopbudz."}</definedName>
    <definedName name="_a11" localSheetId="3" hidden="1">{"vvv",#N/A,FALSE,"Kopbudz."}</definedName>
    <definedName name="_a11" hidden="1">{"vvv",#N/A,FALSE,"Kopbudz."}</definedName>
    <definedName name="_a12" localSheetId="4" hidden="1">{"L_kopbudz.",#N/A,FALSE,"Kopbudz."}</definedName>
    <definedName name="_a12" localSheetId="1" hidden="1">{"L_kopbudz.",#N/A,FALSE,"Kopbudz."}</definedName>
    <definedName name="_a12" localSheetId="0" hidden="1">{"L_kopbudz.",#N/A,FALSE,"Kopbudz."}</definedName>
    <definedName name="_a12" localSheetId="2" hidden="1">{"L_kopbudz.",#N/A,FALSE,"Kopbudz."}</definedName>
    <definedName name="_a12" localSheetId="3" hidden="1">{"L_kopbudz.",#N/A,FALSE,"Kopbudz."}</definedName>
    <definedName name="_a12" hidden="1">{"L_kopbudz.",#N/A,FALSE,"Kopbudz."}</definedName>
    <definedName name="_a2" localSheetId="4" hidden="1">{"L_kopbudz.",#N/A,FALSE,"Kopbudz."}</definedName>
    <definedName name="_a2" localSheetId="1" hidden="1">{"L_kopbudz.",#N/A,FALSE,"Kopbudz."}</definedName>
    <definedName name="_a2" localSheetId="0" hidden="1">{"L_kopbudz.",#N/A,FALSE,"Kopbudz."}</definedName>
    <definedName name="_a2" localSheetId="2" hidden="1">{"L_kopbudz.",#N/A,FALSE,"Kopbudz."}</definedName>
    <definedName name="_a2" localSheetId="3" hidden="1">{"L_kopbudz.",#N/A,FALSE,"Kopbudz."}</definedName>
    <definedName name="_a2" hidden="1">{"L_kopbudz.",#N/A,FALSE,"Kopbudz."}</definedName>
    <definedName name="_a3" localSheetId="4" hidden="1">{"vvv",#N/A,FALSE,"Kopbudz."}</definedName>
    <definedName name="_a3" localSheetId="1" hidden="1">{"vvv",#N/A,FALSE,"Kopbudz."}</definedName>
    <definedName name="_a3" localSheetId="0" hidden="1">{"vvv",#N/A,FALSE,"Kopbudz."}</definedName>
    <definedName name="_a3" localSheetId="2" hidden="1">{"vvv",#N/A,FALSE,"Kopbudz."}</definedName>
    <definedName name="_a3" localSheetId="3" hidden="1">{"vvv",#N/A,FALSE,"Kopbudz."}</definedName>
    <definedName name="_a3" hidden="1">{"vvv",#N/A,FALSE,"Kopbudz."}</definedName>
    <definedName name="_a4" localSheetId="4" hidden="1">{"L_kopbudz.",#N/A,FALSE,"Kopbudz."}</definedName>
    <definedName name="_a4" localSheetId="1" hidden="1">{"L_kopbudz.",#N/A,FALSE,"Kopbudz."}</definedName>
    <definedName name="_a4" localSheetId="0" hidden="1">{"L_kopbudz.",#N/A,FALSE,"Kopbudz."}</definedName>
    <definedName name="_a4" localSheetId="2" hidden="1">{"L_kopbudz.",#N/A,FALSE,"Kopbudz."}</definedName>
    <definedName name="_a4" localSheetId="3" hidden="1">{"L_kopbudz.",#N/A,FALSE,"Kopbudz."}</definedName>
    <definedName name="_a4" hidden="1">{"L_kopbudz.",#N/A,FALSE,"Kopbudz."}</definedName>
    <definedName name="_a5" localSheetId="4" hidden="1">{"vvv",#N/A,FALSE,"Kopbudz."}</definedName>
    <definedName name="_a5" localSheetId="1" hidden="1">{"vvv",#N/A,FALSE,"Kopbudz."}</definedName>
    <definedName name="_a5" localSheetId="0" hidden="1">{"vvv",#N/A,FALSE,"Kopbudz."}</definedName>
    <definedName name="_a5" localSheetId="2" hidden="1">{"vvv",#N/A,FALSE,"Kopbudz."}</definedName>
    <definedName name="_a5" localSheetId="3" hidden="1">{"vvv",#N/A,FALSE,"Kopbudz."}</definedName>
    <definedName name="_a5" hidden="1">{"vvv",#N/A,FALSE,"Kopbudz."}</definedName>
    <definedName name="_a6" localSheetId="4" hidden="1">{"vvv",#N/A,FALSE,"Kopbudz."}</definedName>
    <definedName name="_a6" localSheetId="1" hidden="1">{"vvv",#N/A,FALSE,"Kopbudz."}</definedName>
    <definedName name="_a6" localSheetId="0" hidden="1">{"vvv",#N/A,FALSE,"Kopbudz."}</definedName>
    <definedName name="_a6" localSheetId="2" hidden="1">{"vvv",#N/A,FALSE,"Kopbudz."}</definedName>
    <definedName name="_a6" localSheetId="3" hidden="1">{"vvv",#N/A,FALSE,"Kopbudz."}</definedName>
    <definedName name="_a6" hidden="1">{"vvv",#N/A,FALSE,"Kopbudz."}</definedName>
    <definedName name="_a7" localSheetId="4" hidden="1">{"L_kopbudz.",#N/A,FALSE,"Kopbudz."}</definedName>
    <definedName name="_a7" localSheetId="1" hidden="1">{"L_kopbudz.",#N/A,FALSE,"Kopbudz."}</definedName>
    <definedName name="_a7" localSheetId="0" hidden="1">{"L_kopbudz.",#N/A,FALSE,"Kopbudz."}</definedName>
    <definedName name="_a7" localSheetId="2" hidden="1">{"L_kopbudz.",#N/A,FALSE,"Kopbudz."}</definedName>
    <definedName name="_a7" localSheetId="3" hidden="1">{"L_kopbudz.",#N/A,FALSE,"Kopbudz."}</definedName>
    <definedName name="_a7" hidden="1">{"L_kopbudz.",#N/A,FALSE,"Kopbudz."}</definedName>
    <definedName name="_a8" localSheetId="4" hidden="1">{"L_kopbudz.",#N/A,FALSE,"Kopbudz."}</definedName>
    <definedName name="_a8" localSheetId="1" hidden="1">{"L_kopbudz.",#N/A,FALSE,"Kopbudz."}</definedName>
    <definedName name="_a8" localSheetId="0" hidden="1">{"L_kopbudz.",#N/A,FALSE,"Kopbudz."}</definedName>
    <definedName name="_a8" localSheetId="2" hidden="1">{"L_kopbudz.",#N/A,FALSE,"Kopbudz."}</definedName>
    <definedName name="_a8" localSheetId="3" hidden="1">{"L_kopbudz.",#N/A,FALSE,"Kopbudz."}</definedName>
    <definedName name="_a8" hidden="1">{"L_kopbudz.",#N/A,FALSE,"Kopbudz."}</definedName>
    <definedName name="_a9" localSheetId="4" hidden="1">{"vvv",#N/A,FALSE,"Kopbudz."}</definedName>
    <definedName name="_a9" localSheetId="1" hidden="1">{"vvv",#N/A,FALSE,"Kopbudz."}</definedName>
    <definedName name="_a9" localSheetId="0" hidden="1">{"vvv",#N/A,FALSE,"Kopbudz."}</definedName>
    <definedName name="_a9" localSheetId="2" hidden="1">{"vvv",#N/A,FALSE,"Kopbudz."}</definedName>
    <definedName name="_a9" localSheetId="3" hidden="1">{"vvv",#N/A,FALSE,"Kopbudz."}</definedName>
    <definedName name="_a9" hidden="1">{"vvv",#N/A,FALSE,"Kopbudz."}</definedName>
    <definedName name="_AMO_ContentDefinition_909831962" hidden="1">"'Partitions:10'"</definedName>
    <definedName name="_AMO_ContentDefinition_909831962.0" hidden="1">"'&lt;ContentDefinition name=""P:\Staat_ESVG\ESVG2010\Steuereinnahmen\SAS\DATA\Ergebnistabellen\steuern_klass.sas7bdat"" rsid=""909831962"" type=""DataSet"" format=""ReportXml"" imgfmt=""ActiveX"" created=""09/29/2014 13:23:49"" modifed=""09/27/2016 16:5'"</definedName>
    <definedName name="_AMO_ContentDefinition_909831962.1" hidden="1">"'7:08"" user=""HELPERSTORFER Christian"" apply=""False"" css=""C:\Program Files (x86)\SASHome\x86\SASAddinforMicrosoftOffice\6.1\Styles\AMODefault.css"" range=""P__Staat_ESVG_ESVG2010_Steuereinnahmen_SAS_DATA_Ergebnistabellen_steuern_klass_sas7bdat"" '"</definedName>
    <definedName name="_AMO_ContentDefinition_909831962.2" hidden="1">"'auto=""False"" xTime=""00:00:00"" rTime=""00:00:06.1464788"" bgnew=""False"" nFmt=""False"" grphSet=""False"" imgY=""0"" imgX=""0"" redirect=""False""&gt;_x000D_
  &lt;files /&gt;_x000D_
  &lt;parents /&gt;_x000D_
  &lt;children /&gt;_x000D_
  &lt;param n=""AMO_Version"" v=""6.1"" /&gt;_x000D_
  &lt;param n'"</definedName>
    <definedName name="_AMO_ContentDefinition_909831962.3" hidden="1">"'=""DisplayName"" v=""P:\Staat_ESVG\ESVG2010\Steuereinnahmen\SAS\DATA\Ergebnistabellen\steuern_klass.sas7bdat"" /&gt;_x000D_
  &lt;param n=""DisplayType"" v=""Datei"" /&gt;_x000D_
  &lt;param n=""DataSourceType"" v=""SAS DATASET"" /&gt;_x000D_
  &lt;param n=""SASFilter"" v="""" /&gt;_x000D_
  &lt;p'"</definedName>
    <definedName name="_AMO_ContentDefinition_909831962.4" hidden="1">"'aram n=""MoreSheetsForRows"" v=""True"" /&gt;_x000D_
  &lt;param n=""PageSize"" v=""500"" /&gt;_x000D_
  &lt;param n=""ShowRowNumbers"" v=""False"" /&gt;_x000D_
  &lt;param n=""ShowInfoInSheet"" v=""False"" /&gt;_x000D_
  &lt;param n=""CredKey"" v=""P:\Staat_ESVG\ESVG2010\Steuereinnahmen\SAS\DATA\E'"</definedName>
    <definedName name="_AMO_ContentDefinition_909831962.5" hidden="1">"'rgebnistabellen\steuern_klass.sas7bdat"" /&gt;_x000D_
  &lt;param n=""ClassName"" v=""SAS.OfficeAddin.DataViewItem"" /&gt;_x000D_
  &lt;param n=""ServerName"" v="""" /&gt;_x000D_
  &lt;param n=""DataSource"" v=""&amp;lt;SasDataSource Version=&amp;quot;4.2&amp;quot; Type=&amp;quot;SAS.Servers.Dataset&amp;qu'"</definedName>
    <definedName name="_AMO_ContentDefinition_909831962.6" hidden="1">"'ot; FilterDS=&amp;quot;&amp;amp;lt;?xml version=&amp;amp;quot;1.0&amp;amp;quot; encoding=&amp;amp;quot;utf-16&amp;amp;quot;?&amp;amp;gt;&amp;amp;lt;FilterTree&amp;amp;gt;&amp;amp;lt;TreeRoot /&amp;amp;gt;&amp;amp;lt;/FilterTree&amp;amp;gt;&amp;quot; ColSelFlg=&amp;quot;0&amp;quot; Name=&amp;quot;P:\Staat_ESVG\ESVG2010'"</definedName>
    <definedName name="_AMO_ContentDefinition_909831962.7" hidden="1">"'\Steuereinnahmen\SAS\DATA\Ergebnistabellen\steuern_klass.sas7bdat&amp;quot; /&amp;gt;"" /&gt;_x000D_
  &lt;param n=""ExcelTableColumnCount"" v=""27"" /&gt;_x000D_
  &lt;param n=""ExcelTableRowCount"" v=""7580"" /&gt;_x000D_
  &lt;param n=""DataRowCount"" v=""7580"" /&gt;_x000D_
  &lt;param n=""DataColCo'"</definedName>
    <definedName name="_AMO_ContentDefinition_909831962.8" hidden="1">"'unt"" v=""27"" /&gt;_x000D_
  &lt;param n=""ObsColumn"" v=""false"" /&gt;_x000D_
  &lt;param n=""ExcelFormattingHash"" v=""-614629894"" /&gt;_x000D_
  &lt;param n=""ExcelFormatting"" v=""Automatic"" /&gt;_x000D_
  &lt;ExcelXMLOptions AdjColWidths=""True"" RowOpt=""InsertCells"" ColOpt=""InsertCell'"</definedName>
    <definedName name="_AMO_ContentDefinition_909831962.9" hidden="1">"'s"" /&gt;_x000D_
&lt;/ContentDefinition&gt;'"</definedName>
    <definedName name="_AMO_ContentLocation_909831962__A1" hidden="1">"'Partitions:2'"</definedName>
    <definedName name="_AMO_ContentLocation_909831962__A1.0" hidden="1">"'&lt;ContentLocation path=""A1"" rsid=""909831962"" tag="""" fid=""0""&gt;_x000D_
  &lt;param n=""_NumRows"" v=""7581"" /&gt;_x000D_
  &lt;param n=""_NumCols"" v=""27"" /&gt;_x000D_
  &lt;param n=""SASDataState"" v=""none"" /&gt;_x000D_
  &lt;param n=""SASDataStart"" v=""1"" /&gt;_x000D_
  &lt;param n=""SASData'"</definedName>
    <definedName name="_AMO_ContentLocation_909831962__A1.1" hidden="1">"'End"" v=""7580"" /&gt;_x000D_
&lt;/ContentLocation&gt;'"</definedName>
    <definedName name="_AMO_SingleObject_909831962__A1" hidden="1">#REF!</definedName>
    <definedName name="_AMO_XmlVersion" hidden="1">"'1'"</definedName>
    <definedName name="_xlnm._FilterDatabase" localSheetId="3" hidden="1">Salary_calculator_2024_2026!$B$3:$T$31</definedName>
    <definedName name="_Ntl4" localSheetId="4">#REF!</definedName>
    <definedName name="_Ntl4" localSheetId="1">#REF!</definedName>
    <definedName name="_Ntl4" localSheetId="0">#REF!</definedName>
    <definedName name="_Ntl4" localSheetId="2">#REF!</definedName>
    <definedName name="_Ntl4" localSheetId="3">#REF!</definedName>
    <definedName name="_Ntl4">#REF!</definedName>
    <definedName name="_Order1" hidden="1">255</definedName>
    <definedName name="_Order2" hidden="1">255</definedName>
    <definedName name="_q1" localSheetId="4" hidden="1">{"vvv",#N/A,FALSE,"Kopbudz."}</definedName>
    <definedName name="_q1" localSheetId="1" hidden="1">{"vvv",#N/A,FALSE,"Kopbudz."}</definedName>
    <definedName name="_q1" localSheetId="0" hidden="1">{"vvv",#N/A,FALSE,"Kopbudz."}</definedName>
    <definedName name="_q1" localSheetId="2" hidden="1">{"vvv",#N/A,FALSE,"Kopbudz."}</definedName>
    <definedName name="_q1" localSheetId="3" hidden="1">{"vvv",#N/A,FALSE,"Kopbudz."}</definedName>
    <definedName name="_q1" hidden="1">{"vvv",#N/A,FALSE,"Kopbudz."}</definedName>
    <definedName name="_q10" localSheetId="4" hidden="1">{"vvv",#N/A,FALSE,"Kopbudz."}</definedName>
    <definedName name="_q10" localSheetId="1" hidden="1">{"vvv",#N/A,FALSE,"Kopbudz."}</definedName>
    <definedName name="_q10" localSheetId="0" hidden="1">{"vvv",#N/A,FALSE,"Kopbudz."}</definedName>
    <definedName name="_q10" localSheetId="2" hidden="1">{"vvv",#N/A,FALSE,"Kopbudz."}</definedName>
    <definedName name="_q10" localSheetId="3" hidden="1">{"vvv",#N/A,FALSE,"Kopbudz."}</definedName>
    <definedName name="_q10" hidden="1">{"vvv",#N/A,FALSE,"Kopbudz."}</definedName>
    <definedName name="_q11" localSheetId="4" hidden="1">{"L_kopbudz.",#N/A,FALSE,"Kopbudz."}</definedName>
    <definedName name="_q11" localSheetId="1" hidden="1">{"L_kopbudz.",#N/A,FALSE,"Kopbudz."}</definedName>
    <definedName name="_q11" localSheetId="0" hidden="1">{"L_kopbudz.",#N/A,FALSE,"Kopbudz."}</definedName>
    <definedName name="_q11" localSheetId="2" hidden="1">{"L_kopbudz.",#N/A,FALSE,"Kopbudz."}</definedName>
    <definedName name="_q11" localSheetId="3" hidden="1">{"L_kopbudz.",#N/A,FALSE,"Kopbudz."}</definedName>
    <definedName name="_q11" hidden="1">{"L_kopbudz.",#N/A,FALSE,"Kopbudz."}</definedName>
    <definedName name="_q12" localSheetId="4" hidden="1">{"L_kopbudz.",#N/A,FALSE,"Kopbudz."}</definedName>
    <definedName name="_q12" localSheetId="1" hidden="1">{"L_kopbudz.",#N/A,FALSE,"Kopbudz."}</definedName>
    <definedName name="_q12" localSheetId="0" hidden="1">{"L_kopbudz.",#N/A,FALSE,"Kopbudz."}</definedName>
    <definedName name="_q12" localSheetId="2" hidden="1">{"L_kopbudz.",#N/A,FALSE,"Kopbudz."}</definedName>
    <definedName name="_q12" localSheetId="3" hidden="1">{"L_kopbudz.",#N/A,FALSE,"Kopbudz."}</definedName>
    <definedName name="_q12" hidden="1">{"L_kopbudz.",#N/A,FALSE,"Kopbudz."}</definedName>
    <definedName name="_q13" localSheetId="4" hidden="1">{"vvv",#N/A,FALSE,"Kopbudz."}</definedName>
    <definedName name="_q13" localSheetId="1" hidden="1">{"vvv",#N/A,FALSE,"Kopbudz."}</definedName>
    <definedName name="_q13" localSheetId="0" hidden="1">{"vvv",#N/A,FALSE,"Kopbudz."}</definedName>
    <definedName name="_q13" localSheetId="2" hidden="1">{"vvv",#N/A,FALSE,"Kopbudz."}</definedName>
    <definedName name="_q13" localSheetId="3" hidden="1">{"vvv",#N/A,FALSE,"Kopbudz."}</definedName>
    <definedName name="_q13" hidden="1">{"vvv",#N/A,FALSE,"Kopbudz."}</definedName>
    <definedName name="_q14" localSheetId="4" hidden="1">{"L_kopbudz.",#N/A,FALSE,"Kopbudz."}</definedName>
    <definedName name="_q14" localSheetId="1" hidden="1">{"L_kopbudz.",#N/A,FALSE,"Kopbudz."}</definedName>
    <definedName name="_q14" localSheetId="0" hidden="1">{"L_kopbudz.",#N/A,FALSE,"Kopbudz."}</definedName>
    <definedName name="_q14" localSheetId="2" hidden="1">{"L_kopbudz.",#N/A,FALSE,"Kopbudz."}</definedName>
    <definedName name="_q14" localSheetId="3" hidden="1">{"L_kopbudz.",#N/A,FALSE,"Kopbudz."}</definedName>
    <definedName name="_q14" hidden="1">{"L_kopbudz.",#N/A,FALSE,"Kopbudz."}</definedName>
    <definedName name="_q2" localSheetId="4" hidden="1">{"L_kopbudz.",#N/A,FALSE,"Kopbudz."}</definedName>
    <definedName name="_q2" localSheetId="1" hidden="1">{"L_kopbudz.",#N/A,FALSE,"Kopbudz."}</definedName>
    <definedName name="_q2" localSheetId="0" hidden="1">{"L_kopbudz.",#N/A,FALSE,"Kopbudz."}</definedName>
    <definedName name="_q2" localSheetId="2" hidden="1">{"L_kopbudz.",#N/A,FALSE,"Kopbudz."}</definedName>
    <definedName name="_q2" localSheetId="3" hidden="1">{"L_kopbudz.",#N/A,FALSE,"Kopbudz."}</definedName>
    <definedName name="_q2" hidden="1">{"L_kopbudz.",#N/A,FALSE,"Kopbudz."}</definedName>
    <definedName name="_q3" localSheetId="4" hidden="1">{"vvv",#N/A,FALSE,"Kopbudz."}</definedName>
    <definedName name="_q3" localSheetId="1" hidden="1">{"vvv",#N/A,FALSE,"Kopbudz."}</definedName>
    <definedName name="_q3" localSheetId="0" hidden="1">{"vvv",#N/A,FALSE,"Kopbudz."}</definedName>
    <definedName name="_q3" localSheetId="2" hidden="1">{"vvv",#N/A,FALSE,"Kopbudz."}</definedName>
    <definedName name="_q3" localSheetId="3" hidden="1">{"vvv",#N/A,FALSE,"Kopbudz."}</definedName>
    <definedName name="_q3" hidden="1">{"vvv",#N/A,FALSE,"Kopbudz."}</definedName>
    <definedName name="_q4" localSheetId="4" hidden="1">{"L_kopbudz.",#N/A,FALSE,"Kopbudz."}</definedName>
    <definedName name="_q4" localSheetId="1" hidden="1">{"L_kopbudz.",#N/A,FALSE,"Kopbudz."}</definedName>
    <definedName name="_q4" localSheetId="0" hidden="1">{"L_kopbudz.",#N/A,FALSE,"Kopbudz."}</definedName>
    <definedName name="_q4" localSheetId="2" hidden="1">{"L_kopbudz.",#N/A,FALSE,"Kopbudz."}</definedName>
    <definedName name="_q4" localSheetId="3" hidden="1">{"L_kopbudz.",#N/A,FALSE,"Kopbudz."}</definedName>
    <definedName name="_q4" hidden="1">{"L_kopbudz.",#N/A,FALSE,"Kopbudz."}</definedName>
    <definedName name="_q5" localSheetId="4" hidden="1">{"vvv",#N/A,FALSE,"Kopbudz."}</definedName>
    <definedName name="_q5" localSheetId="1" hidden="1">{"vvv",#N/A,FALSE,"Kopbudz."}</definedName>
    <definedName name="_q5" localSheetId="0" hidden="1">{"vvv",#N/A,FALSE,"Kopbudz."}</definedName>
    <definedName name="_q5" localSheetId="2" hidden="1">{"vvv",#N/A,FALSE,"Kopbudz."}</definedName>
    <definedName name="_q5" localSheetId="3" hidden="1">{"vvv",#N/A,FALSE,"Kopbudz."}</definedName>
    <definedName name="_q5" hidden="1">{"vvv",#N/A,FALSE,"Kopbudz."}</definedName>
    <definedName name="_q6" localSheetId="4" hidden="1">{"L_kopbudz.",#N/A,FALSE,"Kopbudz."}</definedName>
    <definedName name="_q6" localSheetId="1" hidden="1">{"L_kopbudz.",#N/A,FALSE,"Kopbudz."}</definedName>
    <definedName name="_q6" localSheetId="0" hidden="1">{"L_kopbudz.",#N/A,FALSE,"Kopbudz."}</definedName>
    <definedName name="_q6" localSheetId="2" hidden="1">{"L_kopbudz.",#N/A,FALSE,"Kopbudz."}</definedName>
    <definedName name="_q6" localSheetId="3" hidden="1">{"L_kopbudz.",#N/A,FALSE,"Kopbudz."}</definedName>
    <definedName name="_q6" hidden="1">{"L_kopbudz.",#N/A,FALSE,"Kopbudz."}</definedName>
    <definedName name="_q7" localSheetId="4" hidden="1">{"vvv",#N/A,FALSE,"Kopbudz."}</definedName>
    <definedName name="_q7" localSheetId="1" hidden="1">{"vvv",#N/A,FALSE,"Kopbudz."}</definedName>
    <definedName name="_q7" localSheetId="0" hidden="1">{"vvv",#N/A,FALSE,"Kopbudz."}</definedName>
    <definedName name="_q7" localSheetId="2" hidden="1">{"vvv",#N/A,FALSE,"Kopbudz."}</definedName>
    <definedName name="_q7" localSheetId="3" hidden="1">{"vvv",#N/A,FALSE,"Kopbudz."}</definedName>
    <definedName name="_q7" hidden="1">{"vvv",#N/A,FALSE,"Kopbudz."}</definedName>
    <definedName name="_q8" localSheetId="4" hidden="1">{"L_kopbudz.",#N/A,FALSE,"Kopbudz."}</definedName>
    <definedName name="_q8" localSheetId="1" hidden="1">{"L_kopbudz.",#N/A,FALSE,"Kopbudz."}</definedName>
    <definedName name="_q8" localSheetId="0" hidden="1">{"L_kopbudz.",#N/A,FALSE,"Kopbudz."}</definedName>
    <definedName name="_q8" localSheetId="2" hidden="1">{"L_kopbudz.",#N/A,FALSE,"Kopbudz."}</definedName>
    <definedName name="_q8" localSheetId="3" hidden="1">{"L_kopbudz.",#N/A,FALSE,"Kopbudz."}</definedName>
    <definedName name="_q8" hidden="1">{"L_kopbudz.",#N/A,FALSE,"Kopbudz."}</definedName>
    <definedName name="_q9" localSheetId="4" hidden="1">{"vvv",#N/A,FALSE,"Kopbudz."}</definedName>
    <definedName name="_q9" localSheetId="1" hidden="1">{"vvv",#N/A,FALSE,"Kopbudz."}</definedName>
    <definedName name="_q9" localSheetId="0" hidden="1">{"vvv",#N/A,FALSE,"Kopbudz."}</definedName>
    <definedName name="_q9" localSheetId="2" hidden="1">{"vvv",#N/A,FALSE,"Kopbudz."}</definedName>
    <definedName name="_q9" localSheetId="3" hidden="1">{"vvv",#N/A,FALSE,"Kopbudz."}</definedName>
    <definedName name="_q9" hidden="1">{"vvv",#N/A,FALSE,"Kopbudz."}</definedName>
    <definedName name="_w1" localSheetId="4" hidden="1">{"vvv",#N/A,FALSE,"Kopbudz."}</definedName>
    <definedName name="_w1" localSheetId="1" hidden="1">{"vvv",#N/A,FALSE,"Kopbudz."}</definedName>
    <definedName name="_w1" localSheetId="0" hidden="1">{"vvv",#N/A,FALSE,"Kopbudz."}</definedName>
    <definedName name="_w1" localSheetId="2" hidden="1">{"vvv",#N/A,FALSE,"Kopbudz."}</definedName>
    <definedName name="_w1" localSheetId="3" hidden="1">{"vvv",#N/A,FALSE,"Kopbudz."}</definedName>
    <definedName name="_w1" hidden="1">{"vvv",#N/A,FALSE,"Kopbudz."}</definedName>
    <definedName name="_w2" localSheetId="4" hidden="1">{"L_kopbudz.",#N/A,FALSE,"Kopbudz."}</definedName>
    <definedName name="_w2" localSheetId="1" hidden="1">{"L_kopbudz.",#N/A,FALSE,"Kopbudz."}</definedName>
    <definedName name="_w2" localSheetId="0" hidden="1">{"L_kopbudz.",#N/A,FALSE,"Kopbudz."}</definedName>
    <definedName name="_w2" localSheetId="2" hidden="1">{"L_kopbudz.",#N/A,FALSE,"Kopbudz."}</definedName>
    <definedName name="_w2" localSheetId="3" hidden="1">{"L_kopbudz.",#N/A,FALSE,"Kopbudz."}</definedName>
    <definedName name="_w2" hidden="1">{"L_kopbudz.",#N/A,FALSE,"Kopbudz."}</definedName>
    <definedName name="_w3" localSheetId="4" hidden="1">{"L_kopbudz.",#N/A,FALSE,"Kopbudz."}</definedName>
    <definedName name="_w3" localSheetId="1" hidden="1">{"L_kopbudz.",#N/A,FALSE,"Kopbudz."}</definedName>
    <definedName name="_w3" localSheetId="0" hidden="1">{"L_kopbudz.",#N/A,FALSE,"Kopbudz."}</definedName>
    <definedName name="_w3" localSheetId="2" hidden="1">{"L_kopbudz.",#N/A,FALSE,"Kopbudz."}</definedName>
    <definedName name="_w3" localSheetId="3" hidden="1">{"L_kopbudz.",#N/A,FALSE,"Kopbudz."}</definedName>
    <definedName name="_w3" hidden="1">{"L_kopbudz.",#N/A,FALSE,"Kopbudz."}</definedName>
    <definedName name="_w4" localSheetId="4" hidden="1">{"vvv",#N/A,FALSE,"Kopbudz."}</definedName>
    <definedName name="_w4" localSheetId="1" hidden="1">{"vvv",#N/A,FALSE,"Kopbudz."}</definedName>
    <definedName name="_w4" localSheetId="0" hidden="1">{"vvv",#N/A,FALSE,"Kopbudz."}</definedName>
    <definedName name="_w4" localSheetId="2" hidden="1">{"vvv",#N/A,FALSE,"Kopbudz."}</definedName>
    <definedName name="_w4" localSheetId="3" hidden="1">{"vvv",#N/A,FALSE,"Kopbudz."}</definedName>
    <definedName name="_w4" hidden="1">{"vvv",#N/A,FALSE,"Kopbudz."}</definedName>
    <definedName name="_w5" localSheetId="4" hidden="1">{"L_kopbudz.",#N/A,FALSE,"Kopbudz."}</definedName>
    <definedName name="_w5" localSheetId="1" hidden="1">{"L_kopbudz.",#N/A,FALSE,"Kopbudz."}</definedName>
    <definedName name="_w5" localSheetId="0" hidden="1">{"L_kopbudz.",#N/A,FALSE,"Kopbudz."}</definedName>
    <definedName name="_w5" localSheetId="2" hidden="1">{"L_kopbudz.",#N/A,FALSE,"Kopbudz."}</definedName>
    <definedName name="_w5" localSheetId="3" hidden="1">{"L_kopbudz.",#N/A,FALSE,"Kopbudz."}</definedName>
    <definedName name="_w5" hidden="1">{"L_kopbudz.",#N/A,FALSE,"Kopbudz."}</definedName>
    <definedName name="a" localSheetId="4" hidden="1">{"L_kopbudz.",#N/A,FALSE,"Kopbudz."}</definedName>
    <definedName name="a" localSheetId="1" hidden="1">{"L_kopbudz.",#N/A,FALSE,"Kopbudz."}</definedName>
    <definedName name="a" localSheetId="0" hidden="1">{"L_kopbudz.",#N/A,FALSE,"Kopbudz."}</definedName>
    <definedName name="a" localSheetId="2" hidden="1">{"L_kopbudz.",#N/A,FALSE,"Kopbudz."}</definedName>
    <definedName name="a" localSheetId="3" hidden="1">{"L_kopbudz.",#N/A,FALSE,"Kopbudz."}</definedName>
    <definedName name="a" hidden="1">{"L_kopbudz.",#N/A,FALSE,"Kopbudz."}</definedName>
    <definedName name="AAP">'[1]Ietekme uz strādājošo_-1%'!$C$17</definedName>
    <definedName name="Accounts" localSheetId="4">#REF!</definedName>
    <definedName name="Accounts" localSheetId="1">#REF!</definedName>
    <definedName name="Accounts" localSheetId="0">#REF!</definedName>
    <definedName name="Accounts" localSheetId="2">#REF!</definedName>
    <definedName name="Accounts" localSheetId="3">#REF!</definedName>
    <definedName name="Accounts">#REF!</definedName>
    <definedName name="Atv._apgājamie" localSheetId="4">#REF!</definedName>
    <definedName name="Atv._apgājamie" localSheetId="1">#REF!</definedName>
    <definedName name="Atv._apgājamie" localSheetId="0">#REF!</definedName>
    <definedName name="Atv._apgājamie" localSheetId="2">#REF!</definedName>
    <definedName name="Atv._apgājamie" localSheetId="3">'[2]2.26.&amp;2.27.att._Nod.plaisa_OECD'!$M$11</definedName>
    <definedName name="Atv._apgājamie">#REF!</definedName>
    <definedName name="b" localSheetId="4" hidden="1">{"vvv",#N/A,FALSE,"Kopbudz."}</definedName>
    <definedName name="b" localSheetId="1" hidden="1">{"vvv",#N/A,FALSE,"Kopbudz."}</definedName>
    <definedName name="b" localSheetId="0" hidden="1">{"vvv",#N/A,FALSE,"Kopbudz."}</definedName>
    <definedName name="b" localSheetId="2" hidden="1">{"vvv",#N/A,FALSE,"Kopbudz."}</definedName>
    <definedName name="b" localSheetId="3" hidden="1">{"vvv",#N/A,FALSE,"Kopbudz."}</definedName>
    <definedName name="b" hidden="1">{"vvv",#N/A,FALSE,"Kopbudz."}</definedName>
    <definedName name="BASE" localSheetId="4">#REF!</definedName>
    <definedName name="BASE" localSheetId="1">#REF!</definedName>
    <definedName name="BASE" localSheetId="0">#REF!</definedName>
    <definedName name="BASE" localSheetId="2">#REF!</definedName>
    <definedName name="BASE" localSheetId="3">#REF!</definedName>
    <definedName name="BASE">#REF!</definedName>
    <definedName name="Bērnu_kopšanas_pab." localSheetId="4">#REF!</definedName>
    <definedName name="Bērnu_kopšanas_pab." localSheetId="1">#REF!</definedName>
    <definedName name="Bērnu_kopšanas_pab." localSheetId="0">#REF!</definedName>
    <definedName name="Bērnu_kopšanas_pab." localSheetId="2">#REF!</definedName>
    <definedName name="Bērnu_kopšanas_pab." localSheetId="3">'[2]2.26.&amp;2.27.att._Nod.plaisa_OECD'!$M$4</definedName>
    <definedName name="Bērnu_kopšanas_pab.">#REF!</definedName>
    <definedName name="Bērnu_kopšanas_pab.0.67" localSheetId="4">#REF!</definedName>
    <definedName name="Bērnu_kopšanas_pab.0.67" localSheetId="1">#REF!</definedName>
    <definedName name="Bērnu_kopšanas_pab.0.67" localSheetId="0">#REF!</definedName>
    <definedName name="Bērnu_kopšanas_pab.0.67" localSheetId="2">#REF!</definedName>
    <definedName name="Bērnu_kopšanas_pab.0.67" localSheetId="3">'[2]2.26.&amp;2.27.att._Nod.plaisa_OECD'!$M$35</definedName>
    <definedName name="Bērnu_kopšanas_pab.0.67">#REF!</definedName>
    <definedName name="Bruto_ienākum_0.67" localSheetId="4">#REF!</definedName>
    <definedName name="Bruto_ienākum_0.67" localSheetId="1">#REF!</definedName>
    <definedName name="Bruto_ienākum_0.67" localSheetId="0">#REF!</definedName>
    <definedName name="Bruto_ienākum_0.67" localSheetId="2">#REF!</definedName>
    <definedName name="Bruto_ienākum_0.67" localSheetId="3">'[2]2.26.&amp;2.27.att._Nod.plaisa_OECD'!$M$31</definedName>
    <definedName name="Bruto_ienākum_0.67">#REF!</definedName>
    <definedName name="Children_0.67_0" localSheetId="4">#REF!</definedName>
    <definedName name="Children_0.67_0" localSheetId="1">#REF!</definedName>
    <definedName name="Children_0.67_0" localSheetId="0">#REF!</definedName>
    <definedName name="Children_0.67_0" localSheetId="2">#REF!</definedName>
    <definedName name="Children_0.67_0" localSheetId="3">'[2]2.26.&amp;2.27.att._Nod.plaisa_OECD'!$D$19</definedName>
    <definedName name="Children_0.67_0">#REF!</definedName>
    <definedName name="Children_0.67_0_2" localSheetId="4">#REF!</definedName>
    <definedName name="Children_0.67_0_2" localSheetId="1">#REF!</definedName>
    <definedName name="Children_0.67_0_2" localSheetId="0">#REF!</definedName>
    <definedName name="Children_0.67_0_2" localSheetId="2">#REF!</definedName>
    <definedName name="Children_0.67_0_2" localSheetId="3">'[2]2.26.&amp;2.27.att._Nod.plaisa_OECD'!$D$22</definedName>
    <definedName name="Children_0.67_0_2">#REF!</definedName>
    <definedName name="Children_1.67_0" localSheetId="4">#REF!</definedName>
    <definedName name="Children_1.67_0" localSheetId="1">#REF!</definedName>
    <definedName name="Children_1.67_0" localSheetId="0">#REF!</definedName>
    <definedName name="Children_1.67_0" localSheetId="2">#REF!</definedName>
    <definedName name="Children_1.67_0" localSheetId="3">'[2]2.26.&amp;2.27.att._Nod.plaisa_OECD'!$D$21</definedName>
    <definedName name="Children_1.67_0">#REF!</definedName>
    <definedName name="children_1_0" localSheetId="4">#REF!</definedName>
    <definedName name="children_1_0" localSheetId="1">#REF!</definedName>
    <definedName name="children_1_0" localSheetId="0">#REF!</definedName>
    <definedName name="children_1_0" localSheetId="2">#REF!</definedName>
    <definedName name="children_1_0" localSheetId="3">'[2]2.26.&amp;2.27.att._Nod.plaisa_OECD'!$D$20</definedName>
    <definedName name="children_1_0">#REF!</definedName>
    <definedName name="Children_1_0.33_0" localSheetId="4">#REF!</definedName>
    <definedName name="Children_1_0.33_0" localSheetId="1">#REF!</definedName>
    <definedName name="Children_1_0.33_0" localSheetId="0">#REF!</definedName>
    <definedName name="Children_1_0.33_0" localSheetId="2">#REF!</definedName>
    <definedName name="Children_1_0.33_0" localSheetId="3">'[2]2.26.&amp;2.27.att._Nod.plaisa_OECD'!$D$26</definedName>
    <definedName name="Children_1_0.33_0">#REF!</definedName>
    <definedName name="Children_1_0.33_2" localSheetId="4">#REF!</definedName>
    <definedName name="Children_1_0.33_2" localSheetId="1">#REF!</definedName>
    <definedName name="Children_1_0.33_2" localSheetId="0">#REF!</definedName>
    <definedName name="Children_1_0.33_2" localSheetId="2">#REF!</definedName>
    <definedName name="Children_1_0.33_2" localSheetId="3">'[2]2.26.&amp;2.27.att._Nod.plaisa_OECD'!$D$24</definedName>
    <definedName name="Children_1_0.33_2">#REF!</definedName>
    <definedName name="Children_1_0.67" localSheetId="4">#REF!</definedName>
    <definedName name="Children_1_0.67" localSheetId="1">#REF!</definedName>
    <definedName name="Children_1_0.67" localSheetId="0">#REF!</definedName>
    <definedName name="Children_1_0.67" localSheetId="2">#REF!</definedName>
    <definedName name="Children_1_0.67" localSheetId="3">'[2]2.26.&amp;2.27.att._Nod.plaisa_OECD'!$D$25</definedName>
    <definedName name="Children_1_0.67">#REF!</definedName>
    <definedName name="Children_1_0_2" localSheetId="4">#REF!</definedName>
    <definedName name="Children_1_0_2" localSheetId="1">#REF!</definedName>
    <definedName name="Children_1_0_2" localSheetId="0">#REF!</definedName>
    <definedName name="Children_1_0_2" localSheetId="2">#REF!</definedName>
    <definedName name="Children_1_0_2" localSheetId="3">'[2]2.26.&amp;2.27.att._Nod.plaisa_OECD'!$D$23</definedName>
    <definedName name="Children_1_0_2">#REF!</definedName>
    <definedName name="codes">[3]CodesTexte!$A$2:$D$143</definedName>
    <definedName name="D.devēja_VSAOI" localSheetId="4">#REF!</definedName>
    <definedName name="D.devēja_VSAOI" localSheetId="1">#REF!</definedName>
    <definedName name="D.devēja_VSAOI" localSheetId="0">#REF!</definedName>
    <definedName name="D.devēja_VSAOI" localSheetId="2">#REF!</definedName>
    <definedName name="D.devēja_VSAOI" localSheetId="3">'[2]2.26.&amp;2.27.att._Nod.plaisa_OECD'!$M$12</definedName>
    <definedName name="D.devēja_VSAOI">#REF!</definedName>
    <definedName name="D.devēja_VSAOI_0.67" localSheetId="4">#REF!</definedName>
    <definedName name="D.devēja_VSAOI_0.67" localSheetId="1">#REF!</definedName>
    <definedName name="D.devēja_VSAOI_0.67" localSheetId="0">#REF!</definedName>
    <definedName name="D.devēja_VSAOI_0.67" localSheetId="2">#REF!</definedName>
    <definedName name="D.devēja_VSAOI_0.67" localSheetId="3">'[2]2.26.&amp;2.27.att._Nod.plaisa_OECD'!$M$33</definedName>
    <definedName name="D.devēja_VSAOI_0.67">#REF!</definedName>
    <definedName name="D.ņēm_VSAOI_0.67" localSheetId="4">#REF!</definedName>
    <definedName name="D.ņēm_VSAOI_0.67" localSheetId="1">#REF!</definedName>
    <definedName name="D.ņēm_VSAOI_0.67" localSheetId="0">#REF!</definedName>
    <definedName name="D.ņēm_VSAOI_0.67" localSheetId="2">#REF!</definedName>
    <definedName name="D.ņēm_VSAOI_0.67" localSheetId="3">'[2]2.26.&amp;2.27.att._Nod.plaisa_OECD'!$M$32</definedName>
    <definedName name="D.ņēm_VSAOI_0.67">#REF!</definedName>
    <definedName name="D.ņēmēja_VSAOI" localSheetId="4">#REF!</definedName>
    <definedName name="D.ņēmēja_VSAOI" localSheetId="1">#REF!</definedName>
    <definedName name="D.ņēmēja_VSAOI" localSheetId="0">#REF!</definedName>
    <definedName name="D.ņēmēja_VSAOI" localSheetId="2">#REF!</definedName>
    <definedName name="D.ņēmēja_VSAOI" localSheetId="3">'[2]2.26.&amp;2.27.att._Nod.plaisa_OECD'!$M$13</definedName>
    <definedName name="D.ņēmēja_VSAOI">#REF!</definedName>
    <definedName name="data_ntl" localSheetId="4">#REF!</definedName>
    <definedName name="data_ntl" localSheetId="1">#REF!</definedName>
    <definedName name="data_ntl" localSheetId="2">#REF!</definedName>
    <definedName name="data_ntl" localSheetId="3">#REF!</definedName>
    <definedName name="data_ntl">#REF!</definedName>
    <definedName name="Data_tot" localSheetId="4">#REF!</definedName>
    <definedName name="Data_tot" localSheetId="1">#REF!</definedName>
    <definedName name="Data_tot" localSheetId="2">#REF!</definedName>
    <definedName name="Data_tot" localSheetId="3">#REF!</definedName>
    <definedName name="Data_tot">#REF!</definedName>
    <definedName name="datab" localSheetId="4">#REF!</definedName>
    <definedName name="datab" localSheetId="1">#REF!</definedName>
    <definedName name="datab" localSheetId="2">#REF!</definedName>
    <definedName name="datab" localSheetId="3">#REF!</definedName>
    <definedName name="datab">#REF!</definedName>
    <definedName name="_xlnm.Database" localSheetId="4">#REF!</definedName>
    <definedName name="_xlnm.Database" localSheetId="1">#REF!</definedName>
    <definedName name="_xlnm.Database" localSheetId="2">#REF!</definedName>
    <definedName name="_xlnm.Database" localSheetId="3">#REF!</definedName>
    <definedName name="_xlnm.Database">#REF!</definedName>
    <definedName name="Drukat" localSheetId="4">#REF!</definedName>
    <definedName name="Drukat" localSheetId="1">#REF!</definedName>
    <definedName name="Drukat" localSheetId="2">#REF!</definedName>
    <definedName name="Drukat" localSheetId="3">#REF!</definedName>
    <definedName name="Drukat">#REF!</definedName>
    <definedName name="Drukat_1" localSheetId="4">#REF!</definedName>
    <definedName name="Drukat_1" localSheetId="1">#REF!</definedName>
    <definedName name="Drukat_1" localSheetId="2">#REF!</definedName>
    <definedName name="Drukat_1" localSheetId="3">#REF!</definedName>
    <definedName name="Drukat_1">#REF!</definedName>
    <definedName name="Drukat_2" localSheetId="4">#REF!</definedName>
    <definedName name="Drukat_2" localSheetId="1">#REF!</definedName>
    <definedName name="Drukat_2" localSheetId="2">#REF!</definedName>
    <definedName name="Drukat_2" localSheetId="3">#REF!</definedName>
    <definedName name="Drukat_2">#REF!</definedName>
    <definedName name="Drukat_3" localSheetId="4">#REF!</definedName>
    <definedName name="Drukat_3" localSheetId="1">#REF!</definedName>
    <definedName name="Drukat_3" localSheetId="2">#REF!</definedName>
    <definedName name="Drukat_3" localSheetId="3">#REF!</definedName>
    <definedName name="Drukat_3">#REF!</definedName>
    <definedName name="Drukat_4" localSheetId="4">#REF!</definedName>
    <definedName name="Drukat_4" localSheetId="1">#REF!</definedName>
    <definedName name="Drukat_4" localSheetId="2">#REF!</definedName>
    <definedName name="Drukat_4" localSheetId="3">#REF!</definedName>
    <definedName name="Drukat_4">#REF!</definedName>
    <definedName name="Drukat_8" localSheetId="4">#REF!</definedName>
    <definedName name="Drukat_8" localSheetId="1">#REF!</definedName>
    <definedName name="Drukat_8" localSheetId="2">#REF!</definedName>
    <definedName name="Drukat_8" localSheetId="3">#REF!</definedName>
    <definedName name="Drukat_8">#REF!</definedName>
    <definedName name="dsf" localSheetId="4" hidden="1">{"L_kopbudz.",#N/A,FALSE,"Kopbudz."}</definedName>
    <definedName name="dsf" localSheetId="1" hidden="1">{"L_kopbudz.",#N/A,FALSE,"Kopbudz."}</definedName>
    <definedName name="dsf" localSheetId="0" hidden="1">{"L_kopbudz.",#N/A,FALSE,"Kopbudz."}</definedName>
    <definedName name="dsf" localSheetId="2" hidden="1">{"L_kopbudz.",#N/A,FALSE,"Kopbudz."}</definedName>
    <definedName name="dsf" localSheetId="3" hidden="1">{"L_kopbudz.",#N/A,FALSE,"Kopbudz."}</definedName>
    <definedName name="dsf" hidden="1">{"L_kopbudz.",#N/A,FALSE,"Kopbudz."}</definedName>
    <definedName name="ESA95_DETAILS" localSheetId="4">#REF!</definedName>
    <definedName name="ESA95_DETAILS" localSheetId="1">#REF!</definedName>
    <definedName name="ESA95_DETAILS" localSheetId="0">#REF!</definedName>
    <definedName name="ESA95_DETAILS" localSheetId="2">#REF!</definedName>
    <definedName name="ESA95_DETAILS" localSheetId="3">#REF!</definedName>
    <definedName name="ESA95_DETAILS">#REF!</definedName>
    <definedName name="f" localSheetId="4">#REF!</definedName>
    <definedName name="f" localSheetId="1">#REF!</definedName>
    <definedName name="f" localSheetId="2">#REF!</definedName>
    <definedName name="f" localSheetId="3">#REF!</definedName>
    <definedName name="f">#REF!</definedName>
    <definedName name="first_05" localSheetId="4">#REF!</definedName>
    <definedName name="first_05" localSheetId="1">#REF!</definedName>
    <definedName name="first_05" localSheetId="0">#REF!</definedName>
    <definedName name="first_05" localSheetId="2">#REF!</definedName>
    <definedName name="first_05" localSheetId="3">'[2]2.26.&amp;2.27.att._Nod.plaisa_OECD'!$G$5</definedName>
    <definedName name="first_05">#REF!</definedName>
    <definedName name="first_06" localSheetId="4">#REF!</definedName>
    <definedName name="first_06" localSheetId="1">#REF!</definedName>
    <definedName name="first_06" localSheetId="0">#REF!</definedName>
    <definedName name="first_06" localSheetId="2">#REF!</definedName>
    <definedName name="first_06" localSheetId="3">'[2]2.26.&amp;2.27.att._Nod.plaisa_OECD'!$H$5</definedName>
    <definedName name="first_06">#REF!</definedName>
    <definedName name="first_07" localSheetId="4">#REF!</definedName>
    <definedName name="first_07" localSheetId="1">#REF!</definedName>
    <definedName name="first_07" localSheetId="0">#REF!</definedName>
    <definedName name="first_07" localSheetId="2">#REF!</definedName>
    <definedName name="first_07" localSheetId="3">'[2]2.26.&amp;2.27.att._Nod.plaisa_OECD'!$I$5</definedName>
    <definedName name="first_07">#REF!</definedName>
    <definedName name="first_08" localSheetId="4">#REF!</definedName>
    <definedName name="first_08" localSheetId="1">#REF!</definedName>
    <definedName name="first_08" localSheetId="0">#REF!</definedName>
    <definedName name="first_08" localSheetId="2">#REF!</definedName>
    <definedName name="first_08" localSheetId="3">'[2]2.26.&amp;2.27.att._Nod.plaisa_OECD'!$J$5</definedName>
    <definedName name="first_08">#REF!</definedName>
    <definedName name="fourth_05" localSheetId="4">#REF!</definedName>
    <definedName name="fourth_05" localSheetId="1">#REF!</definedName>
    <definedName name="fourth_05" localSheetId="0">#REF!</definedName>
    <definedName name="fourth_05" localSheetId="2">#REF!</definedName>
    <definedName name="fourth_05" localSheetId="3">'[2]2.26.&amp;2.27.att._Nod.plaisa_OECD'!$G$8</definedName>
    <definedName name="fourth_05">#REF!</definedName>
    <definedName name="fourth_06" localSheetId="4">#REF!</definedName>
    <definedName name="fourth_06" localSheetId="1">#REF!</definedName>
    <definedName name="fourth_06" localSheetId="0">#REF!</definedName>
    <definedName name="fourth_06" localSheetId="2">#REF!</definedName>
    <definedName name="fourth_06" localSheetId="3">'[2]2.26.&amp;2.27.att._Nod.plaisa_OECD'!$H$8</definedName>
    <definedName name="fourth_06">#REF!</definedName>
    <definedName name="fourth_07" localSheetId="4">#REF!</definedName>
    <definedName name="fourth_07" localSheetId="1">#REF!</definedName>
    <definedName name="fourth_07" localSheetId="0">#REF!</definedName>
    <definedName name="fourth_07" localSheetId="2">#REF!</definedName>
    <definedName name="fourth_07" localSheetId="3">'[2]2.26.&amp;2.27.att._Nod.plaisa_OECD'!$I$8</definedName>
    <definedName name="fourth_07">#REF!</definedName>
    <definedName name="fourth_08" localSheetId="4">#REF!</definedName>
    <definedName name="fourth_08" localSheetId="1">#REF!</definedName>
    <definedName name="fourth_08" localSheetId="0">#REF!</definedName>
    <definedName name="fourth_08" localSheetId="2">#REF!</definedName>
    <definedName name="fourth_08" localSheetId="3">'[2]2.26.&amp;2.27.att._Nod.plaisa_OECD'!$J$8</definedName>
    <definedName name="fourth_08">#REF!</definedName>
    <definedName name="GDPDATA" localSheetId="4">#REF!</definedName>
    <definedName name="GDPDATA" localSheetId="1">#REF!</definedName>
    <definedName name="GDPDATA" localSheetId="2">#REF!</definedName>
    <definedName name="GDPDATA" localSheetId="3">#REF!</definedName>
    <definedName name="GDPDATA">#REF!</definedName>
    <definedName name="GFH" localSheetId="4" hidden="1">{"L_kopbudz.",#N/A,FALSE,"Kopbudz."}</definedName>
    <definedName name="GFH" localSheetId="1" hidden="1">{"L_kopbudz.",#N/A,FALSE,"Kopbudz."}</definedName>
    <definedName name="GFH" localSheetId="0" hidden="1">{"L_kopbudz.",#N/A,FALSE,"Kopbudz."}</definedName>
    <definedName name="GFH" localSheetId="2" hidden="1">{"L_kopbudz.",#N/A,FALSE,"Kopbudz."}</definedName>
    <definedName name="GFH" localSheetId="3" hidden="1">{"L_kopbudz.",#N/A,FALSE,"Kopbudz."}</definedName>
    <definedName name="GFH" hidden="1">{"L_kopbudz.",#N/A,FALSE,"Kopbudz."}</definedName>
    <definedName name="hhhhhhh" localSheetId="4">#REF!</definedName>
    <definedName name="hhhhhhh" localSheetId="1">#REF!</definedName>
    <definedName name="hhhhhhh" localSheetId="0">#REF!</definedName>
    <definedName name="hhhhhhh" localSheetId="2">#REF!</definedName>
    <definedName name="hhhhhhh" localSheetId="3">#REF!</definedName>
    <definedName name="hhhhhhh">#REF!</definedName>
    <definedName name="ie" localSheetId="4">#REF!</definedName>
    <definedName name="ie" localSheetId="1">#REF!</definedName>
    <definedName name="ie" localSheetId="2">#REF!</definedName>
    <definedName name="ie" localSheetId="3">#REF!</definedName>
    <definedName name="ie">#REF!</definedName>
    <definedName name="IIN" localSheetId="4">#REF!</definedName>
    <definedName name="IIN" localSheetId="1">#REF!</definedName>
    <definedName name="IIN" localSheetId="0">#REF!</definedName>
    <definedName name="IIN" localSheetId="2">#REF!</definedName>
    <definedName name="IIN" localSheetId="3">'[2]2.26.&amp;2.27.att._Nod.plaisa_OECD'!$M$9</definedName>
    <definedName name="IIN">#REF!</definedName>
    <definedName name="IIN_0.67" localSheetId="4">#REF!</definedName>
    <definedName name="IIN_0.67" localSheetId="1">#REF!</definedName>
    <definedName name="IIN_0.67" localSheetId="0">#REF!</definedName>
    <definedName name="IIN_0.67" localSheetId="2">#REF!</definedName>
    <definedName name="IIN_0.67" localSheetId="3">'[2]2.26.&amp;2.27.att._Nod.plaisa_OECD'!$M$34</definedName>
    <definedName name="IIN_0.67">#REF!</definedName>
    <definedName name="IINlikme">'[1]Ietekme uz strādājošo_-1%'!$C$14</definedName>
    <definedName name="jkl" localSheetId="4" hidden="1">{"L_kopbudz.",#N/A,FALSE,"Kopbudz."}</definedName>
    <definedName name="jkl" localSheetId="1" hidden="1">{"L_kopbudz.",#N/A,FALSE,"Kopbudz."}</definedName>
    <definedName name="jkl" localSheetId="0" hidden="1">{"L_kopbudz.",#N/A,FALSE,"Kopbudz."}</definedName>
    <definedName name="jkl" localSheetId="2" hidden="1">{"L_kopbudz.",#N/A,FALSE,"Kopbudz."}</definedName>
    <definedName name="jkl" localSheetId="3" hidden="1">{"L_kopbudz.",#N/A,FALSE,"Kopbudz."}</definedName>
    <definedName name="jkl" hidden="1">{"L_kopbudz.",#N/A,FALSE,"Kopbudz."}</definedName>
    <definedName name="LABLE_BASE" localSheetId="4">#REF!</definedName>
    <definedName name="LABLE_BASE" localSheetId="1">#REF!</definedName>
    <definedName name="LABLE_BASE" localSheetId="0">#REF!</definedName>
    <definedName name="LABLE_BASE" localSheetId="2">#REF!</definedName>
    <definedName name="LABLE_BASE" localSheetId="3">#REF!</definedName>
    <definedName name="LABLE_BASE">#REF!</definedName>
    <definedName name="Neto_ienāk_0.67" localSheetId="4">#REF!</definedName>
    <definedName name="Neto_ienāk_0.67" localSheetId="1">#REF!</definedName>
    <definedName name="Neto_ienāk_0.67" localSheetId="0">#REF!</definedName>
    <definedName name="Neto_ienāk_0.67" localSheetId="2">#REF!</definedName>
    <definedName name="Neto_ienāk_0.67" localSheetId="3">'[2]2.26.&amp;2.27.att._Nod.plaisa_OECD'!$M$36</definedName>
    <definedName name="Neto_ienāk_0.67">#REF!</definedName>
    <definedName name="NMin." localSheetId="4">#REF!</definedName>
    <definedName name="NMin." localSheetId="1">#REF!</definedName>
    <definedName name="NMin." localSheetId="0">#REF!</definedName>
    <definedName name="NMin." localSheetId="2">#REF!</definedName>
    <definedName name="NMin." localSheetId="3">'[2]2.26.&amp;2.27.att._Nod.plaisa_OECD'!$M$10</definedName>
    <definedName name="NMin.">#REF!</definedName>
    <definedName name="NTL" localSheetId="4">#REF!</definedName>
    <definedName name="NTL" localSheetId="1">#REF!</definedName>
    <definedName name="NTL" localSheetId="2">#REF!</definedName>
    <definedName name="NTL" localSheetId="3">#REF!</definedName>
    <definedName name="NTL">#REF!</definedName>
    <definedName name="OUTPUTGAP" localSheetId="4">#REF!</definedName>
    <definedName name="OUTPUTGAP" localSheetId="1">#REF!</definedName>
    <definedName name="OUTPUTGAP" localSheetId="2">#REF!</definedName>
    <definedName name="OUTPUTGAP" localSheetId="3">#REF!</definedName>
    <definedName name="OUTPUTGAP">#REF!</definedName>
    <definedName name="ppppppppppppp" localSheetId="4">#REF!</definedName>
    <definedName name="ppppppppppppp" localSheetId="1">#REF!</definedName>
    <definedName name="ppppppppppppp" localSheetId="2">#REF!</definedName>
    <definedName name="ppppppppppppp" localSheetId="3">#REF!</definedName>
    <definedName name="ppppppppppppp">#REF!</definedName>
    <definedName name="_xlnm.Print_Area" localSheetId="4">Baltic_states_revenue!$A$1:$L$52</definedName>
    <definedName name="_xlnm.Print_Area" localSheetId="1">IGAUNIJA_ESTONIA!$A$1:$V$220</definedName>
    <definedName name="_xlnm.Print_Area" localSheetId="0">LATVIJA_LATVIA!$C$1:$W$386</definedName>
    <definedName name="_xlnm.Print_Area" localSheetId="2">LIETUVA_LITHUANIA!$A$1:$V$233</definedName>
    <definedName name="_xlnm.Print_Area" localSheetId="3">Salary_calculator_2024_2026!$T$3:$Z$37</definedName>
    <definedName name="S13PTerms" localSheetId="4">#REF!</definedName>
    <definedName name="S13PTerms" localSheetId="1">#REF!</definedName>
    <definedName name="S13PTerms" localSheetId="0">#REF!</definedName>
    <definedName name="S13PTerms" localSheetId="2">#REF!</definedName>
    <definedName name="S13PTerms" localSheetId="3">#REF!</definedName>
    <definedName name="S13PTerms">#REF!</definedName>
    <definedName name="second_05" localSheetId="4">#REF!</definedName>
    <definedName name="second_05" localSheetId="1">#REF!</definedName>
    <definedName name="second_05" localSheetId="0">#REF!</definedName>
    <definedName name="second_05" localSheetId="2">#REF!</definedName>
    <definedName name="second_05" localSheetId="3">'[2]2.26.&amp;2.27.att._Nod.plaisa_OECD'!$G$6</definedName>
    <definedName name="second_05">#REF!</definedName>
    <definedName name="second_06" localSheetId="4">#REF!</definedName>
    <definedName name="second_06" localSheetId="1">#REF!</definedName>
    <definedName name="second_06" localSheetId="0">#REF!</definedName>
    <definedName name="second_06" localSheetId="2">#REF!</definedName>
    <definedName name="second_06" localSheetId="3">'[2]2.26.&amp;2.27.att._Nod.plaisa_OECD'!$H$6</definedName>
    <definedName name="second_06">#REF!</definedName>
    <definedName name="second_07" localSheetId="4">#REF!</definedName>
    <definedName name="second_07" localSheetId="1">#REF!</definedName>
    <definedName name="second_07" localSheetId="0">#REF!</definedName>
    <definedName name="second_07" localSheetId="2">#REF!</definedName>
    <definedName name="second_07" localSheetId="3">'[2]2.26.&amp;2.27.att._Nod.plaisa_OECD'!$I$6</definedName>
    <definedName name="second_07">#REF!</definedName>
    <definedName name="second_08" localSheetId="4">#REF!</definedName>
    <definedName name="second_08" localSheetId="1">#REF!</definedName>
    <definedName name="second_08" localSheetId="0">#REF!</definedName>
    <definedName name="second_08" localSheetId="2">#REF!</definedName>
    <definedName name="second_08" localSheetId="3">'[2]2.26.&amp;2.27.att._Nod.plaisa_OECD'!$J$6</definedName>
    <definedName name="second_08">#REF!</definedName>
    <definedName name="SPLIT_1">[4]SPLIT_1!$A$3:$O$217</definedName>
    <definedName name="SPLIT_2">[4]SPLIT_2!$A$2:$P$86</definedName>
    <definedName name="ssss" localSheetId="4" hidden="1">{"vvv",#N/A,FALSE,"Kopbudz."}</definedName>
    <definedName name="ssss" localSheetId="1" hidden="1">{"vvv",#N/A,FALSE,"Kopbudz."}</definedName>
    <definedName name="ssss" localSheetId="0" hidden="1">{"vvv",#N/A,FALSE,"Kopbudz."}</definedName>
    <definedName name="ssss" localSheetId="2" hidden="1">{"vvv",#N/A,FALSE,"Kopbudz."}</definedName>
    <definedName name="ssss" localSheetId="3" hidden="1">{"vvv",#N/A,FALSE,"Kopbudz."}</definedName>
    <definedName name="ssss" hidden="1">{"vvv",#N/A,FALSE,"Kopbudz."}</definedName>
    <definedName name="Tabelle1" localSheetId="4">#REF!</definedName>
    <definedName name="Tabelle1" localSheetId="1">#REF!</definedName>
    <definedName name="Tabelle1" localSheetId="0">#REF!</definedName>
    <definedName name="Tabelle1" localSheetId="2">#REF!</definedName>
    <definedName name="Tabelle1" localSheetId="3">#REF!</definedName>
    <definedName name="Tabelle1">#REF!</definedName>
    <definedName name="table" localSheetId="4">#REF!</definedName>
    <definedName name="table" localSheetId="1">#REF!</definedName>
    <definedName name="table" localSheetId="2">#REF!</definedName>
    <definedName name="table" localSheetId="3">#REF!</definedName>
    <definedName name="table">#REF!</definedName>
    <definedName name="table2" localSheetId="4">#REF!</definedName>
    <definedName name="table2" localSheetId="1">#REF!</definedName>
    <definedName name="table2" localSheetId="2">#REF!</definedName>
    <definedName name="table2" localSheetId="3">#REF!</definedName>
    <definedName name="table2">#REF!</definedName>
    <definedName name="third_05" localSheetId="4">#REF!</definedName>
    <definedName name="third_05" localSheetId="1">#REF!</definedName>
    <definedName name="third_05" localSheetId="0">#REF!</definedName>
    <definedName name="third_05" localSheetId="2">#REF!</definedName>
    <definedName name="third_05" localSheetId="3">'[2]2.26.&amp;2.27.att._Nod.plaisa_OECD'!$G$7</definedName>
    <definedName name="third_05">#REF!</definedName>
    <definedName name="third_06" localSheetId="4">#REF!</definedName>
    <definedName name="third_06" localSheetId="1">#REF!</definedName>
    <definedName name="third_06" localSheetId="0">#REF!</definedName>
    <definedName name="third_06" localSheetId="2">#REF!</definedName>
    <definedName name="third_06" localSheetId="3">'[2]2.26.&amp;2.27.att._Nod.plaisa_OECD'!$H$7</definedName>
    <definedName name="third_06">#REF!</definedName>
    <definedName name="third_07" localSheetId="4">#REF!</definedName>
    <definedName name="third_07" localSheetId="1">#REF!</definedName>
    <definedName name="third_07" localSheetId="0">#REF!</definedName>
    <definedName name="third_07" localSheetId="2">#REF!</definedName>
    <definedName name="third_07" localSheetId="3">'[2]2.26.&amp;2.27.att._Nod.plaisa_OECD'!$I$7</definedName>
    <definedName name="third_07">#REF!</definedName>
    <definedName name="third_08" localSheetId="4">#REF!</definedName>
    <definedName name="third_08" localSheetId="1">#REF!</definedName>
    <definedName name="third_08" localSheetId="0">#REF!</definedName>
    <definedName name="third_08" localSheetId="2">#REF!</definedName>
    <definedName name="third_08" localSheetId="3">'[2]2.26.&amp;2.27.att._Nod.plaisa_OECD'!$J$7</definedName>
    <definedName name="third_08">#REF!</definedName>
    <definedName name="ttttttt" localSheetId="4">#REF!</definedName>
    <definedName name="ttttttt" localSheetId="1">#REF!</definedName>
    <definedName name="ttttttt" localSheetId="2">#REF!</definedName>
    <definedName name="ttttttt" localSheetId="3">#REF!</definedName>
    <definedName name="ttttttt">#REF!</definedName>
    <definedName name="w.ggg" localSheetId="4" hidden="1">{"vvv",#N/A,FALSE,"Kopbudz."}</definedName>
    <definedName name="w.ggg" localSheetId="1" hidden="1">{"vvv",#N/A,FALSE,"Kopbudz."}</definedName>
    <definedName name="w.ggg" localSheetId="0" hidden="1">{"vvv",#N/A,FALSE,"Kopbudz."}</definedName>
    <definedName name="w.ggg" localSheetId="2" hidden="1">{"vvv",#N/A,FALSE,"Kopbudz."}</definedName>
    <definedName name="w.ggg" localSheetId="3" hidden="1">{"vvv",#N/A,FALSE,"Kopbudz."}</definedName>
    <definedName name="w.ggg" hidden="1">{"vvv",#N/A,FALSE,"Kopbudz."}</definedName>
    <definedName name="wrn.gggg." localSheetId="4" hidden="1">{"vvv",#N/A,FALSE,"Kopbudz."}</definedName>
    <definedName name="wrn.gggg." localSheetId="1" hidden="1">{"vvv",#N/A,FALSE,"Kopbudz."}</definedName>
    <definedName name="wrn.gggg." localSheetId="0" hidden="1">{"vvv",#N/A,FALSE,"Kopbudz."}</definedName>
    <definedName name="wrn.gggg." localSheetId="2" hidden="1">{"vvv",#N/A,FALSE,"Kopbudz."}</definedName>
    <definedName name="wrn.gggg." localSheetId="3" hidden="1">{"vvv",#N/A,FALSE,"Kopbudz."}</definedName>
    <definedName name="wrn.gggg." hidden="1">{"vvv",#N/A,FALSE,"Kopbudz."}</definedName>
    <definedName name="wrn.vlvlv." localSheetId="4" hidden="1">{"L_kopbudz.",#N/A,FALSE,"Kopbudz."}</definedName>
    <definedName name="wrn.vlvlv." localSheetId="1" hidden="1">{"L_kopbudz.",#N/A,FALSE,"Kopbudz."}</definedName>
    <definedName name="wrn.vlvlv." localSheetId="0" hidden="1">{"L_kopbudz.",#N/A,FALSE,"Kopbudz."}</definedName>
    <definedName name="wrn.vlvlv." localSheetId="2" hidden="1">{"L_kopbudz.",#N/A,FALSE,"Kopbudz."}</definedName>
    <definedName name="wrn.vlvlv." localSheetId="3" hidden="1">{"L_kopbudz.",#N/A,FALSE,"Kopbudz."}</definedName>
    <definedName name="wrn.vlvlv." hidden="1">{"L_kopbudz.",#N/A,FALSE,"Kopbudz."}</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0" i="5" l="1"/>
  <c r="J90" i="5"/>
  <c r="H90" i="5"/>
  <c r="G90" i="5"/>
  <c r="K89" i="5"/>
  <c r="J89" i="5"/>
  <c r="H89" i="5"/>
  <c r="G89" i="5"/>
  <c r="K88" i="5"/>
  <c r="J88" i="5"/>
  <c r="H88" i="5"/>
  <c r="G88" i="5"/>
  <c r="K87" i="5"/>
  <c r="J87" i="5"/>
  <c r="H87" i="5"/>
  <c r="G87" i="5"/>
  <c r="K86" i="5"/>
  <c r="J86" i="5"/>
  <c r="H86" i="5"/>
  <c r="G86" i="5"/>
  <c r="K85" i="5"/>
  <c r="J85" i="5"/>
  <c r="H85" i="5"/>
  <c r="G85" i="5"/>
  <c r="K84" i="5"/>
  <c r="J84" i="5"/>
  <c r="H84" i="5"/>
  <c r="G84" i="5"/>
  <c r="C61" i="5"/>
  <c r="I60" i="5"/>
  <c r="G60" i="5"/>
  <c r="E60" i="5"/>
  <c r="C60" i="5"/>
  <c r="I59" i="5"/>
  <c r="G59" i="5"/>
  <c r="E59" i="5"/>
  <c r="C59" i="5"/>
  <c r="G58" i="5"/>
  <c r="H58" i="5" s="1"/>
  <c r="F58" i="5"/>
  <c r="E58" i="5"/>
  <c r="C58" i="5"/>
  <c r="D58" i="5" s="1"/>
  <c r="O57" i="5"/>
  <c r="I57" i="5"/>
  <c r="G57" i="5"/>
  <c r="H57" i="5" s="1"/>
  <c r="E57" i="5"/>
  <c r="F57" i="5" s="1"/>
  <c r="C57" i="5"/>
  <c r="I55" i="5"/>
  <c r="G55" i="5"/>
  <c r="E55" i="5"/>
  <c r="C55" i="5"/>
  <c r="O54" i="5"/>
  <c r="I54" i="5"/>
  <c r="G54" i="5"/>
  <c r="E54" i="5"/>
  <c r="C54" i="5"/>
  <c r="O53" i="5"/>
  <c r="G53" i="5"/>
  <c r="E53" i="5"/>
  <c r="G52" i="5"/>
  <c r="E52" i="5"/>
  <c r="C52" i="5"/>
  <c r="G51" i="5"/>
  <c r="E51" i="5"/>
  <c r="C51" i="5"/>
  <c r="I50" i="5"/>
  <c r="I49" i="5" s="1"/>
  <c r="G50" i="5"/>
  <c r="E50" i="5"/>
  <c r="C50" i="5"/>
  <c r="O49" i="5"/>
  <c r="G49" i="5"/>
  <c r="E49" i="5"/>
  <c r="G48" i="5"/>
  <c r="E48" i="5"/>
  <c r="S47" i="5"/>
  <c r="Q47" i="5"/>
  <c r="O47" i="5"/>
  <c r="I83" i="5" s="1"/>
  <c r="M47" i="5"/>
  <c r="H83" i="5" s="1"/>
  <c r="K47" i="5"/>
  <c r="J83" i="5" s="1"/>
  <c r="I47" i="5"/>
  <c r="J57" i="5" s="1"/>
  <c r="J59" i="5" s="1"/>
  <c r="G47" i="5"/>
  <c r="H60" i="5" s="1"/>
  <c r="E47" i="5"/>
  <c r="C83" i="5" s="1"/>
  <c r="C47" i="5"/>
  <c r="M28" i="5"/>
  <c r="L28" i="5"/>
  <c r="J28" i="5"/>
  <c r="I28" i="5"/>
  <c r="H28" i="5"/>
  <c r="G28" i="5"/>
  <c r="F28" i="5"/>
  <c r="E28" i="5"/>
  <c r="D28" i="5"/>
  <c r="C28" i="5"/>
  <c r="C24" i="5"/>
  <c r="M18" i="5"/>
  <c r="L18" i="5"/>
  <c r="K18" i="5"/>
  <c r="M17" i="5"/>
  <c r="L17" i="5"/>
  <c r="K17" i="5"/>
  <c r="T14" i="5"/>
  <c r="S14" i="5"/>
  <c r="R14" i="5"/>
  <c r="Q14" i="5"/>
  <c r="J14" i="5"/>
  <c r="L16" i="5" s="1"/>
  <c r="F14" i="5"/>
  <c r="E14" i="5"/>
  <c r="C14" i="5"/>
  <c r="D11" i="5"/>
  <c r="D14" i="5" s="1"/>
  <c r="K8" i="5"/>
  <c r="K28" i="5" s="1"/>
  <c r="O48" i="5" l="1"/>
  <c r="C49" i="5"/>
  <c r="M16" i="5"/>
  <c r="M10" i="5" s="1"/>
  <c r="M14" i="5" s="1"/>
  <c r="C53" i="5"/>
  <c r="K83" i="5"/>
  <c r="I53" i="5"/>
  <c r="I48" i="5" s="1"/>
  <c r="L10" i="5"/>
  <c r="L14" i="5" s="1"/>
  <c r="L19" i="5"/>
  <c r="M19" i="5"/>
  <c r="H51" i="5"/>
  <c r="J54" i="5"/>
  <c r="H55" i="5"/>
  <c r="J60" i="5"/>
  <c r="I56" i="5" s="1"/>
  <c r="D83" i="5"/>
  <c r="J50" i="5"/>
  <c r="J49" i="5" s="1"/>
  <c r="I63" i="5" s="1"/>
  <c r="F88" i="5" s="1"/>
  <c r="D57" i="5"/>
  <c r="P57" i="5"/>
  <c r="E83" i="5"/>
  <c r="H50" i="5"/>
  <c r="P50" i="5"/>
  <c r="P49" i="5" s="1"/>
  <c r="D52" i="5"/>
  <c r="D54" i="5"/>
  <c r="P54" i="5"/>
  <c r="P53" i="5" s="1"/>
  <c r="I85" i="5" s="1"/>
  <c r="J55" i="5"/>
  <c r="D60" i="5"/>
  <c r="D61" i="5"/>
  <c r="F83" i="5"/>
  <c r="D50" i="5"/>
  <c r="G83" i="5"/>
  <c r="D51" i="5"/>
  <c r="F52" i="5"/>
  <c r="F54" i="5"/>
  <c r="D55" i="5"/>
  <c r="F60" i="5"/>
  <c r="K16" i="5"/>
  <c r="F50" i="5"/>
  <c r="F51" i="5"/>
  <c r="H52" i="5"/>
  <c r="H54" i="5"/>
  <c r="H53" i="5" s="1"/>
  <c r="E85" i="5" s="1"/>
  <c r="F55" i="5"/>
  <c r="F53" i="5" l="1"/>
  <c r="C48" i="5"/>
  <c r="F87" i="5"/>
  <c r="F86" i="5"/>
  <c r="D85" i="5"/>
  <c r="C85" i="5"/>
  <c r="H49" i="5"/>
  <c r="I84" i="5"/>
  <c r="P48" i="5"/>
  <c r="H59" i="5"/>
  <c r="G56" i="5" s="1"/>
  <c r="E86" i="5" s="1"/>
  <c r="F49" i="5"/>
  <c r="F84" i="5"/>
  <c r="K19" i="5"/>
  <c r="K10" i="5"/>
  <c r="K14" i="5" s="1"/>
  <c r="F59" i="5"/>
  <c r="E56" i="5" s="1"/>
  <c r="P59" i="5"/>
  <c r="O56" i="5" s="1"/>
  <c r="O63" i="5"/>
  <c r="I88" i="5" s="1"/>
  <c r="D49" i="5"/>
  <c r="D53" i="5"/>
  <c r="J53" i="5"/>
  <c r="J48" i="5" s="1"/>
  <c r="I62" i="5" s="1"/>
  <c r="I65" i="5" s="1"/>
  <c r="F90" i="5" s="1"/>
  <c r="O62" i="5" l="1"/>
  <c r="D86" i="5"/>
  <c r="C86" i="5"/>
  <c r="H48" i="5"/>
  <c r="G62" i="5" s="1"/>
  <c r="E84" i="5"/>
  <c r="G63" i="5"/>
  <c r="E88" i="5" s="1"/>
  <c r="G64" i="5"/>
  <c r="E89" i="5" s="1"/>
  <c r="I86" i="5"/>
  <c r="O64" i="5"/>
  <c r="I89" i="5" s="1"/>
  <c r="D59" i="5"/>
  <c r="C56" i="5" s="1"/>
  <c r="C64" i="5" s="1"/>
  <c r="D48" i="5"/>
  <c r="C63" i="5"/>
  <c r="D84" i="5"/>
  <c r="F48" i="5"/>
  <c r="E62" i="5" s="1"/>
  <c r="C84" i="5"/>
  <c r="E63" i="5"/>
  <c r="F85" i="5"/>
  <c r="I64" i="5"/>
  <c r="F89" i="5" s="1"/>
  <c r="E64" i="5"/>
  <c r="D87" i="5" l="1"/>
  <c r="C87" i="5"/>
  <c r="E65" i="5"/>
  <c r="D89" i="5"/>
  <c r="C89" i="5"/>
  <c r="E87" i="5"/>
  <c r="G65" i="5"/>
  <c r="E90" i="5" s="1"/>
  <c r="C62" i="5"/>
  <c r="C65" i="5" s="1"/>
  <c r="D88" i="5"/>
  <c r="C88" i="5"/>
  <c r="O65" i="5"/>
  <c r="I90" i="5" s="1"/>
  <c r="I87" i="5"/>
  <c r="C90" i="5" l="1"/>
  <c r="D90" i="5"/>
  <c r="S31" i="4" l="1"/>
  <c r="R31" i="4"/>
  <c r="Q31" i="4"/>
  <c r="P31" i="4"/>
  <c r="O31" i="4"/>
  <c r="N31" i="4"/>
  <c r="M31" i="4"/>
  <c r="P216" i="3"/>
  <c r="O216" i="3"/>
  <c r="N216" i="3"/>
  <c r="M216" i="3"/>
  <c r="L216" i="3"/>
  <c r="P215" i="3"/>
  <c r="P214" i="3" s="1"/>
  <c r="O215" i="3"/>
  <c r="O214" i="3"/>
  <c r="N214" i="3"/>
  <c r="M214" i="3"/>
  <c r="L214" i="3"/>
  <c r="P205" i="3"/>
  <c r="O205" i="3"/>
  <c r="N205" i="3"/>
  <c r="P195" i="3"/>
  <c r="O195" i="3"/>
  <c r="N195" i="3"/>
  <c r="M195" i="3"/>
  <c r="L195" i="3"/>
  <c r="J195" i="3"/>
  <c r="K195" i="3" s="1"/>
  <c r="K193" i="3" s="1"/>
  <c r="I195" i="3"/>
  <c r="P193" i="3"/>
  <c r="O193" i="3"/>
  <c r="N193" i="3"/>
  <c r="M193" i="3"/>
  <c r="L193" i="3"/>
  <c r="J193" i="3"/>
  <c r="I193" i="3"/>
  <c r="M191" i="3"/>
  <c r="M189" i="3" s="1"/>
  <c r="L191" i="3"/>
  <c r="K191" i="3"/>
  <c r="K189" i="3" s="1"/>
  <c r="J191" i="3"/>
  <c r="I191" i="3"/>
  <c r="O189" i="3"/>
  <c r="N189" i="3"/>
  <c r="L189" i="3"/>
  <c r="J189" i="3"/>
  <c r="I189" i="3"/>
  <c r="P187" i="3"/>
  <c r="O187" i="3"/>
  <c r="N187" i="3"/>
  <c r="M187" i="3"/>
  <c r="M181" i="3"/>
  <c r="M177" i="3" s="1"/>
  <c r="L181" i="3"/>
  <c r="K179" i="3"/>
  <c r="I179" i="3"/>
  <c r="P177" i="3"/>
  <c r="O177" i="3"/>
  <c r="N177" i="3"/>
  <c r="L177" i="3"/>
  <c r="K177" i="3"/>
  <c r="J177" i="3"/>
  <c r="I177" i="3"/>
  <c r="O172" i="3"/>
  <c r="N172" i="3"/>
  <c r="M172" i="3"/>
  <c r="L172" i="3"/>
  <c r="K172" i="3"/>
  <c r="J172" i="3"/>
  <c r="I172" i="3"/>
  <c r="O169" i="3"/>
  <c r="N169" i="3"/>
  <c r="M169" i="3"/>
  <c r="L169" i="3"/>
  <c r="K169" i="3"/>
  <c r="J169" i="3"/>
  <c r="I169" i="3"/>
  <c r="O166" i="3"/>
  <c r="N166" i="3"/>
  <c r="M166" i="3"/>
  <c r="L166" i="3"/>
  <c r="K166" i="3"/>
  <c r="J166" i="3"/>
  <c r="I166" i="3"/>
  <c r="O163" i="3"/>
  <c r="N163" i="3"/>
  <c r="M163" i="3"/>
  <c r="L163" i="3"/>
  <c r="K163" i="3"/>
  <c r="J163" i="3"/>
  <c r="I163" i="3"/>
  <c r="O160" i="3"/>
  <c r="N160" i="3"/>
  <c r="M160" i="3"/>
  <c r="L160" i="3"/>
  <c r="K160" i="3"/>
  <c r="J160" i="3"/>
  <c r="I160" i="3"/>
  <c r="O155" i="3"/>
  <c r="N155" i="3"/>
  <c r="M155" i="3"/>
  <c r="L155" i="3"/>
  <c r="K155" i="3"/>
  <c r="J155" i="3"/>
  <c r="I155" i="3"/>
  <c r="P150" i="3"/>
  <c r="O150" i="3"/>
  <c r="N150" i="3"/>
  <c r="M150" i="3"/>
  <c r="L150" i="3"/>
  <c r="K150" i="3"/>
  <c r="J150" i="3"/>
  <c r="P148" i="3"/>
  <c r="O148" i="3"/>
  <c r="N148" i="3"/>
  <c r="M148" i="3"/>
  <c r="L148" i="3"/>
  <c r="K148" i="3"/>
  <c r="J148" i="3"/>
  <c r="I148" i="3"/>
  <c r="P145" i="3"/>
  <c r="O145" i="3"/>
  <c r="N145" i="3"/>
  <c r="M145" i="3"/>
  <c r="L145" i="3"/>
  <c r="K145" i="3"/>
  <c r="J145" i="3"/>
  <c r="I145" i="3"/>
  <c r="P143" i="3"/>
  <c r="O143" i="3"/>
  <c r="N143" i="3"/>
  <c r="M143" i="3"/>
  <c r="L143" i="3"/>
  <c r="K143" i="3"/>
  <c r="J143" i="3"/>
  <c r="I143" i="3"/>
  <c r="P141" i="3"/>
  <c r="O141" i="3"/>
  <c r="N141" i="3"/>
  <c r="M141" i="3"/>
  <c r="L141" i="3"/>
  <c r="K141" i="3"/>
  <c r="J141" i="3"/>
  <c r="I141" i="3"/>
  <c r="W140" i="3"/>
  <c r="V140" i="3"/>
  <c r="U140" i="3"/>
  <c r="T140" i="3"/>
  <c r="S140" i="3"/>
  <c r="R140" i="3"/>
  <c r="Q140" i="3"/>
  <c r="W139" i="3"/>
  <c r="V139" i="3"/>
  <c r="U139" i="3"/>
  <c r="T139" i="3"/>
  <c r="S139" i="3"/>
  <c r="R139" i="3"/>
  <c r="Q139" i="3"/>
  <c r="P134" i="3"/>
  <c r="P140" i="3" s="1"/>
  <c r="O134" i="3"/>
  <c r="O139" i="3" s="1"/>
  <c r="N134" i="3"/>
  <c r="M134" i="3"/>
  <c r="L134" i="3"/>
  <c r="K134" i="3"/>
  <c r="J134" i="3"/>
  <c r="I134" i="3"/>
  <c r="N127" i="3"/>
  <c r="O127" i="3" s="1"/>
  <c r="M127" i="3"/>
  <c r="H127" i="3"/>
  <c r="I127" i="3" s="1"/>
  <c r="J127" i="3" s="1"/>
  <c r="K127" i="3" s="1"/>
  <c r="N126" i="3"/>
  <c r="M126" i="3"/>
  <c r="P123" i="3"/>
  <c r="O123" i="3"/>
  <c r="N123" i="3"/>
  <c r="M123" i="3"/>
  <c r="L123" i="3"/>
  <c r="K123" i="3"/>
  <c r="O86" i="3"/>
  <c r="N86" i="3"/>
  <c r="P78" i="3"/>
  <c r="O78" i="3"/>
  <c r="N78" i="3"/>
  <c r="M78" i="3"/>
  <c r="L78" i="3"/>
  <c r="K78" i="3"/>
  <c r="J78" i="3"/>
  <c r="I78" i="3"/>
  <c r="O76" i="3"/>
  <c r="C76" i="3"/>
  <c r="D76" i="3" s="1"/>
  <c r="E76" i="3" s="1"/>
  <c r="F76" i="3" s="1"/>
  <c r="G76" i="3" s="1"/>
  <c r="W73" i="3"/>
  <c r="W71" i="3"/>
  <c r="V71" i="3"/>
  <c r="U71" i="3"/>
  <c r="T71" i="3"/>
  <c r="S71" i="3"/>
  <c r="R71" i="3"/>
  <c r="Q71" i="3"/>
  <c r="P71" i="3"/>
  <c r="N71" i="3"/>
  <c r="W66" i="3"/>
  <c r="W64" i="3" s="1"/>
  <c r="W49" i="3" s="1"/>
  <c r="W44" i="3" s="1"/>
  <c r="V66" i="3"/>
  <c r="U66" i="3"/>
  <c r="U64" i="3" s="1"/>
  <c r="U49" i="3" s="1"/>
  <c r="U44" i="3" s="1"/>
  <c r="V64" i="3"/>
  <c r="T64" i="3"/>
  <c r="S64" i="3"/>
  <c r="R64" i="3"/>
  <c r="R49" i="3" s="1"/>
  <c r="R44" i="3" s="1"/>
  <c r="Q64" i="3"/>
  <c r="P64" i="3"/>
  <c r="O64" i="3"/>
  <c r="N64" i="3"/>
  <c r="M64" i="3"/>
  <c r="L64" i="3"/>
  <c r="K64" i="3"/>
  <c r="J64" i="3"/>
  <c r="J49" i="3" s="1"/>
  <c r="J44" i="3" s="1"/>
  <c r="I64" i="3"/>
  <c r="H64" i="3"/>
  <c r="G64" i="3"/>
  <c r="F64" i="3"/>
  <c r="E64" i="3"/>
  <c r="D64" i="3"/>
  <c r="C64" i="3"/>
  <c r="B64" i="3"/>
  <c r="B49" i="3" s="1"/>
  <c r="B44" i="3" s="1"/>
  <c r="W51" i="3"/>
  <c r="V51" i="3"/>
  <c r="V49" i="3" s="1"/>
  <c r="V44" i="3" s="1"/>
  <c r="U51" i="3"/>
  <c r="T51" i="3"/>
  <c r="S51" i="3"/>
  <c r="R51" i="3"/>
  <c r="Q51" i="3"/>
  <c r="P51" i="3"/>
  <c r="P49" i="3" s="1"/>
  <c r="P44" i="3" s="1"/>
  <c r="O51" i="3"/>
  <c r="N51" i="3"/>
  <c r="N49" i="3" s="1"/>
  <c r="N44" i="3" s="1"/>
  <c r="M51" i="3"/>
  <c r="L51" i="3"/>
  <c r="K51" i="3"/>
  <c r="J51" i="3"/>
  <c r="I51" i="3"/>
  <c r="H51" i="3"/>
  <c r="H49" i="3" s="1"/>
  <c r="H44" i="3" s="1"/>
  <c r="G51" i="3"/>
  <c r="F51" i="3"/>
  <c r="F49" i="3" s="1"/>
  <c r="F44" i="3" s="1"/>
  <c r="E51" i="3"/>
  <c r="D51" i="3"/>
  <c r="C51" i="3"/>
  <c r="B51" i="3"/>
  <c r="T49" i="3"/>
  <c r="T44" i="3" s="1"/>
  <c r="S49" i="3"/>
  <c r="Q49" i="3"/>
  <c r="O49" i="3"/>
  <c r="M49" i="3"/>
  <c r="L49" i="3"/>
  <c r="L44" i="3" s="1"/>
  <c r="K49" i="3"/>
  <c r="I49" i="3"/>
  <c r="G49" i="3"/>
  <c r="E49" i="3"/>
  <c r="D49" i="3"/>
  <c r="D44" i="3" s="1"/>
  <c r="C49" i="3"/>
  <c r="W45" i="3"/>
  <c r="V45" i="3"/>
  <c r="U45" i="3"/>
  <c r="T45" i="3"/>
  <c r="S45" i="3"/>
  <c r="R45" i="3"/>
  <c r="Q45" i="3"/>
  <c r="P45" i="3"/>
  <c r="O45" i="3"/>
  <c r="N45" i="3"/>
  <c r="M45" i="3"/>
  <c r="L45" i="3"/>
  <c r="K45" i="3"/>
  <c r="J45" i="3"/>
  <c r="I45" i="3"/>
  <c r="H45" i="3"/>
  <c r="G45" i="3"/>
  <c r="F45" i="3"/>
  <c r="E45" i="3"/>
  <c r="D45" i="3"/>
  <c r="C45" i="3"/>
  <c r="B45" i="3"/>
  <c r="S44" i="3"/>
  <c r="Q44" i="3"/>
  <c r="O44" i="3"/>
  <c r="M44" i="3"/>
  <c r="K44" i="3"/>
  <c r="I44" i="3"/>
  <c r="G44" i="3"/>
  <c r="E44" i="3"/>
  <c r="C44" i="3"/>
  <c r="J34" i="3"/>
  <c r="I34" i="3"/>
  <c r="H34" i="3"/>
  <c r="G34" i="3"/>
  <c r="F34" i="3"/>
  <c r="E34" i="3"/>
  <c r="D34" i="3"/>
  <c r="C34" i="3"/>
  <c r="B34" i="3"/>
  <c r="P32" i="3"/>
  <c r="O32" i="3"/>
  <c r="N32" i="3"/>
  <c r="M32" i="3"/>
  <c r="L32" i="3"/>
  <c r="K32" i="3"/>
  <c r="J32" i="3"/>
  <c r="I32" i="3"/>
  <c r="H32" i="3"/>
  <c r="G32" i="3"/>
  <c r="F32" i="3"/>
  <c r="E32" i="3"/>
  <c r="D32" i="3"/>
  <c r="C32" i="3"/>
  <c r="B32" i="3"/>
  <c r="P30" i="3"/>
  <c r="O30" i="3"/>
  <c r="N30" i="3"/>
  <c r="M30" i="3"/>
  <c r="L30" i="3"/>
  <c r="K30" i="3"/>
  <c r="J30" i="3"/>
  <c r="I30" i="3"/>
  <c r="H30" i="3"/>
  <c r="G30" i="3"/>
  <c r="F30" i="3"/>
  <c r="E30" i="3"/>
  <c r="D30" i="3"/>
  <c r="C30" i="3"/>
  <c r="B30" i="3"/>
  <c r="P21" i="3"/>
  <c r="O21" i="3"/>
  <c r="N21" i="3"/>
  <c r="M21" i="3"/>
  <c r="L21" i="3"/>
  <c r="K21" i="3"/>
  <c r="P20" i="3"/>
  <c r="O20" i="3"/>
  <c r="N20" i="3"/>
  <c r="M20" i="3"/>
  <c r="L20" i="3"/>
  <c r="K20" i="3"/>
  <c r="P19" i="3"/>
  <c r="O19" i="3"/>
  <c r="N19" i="3"/>
  <c r="M19" i="3"/>
  <c r="L19" i="3"/>
  <c r="K19" i="3"/>
  <c r="J15" i="3"/>
  <c r="I15" i="3"/>
  <c r="H15" i="3"/>
  <c r="G15" i="3"/>
  <c r="F15" i="3"/>
  <c r="E15" i="3"/>
  <c r="D15" i="3"/>
  <c r="C15" i="3"/>
  <c r="B15" i="3"/>
  <c r="O13" i="3"/>
  <c r="N13" i="3"/>
  <c r="D13" i="3"/>
  <c r="E13" i="3" s="1"/>
  <c r="F13" i="3" s="1"/>
  <c r="G13" i="3" s="1"/>
  <c r="H13" i="3" s="1"/>
  <c r="I13" i="3" s="1"/>
  <c r="C13" i="3"/>
  <c r="F9" i="3"/>
  <c r="D9" i="3"/>
  <c r="C9" i="3"/>
  <c r="O3" i="3"/>
  <c r="O71" i="3" s="1"/>
  <c r="N3" i="3"/>
  <c r="M3" i="3"/>
  <c r="M71" i="3" s="1"/>
  <c r="L3" i="3"/>
  <c r="L71" i="3" s="1"/>
  <c r="K3" i="3"/>
  <c r="K71" i="3" s="1"/>
  <c r="J3" i="3"/>
  <c r="J71" i="3" s="1"/>
  <c r="I3" i="3"/>
  <c r="I71" i="3" s="1"/>
  <c r="H3" i="3"/>
  <c r="G3" i="3"/>
  <c r="F3" i="3"/>
  <c r="E3" i="3"/>
  <c r="D3" i="3"/>
  <c r="C3" i="3"/>
  <c r="B3" i="3"/>
  <c r="K1" i="3"/>
  <c r="K196" i="2"/>
  <c r="K194" i="2" s="1"/>
  <c r="L194" i="2"/>
  <c r="J194" i="2"/>
  <c r="L187" i="2"/>
  <c r="K187" i="2"/>
  <c r="J187" i="2"/>
  <c r="L178" i="2"/>
  <c r="K178" i="2"/>
  <c r="J178" i="2"/>
  <c r="I178" i="2"/>
  <c r="H178" i="2"/>
  <c r="K175" i="2"/>
  <c r="J175" i="2"/>
  <c r="I175" i="2"/>
  <c r="H175" i="2"/>
  <c r="K172" i="2"/>
  <c r="J172" i="2"/>
  <c r="I172" i="2"/>
  <c r="H172" i="2"/>
  <c r="L165" i="2"/>
  <c r="K165" i="2"/>
  <c r="J165" i="2"/>
  <c r="I165" i="2"/>
  <c r="H165" i="2"/>
  <c r="L159" i="2"/>
  <c r="I157" i="2"/>
  <c r="L155" i="2"/>
  <c r="K155" i="2"/>
  <c r="J155" i="2"/>
  <c r="I155" i="2"/>
  <c r="J149" i="2"/>
  <c r="L147" i="2"/>
  <c r="K147" i="2"/>
  <c r="J147" i="2"/>
  <c r="I147" i="2"/>
  <c r="K146" i="2"/>
  <c r="J146" i="2"/>
  <c r="L144" i="2"/>
  <c r="K144" i="2"/>
  <c r="J144" i="2"/>
  <c r="I144" i="2"/>
  <c r="K142" i="2"/>
  <c r="K138" i="2" s="1"/>
  <c r="L138" i="2"/>
  <c r="J138" i="2"/>
  <c r="I138" i="2"/>
  <c r="L137" i="2"/>
  <c r="L133" i="2" s="1"/>
  <c r="K137" i="2"/>
  <c r="J137" i="2"/>
  <c r="J133" i="2" s="1"/>
  <c r="I137" i="2"/>
  <c r="K133" i="2"/>
  <c r="I133" i="2"/>
  <c r="L126" i="2"/>
  <c r="K126" i="2"/>
  <c r="J126" i="2"/>
  <c r="I126" i="2"/>
  <c r="L117" i="2"/>
  <c r="K117" i="2"/>
  <c r="J117" i="2"/>
  <c r="I117" i="2"/>
  <c r="L112" i="2"/>
  <c r="K112" i="2"/>
  <c r="J112" i="2"/>
  <c r="I112" i="2"/>
  <c r="K111" i="2"/>
  <c r="K110" i="2" s="1"/>
  <c r="L110" i="2"/>
  <c r="J110" i="2"/>
  <c r="I110" i="2"/>
  <c r="L106" i="2"/>
  <c r="K106" i="2"/>
  <c r="J106" i="2"/>
  <c r="I106" i="2"/>
  <c r="W104" i="2"/>
  <c r="V104" i="2"/>
  <c r="U104" i="2"/>
  <c r="T104" i="2"/>
  <c r="S104" i="2"/>
  <c r="R104" i="2"/>
  <c r="Q104" i="2"/>
  <c r="P104" i="2"/>
  <c r="L100" i="2"/>
  <c r="K100" i="2"/>
  <c r="J100" i="2"/>
  <c r="I100" i="2"/>
  <c r="L96" i="2"/>
  <c r="K96" i="2"/>
  <c r="J96" i="2"/>
  <c r="I96" i="2"/>
  <c r="N93" i="2"/>
  <c r="O93" i="2" s="1"/>
  <c r="P93" i="2" s="1"/>
  <c r="Q93" i="2" s="1"/>
  <c r="R93" i="2" s="1"/>
  <c r="S93" i="2" s="1"/>
  <c r="T93" i="2" s="1"/>
  <c r="U93" i="2" s="1"/>
  <c r="V93" i="2" s="1"/>
  <c r="W93" i="2" s="1"/>
  <c r="L90" i="2"/>
  <c r="K90" i="2"/>
  <c r="M76" i="2"/>
  <c r="N76" i="2" s="1"/>
  <c r="O76" i="2" s="1"/>
  <c r="P76" i="2" s="1"/>
  <c r="Q76" i="2" s="1"/>
  <c r="R76" i="2" s="1"/>
  <c r="S76" i="2" s="1"/>
  <c r="T76" i="2" s="1"/>
  <c r="U76" i="2" s="1"/>
  <c r="V76" i="2" s="1"/>
  <c r="W76" i="2" s="1"/>
  <c r="C76" i="2"/>
  <c r="D76" i="2" s="1"/>
  <c r="E76" i="2" s="1"/>
  <c r="F76" i="2" s="1"/>
  <c r="G76" i="2" s="1"/>
  <c r="H76" i="2" s="1"/>
  <c r="I76" i="2" s="1"/>
  <c r="X68" i="2"/>
  <c r="W68" i="2"/>
  <c r="V68" i="2"/>
  <c r="U68" i="2"/>
  <c r="T68" i="2"/>
  <c r="S68" i="2"/>
  <c r="R68" i="2"/>
  <c r="Q68" i="2"/>
  <c r="P68" i="2"/>
  <c r="O68" i="2"/>
  <c r="N68" i="2"/>
  <c r="M68" i="2"/>
  <c r="L68" i="2"/>
  <c r="K68" i="2"/>
  <c r="D68" i="2"/>
  <c r="C68" i="2"/>
  <c r="B68" i="2"/>
  <c r="Q67" i="2"/>
  <c r="P67" i="2"/>
  <c r="I67" i="2"/>
  <c r="H67" i="2"/>
  <c r="V65" i="2"/>
  <c r="L65" i="2"/>
  <c r="K65" i="2"/>
  <c r="J65" i="2"/>
  <c r="I65" i="2"/>
  <c r="H65" i="2"/>
  <c r="G65" i="2"/>
  <c r="F65" i="2"/>
  <c r="E65" i="2"/>
  <c r="D65" i="2"/>
  <c r="C65" i="2"/>
  <c r="K56" i="2"/>
  <c r="W54" i="2"/>
  <c r="V54" i="2"/>
  <c r="U54" i="2"/>
  <c r="T54" i="2"/>
  <c r="S54" i="2"/>
  <c r="R54" i="2"/>
  <c r="R39" i="2" s="1"/>
  <c r="R38" i="2" s="1"/>
  <c r="Q54" i="2"/>
  <c r="Q39" i="2" s="1"/>
  <c r="Q38" i="2" s="1"/>
  <c r="P54" i="2"/>
  <c r="O54" i="2"/>
  <c r="N54" i="2"/>
  <c r="M54" i="2"/>
  <c r="L54" i="2"/>
  <c r="K54" i="2"/>
  <c r="I54" i="2"/>
  <c r="I39" i="2" s="1"/>
  <c r="I38" i="2" s="1"/>
  <c r="H54" i="2"/>
  <c r="G54" i="2"/>
  <c r="F54" i="2"/>
  <c r="E54" i="2"/>
  <c r="D54" i="2"/>
  <c r="K45" i="2"/>
  <c r="W43" i="2"/>
  <c r="W39" i="2" s="1"/>
  <c r="W38" i="2" s="1"/>
  <c r="V43" i="2"/>
  <c r="V39" i="2" s="1"/>
  <c r="V38" i="2" s="1"/>
  <c r="U43" i="2"/>
  <c r="T43" i="2"/>
  <c r="S43" i="2"/>
  <c r="R43" i="2"/>
  <c r="Q43" i="2"/>
  <c r="P43" i="2"/>
  <c r="O43" i="2"/>
  <c r="O39" i="2" s="1"/>
  <c r="O38" i="2" s="1"/>
  <c r="N43" i="2"/>
  <c r="N39" i="2" s="1"/>
  <c r="N38" i="2" s="1"/>
  <c r="M43" i="2"/>
  <c r="L43" i="2"/>
  <c r="K43" i="2"/>
  <c r="J43" i="2"/>
  <c r="I43" i="2"/>
  <c r="H43" i="2"/>
  <c r="G43" i="2"/>
  <c r="G39" i="2" s="1"/>
  <c r="G38" i="2" s="1"/>
  <c r="F43" i="2"/>
  <c r="F39" i="2" s="1"/>
  <c r="F38" i="2" s="1"/>
  <c r="E43" i="2"/>
  <c r="D43" i="2"/>
  <c r="C43" i="2"/>
  <c r="B43" i="2"/>
  <c r="K41" i="2"/>
  <c r="U39" i="2"/>
  <c r="U38" i="2" s="1"/>
  <c r="T39" i="2"/>
  <c r="S39" i="2"/>
  <c r="P39" i="2"/>
  <c r="M39" i="2"/>
  <c r="M38" i="2" s="1"/>
  <c r="L39" i="2"/>
  <c r="K39" i="2"/>
  <c r="H39" i="2"/>
  <c r="E39" i="2"/>
  <c r="E38" i="2" s="1"/>
  <c r="D39" i="2"/>
  <c r="C39" i="2"/>
  <c r="B39" i="2"/>
  <c r="T38" i="2"/>
  <c r="S38" i="2"/>
  <c r="L38" i="2"/>
  <c r="K38" i="2"/>
  <c r="D38" i="2"/>
  <c r="W37" i="2"/>
  <c r="V37" i="2"/>
  <c r="V67" i="2" s="1"/>
  <c r="U37" i="2"/>
  <c r="U67" i="2" s="1"/>
  <c r="T37" i="2"/>
  <c r="T67" i="2" s="1"/>
  <c r="S37" i="2"/>
  <c r="S67" i="2" s="1"/>
  <c r="R37" i="2"/>
  <c r="R67" i="2" s="1"/>
  <c r="Q37" i="2"/>
  <c r="P37" i="2"/>
  <c r="P38" i="2" s="1"/>
  <c r="O37" i="2"/>
  <c r="O67" i="2" s="1"/>
  <c r="N37" i="2"/>
  <c r="N67" i="2" s="1"/>
  <c r="M37" i="2"/>
  <c r="M67" i="2" s="1"/>
  <c r="L37" i="2"/>
  <c r="L67" i="2" s="1"/>
  <c r="K37" i="2"/>
  <c r="K67" i="2" s="1"/>
  <c r="J37" i="2"/>
  <c r="J67" i="2" s="1"/>
  <c r="I37" i="2"/>
  <c r="H37" i="2"/>
  <c r="H38" i="2" s="1"/>
  <c r="G37" i="2"/>
  <c r="G67" i="2" s="1"/>
  <c r="F37" i="2"/>
  <c r="F67" i="2" s="1"/>
  <c r="E37" i="2"/>
  <c r="E67" i="2" s="1"/>
  <c r="D37" i="2"/>
  <c r="D67" i="2" s="1"/>
  <c r="C37" i="2"/>
  <c r="C67" i="2" s="1"/>
  <c r="B37" i="2"/>
  <c r="L29" i="2"/>
  <c r="K29" i="2"/>
  <c r="J29" i="2"/>
  <c r="I29" i="2"/>
  <c r="L23" i="2"/>
  <c r="K23" i="2"/>
  <c r="J23" i="2"/>
  <c r="I23" i="2"/>
  <c r="H23" i="2"/>
  <c r="G23" i="2"/>
  <c r="F23" i="2"/>
  <c r="E23" i="2"/>
  <c r="D23" i="2"/>
  <c r="C23" i="2"/>
  <c r="B23" i="2"/>
  <c r="M22" i="2"/>
  <c r="L22" i="2"/>
  <c r="K22" i="2"/>
  <c r="J22" i="2"/>
  <c r="I22" i="2"/>
  <c r="H22" i="2"/>
  <c r="G22" i="2"/>
  <c r="F22" i="2"/>
  <c r="E22" i="2"/>
  <c r="D22" i="2"/>
  <c r="C22" i="2"/>
  <c r="B22" i="2"/>
  <c r="L16" i="2"/>
  <c r="K16" i="2"/>
  <c r="J16" i="2"/>
  <c r="I16" i="2"/>
  <c r="T14" i="2"/>
  <c r="T13" i="2"/>
  <c r="T12" i="2"/>
  <c r="L9" i="2"/>
  <c r="L8" i="2" s="1"/>
  <c r="K9" i="2"/>
  <c r="J9" i="2"/>
  <c r="I9" i="2"/>
  <c r="H9" i="2"/>
  <c r="G9" i="2"/>
  <c r="F9" i="2"/>
  <c r="E9" i="2"/>
  <c r="E8" i="2" s="1"/>
  <c r="D9" i="2"/>
  <c r="D8" i="2" s="1"/>
  <c r="C9" i="2"/>
  <c r="B9" i="2"/>
  <c r="K8" i="2"/>
  <c r="J8" i="2"/>
  <c r="I8" i="2"/>
  <c r="H8" i="2"/>
  <c r="G8" i="2"/>
  <c r="F8" i="2"/>
  <c r="C8" i="2"/>
  <c r="B8" i="2"/>
  <c r="U7" i="2"/>
  <c r="T7" i="2"/>
  <c r="S7" i="2"/>
  <c r="R7" i="2"/>
  <c r="Q7" i="2"/>
  <c r="L7" i="2"/>
  <c r="K7" i="2"/>
  <c r="J7" i="2"/>
  <c r="I7" i="2"/>
  <c r="H7" i="2"/>
  <c r="G7" i="2"/>
  <c r="F7" i="2"/>
  <c r="E7" i="2"/>
  <c r="D7" i="2"/>
  <c r="C7" i="2"/>
  <c r="B7" i="2"/>
  <c r="M6" i="2"/>
  <c r="N6" i="2" s="1"/>
  <c r="L3" i="2"/>
  <c r="K3" i="2"/>
  <c r="J3" i="2"/>
  <c r="J68" i="2" s="1"/>
  <c r="I3" i="2"/>
  <c r="I68" i="2" s="1"/>
  <c r="H3" i="2"/>
  <c r="H68" i="2" s="1"/>
  <c r="G3" i="2"/>
  <c r="G68" i="2" s="1"/>
  <c r="F3" i="2"/>
  <c r="F68" i="2" s="1"/>
  <c r="E3" i="2"/>
  <c r="E68" i="2" s="1"/>
  <c r="D3" i="2"/>
  <c r="O382" i="1"/>
  <c r="N382" i="1"/>
  <c r="M382" i="1"/>
  <c r="L382" i="1"/>
  <c r="K382" i="1"/>
  <c r="J382" i="1"/>
  <c r="I382" i="1"/>
  <c r="R381" i="1"/>
  <c r="Q381" i="1"/>
  <c r="O381" i="1"/>
  <c r="N381" i="1"/>
  <c r="M381" i="1"/>
  <c r="L381" i="1"/>
  <c r="K381" i="1"/>
  <c r="J381" i="1"/>
  <c r="I381" i="1"/>
  <c r="H381" i="1"/>
  <c r="G381" i="1"/>
  <c r="F381" i="1"/>
  <c r="E381" i="1"/>
  <c r="D381" i="1"/>
  <c r="C381" i="1"/>
  <c r="O380" i="1"/>
  <c r="N380" i="1"/>
  <c r="M380" i="1"/>
  <c r="L380" i="1"/>
  <c r="K380" i="1"/>
  <c r="J380" i="1"/>
  <c r="I380" i="1"/>
  <c r="H380" i="1"/>
  <c r="G380" i="1"/>
  <c r="F380" i="1"/>
  <c r="E380" i="1"/>
  <c r="D380" i="1"/>
  <c r="C380" i="1"/>
  <c r="O379" i="1"/>
  <c r="N379" i="1"/>
  <c r="M379" i="1"/>
  <c r="L379" i="1"/>
  <c r="K379" i="1"/>
  <c r="J379" i="1"/>
  <c r="I379" i="1"/>
  <c r="H379" i="1"/>
  <c r="G379" i="1"/>
  <c r="F379" i="1"/>
  <c r="E379" i="1"/>
  <c r="D379" i="1"/>
  <c r="C379" i="1"/>
  <c r="O378" i="1"/>
  <c r="N378" i="1"/>
  <c r="M378" i="1"/>
  <c r="L378" i="1"/>
  <c r="K378" i="1"/>
  <c r="J378" i="1"/>
  <c r="I378" i="1"/>
  <c r="H378" i="1"/>
  <c r="G378" i="1"/>
  <c r="F378" i="1"/>
  <c r="E378" i="1"/>
  <c r="D378" i="1"/>
  <c r="C378" i="1"/>
  <c r="O377" i="1"/>
  <c r="N377" i="1"/>
  <c r="M377" i="1"/>
  <c r="L377" i="1"/>
  <c r="K377" i="1"/>
  <c r="J377" i="1"/>
  <c r="I377" i="1"/>
  <c r="H377" i="1"/>
  <c r="G377" i="1"/>
  <c r="F377" i="1"/>
  <c r="E377" i="1"/>
  <c r="D377" i="1"/>
  <c r="C377" i="1"/>
  <c r="O376" i="1"/>
  <c r="N376" i="1"/>
  <c r="M376" i="1"/>
  <c r="L376" i="1"/>
  <c r="K376" i="1"/>
  <c r="J376" i="1"/>
  <c r="I376" i="1"/>
  <c r="H376" i="1"/>
  <c r="G376" i="1"/>
  <c r="F376" i="1"/>
  <c r="E376" i="1"/>
  <c r="D376" i="1"/>
  <c r="C376" i="1"/>
  <c r="O352" i="1"/>
  <c r="P352" i="1" s="1"/>
  <c r="Q352" i="1" s="1"/>
  <c r="R352" i="1" s="1"/>
  <c r="S352" i="1" s="1"/>
  <c r="T352" i="1" s="1"/>
  <c r="U352" i="1" s="1"/>
  <c r="V352" i="1" s="1"/>
  <c r="W352" i="1" s="1"/>
  <c r="N352" i="1"/>
  <c r="M352" i="1"/>
  <c r="L352" i="1"/>
  <c r="K352" i="1"/>
  <c r="J352" i="1"/>
  <c r="I352" i="1"/>
  <c r="O348" i="1"/>
  <c r="N348" i="1"/>
  <c r="M348" i="1"/>
  <c r="L348" i="1"/>
  <c r="K348" i="1"/>
  <c r="J348" i="1"/>
  <c r="I348" i="1"/>
  <c r="H348" i="1"/>
  <c r="G348" i="1"/>
  <c r="F348" i="1"/>
  <c r="O346" i="1"/>
  <c r="N346" i="1"/>
  <c r="M346" i="1"/>
  <c r="L346" i="1"/>
  <c r="J346" i="1"/>
  <c r="I346" i="1"/>
  <c r="H346" i="1"/>
  <c r="G346" i="1"/>
  <c r="F346" i="1"/>
  <c r="O343" i="1"/>
  <c r="N343" i="1"/>
  <c r="M343" i="1"/>
  <c r="L343" i="1"/>
  <c r="K343" i="1"/>
  <c r="J343" i="1"/>
  <c r="I343" i="1"/>
  <c r="H343" i="1"/>
  <c r="G343" i="1"/>
  <c r="F343" i="1"/>
  <c r="O329" i="1"/>
  <c r="N329" i="1"/>
  <c r="L329" i="1"/>
  <c r="O324" i="1"/>
  <c r="N324" i="1"/>
  <c r="L324" i="1"/>
  <c r="V316" i="1"/>
  <c r="V318" i="1" s="1"/>
  <c r="U316" i="1"/>
  <c r="U318" i="1" s="1"/>
  <c r="T316" i="1"/>
  <c r="T318" i="1" s="1"/>
  <c r="S316" i="1"/>
  <c r="S318" i="1" s="1"/>
  <c r="R316" i="1"/>
  <c r="Q316" i="1"/>
  <c r="M310" i="1"/>
  <c r="E310" i="1"/>
  <c r="O308" i="1"/>
  <c r="N308" i="1"/>
  <c r="M308" i="1"/>
  <c r="L308" i="1"/>
  <c r="J308" i="1"/>
  <c r="I308" i="1"/>
  <c r="H308" i="1"/>
  <c r="G308" i="1"/>
  <c r="F308" i="1"/>
  <c r="E308" i="1"/>
  <c r="M302" i="1"/>
  <c r="F302" i="1"/>
  <c r="E302" i="1"/>
  <c r="O300" i="1"/>
  <c r="N300" i="1"/>
  <c r="M300" i="1"/>
  <c r="L300" i="1"/>
  <c r="K300" i="1"/>
  <c r="J300" i="1"/>
  <c r="I300" i="1"/>
  <c r="H300" i="1"/>
  <c r="G300" i="1"/>
  <c r="F300" i="1"/>
  <c r="E300" i="1"/>
  <c r="D300" i="1"/>
  <c r="C300" i="1"/>
  <c r="M294" i="1"/>
  <c r="O292" i="1"/>
  <c r="N292" i="1"/>
  <c r="M292" i="1"/>
  <c r="L292" i="1"/>
  <c r="K292" i="1"/>
  <c r="J292" i="1"/>
  <c r="I292" i="1"/>
  <c r="H292" i="1"/>
  <c r="G292" i="1"/>
  <c r="F292" i="1"/>
  <c r="E292" i="1"/>
  <c r="D292" i="1"/>
  <c r="C292" i="1"/>
  <c r="O286" i="1"/>
  <c r="N286" i="1"/>
  <c r="M286" i="1"/>
  <c r="L286" i="1"/>
  <c r="I276" i="1"/>
  <c r="O274" i="1"/>
  <c r="N274" i="1"/>
  <c r="M274" i="1"/>
  <c r="L274" i="1"/>
  <c r="K274" i="1"/>
  <c r="J274" i="1"/>
  <c r="I274" i="1"/>
  <c r="H274" i="1"/>
  <c r="G274" i="1"/>
  <c r="F274" i="1"/>
  <c r="E274" i="1"/>
  <c r="C272" i="1"/>
  <c r="D270" i="1"/>
  <c r="C270" i="1"/>
  <c r="U266" i="1"/>
  <c r="X264" i="1"/>
  <c r="W264" i="1"/>
  <c r="V264" i="1"/>
  <c r="U264" i="1"/>
  <c r="K258" i="1"/>
  <c r="O256" i="1"/>
  <c r="N256" i="1"/>
  <c r="M256" i="1"/>
  <c r="L256" i="1"/>
  <c r="K256" i="1"/>
  <c r="J256" i="1"/>
  <c r="I256" i="1"/>
  <c r="H256" i="1"/>
  <c r="G256" i="1"/>
  <c r="F256" i="1"/>
  <c r="O250" i="1"/>
  <c r="N250" i="1"/>
  <c r="M250" i="1"/>
  <c r="L250" i="1"/>
  <c r="K250" i="1"/>
  <c r="J250" i="1"/>
  <c r="I250" i="1"/>
  <c r="H250" i="1"/>
  <c r="G250" i="1"/>
  <c r="F250" i="1"/>
  <c r="O244" i="1"/>
  <c r="N244" i="1"/>
  <c r="M244" i="1"/>
  <c r="L244" i="1"/>
  <c r="K244" i="1"/>
  <c r="J244" i="1"/>
  <c r="I244" i="1"/>
  <c r="H244" i="1"/>
  <c r="G244" i="1"/>
  <c r="F244" i="1"/>
  <c r="O238" i="1"/>
  <c r="N238" i="1"/>
  <c r="M238" i="1"/>
  <c r="L238" i="1"/>
  <c r="K238" i="1"/>
  <c r="J238" i="1"/>
  <c r="I238" i="1"/>
  <c r="H238" i="1"/>
  <c r="G238" i="1"/>
  <c r="F238" i="1"/>
  <c r="O232" i="1"/>
  <c r="N232" i="1"/>
  <c r="M232" i="1"/>
  <c r="L232" i="1"/>
  <c r="K232" i="1"/>
  <c r="J232" i="1"/>
  <c r="I232" i="1"/>
  <c r="H232" i="1"/>
  <c r="G232" i="1"/>
  <c r="F232" i="1"/>
  <c r="O226" i="1"/>
  <c r="N226" i="1"/>
  <c r="M226" i="1"/>
  <c r="L226" i="1"/>
  <c r="K226" i="1"/>
  <c r="J226" i="1"/>
  <c r="I226" i="1"/>
  <c r="H226" i="1"/>
  <c r="G226" i="1"/>
  <c r="F226" i="1"/>
  <c r="O222" i="1"/>
  <c r="N222" i="1"/>
  <c r="M222" i="1"/>
  <c r="L222" i="1"/>
  <c r="L218" i="1" s="1"/>
  <c r="J222" i="1"/>
  <c r="I222" i="1"/>
  <c r="I218" i="1" s="1"/>
  <c r="H222" i="1"/>
  <c r="H218" i="1" s="1"/>
  <c r="K220" i="1"/>
  <c r="X218" i="1"/>
  <c r="W218" i="1"/>
  <c r="V218" i="1"/>
  <c r="U218" i="1"/>
  <c r="T218" i="1"/>
  <c r="S218" i="1"/>
  <c r="R218" i="1"/>
  <c r="Q218" i="1"/>
  <c r="P218" i="1"/>
  <c r="O218" i="1"/>
  <c r="N218" i="1"/>
  <c r="M218" i="1"/>
  <c r="K218" i="1"/>
  <c r="J218" i="1"/>
  <c r="O216" i="1"/>
  <c r="N216" i="1"/>
  <c r="M216" i="1"/>
  <c r="L216" i="1"/>
  <c r="K216" i="1"/>
  <c r="J216" i="1"/>
  <c r="I216" i="1"/>
  <c r="H216" i="1"/>
  <c r="G216" i="1"/>
  <c r="F216" i="1"/>
  <c r="K210" i="1"/>
  <c r="O208" i="1"/>
  <c r="N208" i="1"/>
  <c r="M208" i="1"/>
  <c r="L208" i="1"/>
  <c r="K208" i="1"/>
  <c r="J208" i="1"/>
  <c r="I208" i="1"/>
  <c r="H208" i="1"/>
  <c r="G208" i="1"/>
  <c r="F208" i="1"/>
  <c r="V198" i="1"/>
  <c r="U198" i="1"/>
  <c r="T198" i="1"/>
  <c r="S198" i="1"/>
  <c r="R198" i="1"/>
  <c r="Q198" i="1"/>
  <c r="P198" i="1"/>
  <c r="O198" i="1"/>
  <c r="J198" i="1"/>
  <c r="I198" i="1"/>
  <c r="G198" i="1"/>
  <c r="W196" i="1"/>
  <c r="V196" i="1"/>
  <c r="U196" i="1"/>
  <c r="T196" i="1"/>
  <c r="M190" i="1"/>
  <c r="L190" i="1"/>
  <c r="K190" i="1"/>
  <c r="J190" i="1"/>
  <c r="I190" i="1"/>
  <c r="H190" i="1"/>
  <c r="G190" i="1"/>
  <c r="F190" i="1"/>
  <c r="E190" i="1"/>
  <c r="O186" i="1"/>
  <c r="N186" i="1"/>
  <c r="M186" i="1"/>
  <c r="L186" i="1"/>
  <c r="K186" i="1"/>
  <c r="J186" i="1"/>
  <c r="I186" i="1"/>
  <c r="H186" i="1"/>
  <c r="G186" i="1"/>
  <c r="F186" i="1"/>
  <c r="E186" i="1"/>
  <c r="O181" i="1"/>
  <c r="N181" i="1"/>
  <c r="M181" i="1"/>
  <c r="L181" i="1"/>
  <c r="K181" i="1"/>
  <c r="J181" i="1"/>
  <c r="I181" i="1"/>
  <c r="H181" i="1"/>
  <c r="G181" i="1"/>
  <c r="F181" i="1"/>
  <c r="E181" i="1"/>
  <c r="B176" i="1"/>
  <c r="O175" i="1"/>
  <c r="N175" i="1"/>
  <c r="M175" i="1"/>
  <c r="L175" i="1"/>
  <c r="K175" i="1"/>
  <c r="J175" i="1"/>
  <c r="I175" i="1"/>
  <c r="H175" i="1"/>
  <c r="G175" i="1"/>
  <c r="F175" i="1"/>
  <c r="E175" i="1"/>
  <c r="D175" i="1"/>
  <c r="C175" i="1"/>
  <c r="B175" i="1"/>
  <c r="B170" i="1"/>
  <c r="O169" i="1"/>
  <c r="N169" i="1"/>
  <c r="N198" i="1" s="1"/>
  <c r="M169" i="1"/>
  <c r="M198" i="1" s="1"/>
  <c r="L169" i="1"/>
  <c r="L198" i="1" s="1"/>
  <c r="K169" i="1"/>
  <c r="K198" i="1" s="1"/>
  <c r="J169" i="1"/>
  <c r="I169" i="1"/>
  <c r="H169" i="1"/>
  <c r="H198" i="1" s="1"/>
  <c r="G169" i="1"/>
  <c r="F169" i="1"/>
  <c r="F198" i="1" s="1"/>
  <c r="E169" i="1"/>
  <c r="E198" i="1" s="1"/>
  <c r="D169" i="1"/>
  <c r="C169" i="1"/>
  <c r="B169" i="1"/>
  <c r="V165" i="1"/>
  <c r="U165" i="1"/>
  <c r="T165" i="1"/>
  <c r="O165" i="1"/>
  <c r="N165" i="1"/>
  <c r="M165" i="1"/>
  <c r="L165" i="1"/>
  <c r="I165" i="1"/>
  <c r="O161" i="1"/>
  <c r="N161" i="1"/>
  <c r="M161" i="1"/>
  <c r="L161" i="1"/>
  <c r="K161" i="1"/>
  <c r="J161" i="1"/>
  <c r="I161" i="1"/>
  <c r="H161" i="1"/>
  <c r="G161" i="1"/>
  <c r="F161" i="1"/>
  <c r="E161" i="1"/>
  <c r="D161" i="1"/>
  <c r="C161" i="1"/>
  <c r="B161" i="1"/>
  <c r="U157" i="1"/>
  <c r="S157" i="1"/>
  <c r="O157" i="1"/>
  <c r="N157" i="1"/>
  <c r="M157" i="1"/>
  <c r="L157" i="1"/>
  <c r="K157" i="1"/>
  <c r="J157" i="1"/>
  <c r="I157" i="1"/>
  <c r="H157" i="1"/>
  <c r="G157" i="1"/>
  <c r="F157" i="1"/>
  <c r="E157" i="1"/>
  <c r="D157" i="1"/>
  <c r="C157" i="1"/>
  <c r="B157" i="1"/>
  <c r="J149" i="1"/>
  <c r="I149" i="1"/>
  <c r="K148" i="1"/>
  <c r="K149" i="1" s="1"/>
  <c r="O146" i="1"/>
  <c r="N146" i="1"/>
  <c r="M146" i="1"/>
  <c r="L146" i="1"/>
  <c r="K146" i="1"/>
  <c r="O144" i="1"/>
  <c r="N144" i="1"/>
  <c r="M144" i="1"/>
  <c r="L144" i="1"/>
  <c r="K144" i="1"/>
  <c r="L141" i="1"/>
  <c r="M141" i="1" s="1"/>
  <c r="N141" i="1" s="1"/>
  <c r="O141" i="1" s="1"/>
  <c r="P141" i="1" s="1"/>
  <c r="Q141" i="1" s="1"/>
  <c r="R141" i="1" s="1"/>
  <c r="S141" i="1" s="1"/>
  <c r="T141" i="1" s="1"/>
  <c r="U141" i="1" s="1"/>
  <c r="V141" i="1" s="1"/>
  <c r="W141" i="1" s="1"/>
  <c r="J141" i="1"/>
  <c r="L140" i="1"/>
  <c r="M140" i="1" s="1"/>
  <c r="N140" i="1" s="1"/>
  <c r="O140" i="1" s="1"/>
  <c r="P140" i="1" s="1"/>
  <c r="Q140" i="1" s="1"/>
  <c r="R140" i="1" s="1"/>
  <c r="S140" i="1" s="1"/>
  <c r="T140" i="1" s="1"/>
  <c r="U140" i="1" s="1"/>
  <c r="V140" i="1" s="1"/>
  <c r="W140" i="1" s="1"/>
  <c r="J140" i="1"/>
  <c r="N138" i="1"/>
  <c r="O138" i="1" s="1"/>
  <c r="P138" i="1" s="1"/>
  <c r="Q138" i="1" s="1"/>
  <c r="R138" i="1" s="1"/>
  <c r="S138" i="1" s="1"/>
  <c r="T138" i="1" s="1"/>
  <c r="U138" i="1" s="1"/>
  <c r="V138" i="1" s="1"/>
  <c r="W138" i="1" s="1"/>
  <c r="L138" i="1"/>
  <c r="J138" i="1"/>
  <c r="O136" i="1"/>
  <c r="P136" i="1" s="1"/>
  <c r="Q136" i="1" s="1"/>
  <c r="R136" i="1" s="1"/>
  <c r="S136" i="1" s="1"/>
  <c r="T136" i="1" s="1"/>
  <c r="U136" i="1" s="1"/>
  <c r="V136" i="1" s="1"/>
  <c r="W136" i="1" s="1"/>
  <c r="L136" i="1"/>
  <c r="J136" i="1"/>
  <c r="L135" i="1"/>
  <c r="M135" i="1" s="1"/>
  <c r="N135" i="1" s="1"/>
  <c r="O135" i="1" s="1"/>
  <c r="P135" i="1" s="1"/>
  <c r="Q135" i="1" s="1"/>
  <c r="R135" i="1" s="1"/>
  <c r="S135" i="1" s="1"/>
  <c r="T135" i="1" s="1"/>
  <c r="U135" i="1" s="1"/>
  <c r="V135" i="1" s="1"/>
  <c r="W135" i="1" s="1"/>
  <c r="G135" i="1"/>
  <c r="H135" i="1" s="1"/>
  <c r="I135" i="1" s="1"/>
  <c r="J135" i="1" s="1"/>
  <c r="L134" i="1"/>
  <c r="M134" i="1" s="1"/>
  <c r="N134" i="1" s="1"/>
  <c r="O134" i="1" s="1"/>
  <c r="P134" i="1" s="1"/>
  <c r="Q134" i="1" s="1"/>
  <c r="R134" i="1" s="1"/>
  <c r="S134" i="1" s="1"/>
  <c r="T134" i="1" s="1"/>
  <c r="U134" i="1" s="1"/>
  <c r="V134" i="1" s="1"/>
  <c r="W134" i="1" s="1"/>
  <c r="J134" i="1"/>
  <c r="M133" i="1"/>
  <c r="N133" i="1" s="1"/>
  <c r="O133" i="1" s="1"/>
  <c r="P133" i="1" s="1"/>
  <c r="Q133" i="1" s="1"/>
  <c r="R133" i="1" s="1"/>
  <c r="S133" i="1" s="1"/>
  <c r="T133" i="1" s="1"/>
  <c r="U133" i="1" s="1"/>
  <c r="V133" i="1" s="1"/>
  <c r="W133" i="1" s="1"/>
  <c r="L133" i="1"/>
  <c r="G133" i="1"/>
  <c r="H133" i="1" s="1"/>
  <c r="I133" i="1" s="1"/>
  <c r="J133" i="1" s="1"/>
  <c r="M132" i="1"/>
  <c r="N132" i="1" s="1"/>
  <c r="O132" i="1" s="1"/>
  <c r="P132" i="1" s="1"/>
  <c r="Q132" i="1" s="1"/>
  <c r="R132" i="1" s="1"/>
  <c r="S132" i="1" s="1"/>
  <c r="T132" i="1" s="1"/>
  <c r="U132" i="1" s="1"/>
  <c r="V132" i="1" s="1"/>
  <c r="W132" i="1" s="1"/>
  <c r="L132" i="1"/>
  <c r="G132" i="1"/>
  <c r="H132" i="1" s="1"/>
  <c r="I132" i="1" s="1"/>
  <c r="J132" i="1" s="1"/>
  <c r="O127" i="1"/>
  <c r="N127" i="1"/>
  <c r="J127" i="1"/>
  <c r="N125" i="1"/>
  <c r="O125" i="1" s="1"/>
  <c r="L125" i="1"/>
  <c r="J125" i="1"/>
  <c r="N123" i="1"/>
  <c r="O123" i="1" s="1"/>
  <c r="L123" i="1"/>
  <c r="J123" i="1"/>
  <c r="I123" i="1"/>
  <c r="N122" i="1"/>
  <c r="O122" i="1" s="1"/>
  <c r="L122" i="1"/>
  <c r="J122" i="1"/>
  <c r="O121" i="1"/>
  <c r="N121" i="1"/>
  <c r="L121" i="1"/>
  <c r="J121" i="1"/>
  <c r="N117" i="1"/>
  <c r="O117" i="1" s="1"/>
  <c r="N116" i="1"/>
  <c r="O116" i="1" s="1"/>
  <c r="L116" i="1"/>
  <c r="J116" i="1"/>
  <c r="O115" i="1"/>
  <c r="N115" i="1"/>
  <c r="L115" i="1"/>
  <c r="J115" i="1"/>
  <c r="N113" i="1"/>
  <c r="O113" i="1" s="1"/>
  <c r="O104" i="1"/>
  <c r="R99" i="1"/>
  <c r="W98" i="1"/>
  <c r="V98" i="1"/>
  <c r="U98" i="1"/>
  <c r="T98" i="1"/>
  <c r="S98" i="1"/>
  <c r="S99" i="1" s="1"/>
  <c r="R98" i="1"/>
  <c r="R92" i="1"/>
  <c r="W91" i="1"/>
  <c r="V91" i="1"/>
  <c r="U91" i="1"/>
  <c r="U89" i="1" s="1"/>
  <c r="T91" i="1"/>
  <c r="S91" i="1"/>
  <c r="S89" i="1" s="1"/>
  <c r="R91" i="1"/>
  <c r="R89" i="1" s="1"/>
  <c r="W90" i="1"/>
  <c r="V90" i="1"/>
  <c r="U90" i="1"/>
  <c r="T90" i="1"/>
  <c r="S90" i="1"/>
  <c r="R90" i="1"/>
  <c r="W89" i="1"/>
  <c r="V89" i="1"/>
  <c r="T89" i="1"/>
  <c r="AD87" i="1"/>
  <c r="AC87" i="1"/>
  <c r="AB87" i="1"/>
  <c r="AA87" i="1"/>
  <c r="Z87" i="1"/>
  <c r="W87" i="1"/>
  <c r="J85" i="1"/>
  <c r="I85" i="1"/>
  <c r="H85" i="1"/>
  <c r="G85" i="1"/>
  <c r="F85" i="1"/>
  <c r="E85" i="1"/>
  <c r="D85" i="1"/>
  <c r="C85" i="1"/>
  <c r="B85" i="1"/>
  <c r="AD83" i="1"/>
  <c r="AC83" i="1"/>
  <c r="AB83" i="1"/>
  <c r="AA83" i="1"/>
  <c r="Z83" i="1"/>
  <c r="X83" i="1"/>
  <c r="W83" i="1"/>
  <c r="R83" i="1"/>
  <c r="Q83" i="1"/>
  <c r="O83" i="1"/>
  <c r="N83" i="1"/>
  <c r="M83" i="1"/>
  <c r="L83" i="1"/>
  <c r="K83" i="1"/>
  <c r="J83" i="1"/>
  <c r="I83" i="1"/>
  <c r="H83" i="1"/>
  <c r="G83" i="1"/>
  <c r="F83" i="1"/>
  <c r="E83" i="1"/>
  <c r="D83" i="1"/>
  <c r="C83" i="1"/>
  <c r="B83" i="1"/>
  <c r="W77" i="1"/>
  <c r="R77" i="1"/>
  <c r="P77" i="1"/>
  <c r="J77" i="1"/>
  <c r="H77" i="1"/>
  <c r="B77" i="1"/>
  <c r="W76" i="1"/>
  <c r="Q76" i="1"/>
  <c r="P76" i="1"/>
  <c r="N76" i="1"/>
  <c r="I76" i="1"/>
  <c r="H76" i="1"/>
  <c r="F76" i="1"/>
  <c r="W75" i="1"/>
  <c r="O75" i="1"/>
  <c r="N75" i="1"/>
  <c r="L75" i="1"/>
  <c r="G75" i="1"/>
  <c r="F75" i="1"/>
  <c r="D75" i="1"/>
  <c r="W74" i="1"/>
  <c r="R74" i="1"/>
  <c r="L74" i="1"/>
  <c r="J74" i="1"/>
  <c r="D74" i="1"/>
  <c r="B74" i="1"/>
  <c r="W73" i="1"/>
  <c r="R73" i="1"/>
  <c r="P73" i="1"/>
  <c r="J73" i="1"/>
  <c r="H73" i="1"/>
  <c r="B73" i="1"/>
  <c r="W72" i="1"/>
  <c r="Q72" i="1"/>
  <c r="P72" i="1"/>
  <c r="N72" i="1"/>
  <c r="I72" i="1"/>
  <c r="H72" i="1"/>
  <c r="F72" i="1"/>
  <c r="W71" i="1"/>
  <c r="W69" i="1"/>
  <c r="R69" i="1"/>
  <c r="L69" i="1"/>
  <c r="J69" i="1"/>
  <c r="D69" i="1"/>
  <c r="B69" i="1"/>
  <c r="W68" i="1"/>
  <c r="R68" i="1"/>
  <c r="P68" i="1"/>
  <c r="J68" i="1"/>
  <c r="H68" i="1"/>
  <c r="B68" i="1"/>
  <c r="W67" i="1"/>
  <c r="Q67" i="1"/>
  <c r="P67" i="1"/>
  <c r="N67" i="1"/>
  <c r="I67" i="1"/>
  <c r="H67" i="1"/>
  <c r="F67" i="1"/>
  <c r="W66" i="1"/>
  <c r="W63" i="1" s="1"/>
  <c r="O66" i="1"/>
  <c r="N66" i="1"/>
  <c r="L66" i="1"/>
  <c r="G66" i="1"/>
  <c r="F66" i="1"/>
  <c r="D66" i="1"/>
  <c r="W65" i="1"/>
  <c r="R65" i="1"/>
  <c r="L65" i="1"/>
  <c r="J65" i="1"/>
  <c r="D65" i="1"/>
  <c r="B65" i="1"/>
  <c r="W64" i="1"/>
  <c r="R64" i="1"/>
  <c r="P64" i="1"/>
  <c r="J64" i="1"/>
  <c r="H64" i="1"/>
  <c r="B64" i="1"/>
  <c r="X55" i="1"/>
  <c r="W55" i="1"/>
  <c r="V55" i="1"/>
  <c r="U55" i="1"/>
  <c r="T55" i="1"/>
  <c r="S55" i="1"/>
  <c r="R55" i="1"/>
  <c r="Q55" i="1"/>
  <c r="P55" i="1"/>
  <c r="O55" i="1"/>
  <c r="N55" i="1"/>
  <c r="M55" i="1"/>
  <c r="L55" i="1"/>
  <c r="K55" i="1"/>
  <c r="J55" i="1"/>
  <c r="I55" i="1"/>
  <c r="H55" i="1"/>
  <c r="G55" i="1"/>
  <c r="F55" i="1"/>
  <c r="E55" i="1"/>
  <c r="D55" i="1"/>
  <c r="C55" i="1"/>
  <c r="B55" i="1"/>
  <c r="W52" i="1"/>
  <c r="V52" i="1"/>
  <c r="U52" i="1"/>
  <c r="T52" i="1"/>
  <c r="S52" i="1"/>
  <c r="U76" i="1" s="1"/>
  <c r="R52" i="1"/>
  <c r="R75" i="1" s="1"/>
  <c r="Q52" i="1"/>
  <c r="Q74" i="1" s="1"/>
  <c r="P52" i="1"/>
  <c r="P74" i="1" s="1"/>
  <c r="O52" i="1"/>
  <c r="O77" i="1" s="1"/>
  <c r="N52" i="1"/>
  <c r="N77" i="1" s="1"/>
  <c r="M52" i="1"/>
  <c r="M76" i="1" s="1"/>
  <c r="L52" i="1"/>
  <c r="L76" i="1" s="1"/>
  <c r="K52" i="1"/>
  <c r="K75" i="1" s="1"/>
  <c r="J52" i="1"/>
  <c r="J75" i="1" s="1"/>
  <c r="I52" i="1"/>
  <c r="I74" i="1" s="1"/>
  <c r="H52" i="1"/>
  <c r="H74" i="1" s="1"/>
  <c r="G52" i="1"/>
  <c r="G77" i="1" s="1"/>
  <c r="F52" i="1"/>
  <c r="F77" i="1" s="1"/>
  <c r="E52" i="1"/>
  <c r="E76" i="1" s="1"/>
  <c r="D52" i="1"/>
  <c r="D76" i="1" s="1"/>
  <c r="C52" i="1"/>
  <c r="C75" i="1" s="1"/>
  <c r="B52" i="1"/>
  <c r="B75" i="1" s="1"/>
  <c r="O44" i="1"/>
  <c r="N44" i="1"/>
  <c r="M44" i="1"/>
  <c r="L44" i="1"/>
  <c r="K44" i="1"/>
  <c r="J44" i="1"/>
  <c r="I44" i="1"/>
  <c r="H44" i="1"/>
  <c r="G44" i="1"/>
  <c r="F44" i="1"/>
  <c r="E44" i="1"/>
  <c r="D44" i="1"/>
  <c r="C44" i="1"/>
  <c r="O42" i="1"/>
  <c r="N42" i="1"/>
  <c r="N39" i="1" s="1"/>
  <c r="M42" i="1"/>
  <c r="L42" i="1"/>
  <c r="K42" i="1"/>
  <c r="J42" i="1"/>
  <c r="I42" i="1"/>
  <c r="H42" i="1"/>
  <c r="H41" i="1" s="1"/>
  <c r="G42" i="1"/>
  <c r="F42" i="1"/>
  <c r="F41" i="1" s="1"/>
  <c r="E42" i="1"/>
  <c r="D42" i="1"/>
  <c r="C42" i="1"/>
  <c r="B42" i="1"/>
  <c r="J41" i="1"/>
  <c r="I41" i="1"/>
  <c r="G41" i="1"/>
  <c r="E41" i="1"/>
  <c r="D41" i="1"/>
  <c r="C41" i="1"/>
  <c r="B41" i="1"/>
  <c r="J40" i="1"/>
  <c r="J39" i="1" s="1"/>
  <c r="I40" i="1"/>
  <c r="H40" i="1"/>
  <c r="H39" i="1" s="1"/>
  <c r="G40" i="1"/>
  <c r="F40" i="1"/>
  <c r="E40" i="1"/>
  <c r="D40" i="1"/>
  <c r="C40" i="1"/>
  <c r="C39" i="1" s="1"/>
  <c r="B40" i="1"/>
  <c r="B39" i="1" s="1"/>
  <c r="W39" i="1"/>
  <c r="V39" i="1"/>
  <c r="U39" i="1"/>
  <c r="T39" i="1"/>
  <c r="S39" i="1"/>
  <c r="R39" i="1"/>
  <c r="Q39" i="1"/>
  <c r="P39" i="1"/>
  <c r="O39" i="1"/>
  <c r="M39" i="1"/>
  <c r="L39" i="1"/>
  <c r="K39" i="1"/>
  <c r="I39" i="1"/>
  <c r="G39" i="1"/>
  <c r="F39" i="1"/>
  <c r="E39" i="1"/>
  <c r="D39" i="1"/>
  <c r="O37" i="1"/>
  <c r="O36" i="1" s="1"/>
  <c r="N37" i="1"/>
  <c r="N36" i="1" s="1"/>
  <c r="M37" i="1"/>
  <c r="L37" i="1"/>
  <c r="L36" i="1" s="1"/>
  <c r="K37" i="1"/>
  <c r="J37" i="1"/>
  <c r="I37" i="1"/>
  <c r="H37" i="1"/>
  <c r="G37" i="1"/>
  <c r="G36" i="1" s="1"/>
  <c r="F37" i="1"/>
  <c r="F36" i="1" s="1"/>
  <c r="E37" i="1"/>
  <c r="D37" i="1"/>
  <c r="D36" i="1" s="1"/>
  <c r="C37" i="1"/>
  <c r="B37" i="1"/>
  <c r="W36" i="1"/>
  <c r="V36" i="1"/>
  <c r="U36" i="1"/>
  <c r="T36" i="1"/>
  <c r="S36" i="1"/>
  <c r="R36" i="1"/>
  <c r="Q36" i="1"/>
  <c r="P36" i="1"/>
  <c r="M36" i="1"/>
  <c r="K36" i="1"/>
  <c r="J36" i="1"/>
  <c r="I36" i="1"/>
  <c r="H36" i="1"/>
  <c r="E36" i="1"/>
  <c r="C36" i="1"/>
  <c r="B36" i="1"/>
  <c r="O35" i="1"/>
  <c r="N35" i="1"/>
  <c r="M35" i="1"/>
  <c r="L35" i="1"/>
  <c r="K35" i="1"/>
  <c r="K34" i="1" s="1"/>
  <c r="J35" i="1"/>
  <c r="J34" i="1" s="1"/>
  <c r="I35" i="1"/>
  <c r="H35" i="1"/>
  <c r="H34" i="1" s="1"/>
  <c r="G35" i="1"/>
  <c r="F35" i="1"/>
  <c r="E35" i="1"/>
  <c r="D35" i="1"/>
  <c r="C35" i="1"/>
  <c r="C34" i="1" s="1"/>
  <c r="B35" i="1"/>
  <c r="B34" i="1" s="1"/>
  <c r="W34" i="1"/>
  <c r="V34" i="1"/>
  <c r="U34" i="1"/>
  <c r="T34" i="1"/>
  <c r="S34" i="1"/>
  <c r="R34" i="1"/>
  <c r="Q34" i="1"/>
  <c r="P34" i="1"/>
  <c r="O34" i="1"/>
  <c r="N34" i="1"/>
  <c r="M34" i="1"/>
  <c r="L34" i="1"/>
  <c r="I34" i="1"/>
  <c r="G34" i="1"/>
  <c r="F34" i="1"/>
  <c r="E34" i="1"/>
  <c r="D34" i="1"/>
  <c r="O29" i="1"/>
  <c r="N29" i="1"/>
  <c r="M29" i="1"/>
  <c r="L29" i="1"/>
  <c r="K29" i="1"/>
  <c r="J29" i="1"/>
  <c r="I29" i="1"/>
  <c r="H29" i="1"/>
  <c r="G29" i="1"/>
  <c r="F29" i="1"/>
  <c r="E29" i="1"/>
  <c r="D29" i="1"/>
  <c r="C29" i="1"/>
  <c r="B29" i="1"/>
  <c r="O28" i="1"/>
  <c r="N28" i="1"/>
  <c r="M28" i="1"/>
  <c r="M27" i="1" s="1"/>
  <c r="L28" i="1"/>
  <c r="L27" i="1" s="1"/>
  <c r="K28" i="1"/>
  <c r="J28" i="1"/>
  <c r="J27" i="1" s="1"/>
  <c r="I28" i="1"/>
  <c r="I27" i="1" s="1"/>
  <c r="H28" i="1"/>
  <c r="G28" i="1"/>
  <c r="F28" i="1"/>
  <c r="E28" i="1"/>
  <c r="E27" i="1" s="1"/>
  <c r="D28" i="1"/>
  <c r="D27" i="1" s="1"/>
  <c r="C28" i="1"/>
  <c r="B28" i="1"/>
  <c r="B27" i="1" s="1"/>
  <c r="O27" i="1"/>
  <c r="N27" i="1"/>
  <c r="K27" i="1"/>
  <c r="H27" i="1"/>
  <c r="G27" i="1"/>
  <c r="F27" i="1"/>
  <c r="C27" i="1"/>
  <c r="AA25" i="1"/>
  <c r="Z25" i="1"/>
  <c r="Y25" i="1"/>
  <c r="X25" i="1"/>
  <c r="W25" i="1"/>
  <c r="V25" i="1"/>
  <c r="U25" i="1"/>
  <c r="T25" i="1"/>
  <c r="S25" i="1"/>
  <c r="R25" i="1"/>
  <c r="K14" i="1"/>
  <c r="O12" i="1"/>
  <c r="N12" i="1"/>
  <c r="M12" i="1"/>
  <c r="L12" i="1"/>
  <c r="K12" i="1"/>
  <c r="J12" i="1"/>
  <c r="I12" i="1"/>
  <c r="H12" i="1"/>
  <c r="G12" i="1"/>
  <c r="F12" i="1"/>
  <c r="E12" i="1"/>
  <c r="D12" i="1"/>
  <c r="C12" i="1"/>
  <c r="B12" i="1"/>
  <c r="O11" i="1"/>
  <c r="O10" i="1"/>
  <c r="O3" i="1"/>
  <c r="N3" i="1"/>
  <c r="M3" i="1"/>
  <c r="L3" i="1"/>
  <c r="K3" i="1"/>
  <c r="J3" i="1"/>
  <c r="I3" i="1"/>
  <c r="H3" i="1"/>
  <c r="G3" i="1"/>
  <c r="F3" i="1"/>
  <c r="E3" i="1"/>
  <c r="D3" i="1"/>
  <c r="C3" i="1"/>
  <c r="B3" i="1"/>
  <c r="P139" i="3" l="1"/>
  <c r="O140" i="3"/>
  <c r="O6" i="2"/>
  <c r="N7" i="2"/>
  <c r="J54" i="2"/>
  <c r="J39" i="2" s="1"/>
  <c r="J38" i="2" s="1"/>
  <c r="M7" i="2"/>
  <c r="H71" i="1"/>
  <c r="T75" i="1"/>
  <c r="I64" i="1"/>
  <c r="Q64" i="1"/>
  <c r="Q63" i="1" s="1"/>
  <c r="C65" i="1"/>
  <c r="K65" i="1"/>
  <c r="S65" i="1"/>
  <c r="E66" i="1"/>
  <c r="M66" i="1"/>
  <c r="U66" i="1"/>
  <c r="G67" i="1"/>
  <c r="O67" i="1"/>
  <c r="I68" i="1"/>
  <c r="Q68" i="1"/>
  <c r="C69" i="1"/>
  <c r="K69" i="1"/>
  <c r="S69" i="1"/>
  <c r="G72" i="1"/>
  <c r="O72" i="1"/>
  <c r="I73" i="1"/>
  <c r="I71" i="1" s="1"/>
  <c r="Q73" i="1"/>
  <c r="Q71" i="1" s="1"/>
  <c r="C74" i="1"/>
  <c r="K74" i="1"/>
  <c r="S74" i="1"/>
  <c r="E75" i="1"/>
  <c r="M75" i="1"/>
  <c r="U75" i="1"/>
  <c r="G76" i="1"/>
  <c r="O76" i="1"/>
  <c r="I77" i="1"/>
  <c r="Q77" i="1"/>
  <c r="S92" i="1"/>
  <c r="T66" i="1"/>
  <c r="V66" i="1"/>
  <c r="S64" i="1"/>
  <c r="E65" i="1"/>
  <c r="M65" i="1"/>
  <c r="U65" i="1"/>
  <c r="K68" i="1"/>
  <c r="S68" i="1"/>
  <c r="E69" i="1"/>
  <c r="M69" i="1"/>
  <c r="U69" i="1"/>
  <c r="C73" i="1"/>
  <c r="K73" i="1"/>
  <c r="S73" i="1"/>
  <c r="E74" i="1"/>
  <c r="M74" i="1"/>
  <c r="U74" i="1"/>
  <c r="C77" i="1"/>
  <c r="K77" i="1"/>
  <c r="S77" i="1"/>
  <c r="V76" i="1"/>
  <c r="T69" i="1"/>
  <c r="D64" i="1"/>
  <c r="L64" i="1"/>
  <c r="T64" i="1"/>
  <c r="F65" i="1"/>
  <c r="N65" i="1"/>
  <c r="V65" i="1"/>
  <c r="H66" i="1"/>
  <c r="P66" i="1"/>
  <c r="B67" i="1"/>
  <c r="J67" i="1"/>
  <c r="R67" i="1"/>
  <c r="D68" i="1"/>
  <c r="L68" i="1"/>
  <c r="T68" i="1"/>
  <c r="F69" i="1"/>
  <c r="N69" i="1"/>
  <c r="V69" i="1"/>
  <c r="B72" i="1"/>
  <c r="J72" i="1"/>
  <c r="R72" i="1"/>
  <c r="R71" i="1" s="1"/>
  <c r="D73" i="1"/>
  <c r="L73" i="1"/>
  <c r="T73" i="1"/>
  <c r="F74" i="1"/>
  <c r="F71" i="1" s="1"/>
  <c r="N74" i="1"/>
  <c r="V74" i="1"/>
  <c r="H75" i="1"/>
  <c r="P75" i="1"/>
  <c r="P71" i="1" s="1"/>
  <c r="B76" i="1"/>
  <c r="J76" i="1"/>
  <c r="R76" i="1"/>
  <c r="D77" i="1"/>
  <c r="L77" i="1"/>
  <c r="T77" i="1"/>
  <c r="V67" i="1"/>
  <c r="V72" i="1"/>
  <c r="T74" i="1"/>
  <c r="V75" i="1"/>
  <c r="C64" i="1"/>
  <c r="C68" i="1"/>
  <c r="E64" i="1"/>
  <c r="M64" i="1"/>
  <c r="U64" i="1"/>
  <c r="G65" i="1"/>
  <c r="O65" i="1"/>
  <c r="I66" i="1"/>
  <c r="Q66" i="1"/>
  <c r="C67" i="1"/>
  <c r="K67" i="1"/>
  <c r="S67" i="1"/>
  <c r="E68" i="1"/>
  <c r="M68" i="1"/>
  <c r="U68" i="1"/>
  <c r="G69" i="1"/>
  <c r="O69" i="1"/>
  <c r="C72" i="1"/>
  <c r="C71" i="1" s="1"/>
  <c r="K72" i="1"/>
  <c r="S72" i="1"/>
  <c r="E73" i="1"/>
  <c r="M73" i="1"/>
  <c r="U73" i="1"/>
  <c r="G74" i="1"/>
  <c r="O74" i="1"/>
  <c r="I75" i="1"/>
  <c r="Q75" i="1"/>
  <c r="C76" i="1"/>
  <c r="K76" i="1"/>
  <c r="S76" i="1"/>
  <c r="E77" i="1"/>
  <c r="M77" i="1"/>
  <c r="U77" i="1"/>
  <c r="T65" i="1"/>
  <c r="F64" i="1"/>
  <c r="N64" i="1"/>
  <c r="V64" i="1"/>
  <c r="H65" i="1"/>
  <c r="H63" i="1" s="1"/>
  <c r="P65" i="1"/>
  <c r="P63" i="1" s="1"/>
  <c r="B66" i="1"/>
  <c r="B63" i="1" s="1"/>
  <c r="J66" i="1"/>
  <c r="J63" i="1" s="1"/>
  <c r="R66" i="1"/>
  <c r="R63" i="1" s="1"/>
  <c r="D67" i="1"/>
  <c r="L67" i="1"/>
  <c r="T67" i="1"/>
  <c r="F68" i="1"/>
  <c r="N68" i="1"/>
  <c r="V68" i="1"/>
  <c r="H69" i="1"/>
  <c r="P69" i="1"/>
  <c r="D72" i="1"/>
  <c r="L72" i="1"/>
  <c r="T72" i="1"/>
  <c r="F73" i="1"/>
  <c r="N73" i="1"/>
  <c r="N71" i="1" s="1"/>
  <c r="V73" i="1"/>
  <c r="T76" i="1"/>
  <c r="V77" i="1"/>
  <c r="K64" i="1"/>
  <c r="G64" i="1"/>
  <c r="O64" i="1"/>
  <c r="I65" i="1"/>
  <c r="Q65" i="1"/>
  <c r="C66" i="1"/>
  <c r="K66" i="1"/>
  <c r="S66" i="1"/>
  <c r="E67" i="1"/>
  <c r="M67" i="1"/>
  <c r="U67" i="1"/>
  <c r="G68" i="1"/>
  <c r="O68" i="1"/>
  <c r="I69" i="1"/>
  <c r="Q69" i="1"/>
  <c r="E72" i="1"/>
  <c r="E71" i="1" s="1"/>
  <c r="M72" i="1"/>
  <c r="U72" i="1"/>
  <c r="U71" i="1" s="1"/>
  <c r="G73" i="1"/>
  <c r="O73" i="1"/>
  <c r="S75" i="1"/>
  <c r="P6" i="2" l="1"/>
  <c r="P7" i="2" s="1"/>
  <c r="O7" i="2"/>
  <c r="C63" i="1"/>
  <c r="S63" i="1"/>
  <c r="O71" i="1"/>
  <c r="I63" i="1"/>
  <c r="V71" i="1"/>
  <c r="G71" i="1"/>
  <c r="O63" i="1"/>
  <c r="T71" i="1"/>
  <c r="V63" i="1"/>
  <c r="U63" i="1"/>
  <c r="J71" i="1"/>
  <c r="T63" i="1"/>
  <c r="L71" i="1"/>
  <c r="N63" i="1"/>
  <c r="S71" i="1"/>
  <c r="M63" i="1"/>
  <c r="B71" i="1"/>
  <c r="L63" i="1"/>
  <c r="G63" i="1"/>
  <c r="M71" i="1"/>
  <c r="K63" i="1"/>
  <c r="D71" i="1"/>
  <c r="F63" i="1"/>
  <c r="K71" i="1"/>
  <c r="E63" i="1"/>
  <c r="D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Ieva Kodoliņa-Miglāne</author>
    <author>Author</author>
    <author>Līga Gudēvica-Liepiņa</author>
    <author>Viktorija Jureviča</author>
    <author>Baiba Zvirbule</author>
    <author>Olga Sanda Jurča</author>
    <author>Daina Dzelme-Urbāne</author>
  </authors>
  <commentList>
    <comment ref="A3" authorId="0" shapeId="0" xr:uid="{E5B390D1-0C4C-448A-9479-EAF953CA53B9}">
      <text>
        <r>
          <rPr>
            <b/>
            <sz val="9"/>
            <color indexed="81"/>
            <rFont val="Tahoma"/>
            <family val="2"/>
            <charset val="186"/>
          </rPr>
          <t>Ieva Kodoliņa-Miglāne:</t>
        </r>
        <r>
          <rPr>
            <sz val="9"/>
            <color indexed="81"/>
            <rFont val="Tahoma"/>
            <family val="2"/>
            <charset val="186"/>
          </rPr>
          <t xml:space="preserve">
</t>
        </r>
      </text>
    </comment>
    <comment ref="C3" authorId="0" shapeId="0" xr:uid="{CA123F98-6A1A-48AD-B7A1-A7915671D5A9}">
      <text>
        <r>
          <rPr>
            <b/>
            <sz val="9"/>
            <color indexed="81"/>
            <rFont val="Tahoma"/>
            <family val="2"/>
            <charset val="186"/>
          </rPr>
          <t>Ieva Kodoliņa-Miglāne:</t>
        </r>
        <r>
          <rPr>
            <sz val="9"/>
            <color indexed="81"/>
            <rFont val="Tahoma"/>
            <family val="2"/>
            <charset val="186"/>
          </rPr>
          <t xml:space="preserve">
No 01.07.2001.
From July 1, 2001</t>
        </r>
      </text>
    </comment>
    <comment ref="C4" authorId="0" shapeId="0" xr:uid="{25F947C8-9ECC-4A47-9841-DBA629936776}">
      <text>
        <r>
          <rPr>
            <b/>
            <sz val="9"/>
            <color indexed="81"/>
            <rFont val="Tahoma"/>
            <family val="2"/>
            <charset val="186"/>
          </rPr>
          <t>Ieva Kodoliņa-Miglāne:</t>
        </r>
        <r>
          <rPr>
            <sz val="9"/>
            <color indexed="81"/>
            <rFont val="Tahoma"/>
            <family val="2"/>
            <charset val="186"/>
          </rPr>
          <t xml:space="preserve">
No 01.07.2001.
From July 1, 2001</t>
        </r>
      </text>
    </comment>
    <comment ref="T9" authorId="0" shapeId="0" xr:uid="{EF8BD2D8-090F-4824-81D2-460A38281988}">
      <text>
        <r>
          <rPr>
            <b/>
            <sz val="9"/>
            <color indexed="81"/>
            <rFont val="Tahoma"/>
            <family val="2"/>
            <charset val="186"/>
          </rPr>
          <t>Ieva Kodoliņa-Miglāne:</t>
        </r>
        <r>
          <rPr>
            <sz val="9"/>
            <color indexed="81"/>
            <rFont val="Tahoma"/>
            <family val="2"/>
            <charset val="186"/>
          </rPr>
          <t xml:space="preserve">
Nodokļa likmi 31,4% apmērā nepiemēro algotā darba ienākumiem taksācijas gada laikā. Proti, taksācijas gada laikā ienākuma izmaksātājs no ienākumiem līdz 1 667 euro mēnesī (20 004 euro gadā/12 mēneši) ietur IIN likmi 20% apmērā, no ienākumu daļas, kas pārsniedz 1  667 euro mēnesī – IIN likmi 23% apmērā, bet ienākumiem, kas pārsniedz 55 000 euro gadā, piemēro solidaritātes nodokli (apliekot to ar darba ņēmēja VSAOI likmi 10,5% apmērā). Šo daļu Valsts sociālās apdrošināšanas aģentūra pārskaita IIN sadales kontā, nodrošinot, ka nodokļu maksātājam, iesniedzot gada ienākumu deklarāciju un veicot IIN pārrēķinu ar trīs IIN likmēm (trešās likme 31,4%), aprēķinātais budžetā maksājamais nodoklis būs līdzvērtīgs jau samaksātajam IIN un solidaritātes nodokļa daļai.
The tax rate of 31.4% does not apply to the employment income during the tax year. Namely, during the tax year,  the income tax payer from the income up to 1,667 euro per month (20,004 euros a year / 12 months) withholds the PIT rate of 20%, from the part of the income exceeding 1,667 euro per month - the PIT rate is 23%, but for income exceeding € 55,000 a year, a solidarity tax is imposed (subject to a 10.5% tax rate for a employee CSSC). This portion is transferred by the State Social Insurance Agency to the distribution account of the PIT, ensuring that the taxpayer, submitting an annual income statement and performing a recalculation of the PIT with three PIT rates (the third rate of 31.4%), the tax calculated in the budget will be equivalent to the PIT already paid as the solidarity tax part.</t>
        </r>
      </text>
    </comment>
    <comment ref="A20" authorId="1" shapeId="0" xr:uid="{A6C1E422-0B77-4150-B3C4-F2A69C526CF1}">
      <text>
        <r>
          <rPr>
            <b/>
            <sz val="9"/>
            <color indexed="81"/>
            <rFont val="Tahoma"/>
            <family val="2"/>
            <charset val="186"/>
          </rPr>
          <t>Author:
No</t>
        </r>
        <r>
          <rPr>
            <sz val="9"/>
            <color indexed="81"/>
            <rFont val="Tahoma"/>
            <family val="2"/>
            <charset val="186"/>
          </rPr>
          <t xml:space="preserve"> </t>
        </r>
        <r>
          <rPr>
            <b/>
            <sz val="9"/>
            <color indexed="81"/>
            <rFont val="Tahoma"/>
            <family val="2"/>
            <charset val="186"/>
          </rPr>
          <t>01.01.2016.</t>
        </r>
        <r>
          <rPr>
            <sz val="9"/>
            <color indexed="81"/>
            <rFont val="Tahoma"/>
            <family val="2"/>
            <charset val="186"/>
          </rPr>
          <t xml:space="preserve"> Latvijā ieviests diferencētais NM, kas tiek piemērots atkarībā no ienākuma līmeņa. Tomēr 2016. un 2017.gadā, tāpat kā līdz šim gada laikā tika piemērots NM: 2016.gadā - 75 EUR mēnesī un 2017.gadā - 60 EUR mēnesī.
Tikai, </t>
        </r>
        <r>
          <rPr>
            <u/>
            <sz val="9"/>
            <color indexed="81"/>
            <rFont val="Tahoma"/>
            <family val="2"/>
            <charset val="186"/>
          </rPr>
          <t xml:space="preserve">iesniedzot gada ienākumu deklarāciju tika piemērots DNM. </t>
        </r>
        <r>
          <rPr>
            <sz val="9"/>
            <color indexed="81"/>
            <rFont val="Tahoma"/>
            <family val="2"/>
            <charset val="186"/>
          </rPr>
          <t xml:space="preserve">
Piemēram 2016.gadā:
1) ienākumiem līdz 380 EUR mēnesī - NM ir 100 EUR mēnesī;
2) ienākumiem no 380 līdz 1000 EUR mēnesī - NM atbilstoši formulai pakāpeniski samazinās;
3) ienākumiem virs 1000 EUR - NM ir 75 EUR mēnesī.
</t>
        </r>
        <r>
          <rPr>
            <b/>
            <sz val="9"/>
            <color indexed="81"/>
            <rFont val="Tahoma"/>
            <family val="2"/>
            <charset val="186"/>
          </rPr>
          <t>No 2018.gada DNM (VID prognozēto) varēs piemērot uzreiz jau taksācijas gada laikā</t>
        </r>
        <r>
          <rPr>
            <sz val="9"/>
            <color indexed="81"/>
            <rFont val="Tahoma"/>
            <family val="2"/>
            <charset val="186"/>
          </rPr>
          <t xml:space="preserve">. Prognozēto DNM aprēķinās VID, balstoties uz iepriekšejā gada ienākumiem:
1) 1.pusgadam (no tekosā gada 1.janāra līdz 31.jūlijam)  - iepriekšējā gada ienākumiem par periodu no 1.oktobra līdz 30.septemrim;
2) 2.pusgadam (no tekosā gada 1.augusta līdz 31.decembrim)  - iepriekšējā gada ienākumiem par periodu no 1.decebra līdz 31.maijam.
</t>
        </r>
      </text>
    </comment>
    <comment ref="AE20" authorId="0" shapeId="0" xr:uid="{E4389A72-A066-43C3-A16D-B2CD975C9511}">
      <text>
        <r>
          <rPr>
            <b/>
            <sz val="9"/>
            <color indexed="81"/>
            <rFont val="Tahoma"/>
            <family val="2"/>
            <charset val="186"/>
          </rPr>
          <t xml:space="preserve">From January 1, 2016 Latvia has introduced a differentiated NM, which is applied depending on the level of income. </t>
        </r>
        <r>
          <rPr>
            <sz val="9"/>
            <color indexed="81"/>
            <rFont val="Tahoma"/>
            <family val="2"/>
            <charset val="186"/>
          </rPr>
          <t xml:space="preserve">However, in 2016 and 2017, like in the past year, on monthly basis NM is applied: in 2016 - EUR 75 per month and in 2017 - EUR 60 per month.
Only when submiting an annual income return DNM applied.
For example in 2016:
1) for income up to 380 EUR per month - NM is 100 EUR per month;
2) for income from 380 to 1000 EUR per month - NM according to the formula is gradually decreasing;
3) income over 1000 EUR - NM is EUR 75 per month.
</t>
        </r>
        <r>
          <rPr>
            <b/>
            <sz val="9"/>
            <color indexed="81"/>
            <rFont val="Tahoma"/>
            <family val="2"/>
            <charset val="186"/>
          </rPr>
          <t>From 2018, DNM (SRS forecasted) has been able to be applied immediately during the tax year</t>
        </r>
        <r>
          <rPr>
            <sz val="9"/>
            <color indexed="81"/>
            <rFont val="Tahoma"/>
            <family val="2"/>
            <charset val="186"/>
          </rPr>
          <t>. Forecast DNM is calculated by the SRS based on previous year's income:
1) for the 1st half of the year (from 1 January to 31 July) - income from the previous year for the period from 1 October to 30 September;
2) for the 2nd half of the year (from 1 August to 31 December of this year) - the income of the previous year for the period from 1 December to 31 May.</t>
        </r>
      </text>
    </comment>
    <comment ref="R21" authorId="0" shapeId="0" xr:uid="{331D16AF-5C6B-4695-A21F-17A0BE4EA977}">
      <text>
        <r>
          <rPr>
            <b/>
            <sz val="9"/>
            <color indexed="81"/>
            <rFont val="Tahoma"/>
            <family val="2"/>
            <charset val="186"/>
          </rPr>
          <t>Ieva Kodoliņa-Miglāne:</t>
        </r>
        <r>
          <rPr>
            <sz val="9"/>
            <color indexed="81"/>
            <rFont val="Tahoma"/>
            <family val="2"/>
            <charset val="186"/>
          </rPr>
          <t xml:space="preserve">
N0 01.01.2016. - diferencētais NM atkarībā no ienākuma līmeņa.
From January 1, 2016 the differentiated non-taxable minimum is applied, which depends on income level.</t>
        </r>
      </text>
    </comment>
    <comment ref="X22" authorId="2" shapeId="0" xr:uid="{D9059C6F-7577-4B89-AC48-8F5490AFF7AD}">
      <text>
        <r>
          <rPr>
            <b/>
            <sz val="9"/>
            <color indexed="81"/>
            <rFont val="Tahoma"/>
            <family val="2"/>
            <charset val="186"/>
          </rPr>
          <t>Līga Gudēvica-Liepiņa:</t>
        </r>
        <r>
          <rPr>
            <sz val="9"/>
            <color indexed="81"/>
            <rFont val="Tahoma"/>
            <family val="2"/>
            <charset val="186"/>
          </rPr>
          <t xml:space="preserve">
as from 01.01.2022 EUR 350 per month</t>
        </r>
      </text>
    </comment>
    <comment ref="Y22" authorId="2" shapeId="0" xr:uid="{3EB28D15-4451-4112-BD33-A0C357D0CDA2}">
      <text>
        <r>
          <rPr>
            <b/>
            <sz val="9"/>
            <color indexed="81"/>
            <rFont val="Tahoma"/>
            <family val="2"/>
            <charset val="186"/>
          </rPr>
          <t>Līga Gudēvica-Liepiņa:</t>
        </r>
        <r>
          <rPr>
            <sz val="9"/>
            <color indexed="81"/>
            <rFont val="Tahoma"/>
            <family val="2"/>
            <charset val="186"/>
          </rPr>
          <t xml:space="preserve">
as from 01.07.2022 EUR 500 per month</t>
        </r>
      </text>
    </comment>
    <comment ref="X25" authorId="2" shapeId="0" xr:uid="{C63D1CDA-35AD-49D4-A625-11247B534AFD}">
      <text>
        <r>
          <rPr>
            <b/>
            <sz val="9"/>
            <color indexed="81"/>
            <rFont val="Tahoma"/>
            <family val="2"/>
            <charset val="186"/>
          </rPr>
          <t>Līga Gudēvica-Liepiņa:</t>
        </r>
        <r>
          <rPr>
            <sz val="9"/>
            <color indexed="81"/>
            <rFont val="Tahoma"/>
            <family val="2"/>
            <charset val="186"/>
          </rPr>
          <t xml:space="preserve">
as from 01.01.2022 </t>
        </r>
      </text>
    </comment>
    <comment ref="Y25" authorId="2" shapeId="0" xr:uid="{39EC7466-D4D6-4916-8C39-0D5BCD0512EE}">
      <text>
        <r>
          <rPr>
            <b/>
            <sz val="9"/>
            <color indexed="81"/>
            <rFont val="Tahoma"/>
            <family val="2"/>
            <charset val="186"/>
          </rPr>
          <t>Līga Gudēvica-Liepiņa:</t>
        </r>
        <r>
          <rPr>
            <sz val="9"/>
            <color indexed="81"/>
            <rFont val="Tahoma"/>
            <family val="2"/>
            <charset val="186"/>
          </rPr>
          <t xml:space="preserve">
as from 01.07.2022 </t>
        </r>
      </text>
    </comment>
    <comment ref="K27" authorId="0" shapeId="0" xr:uid="{745B7582-A23A-4947-A07F-1F8E588C4A71}">
      <text>
        <r>
          <rPr>
            <b/>
            <sz val="9"/>
            <color indexed="81"/>
            <rFont val="Tahoma"/>
            <family val="2"/>
            <charset val="186"/>
          </rPr>
          <t>Ieva Kodoliņa-Miglāne:</t>
        </r>
        <r>
          <rPr>
            <sz val="9"/>
            <color indexed="81"/>
            <rFont val="Tahoma"/>
            <family val="2"/>
            <charset val="186"/>
          </rPr>
          <t xml:space="preserve">
Kopš 2009.gada uz pensionāriem noteikto neapliekamo minimumu var attiecināt ne tikai uz saņemto pensiju, bet arī uz citiem fiziskās personas gūtajiem ar IIN apliekamiem ienākumiem.
Since 2009, the non-minimum for pensioners can be apply not only to the pensions received but also to other income received by a natural person whith is subject of PIT.</t>
        </r>
      </text>
    </comment>
    <comment ref="X27" authorId="2" shapeId="0" xr:uid="{867AA9BD-38C4-47FE-9430-2E152075A7C2}">
      <text>
        <r>
          <rPr>
            <b/>
            <sz val="9"/>
            <color indexed="81"/>
            <rFont val="Tahoma"/>
            <family val="2"/>
            <charset val="186"/>
          </rPr>
          <t>Līga Gudēvica-Liepiņa:</t>
        </r>
        <r>
          <rPr>
            <sz val="9"/>
            <color indexed="81"/>
            <rFont val="Tahoma"/>
            <family val="2"/>
            <charset val="186"/>
          </rPr>
          <t xml:space="preserve">
as from 01.01.2022 EUR 350 per month</t>
        </r>
      </text>
    </comment>
    <comment ref="Y27" authorId="2" shapeId="0" xr:uid="{2F357CF3-E50C-42F8-A097-E438BC4028F8}">
      <text>
        <r>
          <rPr>
            <b/>
            <sz val="9"/>
            <color indexed="81"/>
            <rFont val="Tahoma"/>
            <family val="2"/>
            <charset val="186"/>
          </rPr>
          <t>Līga Gudēvica-Liepiņa:</t>
        </r>
        <r>
          <rPr>
            <sz val="9"/>
            <color indexed="81"/>
            <rFont val="Tahoma"/>
            <family val="2"/>
            <charset val="186"/>
          </rPr>
          <t xml:space="preserve">
as from 01.07.2022 EUR 500 per month</t>
        </r>
      </text>
    </comment>
    <comment ref="R29" authorId="0" shapeId="0" xr:uid="{66F433D4-B807-46BC-856B-AEB5FBB5B82C}">
      <text>
        <r>
          <rPr>
            <b/>
            <sz val="9"/>
            <color indexed="81"/>
            <rFont val="Tahoma"/>
            <family val="2"/>
            <charset val="186"/>
          </rPr>
          <t>Ieva Kodoliņa-Miglāne:</t>
        </r>
        <r>
          <rPr>
            <sz val="9"/>
            <color indexed="81"/>
            <rFont val="Tahoma"/>
            <family val="2"/>
            <charset val="186"/>
          </rPr>
          <t xml:space="preserve">
No 2016. gada atvieglojums par apgādājamiem vairs neattiecina uz nestrādājošiem laulātiem, vecākiem un vecvecākiem, izņemot gadījumus, ja  nestrādājošs laulātais rūpējas par nepilngadīgu bērnu ar invaliditāti, vai arī šīs personas ir ar invaliditāti.
From 2016 allowance for dependants is no longer applicable to non-working sponses, parents, grandparents, except in cases then  non-working sponse are caring up for a minor child with a disability, or they are persons with disability. </t>
        </r>
      </text>
    </comment>
    <comment ref="T29" authorId="0" shapeId="0" xr:uid="{3298BBC2-6760-4839-8F7F-6EE3C118D04D}">
      <text>
        <r>
          <rPr>
            <b/>
            <sz val="9"/>
            <color indexed="81"/>
            <rFont val="Tahoma"/>
            <family val="2"/>
            <charset val="186"/>
          </rPr>
          <t>Ieva Kodoliņa-Miglāne:</t>
        </r>
        <r>
          <rPr>
            <sz val="9"/>
            <color indexed="81"/>
            <rFont val="Tahoma"/>
            <family val="2"/>
            <charset val="186"/>
          </rPr>
          <t xml:space="preserve">
No 2018.gada atvieglojums par apgādājamiem attiecas:
- uz nestrādājošiem laulātajiem, kas rūpējas par bērnu līdz 3 gadu vecumam;
- par nestrādājošu laulāto, kura apgādībā ir trīs vai vairāk bērni līdz 18 gadu vecumam vai līdz 24 gadu vecumam, no kuriem vismaz viens ir jaunāks par septiņiem gadiem, kamēr bērns turpina vispārējās, profesionālās, augstākās vai speciālās izglītības iegūšanu;
- par nestrādājošu laulāto, kura apgādībā ir pieci bērni līdz 18 gadu vecumam vai līdz 24 gadu vecumam, kamēr bērns turpina vispārējās, profesionālās, augstākās vai speciālās izglītības iegūšanu.
From 2018 the allowance for dependants is aplied to:
-  a non -working spouse, who bringing up a minor child up to 3 years, 
-  a non-working spouse who is dependent on three or more children under the age of 18 or under the age of 24 years, of which at least one is under seven years of age while the child continues to receive general, profesional, higher education or special education;
-  a non-working spouse who is dependent on five children under the age of 18 or under the age of 24 while the child continues to obtain general, profesional, higher education or special education.
</t>
        </r>
      </text>
    </comment>
    <comment ref="A38" authorId="3" shapeId="0" xr:uid="{DA08D716-765D-4893-817A-7605F4F91B10}">
      <text>
        <r>
          <rPr>
            <sz val="9"/>
            <color indexed="81"/>
            <rFont val="Tahoma"/>
            <family val="2"/>
            <charset val="186"/>
          </rPr>
          <t>Lik.13.p 4)</t>
        </r>
      </text>
    </comment>
    <comment ref="B44" authorId="1" shapeId="0" xr:uid="{81EC223A-E2F5-40E2-83C9-D303E1A08FE2}">
      <text>
        <r>
          <rPr>
            <b/>
            <sz val="9"/>
            <color indexed="81"/>
            <rFont val="Tahoma"/>
            <family val="2"/>
            <charset val="186"/>
          </rPr>
          <t>Author:</t>
        </r>
        <r>
          <rPr>
            <sz val="9"/>
            <color indexed="81"/>
            <rFont val="Tahoma"/>
            <family val="2"/>
            <charset val="186"/>
          </rPr>
          <t xml:space="preserve">
Attaisnotie izdevumi:
- 128 EUR gadā (90 LVL) par izglītību par sevi un katru savu ģimenes locekli;
 - 85 EUR gadā (60 LVL) par ārsnieciskajiem pakalpojumiem par sevi;
- 43 EUR gadā (30 LVL) par ārsnieciskajiem pakalpojumiem par katru savu ģimenes locekli.
Eligible expenses:
- 128 EUR per year (90 LVL) for education for yourself and each family member;
 - 85 EUR per year (60 LVL) for medical services for yourself;
- 43 EUR par year (30 LVL) or medical services for each family member.</t>
        </r>
      </text>
    </comment>
    <comment ref="R44" authorId="0" shapeId="0" xr:uid="{C65E1FDC-D0AD-4AF2-82A8-0452774A9B50}">
      <text>
        <r>
          <rPr>
            <b/>
            <sz val="9"/>
            <color indexed="81"/>
            <rFont val="Tahoma"/>
            <family val="2"/>
            <charset val="186"/>
          </rPr>
          <t>Ieva Kodoliņa-Miglāne:</t>
        </r>
        <r>
          <rPr>
            <sz val="9"/>
            <color indexed="81"/>
            <rFont val="Tahoma"/>
            <family val="2"/>
            <charset val="186"/>
          </rPr>
          <t xml:space="preserve">
No 2016.gada attaisnotajos izdevumos var iekļaut izdevumus:
- par interešu izglītības programmu apgūšanu bērniem līdz 18 gadu vecumam;
- par olšūnu iegūšanu (folikula iegūšanu) punkcijas ceļā, ja par to nav samaksāts no Nacionālā veselības dienesta vai citu personu līdzekļiem (pilnā apmērā);
- par endoprotēžu un cita veida ar cilvēka organismu savienotu protēžu izgatavošanu un iegādi, ja par to nav samaksāts no Nacionālā veselības dienesta vai citu personu līdzekļiem (pilnā apmērā).
From 2016 as eligible expenses may consider expenses:
- for the acquisition of interest education programs for children under the age of 18 years;
- for obtaining ovum (follicular extraction) punctures on the way, if it is not paid by the National Health Service or any other person (in full amount);
- for endoprostheses and other types of the human body connect the prosthesis and the purchase, if it is not paid by the National Health Service or any other person (in full amount).</t>
        </r>
      </text>
    </comment>
    <comment ref="T44" authorId="3" shapeId="0" xr:uid="{122323B5-911A-4D4D-8B6B-2A0A69C0E8B6}">
      <text>
        <r>
          <rPr>
            <b/>
            <sz val="9"/>
            <color indexed="81"/>
            <rFont val="Tahoma"/>
            <family val="2"/>
            <charset val="186"/>
          </rPr>
          <t>Viktorija Jureviča:</t>
        </r>
        <r>
          <rPr>
            <sz val="9"/>
            <color indexed="81"/>
            <rFont val="Tahoma"/>
            <family val="2"/>
            <charset val="186"/>
          </rPr>
          <t xml:space="preserve">
600 euro per year for each family member, but not more than 50% of the taxable income of the year</t>
        </r>
      </text>
    </comment>
    <comment ref="A47" authorId="3" shapeId="0" xr:uid="{99B87AAC-F7B7-4EB2-A7BA-2E5989CC1D10}">
      <text>
        <r>
          <rPr>
            <b/>
            <sz val="9"/>
            <color indexed="81"/>
            <rFont val="Tahoma"/>
            <family val="2"/>
            <charset val="186"/>
          </rPr>
          <t>Viktorija Jureviča:</t>
        </r>
        <r>
          <rPr>
            <sz val="9"/>
            <color indexed="81"/>
            <rFont val="Tahoma"/>
            <family val="2"/>
            <charset val="186"/>
          </rPr>
          <t xml:space="preserve">
Lik. 10.panta 3.un 8.punkts</t>
        </r>
      </text>
    </comment>
    <comment ref="R47" authorId="0" shapeId="0" xr:uid="{74099DC7-9352-48EE-834C-C29AAE60B406}">
      <text>
        <r>
          <rPr>
            <b/>
            <sz val="9"/>
            <color indexed="81"/>
            <rFont val="Tahoma"/>
            <family val="2"/>
            <charset val="186"/>
          </rPr>
          <t>Ieva Kodoliņa-Miglāne:</t>
        </r>
        <r>
          <rPr>
            <sz val="9"/>
            <color indexed="81"/>
            <rFont val="Tahoma"/>
            <family val="2"/>
            <charset val="186"/>
          </rPr>
          <t xml:space="preserve">
No 2016.gada uz attaisnotajiem izdevumiem var attiecināt ziedojumus un dāvinājumus politiskajām partijām.
From 2016  eligible expenditures will be donations and gifts to political parties.</t>
        </r>
      </text>
    </comment>
    <comment ref="T48" authorId="3" shapeId="0" xr:uid="{2575156F-01AA-42EB-AC67-559F0853845C}">
      <text>
        <r>
          <rPr>
            <b/>
            <sz val="9"/>
            <color indexed="81"/>
            <rFont val="Tahoma"/>
            <family val="2"/>
            <charset val="186"/>
          </rPr>
          <t>Viktorija Jureviča:</t>
        </r>
        <r>
          <rPr>
            <sz val="9"/>
            <color indexed="81"/>
            <rFont val="Tahoma"/>
            <family val="2"/>
            <charset val="186"/>
          </rPr>
          <t xml:space="preserve">
4000 euro per year, but not more thane 10% of the taxable income</t>
        </r>
      </text>
    </comment>
    <comment ref="A55" authorId="3" shapeId="0" xr:uid="{8F4BE485-C10A-4C0E-A1A0-9344328E6AA2}">
      <text>
        <r>
          <rPr>
            <sz val="9"/>
            <color indexed="81"/>
            <rFont val="Tahoma"/>
            <family val="2"/>
            <charset val="186"/>
          </rPr>
          <t>No 2021.gada 1.janv. jauni Noteikumi par valsts sociālās apdrošināšanas iemaksu likmes sadalījumu pa valsts sociālās apdrošināšanas veidiem</t>
        </r>
      </text>
    </comment>
    <comment ref="A79" authorId="3" shapeId="0" xr:uid="{AC013E18-0DB5-453F-81C9-4EEB3A3E613A}">
      <text>
        <r>
          <rPr>
            <b/>
            <sz val="9"/>
            <color indexed="81"/>
            <rFont val="Tahoma"/>
            <family val="2"/>
            <charset val="186"/>
          </rPr>
          <t>Viktorija Jureviča:</t>
        </r>
        <r>
          <rPr>
            <sz val="9"/>
            <color indexed="81"/>
            <rFont val="Tahoma"/>
            <family val="2"/>
            <charset val="186"/>
          </rPr>
          <t xml:space="preserve">
No 2021.gada 1.janv. jauni Noteikumi par valsts sociālās apdrošināšanas iemaksu likmes sadalījumu pa valsts sociālās apdrošināšanas veidiem</t>
        </r>
      </text>
    </comment>
    <comment ref="T80" authorId="3" shapeId="0" xr:uid="{D10656F9-5C5D-4CEC-BC5A-E3E3CF28D861}">
      <text>
        <r>
          <rPr>
            <b/>
            <sz val="9"/>
            <color indexed="81"/>
            <rFont val="Tahoma"/>
            <family val="2"/>
            <charset val="186"/>
          </rPr>
          <t>Viktorija Jureviča:</t>
        </r>
        <r>
          <rPr>
            <sz val="9"/>
            <color indexed="81"/>
            <rFont val="Tahoma"/>
            <family val="2"/>
            <charset val="186"/>
          </rPr>
          <t xml:space="preserve">
* From 2018 self employed person additional social contribution (32,15%) pays a mandatory contribution of 5% for pension insurance. Mandatory contribution of 5% for pension insurance shall be pay also those self employed person whose income is up to € 430 a month (these people pay only 5% of the social contribution). If the self-employed income in a tax year does not reach EUR 50, contribution of 5% for pension insurance may not be made.</t>
        </r>
      </text>
    </comment>
    <comment ref="A83" authorId="3" shapeId="0" xr:uid="{39304970-3AB8-488B-BDCD-E8813AD1E67D}">
      <text>
        <r>
          <rPr>
            <b/>
            <sz val="9"/>
            <color indexed="81"/>
            <rFont val="Tahoma"/>
            <family val="2"/>
            <charset val="186"/>
          </rPr>
          <t>Viktorija Jureviča:</t>
        </r>
        <r>
          <rPr>
            <sz val="9"/>
            <color indexed="81"/>
            <rFont val="Tahoma"/>
            <family val="2"/>
            <charset val="186"/>
          </rPr>
          <t xml:space="preserve">
Ministru kabineta noteikumi Nr.1478, 2.p. </t>
        </r>
      </text>
    </comment>
    <comment ref="A85" authorId="3" shapeId="0" xr:uid="{D4966D6A-226F-4B86-9A9E-528E282D2F8E}">
      <text>
        <r>
          <rPr>
            <b/>
            <sz val="9"/>
            <color indexed="81"/>
            <rFont val="Tahoma"/>
            <family val="2"/>
            <charset val="186"/>
          </rPr>
          <t>Viktorija Jureviča:</t>
        </r>
        <r>
          <rPr>
            <sz val="9"/>
            <color indexed="81"/>
            <rFont val="Tahoma"/>
            <family val="2"/>
            <charset val="186"/>
          </rPr>
          <t xml:space="preserve">
Likuma Par valsts sociālo apdrošināšanu 14.p. piektā daļa</t>
        </r>
      </text>
    </comment>
    <comment ref="K85" authorId="0" shapeId="0" xr:uid="{423A1E7C-C781-488F-8A97-ACFE3D522C52}">
      <text>
        <r>
          <rPr>
            <b/>
            <sz val="9"/>
            <color indexed="81"/>
            <rFont val="Tahoma"/>
            <family val="2"/>
            <charset val="186"/>
          </rPr>
          <t>Ieva Kodoliņa-Miglāne:</t>
        </r>
        <r>
          <rPr>
            <sz val="9"/>
            <color indexed="81"/>
            <rFont val="Tahoma"/>
            <family val="2"/>
            <charset val="186"/>
          </rPr>
          <t xml:space="preserve">
 VSAOI maksimālais apmērs atcelts no 01.01.2009. līdz 31.12.2013.
The maximum amount of the CSSC has been canceled from January 1,2009 until December 31, 2013.</t>
        </r>
      </text>
    </comment>
    <comment ref="AE87" authorId="3" shapeId="0" xr:uid="{5FFDCC37-86C0-4F2D-8309-9E7608D2A937}">
      <text>
        <r>
          <rPr>
            <b/>
            <sz val="9"/>
            <color indexed="81"/>
            <rFont val="Tahoma"/>
            <family val="2"/>
            <charset val="186"/>
          </rPr>
          <t>Viktorija Jureviča:</t>
        </r>
        <r>
          <rPr>
            <sz val="9"/>
            <color indexed="81"/>
            <rFont val="Tahoma"/>
            <family val="2"/>
            <charset val="186"/>
          </rPr>
          <t xml:space="preserve">
As of July 1, 2021, the minimum social mandatory contributions have been introduced in Latvia. The object of the minimum mandatory contribution is minimum wage (500 euros per month).
For a person who is employed by several employers or is both an employee and a self-employed, the income is summed to determine whether it is at a minimum amount. 
If the salary is less than 500 euros per month (or 1,500 euros per quarter), the employers have to pay the minimum mandatory contributions for the employee.
</t>
        </r>
      </text>
    </comment>
    <comment ref="W96" authorId="0" shapeId="0" xr:uid="{B784809F-CD83-4377-AAAE-4932D65E14D0}">
      <text>
        <r>
          <rPr>
            <b/>
            <sz val="9"/>
            <color indexed="81"/>
            <rFont val="Tahoma"/>
            <family val="2"/>
            <charset val="186"/>
          </rPr>
          <t>Ieva Kodoliņa-Miglāne:</t>
        </r>
        <r>
          <rPr>
            <sz val="9"/>
            <color indexed="81"/>
            <rFont val="Tahoma"/>
            <family val="2"/>
            <charset val="186"/>
          </rPr>
          <t xml:space="preserve">
No 2021.gada - nepersonalizēi</t>
        </r>
      </text>
    </comment>
    <comment ref="AE102" authorId="2" shapeId="0" xr:uid="{35FD5A86-E677-4CB7-89B5-165DB89AC545}">
      <text>
        <r>
          <rPr>
            <b/>
            <sz val="9"/>
            <color indexed="81"/>
            <rFont val="Tahoma"/>
            <family val="2"/>
            <charset val="186"/>
          </rPr>
          <t>Līga Gudēvica-Liepiņa:</t>
        </r>
        <r>
          <rPr>
            <sz val="9"/>
            <color indexed="81"/>
            <rFont val="Tahoma"/>
            <family val="2"/>
            <charset val="186"/>
          </rPr>
          <t xml:space="preserve">
Fixed-term measure for 2025-2027.
The base is the net interest income that exceeds by more than 50% the average net interest income reflected in the credit institution’s financial reports, and applying the base calculation coefficient, which reflects only operations with regard to residents of Latvia.
Average net interest income is the net interest income reflected in the credit institution’s financial reports in the five-year reference period - financial years beginning on January 1, 2018, and ending on December 31, 2022.
If the solidarity contributions payer reaches a certain rate of crediting growth (the annual growth rate of the total balance of loans issued by the payer to Latvian non-financial corporations, households and non-profit organizations serving households), a rebate up to 100% is applicable.</t>
        </r>
      </text>
    </comment>
    <comment ref="D104" authorId="3" shapeId="0" xr:uid="{50F4951D-DAC5-422F-844A-EB60C1E398B6}">
      <text>
        <r>
          <rPr>
            <b/>
            <sz val="9"/>
            <color indexed="81"/>
            <rFont val="Tahoma"/>
            <family val="2"/>
            <charset val="186"/>
          </rPr>
          <t>Viktorija Jureviča:</t>
        </r>
        <r>
          <rPr>
            <sz val="9"/>
            <color indexed="81"/>
            <rFont val="Tahoma"/>
            <family val="2"/>
            <charset val="186"/>
          </rPr>
          <t xml:space="preserve">
Lik Par UIN Pārejas noteikumu 23.p  
15% no 01.01.2004
22% no 01.01.2002
19% no 01.01.2003</t>
        </r>
      </text>
    </comment>
    <comment ref="T104" authorId="0" shapeId="0" xr:uid="{E4343933-C50C-48E9-9C96-A55920790B96}">
      <text>
        <r>
          <rPr>
            <b/>
            <sz val="9"/>
            <color indexed="81"/>
            <rFont val="Tahoma"/>
            <family val="2"/>
            <charset val="186"/>
          </rPr>
          <t>Ieva Kodoliņa-Miglāne:</t>
        </r>
        <r>
          <rPr>
            <sz val="9"/>
            <color indexed="81"/>
            <rFont val="Tahoma"/>
            <family val="2"/>
            <charset val="186"/>
          </rPr>
          <t xml:space="preserve">
No 2018. gada ir ieviesta jauna UIN sistēma, kas paredz, ka nodoklis 20% apmērā tiek maksāts peļņas sadales brīdī (izmaksas, kas netiek investētas uzņēmuma attīstībā, t.sk., dividendes, ar saimniecisko darbību nesaistīti izdevumi, reprezentācijas izmaksas, kas pārsniedz noteikto apmēru, u.c.). Nesadalītā peļņa ar UIN netiek aplikta. Līdz 31.12.2018. UIN tika piemērots par gūto peļņu. Tiek piemēroti atvieglojumi ziedojumiem, brīvajām ekonomiskajām zonām un lauksaimniekiem (50% no summas, kas saņemta kā valsts vai ES atbalsts lauksaimniecībai, bet ne vairāk kā kopējā ar nodokli apliekamā summa).
Since 2018 a new CIT system has been introduced, which provides a tax deferral until actual profit distribution. A rate of 20% is paid at the time of profit distribution (i.e. costs that are not invested in development of company, dividends, representation costs that exceed certain ceilings and other). Until 31.12.2018. CIT was applied on the earned profit. Discounts are applied for donations, free zones and farmers (50 per cent of the amount received as a state or EU support for agriculture, but no more than the total taxable amount).</t>
        </r>
      </text>
    </comment>
    <comment ref="T105" authorId="0" shapeId="0" xr:uid="{4951FE5E-383F-4B61-B4FF-56525F403824}">
      <text>
        <r>
          <rPr>
            <b/>
            <sz val="9"/>
            <color indexed="81"/>
            <rFont val="Tahoma"/>
            <family val="2"/>
            <charset val="186"/>
          </rPr>
          <t>Ieva Kodoliņa-Miglāne:</t>
        </r>
        <r>
          <rPr>
            <sz val="9"/>
            <color indexed="81"/>
            <rFont val="Tahoma"/>
            <family val="2"/>
            <charset val="186"/>
          </rPr>
          <t xml:space="preserve">
Tas nozīmē, ka ar UIN apliekamo bāzi dala ar koeficientu 0,8. 
This means that the CIT tax base is divided by a coeficient 0.8.</t>
        </r>
      </text>
    </comment>
    <comment ref="A106" authorId="1" shapeId="0" xr:uid="{DC6D1861-1B3C-4E79-9F91-C5F8806879A8}">
      <text>
        <r>
          <rPr>
            <b/>
            <sz val="9"/>
            <color indexed="81"/>
            <rFont val="Tahoma"/>
            <family val="2"/>
            <charset val="186"/>
          </rPr>
          <t>Author:</t>
        </r>
        <r>
          <rPr>
            <sz val="9"/>
            <color indexed="81"/>
            <rFont val="Tahoma"/>
            <family val="2"/>
            <charset val="186"/>
          </rPr>
          <t xml:space="preserve">
Latvijā par mikrouzņēmumu uzskata tādu uzņēmumus, kurā nodarbināto skaits nepārsniedz piecus darbiniekus un apgrozījums kalendārajā gadā nepārsniedz EUR 40 000 (pirms 2018. gada - EUR 100 000). Piemēro arī papildu nosacījumus.</t>
        </r>
      </text>
    </comment>
    <comment ref="AE106" authorId="0" shapeId="0" xr:uid="{A7EA592F-6A23-4F79-835C-25E1F1AFEAB1}">
      <text>
        <r>
          <rPr>
            <b/>
            <sz val="9"/>
            <color indexed="81"/>
            <rFont val="Tahoma"/>
            <family val="2"/>
            <charset val="186"/>
          </rPr>
          <t>Ieva Kodoliņa-Miglāne:</t>
        </r>
        <r>
          <rPr>
            <sz val="9"/>
            <color indexed="81"/>
            <rFont val="Tahoma"/>
            <family val="2"/>
            <charset val="186"/>
          </rPr>
          <t xml:space="preserve">
 In Latvia micro-enterprise is enterprice where number of employees is not more than five and turnover in a calendar year does not exceed EUR 40 000 (before 2018 - EUR 100 000). Additional conditions also are applied.
If the number of employees of a micro enterprise exceeds five employees in a quarter, the additional tax rate shall be paid 2% for each additional employee. From 2019 the rate of 2% shall be added also in such cases, if a person employed in several micro-enterprises.</t>
        </r>
      </text>
    </comment>
    <comment ref="A118" authorId="4" shapeId="0" xr:uid="{683E6702-F7AA-439C-921E-AA1CBF1656A9}">
      <text>
        <r>
          <rPr>
            <sz val="9"/>
            <color indexed="81"/>
            <rFont val="Tahoma"/>
            <family val="2"/>
            <charset val="186"/>
          </rPr>
          <t xml:space="preserve">Likuma 42p.5d
Nodokļa samazināto likmi 5% apmērā piemēro </t>
        </r>
        <r>
          <rPr>
            <b/>
            <sz val="9"/>
            <color indexed="81"/>
            <rFont val="Tahoma"/>
            <family val="2"/>
            <charset val="186"/>
          </rPr>
          <t>grāmatu</t>
        </r>
        <r>
          <rPr>
            <sz val="9"/>
            <color indexed="81"/>
            <rFont val="Tahoma"/>
            <family val="2"/>
            <charset val="186"/>
          </rPr>
          <t xml:space="preserve">, tostarp mācību literatūras, brošūru, bukletu un tamlīdzīgu iespieddarbu, bilžu, zīmējamo un krāsojamo grāmatu bērniem, iespiestu nošu un nošu rakstu, karšu un hidrogrāfisko vai tamlīdzīgu shēmu, piegādei </t>
        </r>
        <r>
          <rPr>
            <b/>
            <sz val="9"/>
            <color indexed="81"/>
            <rFont val="Tahoma"/>
            <family val="2"/>
            <charset val="186"/>
          </rPr>
          <t>iespieddarba vai elektroniska izdevuma formā</t>
        </r>
        <r>
          <rPr>
            <sz val="9"/>
            <color indexed="81"/>
            <rFont val="Tahoma"/>
            <family val="2"/>
            <charset val="186"/>
          </rPr>
          <t>, tostarp grāmatu piegādei tiešsaistes režīmā vai lejupielādējot.</t>
        </r>
      </text>
    </comment>
    <comment ref="AE118" authorId="4" shapeId="0" xr:uid="{F9E4D02C-D7AF-4E06-8A80-962B99C0455B}">
      <text>
        <r>
          <rPr>
            <b/>
            <sz val="9"/>
            <color indexed="81"/>
            <rFont val="Tahoma"/>
            <family val="2"/>
            <charset val="186"/>
          </rPr>
          <t>VAT law Section 42 5)</t>
        </r>
        <r>
          <rPr>
            <sz val="9"/>
            <color indexed="81"/>
            <rFont val="Tahoma"/>
            <family val="2"/>
            <charset val="186"/>
          </rPr>
          <t xml:space="preserve">
The reduced tax rate in the amount of 5 per cent shall be applied to supply of books (including school literature, brochures, leaflets and similar printed matter, children’s picture, drawing or colouring books, music printed or in manuscript form, maps and hydrographic or similar charts), in the form of printed publication or electronic publication, the supply of the abovementioned literature online or by downloading it. </t>
        </r>
      </text>
    </comment>
    <comment ref="A121" authorId="3" shapeId="0" xr:uid="{A14AA244-7B20-4AEB-B9A6-EE09CF0FE188}">
      <text>
        <r>
          <rPr>
            <sz val="9"/>
            <color indexed="81"/>
            <rFont val="Tahoma"/>
            <family val="2"/>
            <charset val="186"/>
          </rPr>
          <t xml:space="preserve">Lik 42.p 7.d.
Nodokļa samazināto likmi 5% apmērā piemēro </t>
        </r>
        <r>
          <rPr>
            <b/>
            <sz val="9"/>
            <color indexed="81"/>
            <rFont val="Tahoma"/>
            <family val="2"/>
            <charset val="186"/>
          </rPr>
          <t>iespieddarba vai elektroniska izdevuma formā</t>
        </r>
        <r>
          <rPr>
            <sz val="9"/>
            <color indexed="81"/>
            <rFont val="Tahoma"/>
            <family val="2"/>
            <charset val="186"/>
          </rPr>
          <t xml:space="preserve">, tostarp tiešsaistes režīmā vai lejupielādējot, izdotas preses un citu </t>
        </r>
        <r>
          <rPr>
            <b/>
            <sz val="9"/>
            <color indexed="81"/>
            <rFont val="Tahoma"/>
            <family val="2"/>
            <charset val="186"/>
          </rPr>
          <t>masu informācijas līdzekļu</t>
        </r>
        <r>
          <rPr>
            <sz val="9"/>
            <color indexed="81"/>
            <rFont val="Tahoma"/>
            <family val="2"/>
            <charset val="186"/>
          </rPr>
          <t xml:space="preserve"> </t>
        </r>
        <r>
          <rPr>
            <b/>
            <sz val="9"/>
            <color indexed="81"/>
            <rFont val="Tahoma"/>
            <family val="2"/>
            <charset val="186"/>
          </rPr>
          <t>izdevumu vai publikāciju</t>
        </r>
        <r>
          <rPr>
            <sz val="9"/>
            <color indexed="81"/>
            <rFont val="Tahoma"/>
            <family val="2"/>
            <charset val="186"/>
          </rPr>
          <t xml:space="preserve">, tostarp avīžu, žurnālu, biļetenu un citu periodisko izdevumu, informācijas aģentūru paziņojumu, kas paredzēti publiskai izplatīšanai, kā arī </t>
        </r>
        <r>
          <rPr>
            <b/>
            <sz val="9"/>
            <color indexed="81"/>
            <rFont val="Tahoma"/>
            <family val="2"/>
            <charset val="186"/>
          </rPr>
          <t>publikāciju interneta vietnē</t>
        </r>
        <r>
          <rPr>
            <sz val="9"/>
            <color indexed="81"/>
            <rFont val="Tahoma"/>
            <family val="2"/>
            <charset val="186"/>
          </rPr>
          <t>, piegādei, kā arī to abonentmaksai.</t>
        </r>
      </text>
    </comment>
    <comment ref="AE121" authorId="3" shapeId="0" xr:uid="{DE3FB64F-F1D0-4875-B131-8C05CA6F892F}">
      <text>
        <r>
          <rPr>
            <b/>
            <sz val="9"/>
            <color indexed="81"/>
            <rFont val="Tahoma"/>
            <family val="2"/>
            <charset val="186"/>
          </rPr>
          <t>VAT law Section 42 7)</t>
        </r>
        <r>
          <rPr>
            <sz val="9"/>
            <color indexed="81"/>
            <rFont val="Tahoma"/>
            <family val="2"/>
            <charset val="186"/>
          </rPr>
          <t xml:space="preserve">
</t>
        </r>
        <r>
          <rPr>
            <sz val="9"/>
            <color indexed="81"/>
            <rFont val="Tahoma"/>
            <family val="2"/>
            <charset val="186"/>
          </rPr>
          <t xml:space="preserve">The reduced rate of tax in the amount of 5 per cent shall be applied to supply of such editions or publications of the press and other mass information media, including </t>
        </r>
        <r>
          <rPr>
            <b/>
            <sz val="9"/>
            <color indexed="81"/>
            <rFont val="Tahoma"/>
            <family val="2"/>
            <charset val="186"/>
          </rPr>
          <t>newspapers, magazines, bulletins and other periodicals</t>
        </r>
        <r>
          <rPr>
            <sz val="9"/>
            <color indexed="81"/>
            <rFont val="Tahoma"/>
            <family val="2"/>
            <charset val="186"/>
          </rPr>
          <t xml:space="preserve"> in the form of printed or electronic edition (including online mode or downloading), </t>
        </r>
        <r>
          <rPr>
            <b/>
            <sz val="9"/>
            <color indexed="81"/>
            <rFont val="Tahoma"/>
            <family val="2"/>
            <charset val="186"/>
          </rPr>
          <t>notices of information agencies</t>
        </r>
        <r>
          <rPr>
            <sz val="9"/>
            <color indexed="81"/>
            <rFont val="Tahoma"/>
            <family val="2"/>
            <charset val="186"/>
          </rPr>
          <t xml:space="preserve"> intended for public distribution, </t>
        </r>
        <r>
          <rPr>
            <b/>
            <sz val="9"/>
            <color indexed="81"/>
            <rFont val="Tahoma"/>
            <family val="2"/>
            <charset val="186"/>
          </rPr>
          <t>publications on the website</t>
        </r>
        <r>
          <rPr>
            <sz val="9"/>
            <color indexed="81"/>
            <rFont val="Tahoma"/>
            <family val="2"/>
            <charset val="186"/>
          </rPr>
          <t>, as well as their subscription fee.</t>
        </r>
      </text>
    </comment>
    <comment ref="A130" authorId="3" shapeId="0" xr:uid="{16FD64EC-59CC-4198-A336-6BF4F08511A1}">
      <text>
        <r>
          <rPr>
            <b/>
            <sz val="9"/>
            <color indexed="81"/>
            <rFont val="Tahoma"/>
            <family val="2"/>
            <charset val="186"/>
          </rPr>
          <t>Viktorija Jureviča:</t>
        </r>
        <r>
          <rPr>
            <sz val="9"/>
            <color indexed="81"/>
            <rFont val="Tahoma"/>
            <family val="2"/>
            <charset val="186"/>
          </rPr>
          <t xml:space="preserve">
spēkā no 25.12.2020 un ir spēkā līdz 31.12.2022</t>
        </r>
      </text>
    </comment>
    <comment ref="V130" authorId="3" shapeId="0" xr:uid="{0EC9488B-A254-472E-A78F-6EA2BEE0348F}">
      <text>
        <r>
          <rPr>
            <b/>
            <sz val="9"/>
            <color indexed="81"/>
            <rFont val="Tahoma"/>
            <family val="2"/>
            <charset val="186"/>
          </rPr>
          <t>Viktorija Jureviča:</t>
        </r>
        <r>
          <rPr>
            <sz val="9"/>
            <color indexed="81"/>
            <rFont val="Tahoma"/>
            <family val="2"/>
            <charset val="186"/>
          </rPr>
          <t xml:space="preserve">
PVN likuma 38.pārejas noteikumu punkts
spēkā no 25.12.2020 un ir spēkā līdz 31.12.2022.)
In force till 31.12.2022.</t>
        </r>
      </text>
    </comment>
    <comment ref="A131" authorId="3" shapeId="0" xr:uid="{E23FC366-E5FC-49A1-A06C-82C4091B2097}">
      <text>
        <r>
          <rPr>
            <b/>
            <sz val="9"/>
            <color indexed="81"/>
            <rFont val="Tahoma"/>
            <family val="2"/>
            <charset val="186"/>
          </rPr>
          <t>Viktorija Jureviča:</t>
        </r>
        <r>
          <rPr>
            <sz val="9"/>
            <color indexed="81"/>
            <rFont val="Tahoma"/>
            <family val="2"/>
            <charset val="186"/>
          </rPr>
          <t xml:space="preserve">
spēkā no 25.12.2020 un ir spēkā līdz 31.12.2022</t>
        </r>
      </text>
    </comment>
    <comment ref="T144" authorId="0" shapeId="0" xr:uid="{C5B33DD9-E783-4D70-8568-4B4E07839593}">
      <text>
        <r>
          <rPr>
            <sz val="9"/>
            <color indexed="81"/>
            <rFont val="Tahoma"/>
            <family val="2"/>
            <charset val="186"/>
          </rPr>
          <t xml:space="preserve">Citas dalībvalsts PVN maksātajam jāreģistrējas PVN reģistrā, ja  no citas dalībvalsts piegādā LV nereģistrētam PVN maksātājam preces, kuru vērtība iepriekšējā vai kārtējā kalendāra gadā ir sasniegusi vai pārsniegusi 35 000 euro
A VAT payer of another Member State must register in the VAT register if goods from another Member State are supplied to a non-registered VAT payer in LV value in the previous or current calendar year has reached or exceeded 35,000 euro </t>
        </r>
      </text>
    </comment>
    <comment ref="W144" authorId="3" shapeId="0" xr:uid="{38FF0D42-DB6C-4353-AEDF-E0B9AFA65B5B}">
      <text>
        <r>
          <rPr>
            <b/>
            <sz val="9"/>
            <color indexed="81"/>
            <rFont val="Tahoma"/>
            <family val="2"/>
            <charset val="186"/>
          </rPr>
          <t>Viktorija Jureviča:</t>
        </r>
        <r>
          <rPr>
            <sz val="9"/>
            <color indexed="81"/>
            <rFont val="Tahoma"/>
            <family val="2"/>
            <charset val="186"/>
          </rPr>
          <t xml:space="preserve">
No 2021.gada 1.jūlija citas dalībvalsts PVN maksātajam būs jāreģistrējas PVN reģistrā, ja preces piegādās no citas dalībvalsts un to kopējā vērtība bez PVN iepriekšējā vai kārtējā kalendāra gadā sasniedz vai pārsniedz 10 000 euro. 
From July 1, 2021 VAT payer of another Member State must register in the VAT register, if goods from another Member State are supplied with total value, excluding VAT, in the previous or current calendar year reach or exceed EUR 10,000</t>
        </r>
      </text>
    </comment>
    <comment ref="A148" authorId="1" shapeId="0" xr:uid="{AF5D161E-5621-4396-A6B7-D88A5F9C6F13}">
      <text>
        <r>
          <rPr>
            <b/>
            <sz val="9"/>
            <color indexed="81"/>
            <rFont val="Tahoma"/>
            <family val="2"/>
            <charset val="186"/>
          </rPr>
          <t>Author:</t>
        </r>
        <r>
          <rPr>
            <sz val="9"/>
            <color indexed="81"/>
            <rFont val="Tahoma"/>
            <family val="2"/>
            <charset val="186"/>
          </rPr>
          <t xml:space="preserve">
Latvijā pašvaldībām ir tiesības noteikt NĪN likmi no 0,2 līdz 3% no īpašuma kadastrālās vērtības. Taču nodokļa likmi, kas pārsniedz 1,5% no īpašuma kadastrālās vērtības, nosaka tikai tad, ja īpašums netiek pienācīgi uzturēts.</t>
        </r>
      </text>
    </comment>
    <comment ref="O148" authorId="0" shapeId="0" xr:uid="{C2236041-6FA8-4E80-802C-38A7674F6011}">
      <text>
        <r>
          <rPr>
            <b/>
            <sz val="9"/>
            <color indexed="81"/>
            <rFont val="Tahoma"/>
            <family val="2"/>
            <charset val="186"/>
          </rPr>
          <t>Ieva Kodoliņa-Miglāne:</t>
        </r>
        <r>
          <rPr>
            <sz val="9"/>
            <color indexed="81"/>
            <rFont val="Tahoma"/>
            <family val="2"/>
            <charset val="186"/>
          </rPr>
          <t xml:space="preserve">
Pašvaldībām ir tiesības piemērot NĪN likmes no 0,2 līdz 3%,  robežās no īpašuma kadastrālās vērtības. Taču nodokļa likmi, kas pārsniedz 1,5% no īpašuma kadastrālās vērtības, nosaka tikai tad, ja īpašums netiek pienācīgi uzturēts.
Municipalieties have the right to apply a RET rates from 0.2 to 3% of the cadastral value of the property. But the tax rate in excess of 1.5% of the cadastral value of the property shall be determined only if the property is not adequately maintained.</t>
        </r>
      </text>
    </comment>
    <comment ref="AE148" authorId="0" shapeId="0" xr:uid="{688E2891-DA0E-4FEB-A00F-E6997EF3013C}">
      <text>
        <r>
          <rPr>
            <b/>
            <sz val="9"/>
            <color indexed="81"/>
            <rFont val="Tahoma"/>
            <family val="2"/>
            <charset val="186"/>
          </rPr>
          <t>Ieva Kodoliņa-Miglāne:</t>
        </r>
        <r>
          <rPr>
            <sz val="9"/>
            <color indexed="81"/>
            <rFont val="Tahoma"/>
            <family val="2"/>
            <charset val="186"/>
          </rPr>
          <t xml:space="preserve">
In Latvia local governments have the right to determine RET rate from 0.2 to 3% of the cadastral value of the property. But the tax rate in excess of 1.5% of the cadastral value of the property shall be determined only if the property is not adequately maintained</t>
        </r>
      </text>
    </comment>
    <comment ref="T165" authorId="0" shapeId="0" xr:uid="{A47EFA06-41B4-4DFF-B85D-6CC8A2FF6E62}">
      <text>
        <r>
          <rPr>
            <b/>
            <sz val="9"/>
            <color indexed="81"/>
            <rFont val="Tahoma"/>
            <family val="2"/>
            <charset val="186"/>
          </rPr>
          <t>Ieva Kodoliņa-Miglāne:</t>
        </r>
        <r>
          <rPr>
            <sz val="9"/>
            <color indexed="81"/>
            <rFont val="Tahoma"/>
            <family val="2"/>
            <charset val="186"/>
          </rPr>
          <t xml:space="preserve">
No 2018.gada nodokļa likme ir 30% no akcīzes nodokļa bezsvina benzīnam = 
476*30% = 142,8 EUR
From 2018 the tax rate is calculate 30% of the unleaded petroil rate =  476*30%=142,8 EUR</t>
        </r>
      </text>
    </comment>
    <comment ref="A190" authorId="1" shapeId="0" xr:uid="{33113013-1CFC-49D2-BCD9-2DF6A892A1A9}">
      <text>
        <r>
          <rPr>
            <b/>
            <sz val="9"/>
            <color indexed="81"/>
            <rFont val="Tahoma"/>
            <family val="2"/>
            <charset val="186"/>
          </rPr>
          <t>Author:</t>
        </r>
        <r>
          <rPr>
            <sz val="9"/>
            <color indexed="81"/>
            <rFont val="Tahoma"/>
            <family val="2"/>
            <charset val="186"/>
          </rPr>
          <t xml:space="preserve">
Lik.2d, SPĒKĀ NO 01.07.21.(Pnot 133.p.) NAFTAS PRODUKTIEM (petroleja, dd, gaišā degvieleļļa), arī tad, ja tiem pievienota  biodīzeļdegviela, kas pilnībā iegūta no biomasas, vai parafinizēta dīzeļdegviela, kas iegūta no biomasas, nodokli aprēķina pēc likmes 60 euro par 1000 litriem, ja attiecīgie naftas produkti ir iezīmēti (marķēti) un tos izmanto par kurināmo siltuma ieguvei apkurē, sadedzināšanas iekārtās vai siltuma enerģijas ieguvei produkcijas ražošanas (pārstrādes) tehnoloģiskajā procesā.</t>
        </r>
      </text>
    </comment>
    <comment ref="L190" authorId="0" shapeId="0" xr:uid="{C98AAA08-B2D9-4528-8EE9-B899A1098763}">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M190" authorId="0" shapeId="0" xr:uid="{5065C2BD-EBDF-40B6-805D-EE5A1A4D67F2}">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N190" authorId="0" shapeId="0" xr:uid="{0DCF14FA-2083-46F7-9CA9-B8F8AE8769D9}">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O190" authorId="0" shapeId="0" xr:uid="{82FE61E4-4B9B-4DB7-BDAC-DF0BA21771F3}">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P190" authorId="0" shapeId="0" xr:uid="{20822BA1-02D8-4452-9F3A-6C3E89EE7706}">
      <text>
        <r>
          <rPr>
            <sz val="9"/>
            <color indexed="81"/>
            <rFont val="Tahoma"/>
            <family val="2"/>
            <charset val="186"/>
          </rPr>
          <t xml:space="preserve">Likme ir samazināta - 21,34 EUR par 1000 litriem, ja degvielai no kopējā produktu daudzuma veido rapšu sēklu eļlas vai no rapšu sēklu eļļas iegūta biodīzeļdegvielas piedeva vismaz 5% </t>
        </r>
        <r>
          <rPr>
            <b/>
            <sz val="9"/>
            <color indexed="81"/>
            <rFont val="Tahoma"/>
            <family val="2"/>
            <charset val="186"/>
          </rPr>
          <t xml:space="preserve"> 
</t>
        </r>
        <r>
          <rPr>
            <sz val="9"/>
            <color indexed="81"/>
            <rFont val="Tahoma"/>
            <family val="2"/>
            <charset val="186"/>
          </rPr>
          <t xml:space="preserve">
In the Latvia this fuel used for heating is reduced rate of 21.34 euros / 1000 liters if the rapeseed oil or rapeseed oil derived biodiesel content in the final product is at least 5% of the total quantity of product</t>
        </r>
      </text>
    </comment>
    <comment ref="Q190" authorId="0" shapeId="0" xr:uid="{92273E6F-562C-4C60-8DD0-2BF7D98913F7}">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R190" authorId="0" shapeId="0" xr:uid="{506689B7-16E3-4CDD-8CB5-3BC17C7569BB}">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S190" authorId="0" shapeId="0" xr:uid="{1534A676-D9A8-43CC-B4C5-69D9870739CA}">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T190" authorId="0" shapeId="0" xr:uid="{93D69921-6046-4671-B374-59BEACC2E6A1}">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U190" authorId="0" shapeId="0" xr:uid="{F22DB34E-1666-4382-BDEF-5DEF8C397864}">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V190" authorId="0" shapeId="0" xr:uid="{6CEE1B73-2AD8-46DF-A776-4090611E00D2}">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W190" authorId="3" shapeId="0" xr:uid="{FFB11C3D-523C-42A4-9276-08BD0EC99C6B}">
      <text>
        <r>
          <rPr>
            <b/>
            <sz val="9"/>
            <color indexed="81"/>
            <rFont val="Tahoma"/>
            <family val="2"/>
            <charset val="186"/>
          </rPr>
          <t xml:space="preserve">Viktorija Jureviča:
</t>
        </r>
        <r>
          <rPr>
            <sz val="9"/>
            <color indexed="81"/>
            <rFont val="Tahoma"/>
            <family val="2"/>
            <charset val="186"/>
          </rPr>
          <t xml:space="preserve">No 01.07.2021. tiek </t>
        </r>
        <r>
          <rPr>
            <b/>
            <sz val="9"/>
            <color indexed="81"/>
            <rFont val="Tahoma"/>
            <family val="2"/>
            <charset val="186"/>
          </rPr>
          <t xml:space="preserve">palielināta samazinātā akcīzes nodokļa likme </t>
        </r>
        <r>
          <rPr>
            <sz val="9"/>
            <color indexed="81"/>
            <rFont val="Tahoma"/>
            <family val="2"/>
            <charset val="186"/>
          </rPr>
          <t xml:space="preserve">(gan 21,34 eiro, gan 56,91 eiro par 1000 litriem) </t>
        </r>
        <r>
          <rPr>
            <b/>
            <sz val="9"/>
            <color indexed="81"/>
            <rFont val="Tahoma"/>
            <family val="2"/>
            <charset val="186"/>
          </rPr>
          <t xml:space="preserve">uz 60 eiro par 1000 litriem.  </t>
        </r>
        <r>
          <rPr>
            <sz val="9"/>
            <color indexed="81"/>
            <rFont val="Tahoma"/>
            <family val="2"/>
            <charset val="186"/>
          </rPr>
          <t>To piemēro naftas produktam</t>
        </r>
        <r>
          <rPr>
            <u/>
            <sz val="9"/>
            <color indexed="81"/>
            <rFont val="Tahoma"/>
            <family val="2"/>
            <charset val="186"/>
          </rPr>
          <t xml:space="preserve"> ar pievienotu biodīzeļdegvielu, kas pilnībā iegūta nobiomasas, vai parafinizētai dīzeļdegvielai.
</t>
        </r>
        <r>
          <rPr>
            <sz val="9"/>
            <color indexed="81"/>
            <rFont val="Tahoma"/>
            <family val="2"/>
            <charset val="186"/>
          </rPr>
          <t xml:space="preserve">From July 1, 2021 the reduced rate of excise duty (both EUR 21.34 and EUR 56.91 per 1000 liters) has increased to EUR 60 per 1000 liters. It applies to petroleum products with added biodiesel fully obtained from biomass or to paraffin-embedded diesel.
</t>
        </r>
      </text>
    </comment>
    <comment ref="AE190" authorId="0" shapeId="0" xr:uid="{EE3FED6D-384C-4E30-B6A3-C6277A8310C4}">
      <text>
        <r>
          <rPr>
            <b/>
            <sz val="9"/>
            <color indexed="81"/>
            <rFont val="Tahoma"/>
            <family val="2"/>
            <charset val="186"/>
          </rPr>
          <t>Ieva Kodoliņa-Miglāne:</t>
        </r>
        <r>
          <rPr>
            <sz val="9"/>
            <color indexed="81"/>
            <rFont val="Tahoma"/>
            <family val="2"/>
            <charset val="186"/>
          </rPr>
          <t xml:space="preserve">
Oil products used for heating are those with a colorimetric index of less than 2.0 and a kinematic viscosity of 50 ° C less than 25 mm2 / s, if they are labeled (marked) and used as heating fuel for heating , combustion plants or heat energy production in the production process (processing) process, as well as in free ports and free economic zones</t>
        </r>
      </text>
    </comment>
    <comment ref="L192" authorId="0" shapeId="0" xr:uid="{A6CD1554-83F8-4C9F-B986-C9FDDE3C91DC}">
      <text>
        <r>
          <rPr>
            <b/>
            <sz val="9"/>
            <color indexed="81"/>
            <rFont val="Tahoma"/>
            <family val="2"/>
            <charset val="186"/>
          </rPr>
          <t>Ieva Kodoliņa-Miglāne:</t>
        </r>
        <r>
          <rPr>
            <sz val="9"/>
            <color indexed="81"/>
            <rFont val="Tahoma"/>
            <family val="2"/>
            <charset val="186"/>
          </rPr>
          <t xml:space="preserve">
Likme ir samazināta - 15 LVL par 1000 litriem, ja degviela ar bio piedevu +5%
The rate has been reduced - 15 LVL per 1000 liters, if fuel with bio additive + 5%</t>
        </r>
      </text>
    </comment>
    <comment ref="M192" authorId="0" shapeId="0" xr:uid="{F5594697-DADC-4CDC-959B-ED2FFFEE3ABB}">
      <text>
        <r>
          <rPr>
            <b/>
            <sz val="9"/>
            <color indexed="81"/>
            <rFont val="Tahoma"/>
            <family val="2"/>
            <charset val="186"/>
          </rPr>
          <t>Ieva Kodoliņa-Miglāne:</t>
        </r>
        <r>
          <rPr>
            <sz val="9"/>
            <color indexed="81"/>
            <rFont val="Tahoma"/>
            <family val="2"/>
            <charset val="186"/>
          </rPr>
          <t xml:space="preserve">
Likme ir samazināta - 15 LVL par 1000 litriem, ja degviela ar bio piedevu +5%
The rate has been reduced - 15 LVL per 1000 liters, if fuel with bio additive + 5%</t>
        </r>
      </text>
    </comment>
    <comment ref="N192" authorId="0" shapeId="0" xr:uid="{2F6B34E4-CA3D-4BCF-A8DB-3F16A36F8089}">
      <text>
        <r>
          <rPr>
            <b/>
            <sz val="9"/>
            <color indexed="81"/>
            <rFont val="Tahoma"/>
            <family val="2"/>
            <charset val="186"/>
          </rPr>
          <t>Ieva Kodoliņa-Miglāne:</t>
        </r>
        <r>
          <rPr>
            <sz val="9"/>
            <color indexed="81"/>
            <rFont val="Tahoma"/>
            <family val="2"/>
            <charset val="186"/>
          </rPr>
          <t xml:space="preserve">
Likme ir samazināta - 15 LVL par 1000 litriem, ja degviela ar bio piedevu +5%
The rate has been reduced - 15 LVL per 1000 liters, if fuel with bio additive + 5%</t>
        </r>
      </text>
    </comment>
    <comment ref="O192" authorId="0" shapeId="0" xr:uid="{08DAFC78-8D74-42DD-BF0C-959FA2252F3E}">
      <text>
        <r>
          <rPr>
            <b/>
            <sz val="9"/>
            <color indexed="81"/>
            <rFont val="Tahoma"/>
            <family val="2"/>
            <charset val="186"/>
          </rPr>
          <t>Ieva Kodoliņa-Miglāne:</t>
        </r>
        <r>
          <rPr>
            <sz val="9"/>
            <color indexed="81"/>
            <rFont val="Tahoma"/>
            <family val="2"/>
            <charset val="186"/>
          </rPr>
          <t xml:space="preserve">
Likme ir samazināta - 15 LVL par 1000 litriem, ja degviela ar bio piedevu +5%
The rate has been reduced - 15 LVL per 1000 liters, if fuel with bio additive + 5%</t>
        </r>
      </text>
    </comment>
    <comment ref="A194" authorId="5" shapeId="0" xr:uid="{837D252E-36F6-4590-8A7E-0DCB2F2C55CB}">
      <text>
        <r>
          <rPr>
            <b/>
            <sz val="9"/>
            <color indexed="81"/>
            <rFont val="Tahoma"/>
            <family val="2"/>
            <charset val="186"/>
          </rPr>
          <t>Olga Sanda Jurča:</t>
        </r>
        <r>
          <rPr>
            <sz val="9"/>
            <color indexed="81"/>
            <rFont val="Tahoma"/>
            <family val="2"/>
            <charset val="186"/>
          </rPr>
          <t xml:space="preserve">
Marķēta dīzeļdegviela, degvieleļļa un petroleja, ja tos izmanto licencēta kapitālsabiedrība, zonas kapitālsabiedrība, zonas pārvalde vai brīvostas pārvalde un izmanto brīvostas teritorijā, (ar 01.03.2023.  arī brīvās zonas teritorijā)  stacionārās iekārtās, celtņos, iekārtās, kuras tiek izmantotas celtniecības darbos brīvostas teritorijā (ar 01.03.2024. arī brīvās zonas teritorijā) un tehnikā, kas pēc savas konstrukcijas nav paredzēta satiksmei pa koplietošanas ceļiem
</t>
        </r>
      </text>
    </comment>
    <comment ref="P194" authorId="0" shapeId="0" xr:uid="{3BD58B6C-4B3D-4017-BC22-EDC28D1346A2}">
      <text>
        <r>
          <rPr>
            <sz val="9"/>
            <color indexed="81"/>
            <rFont val="Tahoma"/>
            <family val="2"/>
            <charset val="186"/>
          </rPr>
          <t xml:space="preserve">Likme ir samazināta - 21,34 EUR par 1000 litriem, ja degvielai no kopējā produktu daudzuma veido rapšu sēklu eļlas vai no rapšu sēklu eļļas iegūta biodīzeļdegvielas piedeva vismaz 5% </t>
        </r>
        <r>
          <rPr>
            <b/>
            <sz val="9"/>
            <color indexed="81"/>
            <rFont val="Tahoma"/>
            <family val="2"/>
            <charset val="186"/>
          </rPr>
          <t xml:space="preserve"> 
</t>
        </r>
        <r>
          <rPr>
            <sz val="9"/>
            <color indexed="81"/>
            <rFont val="Tahoma"/>
            <family val="2"/>
            <charset val="186"/>
          </rPr>
          <t xml:space="preserve">
In the Latvia this fuel used for heating is reduced rate of 21.34 euros / 1000 liters if the rapeseed oil or rapeseed oil derived biodiesel content in the final product is at least 5% of the total quantity of product</t>
        </r>
      </text>
    </comment>
    <comment ref="Q194" authorId="0" shapeId="0" xr:uid="{97670AE7-34AC-4D76-B21B-7F8D53D375F3}">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R194" authorId="0" shapeId="0" xr:uid="{1E12794A-33D0-496F-B5AB-87F193AE3636}">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S194" authorId="0" shapeId="0" xr:uid="{08B8F658-D30E-4B16-8DF2-E9A8DC652042}">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T194" authorId="0" shapeId="0" xr:uid="{63E0BB41-8F8A-4E90-B725-9866666F0E47}">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U194" authorId="0" shapeId="0" xr:uid="{6218CE8E-7F26-4414-B3A4-0D4C6453D19F}">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V194" authorId="0" shapeId="0" xr:uid="{D7B4D81C-4ED6-4F2B-B296-3CC32F9FC5E7}">
      <text>
        <r>
          <rPr>
            <sz val="9"/>
            <color indexed="81"/>
            <rFont val="Tahoma"/>
            <family val="2"/>
            <charset val="186"/>
          </rPr>
          <t>Likme ir samazināta - 21,34 EUR par 1000 litriem, ja degvielai no kopējā produktu daudzuma veido rapšu sēklu eļlas vai no rapšu sēklu eļļas iegūta biodīzeļdegvielas piedeva vismaz 5%  
In the Latvia this fuel used for heating is reduced rate of 21.34 euros / 1000 liters if the rapeseed oil or rapeseed oil derived biodiesel content in the final product is at least 5% of the total quantity of product</t>
        </r>
      </text>
    </comment>
    <comment ref="AE194" authorId="5" shapeId="0" xr:uid="{A2AA1BC8-3718-4CE8-B452-85E559AF7F83}">
      <text>
        <r>
          <rPr>
            <b/>
            <sz val="9"/>
            <color indexed="81"/>
            <rFont val="Tahoma"/>
            <family val="2"/>
            <charset val="186"/>
          </rPr>
          <t>Olga Sanda Jurča:</t>
        </r>
        <r>
          <rPr>
            <sz val="9"/>
            <color indexed="81"/>
            <rFont val="Tahoma"/>
            <family val="2"/>
            <charset val="186"/>
          </rPr>
          <t xml:space="preserve">
Marked diesel, fuel oil and kerosene when used by a licensed capital company, a capital company of a zone, a zone authority or a freeport authority and used in the territory of the freeport (from 01.03.2023 also in the territory of the free zone) in fixed installations, cranes, equipment used for construction work in the territory of the freeport (from 01.03.2024 also in the territory of the free zone) and machinery which is not designed for traffic on public roads by its construction</t>
        </r>
      </text>
    </comment>
    <comment ref="L195" authorId="0" shapeId="0" xr:uid="{3F681FA0-B14A-4F17-B6B3-0BD467BE6A46}">
      <text>
        <r>
          <rPr>
            <b/>
            <sz val="9"/>
            <color indexed="81"/>
            <rFont val="Tahoma"/>
            <family val="2"/>
            <charset val="186"/>
          </rPr>
          <t>Ieva Kodoliņa-Miglāne:</t>
        </r>
        <r>
          <rPr>
            <sz val="9"/>
            <color indexed="81"/>
            <rFont val="Tahoma"/>
            <family val="2"/>
            <charset val="186"/>
          </rPr>
          <t xml:space="preserve">
Likme ir samazināta - 15 LVL par 1000 litriem, ja degviela ar bio piedevu +5%
The rate has been reduced - 15 LVL per 1000 liters, if fuel with bio additive + 5%</t>
        </r>
      </text>
    </comment>
    <comment ref="M195" authorId="0" shapeId="0" xr:uid="{80F8C2DE-0F4B-489B-B80C-160D61E23A73}">
      <text>
        <r>
          <rPr>
            <b/>
            <sz val="9"/>
            <color indexed="81"/>
            <rFont val="Tahoma"/>
            <family val="2"/>
            <charset val="186"/>
          </rPr>
          <t>Ieva Kodoliņa-Miglāne:</t>
        </r>
        <r>
          <rPr>
            <sz val="9"/>
            <color indexed="81"/>
            <rFont val="Tahoma"/>
            <family val="2"/>
            <charset val="186"/>
          </rPr>
          <t xml:space="preserve">
Likme ir samazināta - 15 LVL par 1000 litriem, ja degviela ar bio piedevu +5%
The rate has been reduced - 15 LVL per 1000 liters, if fuel with bio additive + 5%</t>
        </r>
      </text>
    </comment>
    <comment ref="N195" authorId="0" shapeId="0" xr:uid="{95AE5465-154C-4DE1-A11F-ECEB96E38D3D}">
      <text>
        <r>
          <rPr>
            <b/>
            <sz val="9"/>
            <color indexed="81"/>
            <rFont val="Tahoma"/>
            <family val="2"/>
            <charset val="186"/>
          </rPr>
          <t>Ieva Kodoliņa-Miglāne:</t>
        </r>
        <r>
          <rPr>
            <sz val="9"/>
            <color indexed="81"/>
            <rFont val="Tahoma"/>
            <family val="2"/>
            <charset val="186"/>
          </rPr>
          <t xml:space="preserve">
Likme ir samazināta - 15 LVL par 1000 litriem, ja degviela ar bio piedevu +5%
The rate has been reduced - 15 LVL per 1000 liters, if fuel with bio additive + 5%</t>
        </r>
      </text>
    </comment>
    <comment ref="O195" authorId="0" shapeId="0" xr:uid="{9E57D3A1-80E8-4EB8-BCEF-B67AFFBE02A8}">
      <text>
        <r>
          <rPr>
            <b/>
            <sz val="9"/>
            <color indexed="81"/>
            <rFont val="Tahoma"/>
            <family val="2"/>
            <charset val="186"/>
          </rPr>
          <t>Ieva Kodoliņa-Miglāne:</t>
        </r>
        <r>
          <rPr>
            <sz val="9"/>
            <color indexed="81"/>
            <rFont val="Tahoma"/>
            <family val="2"/>
            <charset val="186"/>
          </rPr>
          <t xml:space="preserve">
Likme ir samazināta - 15 LVL par 1000 litriem, ja degviela ar bio piedevu +5%
The rate has been reduced - 15 LVL per 1000 liters, if fuel with bio additive + 5%</t>
        </r>
      </text>
    </comment>
    <comment ref="A196" authorId="1" shapeId="0" xr:uid="{45F81C02-0D89-43C3-9F99-6C25240C3774}">
      <text>
        <r>
          <rPr>
            <b/>
            <sz val="9"/>
            <color indexed="81"/>
            <rFont val="Tahoma"/>
            <family val="2"/>
            <charset val="186"/>
          </rPr>
          <t>Author:</t>
        </r>
        <r>
          <rPr>
            <sz val="9"/>
            <color indexed="81"/>
            <rFont val="Tahoma"/>
            <family val="2"/>
            <charset val="186"/>
          </rPr>
          <t xml:space="preserve">
No 2016.gada 1.jūlija ierobežotais dīzeļdegvielas daudzums no 60 līdz 130 litriem (atkarībā no audzēšanas veida) par hektāru kārtējā finanšu gadā (no 1.jūlija līdz 30.jūnijam).</t>
        </r>
      </text>
    </comment>
    <comment ref="T196" authorId="0" shapeId="0" xr:uid="{A3A5D380-6852-4571-A398-347F459B4619}">
      <text>
        <r>
          <rPr>
            <b/>
            <sz val="9"/>
            <color indexed="81"/>
            <rFont val="Tahoma"/>
            <family val="2"/>
            <charset val="186"/>
          </rPr>
          <t>Ieva Kodoliņa-Miglāne:</t>
        </r>
        <r>
          <rPr>
            <sz val="9"/>
            <color indexed="81"/>
            <rFont val="Tahoma"/>
            <family val="2"/>
            <charset val="186"/>
          </rPr>
          <t xml:space="preserve">
No 01.07.2018. nodokļa likme ir 15% no dīzeļdegvielas akcīzes nodokļa likmes = 372*15%=55,8 EUR
From July 1, 2018 the rate is calculate 15% of the diesel fuel rate = 372*15%=55,8 EUR</t>
        </r>
      </text>
    </comment>
    <comment ref="AE196" authorId="0" shapeId="0" xr:uid="{FB7E7C49-DD36-442C-A288-40677AFEEC85}">
      <text>
        <r>
          <rPr>
            <b/>
            <sz val="9"/>
            <color indexed="81"/>
            <rFont val="Tahoma"/>
            <family val="2"/>
            <charset val="186"/>
          </rPr>
          <t>Ieva Kodoliņa-Miglāne:</t>
        </r>
        <r>
          <rPr>
            <sz val="9"/>
            <color indexed="81"/>
            <rFont val="Tahoma"/>
            <family val="2"/>
            <charset val="186"/>
          </rPr>
          <t xml:space="preserve">
 From July 1, 2016 limited amount of diesel from 60 to 130 liters (depending on the the type of crop) per hectare in the current financial year (from July 1 toJune 30).</t>
        </r>
      </text>
    </comment>
    <comment ref="E205" authorId="2" shapeId="0" xr:uid="{72A9DF6B-86BD-4B73-AA32-AA640E3CF248}">
      <text>
        <r>
          <rPr>
            <b/>
            <sz val="9"/>
            <color indexed="81"/>
            <rFont val="Tahoma"/>
            <family val="2"/>
            <charset val="186"/>
          </rPr>
          <t>Līga Gudēvica-Liepiņa:</t>
        </r>
        <r>
          <rPr>
            <sz val="9"/>
            <color indexed="81"/>
            <rFont val="Tahoma"/>
            <family val="2"/>
            <charset val="186"/>
          </rPr>
          <t xml:space="preserve">
Rapeseed oil used as fuel or for heating and biodiesel when fully obtained from rapeseed oil</t>
        </r>
      </text>
    </comment>
    <comment ref="A206" authorId="2" shapeId="0" xr:uid="{D2F0F10B-3678-40AC-8F58-DE57889B24B2}">
      <text>
        <r>
          <rPr>
            <b/>
            <sz val="9"/>
            <color indexed="81"/>
            <rFont val="Tahoma"/>
            <family val="2"/>
            <charset val="186"/>
          </rPr>
          <t>Līga Gudēvica-Liepiņa:</t>
        </r>
        <r>
          <rPr>
            <sz val="9"/>
            <color indexed="81"/>
            <rFont val="Tahoma"/>
            <family val="2"/>
            <charset val="186"/>
          </rPr>
          <t xml:space="preserve">
Pirms 2025.g. atbrīvojums</t>
        </r>
      </text>
    </comment>
    <comment ref="AE206" authorId="2" shapeId="0" xr:uid="{5C22CAD3-0CD1-4061-B660-9C17E8B512F0}">
      <text>
        <r>
          <rPr>
            <b/>
            <sz val="9"/>
            <color indexed="81"/>
            <rFont val="Tahoma"/>
            <family val="2"/>
            <charset val="186"/>
          </rPr>
          <t>Līga Gudēvica-Liepiņa:</t>
        </r>
        <r>
          <rPr>
            <sz val="9"/>
            <color indexed="81"/>
            <rFont val="Tahoma"/>
            <family val="2"/>
            <charset val="186"/>
          </rPr>
          <t xml:space="preserve">
Before 2025 exempted</t>
        </r>
      </text>
    </comment>
    <comment ref="A218" authorId="1" shapeId="0" xr:uid="{6E514421-FC9C-4590-99DE-D0A8F0B7522C}">
      <text>
        <r>
          <rPr>
            <b/>
            <sz val="9"/>
            <color indexed="81"/>
            <rFont val="Tahoma"/>
            <family val="2"/>
            <charset val="186"/>
          </rPr>
          <t>Author:</t>
        </r>
        <r>
          <rPr>
            <sz val="9"/>
            <color indexed="81"/>
            <rFont val="Tahoma"/>
            <family val="2"/>
            <charset val="186"/>
          </rPr>
          <t xml:space="preserve">
Latvijā mazajām alus darītavām par viena kalendāra gadā saražotajiem pirmajiem 10 000 hl alus AN likme ir 50%</t>
        </r>
      </text>
    </comment>
    <comment ref="AE218" authorId="0" shapeId="0" xr:uid="{7D7E1FD8-151B-45F1-81CD-7DA6465AFFAD}">
      <text>
        <r>
          <rPr>
            <b/>
            <sz val="9"/>
            <color indexed="81"/>
            <rFont val="Tahoma"/>
            <family val="2"/>
            <charset val="186"/>
          </rPr>
          <t>Ieva Kodoliņa-Miglāne:</t>
        </r>
        <r>
          <rPr>
            <sz val="9"/>
            <color indexed="81"/>
            <rFont val="Tahoma"/>
            <family val="2"/>
            <charset val="186"/>
          </rPr>
          <t xml:space="preserve">
A small brevery with produce up to 10 000 hl excise duty rate 50% is applied
</t>
        </r>
      </text>
    </comment>
    <comment ref="A230" authorId="2" shapeId="0" xr:uid="{126F6363-495B-455E-B72E-8A339CCF6199}">
      <text>
        <r>
          <rPr>
            <b/>
            <sz val="9"/>
            <color indexed="81"/>
            <rFont val="Tahoma"/>
            <family val="2"/>
            <charset val="186"/>
          </rPr>
          <t>Līga Gudēvica-Liepiņa:</t>
        </r>
        <r>
          <rPr>
            <sz val="9"/>
            <color indexed="81"/>
            <rFont val="Tahoma"/>
            <family val="2"/>
            <charset val="186"/>
          </rPr>
          <t xml:space="preserve">
par vienā kalendāra gadā vidējā vīna ražotāja saražotajiem 100 hektolitriem vai par mazās alkoholisko dzērienu darītava saražotajiem 150 hektolitriem vīna</t>
        </r>
      </text>
    </comment>
    <comment ref="X230" authorId="2" shapeId="0" xr:uid="{08CF3DD2-0C6C-466E-BD89-D885DBF74628}">
      <text>
        <r>
          <rPr>
            <b/>
            <sz val="9"/>
            <color indexed="81"/>
            <rFont val="Tahoma"/>
            <family val="2"/>
            <charset val="186"/>
          </rPr>
          <t>Līga Gudēvica-Liepiņa:</t>
        </r>
        <r>
          <rPr>
            <sz val="9"/>
            <color indexed="81"/>
            <rFont val="Tahoma"/>
            <family val="2"/>
            <charset val="186"/>
          </rPr>
          <t xml:space="preserve">
from 01.07.2022., untill then the standard rate is applied</t>
        </r>
      </text>
    </comment>
    <comment ref="AE230" authorId="2" shapeId="0" xr:uid="{CE9B84BB-3641-4D97-B363-831CAE6D0A00}">
      <text>
        <r>
          <rPr>
            <b/>
            <sz val="9"/>
            <color indexed="81"/>
            <rFont val="Tahoma"/>
            <family val="2"/>
            <charset val="186"/>
          </rPr>
          <t>Līga Gudēvica-Liepiņa:</t>
        </r>
        <r>
          <rPr>
            <sz val="9"/>
            <color indexed="81"/>
            <rFont val="Tahoma"/>
            <family val="2"/>
            <charset val="186"/>
          </rPr>
          <t xml:space="preserve">
for 100 hectolitres produced per calendar year by the medium-sized wine producers and for 150 hectolitres produced by the small alcoholic beverage breweries </t>
        </r>
      </text>
    </comment>
    <comment ref="A236" authorId="2" shapeId="0" xr:uid="{699B7C0D-430F-47B9-B0F0-43D8F8AF1BD9}">
      <text>
        <r>
          <rPr>
            <b/>
            <sz val="9"/>
            <color indexed="81"/>
            <rFont val="Tahoma"/>
            <family val="2"/>
            <charset val="186"/>
          </rPr>
          <t>Līga Gudēvica-Liepiņa:</t>
        </r>
        <r>
          <rPr>
            <sz val="9"/>
            <color indexed="81"/>
            <rFont val="Tahoma"/>
            <family val="2"/>
            <charset val="186"/>
          </rPr>
          <t xml:space="preserve">
par vienā kalendāra gadā vidējā raudzēto dzērienu ražotāja saražotajiem 1500 hektolitriem vai par mazās alkoholisko dzērienu darītavas saražotajiem 150 hektolitriem</t>
        </r>
      </text>
    </comment>
    <comment ref="X236" authorId="2" shapeId="0" xr:uid="{B92AECBF-8601-4CF5-BA10-739A304C2511}">
      <text>
        <r>
          <rPr>
            <b/>
            <sz val="9"/>
            <color indexed="81"/>
            <rFont val="Tahoma"/>
            <family val="2"/>
            <charset val="186"/>
          </rPr>
          <t>Līga Gudēvica-Liepiņa:</t>
        </r>
        <r>
          <rPr>
            <sz val="9"/>
            <color indexed="81"/>
            <rFont val="Tahoma"/>
            <family val="2"/>
            <charset val="186"/>
          </rPr>
          <t xml:space="preserve">
from 01.07.2022., untill then the standard rate is applied</t>
        </r>
      </text>
    </comment>
    <comment ref="AE236" authorId="2" shapeId="0" xr:uid="{96432023-663B-4C72-AE6B-EC5CB30EC575}">
      <text>
        <r>
          <rPr>
            <b/>
            <sz val="9"/>
            <color indexed="81"/>
            <rFont val="Tahoma"/>
            <family val="2"/>
            <charset val="186"/>
          </rPr>
          <t>Līga Gudēvica-Liepiņa:</t>
        </r>
        <r>
          <rPr>
            <sz val="9"/>
            <color indexed="81"/>
            <rFont val="Tahoma"/>
            <family val="2"/>
            <charset val="186"/>
          </rPr>
          <t xml:space="preserve">
for 1500 hectolitres produced by the medium-sized fermented beverage producers and for 150 hectolitres produced by the small alcoholic beverage breweries</t>
        </r>
      </text>
    </comment>
    <comment ref="A242" authorId="2" shapeId="0" xr:uid="{F8651DD7-D2AB-4CBC-B277-CA02474BE4F6}">
      <text>
        <r>
          <rPr>
            <b/>
            <sz val="9"/>
            <color indexed="81"/>
            <rFont val="Tahoma"/>
            <family val="2"/>
            <charset val="186"/>
          </rPr>
          <t>Līga Gudēvica-Liepiņa:</t>
        </r>
        <r>
          <rPr>
            <sz val="9"/>
            <color indexed="81"/>
            <rFont val="Tahoma"/>
            <family val="2"/>
            <charset val="186"/>
          </rPr>
          <t xml:space="preserve">
par vienā kalendāra gadā vidējā raudzēto dzērienu ražotāja saražotajiem 1500 hektolitriem vai par mazās alkoholisko dzērienu darītavas saražotajiem 150 hektolitriem</t>
        </r>
      </text>
    </comment>
    <comment ref="X242" authorId="2" shapeId="0" xr:uid="{E1A4ADAD-EA68-4906-993E-CE70E4B62AE9}">
      <text>
        <r>
          <rPr>
            <b/>
            <sz val="9"/>
            <color indexed="81"/>
            <rFont val="Tahoma"/>
            <family val="2"/>
            <charset val="186"/>
          </rPr>
          <t>Līga Gudēvica-Liepiņa:</t>
        </r>
        <r>
          <rPr>
            <sz val="9"/>
            <color indexed="81"/>
            <rFont val="Tahoma"/>
            <family val="2"/>
            <charset val="186"/>
          </rPr>
          <t xml:space="preserve">
from 01.07.2022., untill then the standard rate is applied</t>
        </r>
      </text>
    </comment>
    <comment ref="AE242" authorId="2" shapeId="0" xr:uid="{73C25296-42CC-4D00-9C54-09C3931F703E}">
      <text>
        <r>
          <rPr>
            <b/>
            <sz val="9"/>
            <color indexed="81"/>
            <rFont val="Tahoma"/>
            <family val="2"/>
            <charset val="186"/>
          </rPr>
          <t>Līga Gudēvica-Liepiņa:</t>
        </r>
        <r>
          <rPr>
            <sz val="9"/>
            <color indexed="81"/>
            <rFont val="Tahoma"/>
            <family val="2"/>
            <charset val="186"/>
          </rPr>
          <t xml:space="preserve">
for 1500 hectolitres produced by the medium-sized fermented beverage producers and for 150 hectolitres produced by the small alcoholic beverage breweries</t>
        </r>
      </text>
    </comment>
    <comment ref="A248" authorId="2" shapeId="0" xr:uid="{585039DF-1163-4E13-8FF8-9AAE32C58281}">
      <text>
        <r>
          <rPr>
            <b/>
            <sz val="9"/>
            <color indexed="81"/>
            <rFont val="Tahoma"/>
            <family val="2"/>
            <charset val="186"/>
          </rPr>
          <t>Līga Gudēvica-Liepiņa:</t>
        </r>
        <r>
          <rPr>
            <sz val="9"/>
            <color indexed="81"/>
            <rFont val="Tahoma"/>
            <family val="2"/>
            <charset val="186"/>
          </rPr>
          <t xml:space="preserve">
par vienā kalendāra gadā vidējā starpproduktu ražotāja saražotajiem 80 hektolitriem vai par mazās alkoholisko dzērienu darītavas saražotajiem 10 hektolitriem</t>
        </r>
      </text>
    </comment>
    <comment ref="X248" authorId="2" shapeId="0" xr:uid="{D0E9ED68-2F43-48DA-8B45-F35A5CB8909B}">
      <text>
        <r>
          <rPr>
            <b/>
            <sz val="9"/>
            <color indexed="81"/>
            <rFont val="Tahoma"/>
            <family val="2"/>
            <charset val="186"/>
          </rPr>
          <t>Līga Gudēvica-Liepiņa:</t>
        </r>
        <r>
          <rPr>
            <sz val="9"/>
            <color indexed="81"/>
            <rFont val="Tahoma"/>
            <family val="2"/>
            <charset val="186"/>
          </rPr>
          <t xml:space="preserve">
from 01.07.2022., untill then the standard rate is applied</t>
        </r>
      </text>
    </comment>
    <comment ref="AE248" authorId="2" shapeId="0" xr:uid="{7B3457D0-FC55-4029-A886-672989E016BA}">
      <text>
        <r>
          <rPr>
            <b/>
            <sz val="9"/>
            <color indexed="81"/>
            <rFont val="Tahoma"/>
            <family val="2"/>
            <charset val="186"/>
          </rPr>
          <t>Līga Gudēvica-Liepiņa:</t>
        </r>
        <r>
          <rPr>
            <sz val="9"/>
            <color indexed="81"/>
            <rFont val="Tahoma"/>
            <family val="2"/>
            <charset val="186"/>
          </rPr>
          <t xml:space="preserve">
for 80 hectolitres produced by the medium-sized intermediate product producers and for 10 hectolitres produced by the small alcoholic beverage breweries</t>
        </r>
      </text>
    </comment>
    <comment ref="A254" authorId="2" shapeId="0" xr:uid="{369A6C5E-0FF7-46D9-8F4C-8F96DE366FA5}">
      <text>
        <r>
          <rPr>
            <b/>
            <sz val="9"/>
            <color indexed="81"/>
            <rFont val="Tahoma"/>
            <family val="2"/>
            <charset val="186"/>
          </rPr>
          <t>Līga Gudēvica-Liepiņa:</t>
        </r>
        <r>
          <rPr>
            <sz val="9"/>
            <color indexed="81"/>
            <rFont val="Tahoma"/>
            <family val="2"/>
            <charset val="186"/>
          </rPr>
          <t xml:space="preserve">
par vienā kalendāra gadā vidējā starpproduktu ražotāja saražotajiem 80 hektolitriem vai par mazās alkoholisko dzērienu darītavas saražotajiem 10 hektolitriem</t>
        </r>
      </text>
    </comment>
    <comment ref="X254" authorId="2" shapeId="0" xr:uid="{E1FED3CA-2E0D-4E8B-AF76-8BB406EAB91B}">
      <text>
        <r>
          <rPr>
            <b/>
            <sz val="9"/>
            <color indexed="81"/>
            <rFont val="Tahoma"/>
            <family val="2"/>
            <charset val="186"/>
          </rPr>
          <t>Līga Gudēvica-Liepiņa:</t>
        </r>
        <r>
          <rPr>
            <sz val="9"/>
            <color indexed="81"/>
            <rFont val="Tahoma"/>
            <family val="2"/>
            <charset val="186"/>
          </rPr>
          <t xml:space="preserve">
from 01.07.2022., untill then the standard rate is applied</t>
        </r>
      </text>
    </comment>
    <comment ref="AE254" authorId="2" shapeId="0" xr:uid="{A979745B-02B3-46D5-A617-CEF4E654B122}">
      <text>
        <r>
          <rPr>
            <b/>
            <sz val="9"/>
            <color indexed="81"/>
            <rFont val="Tahoma"/>
            <family val="2"/>
            <charset val="186"/>
          </rPr>
          <t>Līga Gudēvica-Liepiņa:</t>
        </r>
        <r>
          <rPr>
            <sz val="9"/>
            <color indexed="81"/>
            <rFont val="Tahoma"/>
            <family val="2"/>
            <charset val="186"/>
          </rPr>
          <t xml:space="preserve">
for 80 hectolitres produced by the medium-sized intermediate product producers and for 10 hectolitres produced by the small alcoholic beverage breweries</t>
        </r>
      </text>
    </comment>
    <comment ref="V256" authorId="3" shapeId="0" xr:uid="{A780BA4F-BDCE-419C-B71A-CA4C0252E50F}">
      <text>
        <r>
          <rPr>
            <b/>
            <sz val="9"/>
            <color indexed="81"/>
            <rFont val="Tahoma"/>
            <family val="2"/>
            <charset val="186"/>
          </rPr>
          <t>Viktorija Jureviča:</t>
        </r>
        <r>
          <rPr>
            <sz val="9"/>
            <color indexed="81"/>
            <rFont val="Tahoma"/>
            <family val="2"/>
            <charset val="186"/>
          </rPr>
          <t xml:space="preserve">
abolished 2025 euro per 100 l aa</t>
        </r>
      </text>
    </comment>
    <comment ref="AE264" authorId="6" shapeId="0" xr:uid="{A67EBBAF-323A-457D-9F8E-48AB2B08C1D4}">
      <text>
        <r>
          <rPr>
            <b/>
            <sz val="9"/>
            <color indexed="81"/>
            <rFont val="Tahoma"/>
            <family val="2"/>
            <charset val="186"/>
          </rPr>
          <t>Daina Dzelme-Urbāne:</t>
        </r>
        <r>
          <rPr>
            <sz val="9"/>
            <color indexed="81"/>
            <rFont val="Tahoma"/>
            <family val="2"/>
            <charset val="186"/>
          </rPr>
          <t xml:space="preserve">
excise duty rate 50% is applied</t>
        </r>
      </text>
    </comment>
    <comment ref="W274" authorId="3" shapeId="0" xr:uid="{A738750A-74E9-4770-AADE-56EC4530667A}">
      <text>
        <r>
          <rPr>
            <b/>
            <sz val="9"/>
            <color indexed="81"/>
            <rFont val="Tahoma"/>
            <family val="2"/>
            <charset val="186"/>
          </rPr>
          <t>From 01.03.2021.</t>
        </r>
      </text>
    </comment>
    <comment ref="W282" authorId="2" shapeId="0" xr:uid="{B6900122-C73C-4425-BF87-069B1AD2121C}">
      <text>
        <r>
          <rPr>
            <b/>
            <sz val="9"/>
            <color indexed="81"/>
            <rFont val="Tahoma"/>
            <family val="2"/>
            <charset val="186"/>
          </rPr>
          <t>From 01.03.2021.</t>
        </r>
      </text>
    </comment>
    <comment ref="A321" authorId="3" shapeId="0" xr:uid="{7E22F5CE-E181-408A-9C53-F322AC2DF3FF}">
      <text>
        <r>
          <rPr>
            <b/>
            <sz val="9"/>
            <color indexed="81"/>
            <rFont val="Tahoma"/>
            <family val="2"/>
            <charset val="186"/>
          </rPr>
          <t>Viktorija Jureviča:</t>
        </r>
        <r>
          <rPr>
            <sz val="9"/>
            <color indexed="81"/>
            <rFont val="Tahoma"/>
            <family val="2"/>
            <charset val="186"/>
          </rPr>
          <t xml:space="preserve">
No 2021.gada 1.janvāra - jauns produkts, Lik 13.2 pants</t>
        </r>
      </text>
    </comment>
    <comment ref="W324" authorId="3" shapeId="0" xr:uid="{1697D97E-DA81-47D8-BAF4-DDAB85D414F1}">
      <text>
        <r>
          <rPr>
            <b/>
            <sz val="9"/>
            <color indexed="81"/>
            <rFont val="Tahoma"/>
            <family val="2"/>
            <charset val="186"/>
          </rPr>
          <t xml:space="preserve">Viktorija Jureviča:
</t>
        </r>
        <r>
          <rPr>
            <sz val="9"/>
            <color indexed="81"/>
            <rFont val="Tahoma"/>
            <family val="2"/>
            <charset val="186"/>
          </rPr>
          <t>The fixed-term period from 1 January 2021 to 31 December 2025 is reduced rate of excise duty on natural gas as propellant.
01.01. 2026. - 10,0 EUR per MWh 15.1 panta 2.p.
Pārejas noteikumu125.punkts (1,91 EUR per MWh)</t>
        </r>
      </text>
    </comment>
    <comment ref="S325" authorId="0" shapeId="0" xr:uid="{533E9939-DCAD-4E8D-8497-29526A8631F8}">
      <text>
        <r>
          <rPr>
            <b/>
            <sz val="9"/>
            <color indexed="81"/>
            <rFont val="Tahoma"/>
            <family val="2"/>
            <charset val="186"/>
          </rPr>
          <t>Ieva Kodoliņa-Miglāne:</t>
        </r>
        <r>
          <rPr>
            <sz val="9"/>
            <color indexed="81"/>
            <rFont val="Tahoma"/>
            <family val="2"/>
            <charset val="186"/>
          </rPr>
          <t xml:space="preserve">
No 01.04.2017. nodokļa likme ir EUR par MWh
From April, 2017 tax rate is EUR per MWh</t>
        </r>
      </text>
    </comment>
    <comment ref="S330" authorId="0" shapeId="0" xr:uid="{3734667B-D07C-4544-9FB2-7501CC5FEFD9}">
      <text>
        <r>
          <rPr>
            <b/>
            <sz val="9"/>
            <color indexed="81"/>
            <rFont val="Tahoma"/>
            <family val="2"/>
            <charset val="186"/>
          </rPr>
          <t>Ieva Kodoliņa-Miglāne:</t>
        </r>
        <r>
          <rPr>
            <sz val="9"/>
            <color indexed="81"/>
            <rFont val="Tahoma"/>
            <family val="2"/>
            <charset val="186"/>
          </rPr>
          <t xml:space="preserve">
No 01.04.2017. nodokļa likme ir EUR par MWh
From April, 2017 tax rate is EUR per MWh</t>
        </r>
      </text>
    </comment>
    <comment ref="S335" authorId="0" shapeId="0" xr:uid="{53B9B3D6-6A8F-4D1B-BCC4-D375A7361882}">
      <text>
        <r>
          <rPr>
            <b/>
            <sz val="9"/>
            <color indexed="81"/>
            <rFont val="Tahoma"/>
            <family val="2"/>
            <charset val="186"/>
          </rPr>
          <t>Ieva Kodoliņa-Miglāne:</t>
        </r>
        <r>
          <rPr>
            <sz val="9"/>
            <color indexed="81"/>
            <rFont val="Tahoma"/>
            <family val="2"/>
            <charset val="186"/>
          </rPr>
          <t xml:space="preserve">
No 01.04.2017. nodokļa likme ir EUR par MWh
From April, 2017 tax rate is EUR per MWh</t>
        </r>
      </text>
    </comment>
    <comment ref="AA343" authorId="2" shapeId="0" xr:uid="{F14CFF76-6905-45A2-BD4D-3294FD910E77}">
      <text>
        <r>
          <rPr>
            <b/>
            <sz val="9"/>
            <color indexed="81"/>
            <rFont val="Tahoma"/>
            <family val="2"/>
            <charset val="186"/>
          </rPr>
          <t>Līga Gudēvica-Liepiņa:</t>
        </r>
        <r>
          <rPr>
            <sz val="9"/>
            <color indexed="81"/>
            <rFont val="Tahoma"/>
            <family val="2"/>
            <charset val="186"/>
          </rPr>
          <t xml:space="preserve">
17,5 euro - Energy drinks regardless of sugar content)</t>
        </r>
      </text>
    </comment>
    <comment ref="AB343" authorId="2" shapeId="0" xr:uid="{E8528634-60A7-42EE-B9AD-63228ACF3178}">
      <text>
        <r>
          <rPr>
            <b/>
            <sz val="9"/>
            <color indexed="81"/>
            <rFont val="Tahoma"/>
            <family val="2"/>
            <charset val="186"/>
          </rPr>
          <t>Līga Gudēvica-Liepiņa:</t>
        </r>
        <r>
          <rPr>
            <sz val="9"/>
            <color indexed="81"/>
            <rFont val="Tahoma"/>
            <family val="2"/>
            <charset val="186"/>
          </rPr>
          <t xml:space="preserve">
21 euro - Energy drinks regardless of sugar content</t>
        </r>
      </text>
    </comment>
    <comment ref="AC343" authorId="2" shapeId="0" xr:uid="{839D4ABC-B9E7-44F4-940F-388F6D07CAAD}">
      <text>
        <r>
          <rPr>
            <b/>
            <sz val="9"/>
            <color indexed="81"/>
            <rFont val="Tahoma"/>
            <family val="2"/>
            <charset val="186"/>
          </rPr>
          <t>Līga Gudēvica-Liepiņa:</t>
        </r>
        <r>
          <rPr>
            <sz val="9"/>
            <color indexed="81"/>
            <rFont val="Tahoma"/>
            <family val="2"/>
            <charset val="186"/>
          </rPr>
          <t xml:space="preserve">
21 euro - Energy drinks regardless of sugar content</t>
        </r>
      </text>
    </comment>
    <comment ref="AD343" authorId="2" shapeId="0" xr:uid="{FBA17D60-6658-4017-98C2-A817DC4BB5D3}">
      <text>
        <r>
          <rPr>
            <b/>
            <sz val="9"/>
            <color indexed="81"/>
            <rFont val="Tahoma"/>
            <family val="2"/>
            <charset val="186"/>
          </rPr>
          <t>Līga Gudēvica-Liepiņa:</t>
        </r>
        <r>
          <rPr>
            <sz val="9"/>
            <color indexed="81"/>
            <rFont val="Tahoma"/>
            <family val="2"/>
            <charset val="186"/>
          </rPr>
          <t xml:space="preserve">
21 euro - Energy drinks regardless of sugar content</t>
        </r>
      </text>
    </comment>
    <comment ref="AA346" authorId="2" shapeId="0" xr:uid="{70D4AA8E-6DA7-4526-AA09-3186DD5AC5FC}">
      <text>
        <r>
          <rPr>
            <b/>
            <sz val="9"/>
            <color indexed="81"/>
            <rFont val="Tahoma"/>
            <family val="2"/>
            <charset val="186"/>
          </rPr>
          <t>Līga Gudēvica-Liepiņa:</t>
        </r>
        <r>
          <rPr>
            <sz val="9"/>
            <color indexed="81"/>
            <rFont val="Tahoma"/>
            <family val="2"/>
            <charset val="186"/>
          </rPr>
          <t xml:space="preserve">
17,5 euro - Energy drinks regardless of sugar content)</t>
        </r>
      </text>
    </comment>
    <comment ref="AB346" authorId="2" shapeId="0" xr:uid="{372FF72F-10EA-40DD-A996-83871967B3A3}">
      <text>
        <r>
          <rPr>
            <b/>
            <sz val="9"/>
            <color indexed="81"/>
            <rFont val="Tahoma"/>
            <family val="2"/>
            <charset val="186"/>
          </rPr>
          <t>Līga Gudēvica-Liepiņa:</t>
        </r>
        <r>
          <rPr>
            <sz val="9"/>
            <color indexed="81"/>
            <rFont val="Tahoma"/>
            <family val="2"/>
            <charset val="186"/>
          </rPr>
          <t xml:space="preserve">
21 euro - Energy drinks regardless of sugar content</t>
        </r>
      </text>
    </comment>
    <comment ref="AC346" authorId="2" shapeId="0" xr:uid="{EDF5A1D8-CDE8-4125-926B-D077C204DE9C}">
      <text>
        <r>
          <rPr>
            <b/>
            <sz val="9"/>
            <color indexed="81"/>
            <rFont val="Tahoma"/>
            <family val="2"/>
            <charset val="186"/>
          </rPr>
          <t>Līga Gudēvica-Liepiņa:</t>
        </r>
        <r>
          <rPr>
            <sz val="9"/>
            <color indexed="81"/>
            <rFont val="Tahoma"/>
            <family val="2"/>
            <charset val="186"/>
          </rPr>
          <t xml:space="preserve">
21 euro - Energy drinks regardless of sugar content</t>
        </r>
      </text>
    </comment>
    <comment ref="AD346" authorId="2" shapeId="0" xr:uid="{FBC67CB1-8DAF-4297-AEF0-7BBF95AD5ED4}">
      <text>
        <r>
          <rPr>
            <b/>
            <sz val="9"/>
            <color indexed="81"/>
            <rFont val="Tahoma"/>
            <family val="2"/>
            <charset val="186"/>
          </rPr>
          <t>Līga Gudēvica-Liepiņa:</t>
        </r>
        <r>
          <rPr>
            <sz val="9"/>
            <color indexed="81"/>
            <rFont val="Tahoma"/>
            <family val="2"/>
            <charset val="186"/>
          </rPr>
          <t xml:space="preserve">
21 euro - Energy drinks regardless of sugar content</t>
        </r>
      </text>
    </comment>
    <comment ref="A375" authorId="1" shapeId="0" xr:uid="{BA0D0AD7-C6FF-4C9D-96AE-0BD399DD43BF}">
      <text>
        <r>
          <rPr>
            <sz val="9"/>
            <color indexed="81"/>
            <rFont val="Tahoma"/>
            <family val="2"/>
            <charset val="186"/>
          </rPr>
          <t>Latvijā izmaksas ilgums no 1 līdz 15 gadiem (no 2018.gada līdz 20 gadiem – ja mācās (pirms tam  līdz 19 gadiem))
MK not. 1517 "Noteikumi par ģimenes valsts pabalstu un piemaksām pie ģimenes valsts pabalsta"</t>
        </r>
      </text>
    </comment>
    <comment ref="X376" authorId="2" shapeId="0" xr:uid="{3E6CB907-5E9B-401E-969B-471742F104A2}">
      <text>
        <r>
          <rPr>
            <b/>
            <sz val="9"/>
            <color indexed="81"/>
            <rFont val="Tahoma"/>
            <family val="2"/>
            <charset val="186"/>
          </rPr>
          <t>Līga Gudēvica-Liepiņa:</t>
        </r>
        <r>
          <rPr>
            <sz val="9"/>
            <color indexed="81"/>
            <rFont val="Tahoma"/>
            <family val="2"/>
            <charset val="186"/>
          </rPr>
          <t xml:space="preserve">
Par 1. bērnu / </t>
        </r>
        <r>
          <rPr>
            <b/>
            <sz val="9"/>
            <color indexed="81"/>
            <rFont val="Tahoma"/>
            <family val="2"/>
            <charset val="186"/>
          </rPr>
          <t xml:space="preserve">for the 1st child </t>
        </r>
        <r>
          <rPr>
            <sz val="9"/>
            <color indexed="81"/>
            <rFont val="Tahoma"/>
            <family val="2"/>
            <charset val="186"/>
          </rPr>
          <t>- 25 euro</t>
        </r>
        <r>
          <rPr>
            <sz val="9"/>
            <color indexed="81"/>
            <rFont val="Tahoma"/>
            <family val="2"/>
            <charset val="186"/>
          </rPr>
          <t xml:space="preserve">
Par 1. bērnu no diviem / </t>
        </r>
        <r>
          <rPr>
            <b/>
            <sz val="9"/>
            <color indexed="81"/>
            <rFont val="Tahoma"/>
            <family val="2"/>
            <charset val="186"/>
          </rPr>
          <t>for the 1st child of two</t>
        </r>
        <r>
          <rPr>
            <sz val="9"/>
            <color indexed="81"/>
            <rFont val="Tahoma"/>
            <family val="2"/>
            <charset val="186"/>
          </rPr>
          <t xml:space="preserve">  - </t>
        </r>
        <r>
          <rPr>
            <u/>
            <sz val="9"/>
            <color indexed="81"/>
            <rFont val="Tahoma"/>
            <family val="2"/>
            <charset val="186"/>
          </rPr>
          <t>50 euro</t>
        </r>
        <r>
          <rPr>
            <sz val="9"/>
            <color indexed="81"/>
            <rFont val="Tahoma"/>
            <family val="2"/>
            <charset val="186"/>
          </rPr>
          <t xml:space="preserve">
Par 1. bērnu no trijiem / </t>
        </r>
        <r>
          <rPr>
            <b/>
            <sz val="9"/>
            <color indexed="81"/>
            <rFont val="Tahoma"/>
            <family val="2"/>
            <charset val="186"/>
          </rPr>
          <t>for the 1st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1. bērnu no četriem un vairāk / </t>
        </r>
        <r>
          <rPr>
            <b/>
            <sz val="9"/>
            <color indexed="81"/>
            <rFont val="Tahoma"/>
            <family val="2"/>
            <charset val="186"/>
          </rPr>
          <t>for the 1st child of four and more</t>
        </r>
        <r>
          <rPr>
            <sz val="9"/>
            <color indexed="81"/>
            <rFont val="Tahoma"/>
            <family val="2"/>
            <charset val="186"/>
          </rPr>
          <t xml:space="preserve"> - </t>
        </r>
        <r>
          <rPr>
            <u/>
            <sz val="9"/>
            <color indexed="81"/>
            <rFont val="Tahoma"/>
            <family val="2"/>
            <charset val="186"/>
          </rPr>
          <t>100 euro</t>
        </r>
      </text>
    </comment>
    <comment ref="Z376" authorId="2" shapeId="0" xr:uid="{397094D6-FD48-4D29-9469-541D117FCD94}">
      <text>
        <r>
          <rPr>
            <b/>
            <sz val="9"/>
            <color indexed="81"/>
            <rFont val="Tahoma"/>
            <family val="2"/>
            <charset val="186"/>
          </rPr>
          <t>Līga Gudēvica-Liepiņa:</t>
        </r>
        <r>
          <rPr>
            <sz val="9"/>
            <color indexed="81"/>
            <rFont val="Tahoma"/>
            <family val="2"/>
            <charset val="186"/>
          </rPr>
          <t xml:space="preserve">
Par 1. bērnu / </t>
        </r>
        <r>
          <rPr>
            <b/>
            <sz val="9"/>
            <color indexed="81"/>
            <rFont val="Tahoma"/>
            <family val="2"/>
            <charset val="186"/>
          </rPr>
          <t xml:space="preserve">for the 1st child </t>
        </r>
        <r>
          <rPr>
            <sz val="9"/>
            <color indexed="81"/>
            <rFont val="Tahoma"/>
            <family val="2"/>
            <charset val="186"/>
          </rPr>
          <t>- 25 euro</t>
        </r>
        <r>
          <rPr>
            <sz val="9"/>
            <color indexed="81"/>
            <rFont val="Tahoma"/>
            <family val="2"/>
            <charset val="186"/>
          </rPr>
          <t xml:space="preserve">
Par 1. bērnu no diviem / </t>
        </r>
        <r>
          <rPr>
            <b/>
            <sz val="9"/>
            <color indexed="81"/>
            <rFont val="Tahoma"/>
            <family val="2"/>
            <charset val="186"/>
          </rPr>
          <t>for the 1st child of two</t>
        </r>
        <r>
          <rPr>
            <sz val="9"/>
            <color indexed="81"/>
            <rFont val="Tahoma"/>
            <family val="2"/>
            <charset val="186"/>
          </rPr>
          <t xml:space="preserve">  - </t>
        </r>
        <r>
          <rPr>
            <u/>
            <sz val="9"/>
            <color indexed="81"/>
            <rFont val="Tahoma"/>
            <family val="2"/>
            <charset val="186"/>
          </rPr>
          <t>50 euro</t>
        </r>
        <r>
          <rPr>
            <sz val="9"/>
            <color indexed="81"/>
            <rFont val="Tahoma"/>
            <family val="2"/>
            <charset val="186"/>
          </rPr>
          <t xml:space="preserve">
Par 1. bērnu no trijiem / </t>
        </r>
        <r>
          <rPr>
            <b/>
            <sz val="9"/>
            <color indexed="81"/>
            <rFont val="Tahoma"/>
            <family val="2"/>
            <charset val="186"/>
          </rPr>
          <t>for the 1st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1. bērnu no četriem un vairāk / </t>
        </r>
        <r>
          <rPr>
            <b/>
            <sz val="9"/>
            <color indexed="81"/>
            <rFont val="Tahoma"/>
            <family val="2"/>
            <charset val="186"/>
          </rPr>
          <t>for the 1st child of four and more</t>
        </r>
        <r>
          <rPr>
            <sz val="9"/>
            <color indexed="81"/>
            <rFont val="Tahoma"/>
            <family val="2"/>
            <charset val="186"/>
          </rPr>
          <t xml:space="preserve"> - </t>
        </r>
        <r>
          <rPr>
            <u/>
            <sz val="9"/>
            <color indexed="81"/>
            <rFont val="Tahoma"/>
            <family val="2"/>
            <charset val="186"/>
          </rPr>
          <t>100 euro</t>
        </r>
      </text>
    </comment>
    <comment ref="AA376" authorId="2" shapeId="0" xr:uid="{208A00C9-50DF-449B-9D80-92D1FD5CEEB2}">
      <text>
        <r>
          <rPr>
            <b/>
            <sz val="9"/>
            <color indexed="81"/>
            <rFont val="Tahoma"/>
            <family val="2"/>
            <charset val="186"/>
          </rPr>
          <t>Līga Gudēvica-Liepiņa:</t>
        </r>
        <r>
          <rPr>
            <sz val="9"/>
            <color indexed="81"/>
            <rFont val="Tahoma"/>
            <family val="2"/>
            <charset val="186"/>
          </rPr>
          <t xml:space="preserve">
Par 1. bērnu / </t>
        </r>
        <r>
          <rPr>
            <b/>
            <sz val="9"/>
            <color indexed="81"/>
            <rFont val="Tahoma"/>
            <family val="2"/>
            <charset val="186"/>
          </rPr>
          <t xml:space="preserve">for the 1st child </t>
        </r>
        <r>
          <rPr>
            <sz val="9"/>
            <color indexed="81"/>
            <rFont val="Tahoma"/>
            <family val="2"/>
            <charset val="186"/>
          </rPr>
          <t>- 25 euro</t>
        </r>
        <r>
          <rPr>
            <sz val="9"/>
            <color indexed="81"/>
            <rFont val="Tahoma"/>
            <family val="2"/>
            <charset val="186"/>
          </rPr>
          <t xml:space="preserve">
Par 1. bērnu no diviem / </t>
        </r>
        <r>
          <rPr>
            <b/>
            <sz val="9"/>
            <color indexed="81"/>
            <rFont val="Tahoma"/>
            <family val="2"/>
            <charset val="186"/>
          </rPr>
          <t>for the 1st child of two</t>
        </r>
        <r>
          <rPr>
            <sz val="9"/>
            <color indexed="81"/>
            <rFont val="Tahoma"/>
            <family val="2"/>
            <charset val="186"/>
          </rPr>
          <t xml:space="preserve">  - </t>
        </r>
        <r>
          <rPr>
            <u/>
            <sz val="9"/>
            <color indexed="81"/>
            <rFont val="Tahoma"/>
            <family val="2"/>
            <charset val="186"/>
          </rPr>
          <t>50 euro</t>
        </r>
        <r>
          <rPr>
            <sz val="9"/>
            <color indexed="81"/>
            <rFont val="Tahoma"/>
            <family val="2"/>
            <charset val="186"/>
          </rPr>
          <t xml:space="preserve">
Par 1. bērnu no trijiem / </t>
        </r>
        <r>
          <rPr>
            <b/>
            <sz val="9"/>
            <color indexed="81"/>
            <rFont val="Tahoma"/>
            <family val="2"/>
            <charset val="186"/>
          </rPr>
          <t>for the 1st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1. bērnu no četriem un vairāk / </t>
        </r>
        <r>
          <rPr>
            <b/>
            <sz val="9"/>
            <color indexed="81"/>
            <rFont val="Tahoma"/>
            <family val="2"/>
            <charset val="186"/>
          </rPr>
          <t>for the 1st child of four and more</t>
        </r>
        <r>
          <rPr>
            <sz val="9"/>
            <color indexed="81"/>
            <rFont val="Tahoma"/>
            <family val="2"/>
            <charset val="186"/>
          </rPr>
          <t xml:space="preserve"> - </t>
        </r>
        <r>
          <rPr>
            <u/>
            <sz val="9"/>
            <color indexed="81"/>
            <rFont val="Tahoma"/>
            <family val="2"/>
            <charset val="186"/>
          </rPr>
          <t>100 euro</t>
        </r>
      </text>
    </comment>
    <comment ref="AB376" authorId="2" shapeId="0" xr:uid="{80424B3C-ACBD-4F25-8266-B29FBF954D84}">
      <text>
        <r>
          <rPr>
            <b/>
            <sz val="9"/>
            <color indexed="81"/>
            <rFont val="Tahoma"/>
            <family val="2"/>
            <charset val="186"/>
          </rPr>
          <t>Līga Gudēvica-Liepiņa:</t>
        </r>
        <r>
          <rPr>
            <sz val="9"/>
            <color indexed="81"/>
            <rFont val="Tahoma"/>
            <family val="2"/>
            <charset val="186"/>
          </rPr>
          <t xml:space="preserve">
Par 1. bērnu / </t>
        </r>
        <r>
          <rPr>
            <b/>
            <sz val="9"/>
            <color indexed="81"/>
            <rFont val="Tahoma"/>
            <family val="2"/>
            <charset val="186"/>
          </rPr>
          <t xml:space="preserve">for the 1st child </t>
        </r>
        <r>
          <rPr>
            <sz val="9"/>
            <color indexed="81"/>
            <rFont val="Tahoma"/>
            <family val="2"/>
            <charset val="186"/>
          </rPr>
          <t>- 25 euro</t>
        </r>
        <r>
          <rPr>
            <sz val="9"/>
            <color indexed="81"/>
            <rFont val="Tahoma"/>
            <family val="2"/>
            <charset val="186"/>
          </rPr>
          <t xml:space="preserve">
Par 1. bērnu no diviem / </t>
        </r>
        <r>
          <rPr>
            <b/>
            <sz val="9"/>
            <color indexed="81"/>
            <rFont val="Tahoma"/>
            <family val="2"/>
            <charset val="186"/>
          </rPr>
          <t>for the 1st child of two</t>
        </r>
        <r>
          <rPr>
            <sz val="9"/>
            <color indexed="81"/>
            <rFont val="Tahoma"/>
            <family val="2"/>
            <charset val="186"/>
          </rPr>
          <t xml:space="preserve">  - </t>
        </r>
        <r>
          <rPr>
            <u/>
            <sz val="9"/>
            <color indexed="81"/>
            <rFont val="Tahoma"/>
            <family val="2"/>
            <charset val="186"/>
          </rPr>
          <t>50 euro</t>
        </r>
        <r>
          <rPr>
            <sz val="9"/>
            <color indexed="81"/>
            <rFont val="Tahoma"/>
            <family val="2"/>
            <charset val="186"/>
          </rPr>
          <t xml:space="preserve">
Par 1. bērnu no trijiem / </t>
        </r>
        <r>
          <rPr>
            <b/>
            <sz val="9"/>
            <color indexed="81"/>
            <rFont val="Tahoma"/>
            <family val="2"/>
            <charset val="186"/>
          </rPr>
          <t>for the 1st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1. bērnu no četriem un vairāk / </t>
        </r>
        <r>
          <rPr>
            <b/>
            <sz val="9"/>
            <color indexed="81"/>
            <rFont val="Tahoma"/>
            <family val="2"/>
            <charset val="186"/>
          </rPr>
          <t>for the 1st child of four and more</t>
        </r>
        <r>
          <rPr>
            <sz val="9"/>
            <color indexed="81"/>
            <rFont val="Tahoma"/>
            <family val="2"/>
            <charset val="186"/>
          </rPr>
          <t xml:space="preserve"> - </t>
        </r>
        <r>
          <rPr>
            <u/>
            <sz val="9"/>
            <color indexed="81"/>
            <rFont val="Tahoma"/>
            <family val="2"/>
            <charset val="186"/>
          </rPr>
          <t>100 euro</t>
        </r>
      </text>
    </comment>
    <comment ref="AC376" authorId="2" shapeId="0" xr:uid="{A45ECE13-AD61-4FE0-860B-ADFC24B2A118}">
      <text>
        <r>
          <rPr>
            <b/>
            <sz val="9"/>
            <color indexed="81"/>
            <rFont val="Tahoma"/>
            <family val="2"/>
            <charset val="186"/>
          </rPr>
          <t>Līga Gudēvica-Liepiņa:</t>
        </r>
        <r>
          <rPr>
            <sz val="9"/>
            <color indexed="81"/>
            <rFont val="Tahoma"/>
            <family val="2"/>
            <charset val="186"/>
          </rPr>
          <t xml:space="preserve">
Par 1. bērnu / </t>
        </r>
        <r>
          <rPr>
            <b/>
            <sz val="9"/>
            <color indexed="81"/>
            <rFont val="Tahoma"/>
            <family val="2"/>
            <charset val="186"/>
          </rPr>
          <t xml:space="preserve">for the 1st child </t>
        </r>
        <r>
          <rPr>
            <sz val="9"/>
            <color indexed="81"/>
            <rFont val="Tahoma"/>
            <family val="2"/>
            <charset val="186"/>
          </rPr>
          <t>- 25 euro</t>
        </r>
        <r>
          <rPr>
            <sz val="9"/>
            <color indexed="81"/>
            <rFont val="Tahoma"/>
            <family val="2"/>
            <charset val="186"/>
          </rPr>
          <t xml:space="preserve">
Par 1. bērnu no diviem / </t>
        </r>
        <r>
          <rPr>
            <b/>
            <sz val="9"/>
            <color indexed="81"/>
            <rFont val="Tahoma"/>
            <family val="2"/>
            <charset val="186"/>
          </rPr>
          <t>for the 1st child of two</t>
        </r>
        <r>
          <rPr>
            <sz val="9"/>
            <color indexed="81"/>
            <rFont val="Tahoma"/>
            <family val="2"/>
            <charset val="186"/>
          </rPr>
          <t xml:space="preserve">  - </t>
        </r>
        <r>
          <rPr>
            <u/>
            <sz val="9"/>
            <color indexed="81"/>
            <rFont val="Tahoma"/>
            <family val="2"/>
            <charset val="186"/>
          </rPr>
          <t>50 euro</t>
        </r>
        <r>
          <rPr>
            <sz val="9"/>
            <color indexed="81"/>
            <rFont val="Tahoma"/>
            <family val="2"/>
            <charset val="186"/>
          </rPr>
          <t xml:space="preserve">
Par 1. bērnu no trijiem / </t>
        </r>
        <r>
          <rPr>
            <b/>
            <sz val="9"/>
            <color indexed="81"/>
            <rFont val="Tahoma"/>
            <family val="2"/>
            <charset val="186"/>
          </rPr>
          <t>for the 1st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1. bērnu no četriem un vairāk / </t>
        </r>
        <r>
          <rPr>
            <b/>
            <sz val="9"/>
            <color indexed="81"/>
            <rFont val="Tahoma"/>
            <family val="2"/>
            <charset val="186"/>
          </rPr>
          <t>for the 1st child of four and more</t>
        </r>
        <r>
          <rPr>
            <sz val="9"/>
            <color indexed="81"/>
            <rFont val="Tahoma"/>
            <family val="2"/>
            <charset val="186"/>
          </rPr>
          <t xml:space="preserve"> - </t>
        </r>
        <r>
          <rPr>
            <u/>
            <sz val="9"/>
            <color indexed="81"/>
            <rFont val="Tahoma"/>
            <family val="2"/>
            <charset val="186"/>
          </rPr>
          <t>100 euro</t>
        </r>
      </text>
    </comment>
    <comment ref="AD376" authorId="2" shapeId="0" xr:uid="{287D7DB8-FDC7-4E1D-BA6C-926BC629D71B}">
      <text>
        <r>
          <rPr>
            <b/>
            <sz val="9"/>
            <color indexed="81"/>
            <rFont val="Tahoma"/>
            <family val="2"/>
            <charset val="186"/>
          </rPr>
          <t>Līga Gudēvica-Liepiņa:</t>
        </r>
        <r>
          <rPr>
            <sz val="9"/>
            <color indexed="81"/>
            <rFont val="Tahoma"/>
            <family val="2"/>
            <charset val="186"/>
          </rPr>
          <t xml:space="preserve">
Par 1. bērnu / </t>
        </r>
        <r>
          <rPr>
            <b/>
            <sz val="9"/>
            <color indexed="81"/>
            <rFont val="Tahoma"/>
            <family val="2"/>
            <charset val="186"/>
          </rPr>
          <t xml:space="preserve">for the 1st child </t>
        </r>
        <r>
          <rPr>
            <sz val="9"/>
            <color indexed="81"/>
            <rFont val="Tahoma"/>
            <family val="2"/>
            <charset val="186"/>
          </rPr>
          <t>- 25 euro</t>
        </r>
        <r>
          <rPr>
            <sz val="9"/>
            <color indexed="81"/>
            <rFont val="Tahoma"/>
            <family val="2"/>
            <charset val="186"/>
          </rPr>
          <t xml:space="preserve">
Par 1. bērnu no diviem / </t>
        </r>
        <r>
          <rPr>
            <b/>
            <sz val="9"/>
            <color indexed="81"/>
            <rFont val="Tahoma"/>
            <family val="2"/>
            <charset val="186"/>
          </rPr>
          <t>for the 1st child of two</t>
        </r>
        <r>
          <rPr>
            <sz val="9"/>
            <color indexed="81"/>
            <rFont val="Tahoma"/>
            <family val="2"/>
            <charset val="186"/>
          </rPr>
          <t xml:space="preserve">  - </t>
        </r>
        <r>
          <rPr>
            <u/>
            <sz val="9"/>
            <color indexed="81"/>
            <rFont val="Tahoma"/>
            <family val="2"/>
            <charset val="186"/>
          </rPr>
          <t>50 euro</t>
        </r>
        <r>
          <rPr>
            <sz val="9"/>
            <color indexed="81"/>
            <rFont val="Tahoma"/>
            <family val="2"/>
            <charset val="186"/>
          </rPr>
          <t xml:space="preserve">
Par 1. bērnu no trijiem / </t>
        </r>
        <r>
          <rPr>
            <b/>
            <sz val="9"/>
            <color indexed="81"/>
            <rFont val="Tahoma"/>
            <family val="2"/>
            <charset val="186"/>
          </rPr>
          <t>for the 1st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1. bērnu no četriem un vairāk / </t>
        </r>
        <r>
          <rPr>
            <b/>
            <sz val="9"/>
            <color indexed="81"/>
            <rFont val="Tahoma"/>
            <family val="2"/>
            <charset val="186"/>
          </rPr>
          <t>for the 1st child of four and more</t>
        </r>
        <r>
          <rPr>
            <sz val="9"/>
            <color indexed="81"/>
            <rFont val="Tahoma"/>
            <family val="2"/>
            <charset val="186"/>
          </rPr>
          <t xml:space="preserve"> - </t>
        </r>
        <r>
          <rPr>
            <u/>
            <sz val="9"/>
            <color indexed="81"/>
            <rFont val="Tahoma"/>
            <family val="2"/>
            <charset val="186"/>
          </rPr>
          <t>100 euro</t>
        </r>
      </text>
    </comment>
    <comment ref="X377" authorId="2" shapeId="0" xr:uid="{14CBA168-B051-4A69-AB7B-6B7951A578DA}">
      <text>
        <r>
          <rPr>
            <b/>
            <sz val="9"/>
            <color indexed="81"/>
            <rFont val="Tahoma"/>
            <family val="2"/>
            <charset val="186"/>
          </rPr>
          <t>Līga Gudēvica-Liepiņa:</t>
        </r>
        <r>
          <rPr>
            <sz val="9"/>
            <color indexed="81"/>
            <rFont val="Tahoma"/>
            <family val="2"/>
            <charset val="186"/>
          </rPr>
          <t xml:space="preserve">
Par 2. bērnu no diviem / </t>
        </r>
        <r>
          <rPr>
            <b/>
            <sz val="9"/>
            <color indexed="81"/>
            <rFont val="Tahoma"/>
            <family val="2"/>
            <charset val="186"/>
          </rPr>
          <t>for the 2nd child</t>
        </r>
        <r>
          <rPr>
            <sz val="9"/>
            <color indexed="81"/>
            <rFont val="Tahoma"/>
            <family val="2"/>
            <charset val="186"/>
          </rPr>
          <t xml:space="preserve"> </t>
        </r>
        <r>
          <rPr>
            <b/>
            <sz val="9"/>
            <color indexed="81"/>
            <rFont val="Tahoma"/>
            <family val="2"/>
            <charset val="186"/>
          </rPr>
          <t>of two</t>
        </r>
        <r>
          <rPr>
            <sz val="9"/>
            <color indexed="81"/>
            <rFont val="Tahoma"/>
            <family val="2"/>
            <charset val="186"/>
          </rPr>
          <t xml:space="preserve">  </t>
        </r>
        <r>
          <rPr>
            <u/>
            <sz val="9"/>
            <color indexed="81"/>
            <rFont val="Tahoma"/>
            <family val="2"/>
            <charset val="186"/>
          </rPr>
          <t>- 50 euro</t>
        </r>
        <r>
          <rPr>
            <sz val="9"/>
            <color indexed="81"/>
            <rFont val="Tahoma"/>
            <family val="2"/>
            <charset val="186"/>
          </rPr>
          <t xml:space="preserve">
Par 2. bērnu no trijiem / </t>
        </r>
        <r>
          <rPr>
            <b/>
            <sz val="9"/>
            <color indexed="81"/>
            <rFont val="Tahoma"/>
            <family val="2"/>
            <charset val="186"/>
          </rPr>
          <t>for the 2nd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2. bērnu no četriem un vairāk / </t>
        </r>
        <r>
          <rPr>
            <b/>
            <sz val="9"/>
            <color indexed="81"/>
            <rFont val="Tahoma"/>
            <family val="2"/>
            <charset val="186"/>
          </rPr>
          <t>for the 2nd child of four and more</t>
        </r>
        <r>
          <rPr>
            <sz val="9"/>
            <color indexed="81"/>
            <rFont val="Tahoma"/>
            <family val="2"/>
            <charset val="186"/>
          </rPr>
          <t xml:space="preserve"> - </t>
        </r>
        <r>
          <rPr>
            <u/>
            <sz val="9"/>
            <color indexed="81"/>
            <rFont val="Tahoma"/>
            <family val="2"/>
            <charset val="186"/>
          </rPr>
          <t>100 euro</t>
        </r>
      </text>
    </comment>
    <comment ref="Z377" authorId="2" shapeId="0" xr:uid="{493FF8E1-EE14-45BB-B2AD-8D07FEED9935}">
      <text>
        <r>
          <rPr>
            <b/>
            <sz val="9"/>
            <color indexed="81"/>
            <rFont val="Tahoma"/>
            <family val="2"/>
            <charset val="186"/>
          </rPr>
          <t>Līga Gudēvica-Liepiņa:</t>
        </r>
        <r>
          <rPr>
            <sz val="9"/>
            <color indexed="81"/>
            <rFont val="Tahoma"/>
            <family val="2"/>
            <charset val="186"/>
          </rPr>
          <t xml:space="preserve">
Par 2. bērnu no diviem / </t>
        </r>
        <r>
          <rPr>
            <b/>
            <sz val="9"/>
            <color indexed="81"/>
            <rFont val="Tahoma"/>
            <family val="2"/>
            <charset val="186"/>
          </rPr>
          <t>for the 2nd child</t>
        </r>
        <r>
          <rPr>
            <sz val="9"/>
            <color indexed="81"/>
            <rFont val="Tahoma"/>
            <family val="2"/>
            <charset val="186"/>
          </rPr>
          <t xml:space="preserve"> </t>
        </r>
        <r>
          <rPr>
            <b/>
            <sz val="9"/>
            <color indexed="81"/>
            <rFont val="Tahoma"/>
            <family val="2"/>
            <charset val="186"/>
          </rPr>
          <t>of two</t>
        </r>
        <r>
          <rPr>
            <sz val="9"/>
            <color indexed="81"/>
            <rFont val="Tahoma"/>
            <family val="2"/>
            <charset val="186"/>
          </rPr>
          <t xml:space="preserve">  </t>
        </r>
        <r>
          <rPr>
            <u/>
            <sz val="9"/>
            <color indexed="81"/>
            <rFont val="Tahoma"/>
            <family val="2"/>
            <charset val="186"/>
          </rPr>
          <t>- 50 euro</t>
        </r>
        <r>
          <rPr>
            <sz val="9"/>
            <color indexed="81"/>
            <rFont val="Tahoma"/>
            <family val="2"/>
            <charset val="186"/>
          </rPr>
          <t xml:space="preserve">
Par 2. bērnu no trijiem / </t>
        </r>
        <r>
          <rPr>
            <b/>
            <sz val="9"/>
            <color indexed="81"/>
            <rFont val="Tahoma"/>
            <family val="2"/>
            <charset val="186"/>
          </rPr>
          <t>for the 2nd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2. bērnu no četriem un vairāk / </t>
        </r>
        <r>
          <rPr>
            <b/>
            <sz val="9"/>
            <color indexed="81"/>
            <rFont val="Tahoma"/>
            <family val="2"/>
            <charset val="186"/>
          </rPr>
          <t>for the 2nd child of four and more</t>
        </r>
        <r>
          <rPr>
            <sz val="9"/>
            <color indexed="81"/>
            <rFont val="Tahoma"/>
            <family val="2"/>
            <charset val="186"/>
          </rPr>
          <t xml:space="preserve"> - </t>
        </r>
        <r>
          <rPr>
            <u/>
            <sz val="9"/>
            <color indexed="81"/>
            <rFont val="Tahoma"/>
            <family val="2"/>
            <charset val="186"/>
          </rPr>
          <t>100 euro</t>
        </r>
      </text>
    </comment>
    <comment ref="AA377" authorId="2" shapeId="0" xr:uid="{E651BDF0-0BAB-42DA-ACED-806D89B64380}">
      <text>
        <r>
          <rPr>
            <b/>
            <sz val="9"/>
            <color indexed="81"/>
            <rFont val="Tahoma"/>
            <family val="2"/>
            <charset val="186"/>
          </rPr>
          <t>Līga Gudēvica-Liepiņa:</t>
        </r>
        <r>
          <rPr>
            <sz val="9"/>
            <color indexed="81"/>
            <rFont val="Tahoma"/>
            <family val="2"/>
            <charset val="186"/>
          </rPr>
          <t xml:space="preserve">
Par 2. bērnu no diviem / </t>
        </r>
        <r>
          <rPr>
            <b/>
            <sz val="9"/>
            <color indexed="81"/>
            <rFont val="Tahoma"/>
            <family val="2"/>
            <charset val="186"/>
          </rPr>
          <t>for the 2nd child</t>
        </r>
        <r>
          <rPr>
            <sz val="9"/>
            <color indexed="81"/>
            <rFont val="Tahoma"/>
            <family val="2"/>
            <charset val="186"/>
          </rPr>
          <t xml:space="preserve"> </t>
        </r>
        <r>
          <rPr>
            <b/>
            <sz val="9"/>
            <color indexed="81"/>
            <rFont val="Tahoma"/>
            <family val="2"/>
            <charset val="186"/>
          </rPr>
          <t>of two</t>
        </r>
        <r>
          <rPr>
            <sz val="9"/>
            <color indexed="81"/>
            <rFont val="Tahoma"/>
            <family val="2"/>
            <charset val="186"/>
          </rPr>
          <t xml:space="preserve">  </t>
        </r>
        <r>
          <rPr>
            <u/>
            <sz val="9"/>
            <color indexed="81"/>
            <rFont val="Tahoma"/>
            <family val="2"/>
            <charset val="186"/>
          </rPr>
          <t>- 50 euro</t>
        </r>
        <r>
          <rPr>
            <sz val="9"/>
            <color indexed="81"/>
            <rFont val="Tahoma"/>
            <family val="2"/>
            <charset val="186"/>
          </rPr>
          <t xml:space="preserve">
Par 2. bērnu no trijiem / </t>
        </r>
        <r>
          <rPr>
            <b/>
            <sz val="9"/>
            <color indexed="81"/>
            <rFont val="Tahoma"/>
            <family val="2"/>
            <charset val="186"/>
          </rPr>
          <t>for the 2nd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2. bērnu no četriem un vairāk / </t>
        </r>
        <r>
          <rPr>
            <b/>
            <sz val="9"/>
            <color indexed="81"/>
            <rFont val="Tahoma"/>
            <family val="2"/>
            <charset val="186"/>
          </rPr>
          <t>for the 2nd child of four and more</t>
        </r>
        <r>
          <rPr>
            <sz val="9"/>
            <color indexed="81"/>
            <rFont val="Tahoma"/>
            <family val="2"/>
            <charset val="186"/>
          </rPr>
          <t xml:space="preserve"> - </t>
        </r>
        <r>
          <rPr>
            <u/>
            <sz val="9"/>
            <color indexed="81"/>
            <rFont val="Tahoma"/>
            <family val="2"/>
            <charset val="186"/>
          </rPr>
          <t>100 euro</t>
        </r>
      </text>
    </comment>
    <comment ref="AB377" authorId="2" shapeId="0" xr:uid="{5F859056-FE2A-4A23-B195-70A888AA3ACF}">
      <text>
        <r>
          <rPr>
            <b/>
            <sz val="9"/>
            <color indexed="81"/>
            <rFont val="Tahoma"/>
            <family val="2"/>
            <charset val="186"/>
          </rPr>
          <t>Līga Gudēvica-Liepiņa:</t>
        </r>
        <r>
          <rPr>
            <sz val="9"/>
            <color indexed="81"/>
            <rFont val="Tahoma"/>
            <family val="2"/>
            <charset val="186"/>
          </rPr>
          <t xml:space="preserve">
Par 2. bērnu no diviem / </t>
        </r>
        <r>
          <rPr>
            <b/>
            <sz val="9"/>
            <color indexed="81"/>
            <rFont val="Tahoma"/>
            <family val="2"/>
            <charset val="186"/>
          </rPr>
          <t>for the 2nd child</t>
        </r>
        <r>
          <rPr>
            <sz val="9"/>
            <color indexed="81"/>
            <rFont val="Tahoma"/>
            <family val="2"/>
            <charset val="186"/>
          </rPr>
          <t xml:space="preserve"> </t>
        </r>
        <r>
          <rPr>
            <b/>
            <sz val="9"/>
            <color indexed="81"/>
            <rFont val="Tahoma"/>
            <family val="2"/>
            <charset val="186"/>
          </rPr>
          <t>of two</t>
        </r>
        <r>
          <rPr>
            <sz val="9"/>
            <color indexed="81"/>
            <rFont val="Tahoma"/>
            <family val="2"/>
            <charset val="186"/>
          </rPr>
          <t xml:space="preserve">  </t>
        </r>
        <r>
          <rPr>
            <u/>
            <sz val="9"/>
            <color indexed="81"/>
            <rFont val="Tahoma"/>
            <family val="2"/>
            <charset val="186"/>
          </rPr>
          <t>- 50 euro</t>
        </r>
        <r>
          <rPr>
            <sz val="9"/>
            <color indexed="81"/>
            <rFont val="Tahoma"/>
            <family val="2"/>
            <charset val="186"/>
          </rPr>
          <t xml:space="preserve">
Par 2. bērnu no trijiem / </t>
        </r>
        <r>
          <rPr>
            <b/>
            <sz val="9"/>
            <color indexed="81"/>
            <rFont val="Tahoma"/>
            <family val="2"/>
            <charset val="186"/>
          </rPr>
          <t>for the 2nd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2. bērnu no četriem un vairāk / </t>
        </r>
        <r>
          <rPr>
            <b/>
            <sz val="9"/>
            <color indexed="81"/>
            <rFont val="Tahoma"/>
            <family val="2"/>
            <charset val="186"/>
          </rPr>
          <t>for the 2nd child of four and more</t>
        </r>
        <r>
          <rPr>
            <sz val="9"/>
            <color indexed="81"/>
            <rFont val="Tahoma"/>
            <family val="2"/>
            <charset val="186"/>
          </rPr>
          <t xml:space="preserve"> - </t>
        </r>
        <r>
          <rPr>
            <u/>
            <sz val="9"/>
            <color indexed="81"/>
            <rFont val="Tahoma"/>
            <family val="2"/>
            <charset val="186"/>
          </rPr>
          <t>100 euro</t>
        </r>
      </text>
    </comment>
    <comment ref="AC377" authorId="2" shapeId="0" xr:uid="{A7352999-E005-4428-9BB0-1A4E5576F663}">
      <text>
        <r>
          <rPr>
            <b/>
            <sz val="9"/>
            <color indexed="81"/>
            <rFont val="Tahoma"/>
            <family val="2"/>
            <charset val="186"/>
          </rPr>
          <t>Līga Gudēvica-Liepiņa:</t>
        </r>
        <r>
          <rPr>
            <sz val="9"/>
            <color indexed="81"/>
            <rFont val="Tahoma"/>
            <family val="2"/>
            <charset val="186"/>
          </rPr>
          <t xml:space="preserve">
Par 2. bērnu no diviem / </t>
        </r>
        <r>
          <rPr>
            <b/>
            <sz val="9"/>
            <color indexed="81"/>
            <rFont val="Tahoma"/>
            <family val="2"/>
            <charset val="186"/>
          </rPr>
          <t>for the 2nd child</t>
        </r>
        <r>
          <rPr>
            <sz val="9"/>
            <color indexed="81"/>
            <rFont val="Tahoma"/>
            <family val="2"/>
            <charset val="186"/>
          </rPr>
          <t xml:space="preserve"> </t>
        </r>
        <r>
          <rPr>
            <b/>
            <sz val="9"/>
            <color indexed="81"/>
            <rFont val="Tahoma"/>
            <family val="2"/>
            <charset val="186"/>
          </rPr>
          <t>of two</t>
        </r>
        <r>
          <rPr>
            <sz val="9"/>
            <color indexed="81"/>
            <rFont val="Tahoma"/>
            <family val="2"/>
            <charset val="186"/>
          </rPr>
          <t xml:space="preserve">  </t>
        </r>
        <r>
          <rPr>
            <u/>
            <sz val="9"/>
            <color indexed="81"/>
            <rFont val="Tahoma"/>
            <family val="2"/>
            <charset val="186"/>
          </rPr>
          <t>- 50 euro</t>
        </r>
        <r>
          <rPr>
            <sz val="9"/>
            <color indexed="81"/>
            <rFont val="Tahoma"/>
            <family val="2"/>
            <charset val="186"/>
          </rPr>
          <t xml:space="preserve">
Par 2. bērnu no trijiem / </t>
        </r>
        <r>
          <rPr>
            <b/>
            <sz val="9"/>
            <color indexed="81"/>
            <rFont val="Tahoma"/>
            <family val="2"/>
            <charset val="186"/>
          </rPr>
          <t>for the 2nd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2. bērnu no četriem un vairāk / </t>
        </r>
        <r>
          <rPr>
            <b/>
            <sz val="9"/>
            <color indexed="81"/>
            <rFont val="Tahoma"/>
            <family val="2"/>
            <charset val="186"/>
          </rPr>
          <t>for the 2nd child of four and more</t>
        </r>
        <r>
          <rPr>
            <sz val="9"/>
            <color indexed="81"/>
            <rFont val="Tahoma"/>
            <family val="2"/>
            <charset val="186"/>
          </rPr>
          <t xml:space="preserve"> - </t>
        </r>
        <r>
          <rPr>
            <u/>
            <sz val="9"/>
            <color indexed="81"/>
            <rFont val="Tahoma"/>
            <family val="2"/>
            <charset val="186"/>
          </rPr>
          <t>100 euro</t>
        </r>
      </text>
    </comment>
    <comment ref="AD377" authorId="2" shapeId="0" xr:uid="{661218FE-04C2-41ED-BC32-B361892706BD}">
      <text>
        <r>
          <rPr>
            <b/>
            <sz val="9"/>
            <color indexed="81"/>
            <rFont val="Tahoma"/>
            <family val="2"/>
            <charset val="186"/>
          </rPr>
          <t>Līga Gudēvica-Liepiņa:</t>
        </r>
        <r>
          <rPr>
            <sz val="9"/>
            <color indexed="81"/>
            <rFont val="Tahoma"/>
            <family val="2"/>
            <charset val="186"/>
          </rPr>
          <t xml:space="preserve">
Par 2. bērnu no diviem / </t>
        </r>
        <r>
          <rPr>
            <b/>
            <sz val="9"/>
            <color indexed="81"/>
            <rFont val="Tahoma"/>
            <family val="2"/>
            <charset val="186"/>
          </rPr>
          <t>for the 2nd child</t>
        </r>
        <r>
          <rPr>
            <sz val="9"/>
            <color indexed="81"/>
            <rFont val="Tahoma"/>
            <family val="2"/>
            <charset val="186"/>
          </rPr>
          <t xml:space="preserve"> </t>
        </r>
        <r>
          <rPr>
            <b/>
            <sz val="9"/>
            <color indexed="81"/>
            <rFont val="Tahoma"/>
            <family val="2"/>
            <charset val="186"/>
          </rPr>
          <t>of two</t>
        </r>
        <r>
          <rPr>
            <sz val="9"/>
            <color indexed="81"/>
            <rFont val="Tahoma"/>
            <family val="2"/>
            <charset val="186"/>
          </rPr>
          <t xml:space="preserve">  </t>
        </r>
        <r>
          <rPr>
            <u/>
            <sz val="9"/>
            <color indexed="81"/>
            <rFont val="Tahoma"/>
            <family val="2"/>
            <charset val="186"/>
          </rPr>
          <t>- 50 euro</t>
        </r>
        <r>
          <rPr>
            <sz val="9"/>
            <color indexed="81"/>
            <rFont val="Tahoma"/>
            <family val="2"/>
            <charset val="186"/>
          </rPr>
          <t xml:space="preserve">
Par 2. bērnu no trijiem / </t>
        </r>
        <r>
          <rPr>
            <b/>
            <sz val="9"/>
            <color indexed="81"/>
            <rFont val="Tahoma"/>
            <family val="2"/>
            <charset val="186"/>
          </rPr>
          <t>for the 2nd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2. bērnu no četriem un vairāk / </t>
        </r>
        <r>
          <rPr>
            <b/>
            <sz val="9"/>
            <color indexed="81"/>
            <rFont val="Tahoma"/>
            <family val="2"/>
            <charset val="186"/>
          </rPr>
          <t>for the 2nd child of four and more</t>
        </r>
        <r>
          <rPr>
            <sz val="9"/>
            <color indexed="81"/>
            <rFont val="Tahoma"/>
            <family val="2"/>
            <charset val="186"/>
          </rPr>
          <t xml:space="preserve"> - </t>
        </r>
        <r>
          <rPr>
            <u/>
            <sz val="9"/>
            <color indexed="81"/>
            <rFont val="Tahoma"/>
            <family val="2"/>
            <charset val="186"/>
          </rPr>
          <t>100 euro</t>
        </r>
      </text>
    </comment>
    <comment ref="X378" authorId="2" shapeId="0" xr:uid="{39A85DBB-6B87-49B8-9FE0-0F0B41FEFA3F}">
      <text>
        <r>
          <rPr>
            <b/>
            <sz val="9"/>
            <color indexed="81"/>
            <rFont val="Tahoma"/>
            <family val="2"/>
            <charset val="186"/>
          </rPr>
          <t>Līga Gudēvica-Liepiņa:</t>
        </r>
        <r>
          <rPr>
            <sz val="9"/>
            <color indexed="81"/>
            <rFont val="Tahoma"/>
            <family val="2"/>
            <charset val="186"/>
          </rPr>
          <t xml:space="preserve">
Par 3. bērnu no trijiem / </t>
        </r>
        <r>
          <rPr>
            <b/>
            <sz val="9"/>
            <color indexed="81"/>
            <rFont val="Tahoma"/>
            <family val="2"/>
            <charset val="186"/>
          </rPr>
          <t>for the 3rd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3. bērnu no četriem un vairāk / </t>
        </r>
        <r>
          <rPr>
            <b/>
            <sz val="9"/>
            <color indexed="81"/>
            <rFont val="Tahoma"/>
            <family val="2"/>
            <charset val="186"/>
          </rPr>
          <t>for the 3rd child of four and more</t>
        </r>
        <r>
          <rPr>
            <sz val="9"/>
            <color indexed="81"/>
            <rFont val="Tahoma"/>
            <family val="2"/>
            <charset val="186"/>
          </rPr>
          <t xml:space="preserve"> - </t>
        </r>
        <r>
          <rPr>
            <u/>
            <sz val="9"/>
            <color indexed="81"/>
            <rFont val="Tahoma"/>
            <family val="2"/>
            <charset val="186"/>
          </rPr>
          <t>100 euro</t>
        </r>
      </text>
    </comment>
    <comment ref="Z378" authorId="2" shapeId="0" xr:uid="{016B0F44-E7A1-46D4-A58A-1DBED51355D1}">
      <text>
        <r>
          <rPr>
            <b/>
            <sz val="9"/>
            <color indexed="81"/>
            <rFont val="Tahoma"/>
            <family val="2"/>
            <charset val="186"/>
          </rPr>
          <t>Līga Gudēvica-Liepiņa:</t>
        </r>
        <r>
          <rPr>
            <sz val="9"/>
            <color indexed="81"/>
            <rFont val="Tahoma"/>
            <family val="2"/>
            <charset val="186"/>
          </rPr>
          <t xml:space="preserve">
Par 3. bērnu no trijiem / </t>
        </r>
        <r>
          <rPr>
            <b/>
            <sz val="9"/>
            <color indexed="81"/>
            <rFont val="Tahoma"/>
            <family val="2"/>
            <charset val="186"/>
          </rPr>
          <t>for the 3rd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3. bērnu no četriem un vairāk / </t>
        </r>
        <r>
          <rPr>
            <b/>
            <sz val="9"/>
            <color indexed="81"/>
            <rFont val="Tahoma"/>
            <family val="2"/>
            <charset val="186"/>
          </rPr>
          <t>for the 3rd child of four and more</t>
        </r>
        <r>
          <rPr>
            <sz val="9"/>
            <color indexed="81"/>
            <rFont val="Tahoma"/>
            <family val="2"/>
            <charset val="186"/>
          </rPr>
          <t xml:space="preserve"> - </t>
        </r>
        <r>
          <rPr>
            <u/>
            <sz val="9"/>
            <color indexed="81"/>
            <rFont val="Tahoma"/>
            <family val="2"/>
            <charset val="186"/>
          </rPr>
          <t>100 euro</t>
        </r>
      </text>
    </comment>
    <comment ref="AA378" authorId="2" shapeId="0" xr:uid="{E3B656A7-D4BE-486F-A4CD-E76CB950465D}">
      <text>
        <r>
          <rPr>
            <b/>
            <sz val="9"/>
            <color indexed="81"/>
            <rFont val="Tahoma"/>
            <family val="2"/>
            <charset val="186"/>
          </rPr>
          <t>Līga Gudēvica-Liepiņa:</t>
        </r>
        <r>
          <rPr>
            <sz val="9"/>
            <color indexed="81"/>
            <rFont val="Tahoma"/>
            <family val="2"/>
            <charset val="186"/>
          </rPr>
          <t xml:space="preserve">
Par 3. bērnu no trijiem / </t>
        </r>
        <r>
          <rPr>
            <b/>
            <sz val="9"/>
            <color indexed="81"/>
            <rFont val="Tahoma"/>
            <family val="2"/>
            <charset val="186"/>
          </rPr>
          <t>for the 3rd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3. bērnu no četriem un vairāk / </t>
        </r>
        <r>
          <rPr>
            <b/>
            <sz val="9"/>
            <color indexed="81"/>
            <rFont val="Tahoma"/>
            <family val="2"/>
            <charset val="186"/>
          </rPr>
          <t>for the 3rd child of four and more</t>
        </r>
        <r>
          <rPr>
            <sz val="9"/>
            <color indexed="81"/>
            <rFont val="Tahoma"/>
            <family val="2"/>
            <charset val="186"/>
          </rPr>
          <t xml:space="preserve"> - </t>
        </r>
        <r>
          <rPr>
            <u/>
            <sz val="9"/>
            <color indexed="81"/>
            <rFont val="Tahoma"/>
            <family val="2"/>
            <charset val="186"/>
          </rPr>
          <t>100 euro</t>
        </r>
      </text>
    </comment>
    <comment ref="AB378" authorId="2" shapeId="0" xr:uid="{EE004368-A689-49ED-99B8-ACF9ED0464BE}">
      <text>
        <r>
          <rPr>
            <b/>
            <sz val="9"/>
            <color indexed="81"/>
            <rFont val="Tahoma"/>
            <family val="2"/>
            <charset val="186"/>
          </rPr>
          <t>Līga Gudēvica-Liepiņa:</t>
        </r>
        <r>
          <rPr>
            <sz val="9"/>
            <color indexed="81"/>
            <rFont val="Tahoma"/>
            <family val="2"/>
            <charset val="186"/>
          </rPr>
          <t xml:space="preserve">
Par 3. bērnu no trijiem / </t>
        </r>
        <r>
          <rPr>
            <b/>
            <sz val="9"/>
            <color indexed="81"/>
            <rFont val="Tahoma"/>
            <family val="2"/>
            <charset val="186"/>
          </rPr>
          <t>for the 3rd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3. bērnu no četriem un vairāk / </t>
        </r>
        <r>
          <rPr>
            <b/>
            <sz val="9"/>
            <color indexed="81"/>
            <rFont val="Tahoma"/>
            <family val="2"/>
            <charset val="186"/>
          </rPr>
          <t>for the 3rd child of four and more</t>
        </r>
        <r>
          <rPr>
            <sz val="9"/>
            <color indexed="81"/>
            <rFont val="Tahoma"/>
            <family val="2"/>
            <charset val="186"/>
          </rPr>
          <t xml:space="preserve"> - </t>
        </r>
        <r>
          <rPr>
            <u/>
            <sz val="9"/>
            <color indexed="81"/>
            <rFont val="Tahoma"/>
            <family val="2"/>
            <charset val="186"/>
          </rPr>
          <t>100 euro</t>
        </r>
      </text>
    </comment>
    <comment ref="AC378" authorId="2" shapeId="0" xr:uid="{3A6DBD49-54FA-44E9-9ACB-C86E956D9D8F}">
      <text>
        <r>
          <rPr>
            <b/>
            <sz val="9"/>
            <color indexed="81"/>
            <rFont val="Tahoma"/>
            <family val="2"/>
            <charset val="186"/>
          </rPr>
          <t>Līga Gudēvica-Liepiņa:</t>
        </r>
        <r>
          <rPr>
            <sz val="9"/>
            <color indexed="81"/>
            <rFont val="Tahoma"/>
            <family val="2"/>
            <charset val="186"/>
          </rPr>
          <t xml:space="preserve">
Par 3. bērnu no trijiem / </t>
        </r>
        <r>
          <rPr>
            <b/>
            <sz val="9"/>
            <color indexed="81"/>
            <rFont val="Tahoma"/>
            <family val="2"/>
            <charset val="186"/>
          </rPr>
          <t>for the 3rd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3. bērnu no četriem un vairāk / </t>
        </r>
        <r>
          <rPr>
            <b/>
            <sz val="9"/>
            <color indexed="81"/>
            <rFont val="Tahoma"/>
            <family val="2"/>
            <charset val="186"/>
          </rPr>
          <t>for the 3rd child of four and more</t>
        </r>
        <r>
          <rPr>
            <sz val="9"/>
            <color indexed="81"/>
            <rFont val="Tahoma"/>
            <family val="2"/>
            <charset val="186"/>
          </rPr>
          <t xml:space="preserve"> - </t>
        </r>
        <r>
          <rPr>
            <u/>
            <sz val="9"/>
            <color indexed="81"/>
            <rFont val="Tahoma"/>
            <family val="2"/>
            <charset val="186"/>
          </rPr>
          <t>100 euro</t>
        </r>
      </text>
    </comment>
    <comment ref="AD378" authorId="2" shapeId="0" xr:uid="{842596B0-8CE5-4C96-B131-04A753E2B7DB}">
      <text>
        <r>
          <rPr>
            <b/>
            <sz val="9"/>
            <color indexed="81"/>
            <rFont val="Tahoma"/>
            <family val="2"/>
            <charset val="186"/>
          </rPr>
          <t>Līga Gudēvica-Liepiņa:</t>
        </r>
        <r>
          <rPr>
            <sz val="9"/>
            <color indexed="81"/>
            <rFont val="Tahoma"/>
            <family val="2"/>
            <charset val="186"/>
          </rPr>
          <t xml:space="preserve">
Par 3. bērnu no trijiem / </t>
        </r>
        <r>
          <rPr>
            <b/>
            <sz val="9"/>
            <color indexed="81"/>
            <rFont val="Tahoma"/>
            <family val="2"/>
            <charset val="186"/>
          </rPr>
          <t>for the 3rd child of three</t>
        </r>
        <r>
          <rPr>
            <sz val="9"/>
            <color indexed="81"/>
            <rFont val="Tahoma"/>
            <family val="2"/>
            <charset val="186"/>
          </rPr>
          <t xml:space="preserve"> - </t>
        </r>
        <r>
          <rPr>
            <u/>
            <sz val="9"/>
            <color indexed="81"/>
            <rFont val="Tahoma"/>
            <family val="2"/>
            <charset val="186"/>
          </rPr>
          <t>75 euro</t>
        </r>
        <r>
          <rPr>
            <sz val="9"/>
            <color indexed="81"/>
            <rFont val="Tahoma"/>
            <family val="2"/>
            <charset val="186"/>
          </rPr>
          <t xml:space="preserve">
Par 3. bērnu no četriem un vairāk / </t>
        </r>
        <r>
          <rPr>
            <b/>
            <sz val="9"/>
            <color indexed="81"/>
            <rFont val="Tahoma"/>
            <family val="2"/>
            <charset val="186"/>
          </rPr>
          <t>for the 3rd child of four and more</t>
        </r>
        <r>
          <rPr>
            <sz val="9"/>
            <color indexed="81"/>
            <rFont val="Tahoma"/>
            <family val="2"/>
            <charset val="186"/>
          </rPr>
          <t xml:space="preserve"> - </t>
        </r>
        <r>
          <rPr>
            <u/>
            <sz val="9"/>
            <color indexed="81"/>
            <rFont val="Tahoma"/>
            <family val="2"/>
            <charset val="186"/>
          </rPr>
          <t>100 euro</t>
        </r>
      </text>
    </comment>
    <comment ref="A383" authorId="1" shapeId="0" xr:uid="{7C6C4C85-82FE-4AD8-88B8-FC951E75F8DA}">
      <text>
        <r>
          <rPr>
            <b/>
            <sz val="9"/>
            <color indexed="81"/>
            <rFont val="Tahoma"/>
            <family val="2"/>
            <charset val="186"/>
          </rPr>
          <t xml:space="preserve">Author:
Spēkā no 01.03.2018.
</t>
        </r>
        <r>
          <rPr>
            <sz val="9"/>
            <color indexed="81"/>
            <rFont val="Tahoma"/>
            <family val="2"/>
            <charset val="186"/>
          </rPr>
          <t xml:space="preserve">
</t>
        </r>
        <r>
          <rPr>
            <b/>
            <sz val="9"/>
            <color indexed="81"/>
            <rFont val="Tahoma"/>
            <family val="2"/>
            <charset val="186"/>
          </rPr>
          <t>PIEMĒRS</t>
        </r>
        <r>
          <rPr>
            <sz val="9"/>
            <color indexed="81"/>
            <rFont val="Tahoma"/>
            <family val="2"/>
            <charset val="186"/>
          </rPr>
          <t xml:space="preserve"> 
Pabalsts ģimenei ar sešiem bērniem: 11.38 + 22.76 + 34.14 + 50.07 + 50.07 + 50.07 + (66 + 50 + 50 + 50) = 218,49 +  216.0 = 434.49 eiro</t>
        </r>
      </text>
    </comment>
    <comment ref="AE383" authorId="0" shapeId="0" xr:uid="{EC3F843E-18A8-4B40-BE9C-6E3713BA8A89}">
      <text>
        <r>
          <rPr>
            <b/>
            <sz val="9"/>
            <color indexed="81"/>
            <rFont val="Tahoma"/>
            <family val="2"/>
            <charset val="186"/>
          </rPr>
          <t>Ieva Kodoliņa-Miglāne:</t>
        </r>
        <r>
          <rPr>
            <sz val="9"/>
            <color indexed="81"/>
            <rFont val="Tahoma"/>
            <family val="2"/>
            <charset val="186"/>
          </rPr>
          <t xml:space="preserve">
</t>
        </r>
        <r>
          <rPr>
            <b/>
            <sz val="9"/>
            <color indexed="81"/>
            <rFont val="Tahoma"/>
            <family val="2"/>
            <charset val="186"/>
          </rPr>
          <t>In force from March 1, 2018</t>
        </r>
        <r>
          <rPr>
            <sz val="9"/>
            <color indexed="81"/>
            <rFont val="Tahoma"/>
            <family val="2"/>
            <charset val="186"/>
          </rPr>
          <t xml:space="preserve">
</t>
        </r>
        <r>
          <rPr>
            <b/>
            <sz val="9"/>
            <color indexed="81"/>
            <rFont val="Tahoma"/>
            <family val="2"/>
            <charset val="186"/>
          </rPr>
          <t xml:space="preserve">EXAMPLE
</t>
        </r>
        <r>
          <rPr>
            <sz val="9"/>
            <color indexed="81"/>
            <rFont val="Tahoma"/>
            <family val="2"/>
            <charset val="186"/>
          </rPr>
          <t>Benefit for a family with six children: 11.38 + 22.76 + 34.14 + 50.07 + 50.07 + 50.07 + (66 + 50 + 50 + 50) = 218,49 +  216.0 = 434.49 euro</t>
        </r>
      </text>
    </comment>
    <comment ref="W387" authorId="3" shapeId="0" xr:uid="{8DB95F73-8E95-44CE-95CD-99A5BD38068F}">
      <text>
        <r>
          <rPr>
            <b/>
            <sz val="9"/>
            <color indexed="81"/>
            <rFont val="Tahoma"/>
            <family val="2"/>
            <charset val="186"/>
          </rPr>
          <t>Viktorija Jureviča:</t>
        </r>
        <r>
          <rPr>
            <sz val="9"/>
            <color indexed="81"/>
            <rFont val="Tahoma"/>
            <family val="2"/>
            <charset val="186"/>
          </rPr>
          <t xml:space="preserve">
No 2021.gada 1.janvāra par bērnu ar invaliditāti līdz 20 gadu vecumam, neatkarīgi no tā, vai viņš mācās vai nē
From 1 January 2021 for a disabled child under the age of 20, regardless of whether he or she is studying or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Viktorija Jureviča</author>
    <author>Ieva Kodoliņa-Miglāne</author>
    <author>Daina Dzelme-Urbāne</author>
    <author>Līga Gudēvica-Liepiņa</author>
    <author>Margus Tuvikene</author>
    <author>tc={0380A509-A3C2-4338-8FCE-B7DE404E6AA3}</author>
    <author>Madara Jaunzeme</author>
    <author>tc={6E4D5E2B-602F-480A-9782-F245C6BD444F}</author>
  </authors>
  <commentList>
    <comment ref="Q6" authorId="0" shapeId="0" xr:uid="{C9494A15-AA80-4A98-96F4-042E2230197E}">
      <text>
        <r>
          <rPr>
            <b/>
            <sz val="9"/>
            <color indexed="81"/>
            <rFont val="Tahoma"/>
            <family val="2"/>
            <charset val="186"/>
          </rPr>
          <t>Viktorija Jureviča:</t>
        </r>
        <r>
          <rPr>
            <sz val="9"/>
            <color indexed="81"/>
            <rFont val="Tahoma"/>
            <family val="2"/>
            <charset val="186"/>
          </rPr>
          <t xml:space="preserve">
Pirms finanšu krīzes bija plānots ienākuma nodokļa likmi pakāpeniski samazināt līdz 18%. Tas tika aizturēts, kad nodokļa likme tika samazināta līdz 21%. Pašreizējā valdība nolēma turpināt pārcelt nodokļu slogu no tiešajiem nodokļiem uz netiešajiem nodokļiem, turpinot ar inital plānu samazinātu ienākuma nodokļa likmi.
Paredzamā fiskālā ietekme - 60.00 milj. Eur
Before the financial crises there was a gradual decrease planned for income tax rate in order to reach 18%. It was put on hold, when the tax rate was decreased to 21%. The current Government decided to continue with shifting the tax burden from direct taxes to indirect taxes by proceeding with the inital plan to lower the income tax rate.
</t>
        </r>
      </text>
    </comment>
    <comment ref="T7" authorId="1" shapeId="0" xr:uid="{7358938C-B3ED-4DF0-9D4B-FAEA88A81D24}">
      <text>
        <r>
          <rPr>
            <b/>
            <sz val="9"/>
            <color indexed="81"/>
            <rFont val="Tahoma"/>
            <family val="2"/>
            <charset val="186"/>
          </rPr>
          <t>Ieva Kodoliņa-Miglāne:</t>
        </r>
        <r>
          <rPr>
            <sz val="9"/>
            <color indexed="81"/>
            <rFont val="Tahoma"/>
            <family val="2"/>
            <charset val="186"/>
          </rPr>
          <t xml:space="preserve">
No 2018. gada 1. janvāra, kad uzņēmums par sadaīto peļņu maksā īpašo UIN likmi 14% apmērā, uzņēmumam jāiemaksā papildus 7% nodoklis (WHT). Tās mērķis ir nepieļaut dividenžu izmaksāšanu algas vietā.
Aprēķins ir šāds gadījumos, ja sadalītā peļņa ir 1000 EUR:
Nodokļu bāze (neto dividendes) 1000 x 0,86 = 860 €
UIN 860 x 14/86 = 140 €
WHT 860 x 7% = 60,2 € Kopējā nodokļa likme (140 + 60,2) / 1000 = 20,02%
From January 1st, 2018 when a company uses the special 14% CIT rate when distributing profits, the company is required to withhold additional 7% of WHT. It is to prevent paying dividends instead of salary. 
The calculation is the following in case of 1000€ distributed profits:
Tax base (net dividend) 1000 x 0,86 = 860€
CIT 860 x 14/86 = 140€
WHT 860 x 7% = 60,2€   Total tax rate (140 + 60,2)/1000 = 20,02%</t>
        </r>
      </text>
    </comment>
    <comment ref="Q8" authorId="1" shapeId="0" xr:uid="{5467C12C-179A-49BC-89DE-7EC5A861296A}">
      <text>
        <r>
          <rPr>
            <b/>
            <sz val="9"/>
            <color indexed="81"/>
            <rFont val="Tahoma"/>
            <family val="2"/>
            <charset val="186"/>
          </rPr>
          <t>Ieva Kodoliņa-Miglāne:</t>
        </r>
        <r>
          <rPr>
            <sz val="9"/>
            <color indexed="81"/>
            <rFont val="Tahoma"/>
            <family val="2"/>
            <charset val="186"/>
          </rPr>
          <t xml:space="preserve">
Atvieglojums pārim gadā ir 3,696.00 eiro  (308 eiro mēnesī)
The basic yearly allowance for a couple is 3,696.00  EUR  (308 euro per month)</t>
        </r>
      </text>
    </comment>
    <comment ref="T8" authorId="1" shapeId="0" xr:uid="{C3714A4A-EECA-46CE-A993-8289B9671C46}">
      <text>
        <r>
          <rPr>
            <b/>
            <sz val="9"/>
            <color indexed="81"/>
            <rFont val="Tahoma"/>
            <family val="2"/>
            <charset val="186"/>
          </rPr>
          <t>Ieva Kodoliņa-Miglāne:</t>
        </r>
        <r>
          <rPr>
            <sz val="9"/>
            <color indexed="81"/>
            <rFont val="Tahoma"/>
            <family val="2"/>
            <charset val="186"/>
          </rPr>
          <t xml:space="preserve">
Jauns regresīvs gada neapliekamais minimums ar ieņēmumiem līdz EUR 14 400 gadā ir EUR 6 000. Pēc tam tas sāk samazināties un sasniedz EUR 0 par ieņēmumiem EUR 25 200 apmērā. Pamata pabalsta formula starp EUR 14 400 un EUR 25 200 ir "6000-6000 / (25200-1,444) * (ieņēmumi -14400)".
The new regressive basic yearly allowance for an individual with revenues up to EUR 14,400 per year amounts to EUR 6,000. Then it starts to decrease and reaches EUR 0 at revenue of EUR 25,200. The basic allowance formula between EUR 14,400 and EUR 25,200 is „6000-6000/(25200-14400)*(revenues-14400)“.
</t>
        </r>
      </text>
    </comment>
    <comment ref="A10" authorId="1" shapeId="0" xr:uid="{3E0AC267-0B81-428F-9F5A-BDB0A8F11425}">
      <text>
        <r>
          <rPr>
            <b/>
            <sz val="9"/>
            <color indexed="81"/>
            <rFont val="Tahoma"/>
            <family val="2"/>
            <charset val="186"/>
          </rPr>
          <t>Ieva Kodoliņa-Miglāne:</t>
        </r>
        <r>
          <rPr>
            <sz val="9"/>
            <color indexed="81"/>
            <rFont val="Tahoma"/>
            <family val="2"/>
            <charset val="186"/>
          </rPr>
          <t xml:space="preserve">
</t>
        </r>
        <r>
          <rPr>
            <b/>
            <sz val="9"/>
            <color indexed="81"/>
            <rFont val="Tahoma"/>
            <family val="2"/>
            <charset val="186"/>
          </rPr>
          <t>Sākot no 2018.gada 1.janvāra</t>
        </r>
        <r>
          <rPr>
            <sz val="9"/>
            <color indexed="81"/>
            <rFont val="Tahoma"/>
            <family val="2"/>
            <charset val="186"/>
          </rPr>
          <t>, DNM tiek piemērots visiem ienākumu veidiem, kā arī pensijām. Kompensācijas par nelaimes gadījumu darbā nākotnē netiks piemērotas.
2018. gadā:
1) ja gada ienākums ir līdz 14 400 eiro NM ir 6000 eiro;
2) ja gada ienākums ir no 14 400 eiro līdz 25 200 eiro, NM samazinās saskaņā ar šādu formulu: 6000 - 6000 ÷ 10 800 × (ienākumu summa - 14 400);
3) ja gada ienākums pārsniedz 25 200 eiro, NM ir 0.
Plašāku informāciju skatiet vietnē: https://www.emta.ee/r/private-client/declaration-income/amount-tax-free-income-beginning-1- january-2018</t>
        </r>
      </text>
    </comment>
    <comment ref="AD10" authorId="1" shapeId="0" xr:uid="{38373C96-D1C5-4884-A53A-CDC100E431EC}">
      <text>
        <r>
          <rPr>
            <b/>
            <sz val="9"/>
            <color indexed="81"/>
            <rFont val="Tahoma"/>
            <family val="2"/>
            <charset val="186"/>
          </rPr>
          <t>Ieva Kodoliņa-Miglāne:</t>
        </r>
        <r>
          <rPr>
            <sz val="9"/>
            <color indexed="81"/>
            <rFont val="Tahoma"/>
            <family val="2"/>
            <charset val="186"/>
          </rPr>
          <t xml:space="preserve">
Beginning from 1 January 2018 the overall tax-free amount (basic exemption) of up to 6000 euros per year or up to 500 euros per month will be applied on all types of income and the increased basic exemption on pension and compensation for accident at work will not be applied in the future.
In year 2018:
1) annual income up to 14 400 euros gives 6000 euros as annual basic exemption
2) in case annual income increases from 14 400 euros to 25 200 euros, basic exemption decreases according to the following formula: 6000 – 6000 ÷ 10 800 × (income amount – 14 400)
3) if annual income is above 25 200 euros, basic exemption is 0.
For more information see website: https://www.emta.ee/eng/private-client/declaration-income/amount-tax-free-income-beginning-1-january-2018 </t>
        </r>
      </text>
    </comment>
    <comment ref="S16" authorId="0" shapeId="0" xr:uid="{1FEC38A5-87EC-4CB1-8BDC-7C6D937F9D05}">
      <text>
        <r>
          <rPr>
            <sz val="9"/>
            <color indexed="81"/>
            <rFont val="Tahoma"/>
            <family val="2"/>
            <charset val="186"/>
          </rPr>
          <t xml:space="preserve"> additional tax-free allowance until 2017 </t>
        </r>
      </text>
    </comment>
    <comment ref="T16" authorId="1" shapeId="0" xr:uid="{DE68BB86-4256-491E-97BD-3DFD2654B41E}">
      <text>
        <r>
          <rPr>
            <b/>
            <sz val="9"/>
            <color indexed="81"/>
            <rFont val="Tahoma"/>
            <family val="2"/>
            <charset val="186"/>
          </rPr>
          <t>Ieva Kodoliņa-Miglāne:</t>
        </r>
        <r>
          <rPr>
            <sz val="9"/>
            <color indexed="81"/>
            <rFont val="Tahoma"/>
            <family val="2"/>
            <charset val="186"/>
          </rPr>
          <t xml:space="preserve">
Jauns regresīvs gada neapliekamais minimums ar ieņēmumiem līdz EUR 14 400 gadā ir EUR 6 000. Pēc tam tas sāk samazināties un sasniedz EUR 0 par ieņēmumiem EUR 25 200 apmērā. Pamata pabalsta formula starp EUR 14 400 un EUR 25 200 ir "6000-6000 / (25200-1,444) * (ieņēmumi -14400)".
The new regressive basic yearly allowance for an individual with revenues up to EUR 14,400 per year amounts to EUR 6,000. Then it starts to decrease and reaches EUR 0 at revenue of EUR 25,200. The basic allowance formula between EUR 14,400 and EUR 25,200 is „6000-6000/(25200-14400)*(revenues-14400)“.</t>
        </r>
      </text>
    </comment>
    <comment ref="A22" authorId="1" shapeId="0" xr:uid="{3669AD20-8307-4F09-A532-466510E98EB8}">
      <text>
        <r>
          <rPr>
            <b/>
            <sz val="9"/>
            <color indexed="81"/>
            <rFont val="Tahoma"/>
            <family val="2"/>
            <charset val="186"/>
          </rPr>
          <t>Ieva Kodoliņa-Miglāne:</t>
        </r>
        <r>
          <rPr>
            <sz val="9"/>
            <color indexed="81"/>
            <rFont val="Tahoma"/>
            <family val="2"/>
            <charset val="186"/>
          </rPr>
          <t xml:space="preserve">
Igaunijā atvieglojums par apgādājamiem tiek piemērots, sākot tikai no otrā bērna (izņēmums 2008.gads, kad tika ieviests atvieglojums par pirmo bērnu, tomēr jau 2009.gadā to atkal atcēla).
Atvieglojums par apgādājamajiem tiek piemērots tikai bērniem līdz 17 gadu vecumam.</t>
        </r>
      </text>
    </comment>
    <comment ref="J22" authorId="1" shapeId="0" xr:uid="{56EA50E0-4162-4ABC-9D30-27F1D2B7E494}">
      <text>
        <r>
          <rPr>
            <b/>
            <sz val="9"/>
            <color indexed="81"/>
            <rFont val="Tahoma"/>
            <family val="2"/>
            <charset val="186"/>
          </rPr>
          <t>Ieva Kodoliņa-Miglāne:</t>
        </r>
        <r>
          <rPr>
            <sz val="9"/>
            <color indexed="81"/>
            <rFont val="Tahoma"/>
            <family val="2"/>
            <charset val="186"/>
          </rPr>
          <t xml:space="preserve">
2008.gadā atvieglojujms tika piemērots arī par 1.bērnu, bet jau 2009.gadā tas tika atcelts 
In 2008, when a relief was applied also for the first child, but already in 2009 it was canceled</t>
        </r>
      </text>
    </comment>
    <comment ref="AD22" authorId="1" shapeId="0" xr:uid="{C8CA446D-1773-4BE7-975E-6467C7B2EFA3}">
      <text>
        <r>
          <rPr>
            <b/>
            <sz val="9"/>
            <color indexed="81"/>
            <rFont val="Tahoma"/>
            <family val="2"/>
            <charset val="186"/>
          </rPr>
          <t>Ieva Kodoliņa-Miglāne:</t>
        </r>
        <r>
          <rPr>
            <sz val="9"/>
            <color indexed="81"/>
            <rFont val="Tahoma"/>
            <family val="2"/>
            <charset val="186"/>
          </rPr>
          <t xml:space="preserve">
In Estonia, allownace for dependentsis applicable only starting from the second child (with the exception of the year 2008, when the relief for the first child was introduced, however, it was canceled in 2009).
The allowance for dependants is applied only for children up to 17.</t>
        </r>
      </text>
    </comment>
    <comment ref="A32" authorId="1" shapeId="0" xr:uid="{1B436CD8-46FC-4641-BFE8-45EF6C2F6612}">
      <text>
        <r>
          <rPr>
            <b/>
            <sz val="9"/>
            <color indexed="81"/>
            <rFont val="Tahoma"/>
            <family val="2"/>
            <charset val="186"/>
          </rPr>
          <t>Ieva Kodoliņa-Miglāne:</t>
        </r>
        <r>
          <rPr>
            <sz val="9"/>
            <color indexed="81"/>
            <rFont val="Tahoma"/>
            <family val="2"/>
            <charset val="186"/>
          </rPr>
          <t xml:space="preserve">
Līdz 2017. gadam reģistrētiem precētiem pāriem ierobežojums ir dubultā apmērā. Kopējie atskaitījumi (summa izglītībai,  ziedojumiem labdarībai un hipotēkas procentiem) ir ierobežoti - ne vairāk kā fiksēti procenti un ne vairāk kā noteiktas summas apmērā. Kopš 2017.gada uz otru laulāto var pārnest tikai neizmantotos izdevumus par izglītību un hipotēkas procentiem (hipotēkas procentiem līdz 300 EUR apmērā). Hipotēkas procentus var iekļaut attaisnotajos izdevumos max 300 EUR gadā.</t>
        </r>
      </text>
    </comment>
    <comment ref="AD32" authorId="1" shapeId="0" xr:uid="{0964E8D5-0322-4C64-BCAA-3E52FB364A26}">
      <text>
        <r>
          <rPr>
            <b/>
            <sz val="9"/>
            <color indexed="81"/>
            <rFont val="Tahoma"/>
            <family val="2"/>
            <charset val="186"/>
          </rPr>
          <t>Ieva Kodoliņa-Miglāne:</t>
        </r>
        <r>
          <rPr>
            <sz val="9"/>
            <color indexed="81"/>
            <rFont val="Tahoma"/>
            <family val="2"/>
            <charset val="186"/>
          </rPr>
          <t xml:space="preserve">
Until 2017 for registered married couples the limit is double the amount.  Total deductions (amount for educations, charitable donations and mortgage interest) are limited -  not more than fixed % and no more than fixed euros value of annual taxable income. Since 2017 only unused amount of allowance for dependants and expenses for education and and mortgage interest can be transfered to the spouse (mortgage interest deduction up to 300 EUR).</t>
        </r>
      </text>
    </comment>
    <comment ref="A34" authorId="1" shapeId="0" xr:uid="{1B932ECB-2F55-4114-B26F-BF797EEB9119}">
      <text>
        <r>
          <rPr>
            <b/>
            <sz val="9"/>
            <color indexed="81"/>
            <rFont val="Tahoma"/>
            <family val="2"/>
            <charset val="186"/>
          </rPr>
          <t>Ieva Kodoliņa-Miglāne:</t>
        </r>
        <r>
          <rPr>
            <sz val="9"/>
            <color indexed="81"/>
            <rFont val="Tahoma"/>
            <family val="2"/>
            <charset val="186"/>
          </rPr>
          <t xml:space="preserve">
 III pensiju pīlārs  sastāv no valsts pensijas (I) un obligāto fondēto pensiju plāna (II).</t>
        </r>
      </text>
    </comment>
    <comment ref="AD34" authorId="1" shapeId="0" xr:uid="{6C95D143-A964-489D-ADC3-BD65BE0F66CA}">
      <text>
        <r>
          <rPr>
            <b/>
            <sz val="9"/>
            <color indexed="81"/>
            <rFont val="Tahoma"/>
            <family val="2"/>
            <charset val="186"/>
          </rPr>
          <t>Ieva Kodoliņa-Miglāne:</t>
        </r>
        <r>
          <rPr>
            <sz val="9"/>
            <color indexed="81"/>
            <rFont val="Tahoma"/>
            <family val="2"/>
            <charset val="186"/>
          </rPr>
          <t xml:space="preserve">
 the III pillar of pension system consists of state pension (I) and mandatory funded pension (II)).</t>
        </r>
      </text>
    </comment>
    <comment ref="A37" authorId="1" shapeId="0" xr:uid="{C3417992-C8CA-45BD-B518-546EB38A78D2}">
      <text>
        <r>
          <rPr>
            <b/>
            <sz val="9"/>
            <color indexed="81"/>
            <rFont val="Tahoma"/>
            <family val="2"/>
            <charset val="186"/>
          </rPr>
          <t>Ieva Kodoliņa-Miglāne:</t>
        </r>
        <r>
          <rPr>
            <sz val="9"/>
            <color indexed="81"/>
            <rFont val="Tahoma"/>
            <family val="2"/>
            <charset val="186"/>
          </rPr>
          <t xml:space="preserve">
Darba devējiem un pašnodarbinātajiem ir jāmaksā sociālais nodoklis (33%), bet ne mazāks par summu, kas aprēķināta no mēneša minimālās algas. Arī pašnodarbinātajiem ir maksimālā uzņēmējdarbības ienākuma robeža - sociālā nodokļa maksimālais pamats, kas ir summa, kas aprēķināta no desmitkārtīgas minimālās algas. Sociālais nodoklis uzkrājas valsts veselības apdrošināšanas budžetā (13%) un pensiju apdrošināšanas fondā (20%). Ja persona ir pievienojusies pensiju apdrošināšanas sistēmas II pīlāram, tad 16% (nevis 20%) tiek uzkrāti pensiju apdrošināšanas fondā un 4% - II pīlāra pensiju fondam.</t>
        </r>
      </text>
    </comment>
    <comment ref="AD37" authorId="1" shapeId="0" xr:uid="{C88B5B74-D5F3-41EC-96CE-B8760050A949}">
      <text>
        <r>
          <rPr>
            <b/>
            <sz val="9"/>
            <color indexed="81"/>
            <rFont val="Tahoma"/>
            <family val="2"/>
            <charset val="186"/>
          </rPr>
          <t>Ieva Kodoliņa-Miglāne:</t>
        </r>
        <r>
          <rPr>
            <sz val="9"/>
            <color indexed="81"/>
            <rFont val="Tahoma"/>
            <family val="2"/>
            <charset val="186"/>
          </rPr>
          <t xml:space="preserve">
Employers and self- employed are both obliged to pay social tax (33%), but not less than the amount calculated from the monthly minimum wage. Self-employed persons also have an upper limit on the business income- the maximum basis for social tax is the amount calculated from ten-fold minimum wage.  </t>
        </r>
        <r>
          <rPr>
            <b/>
            <sz val="9"/>
            <color indexed="81"/>
            <rFont val="Tahoma"/>
            <family val="2"/>
            <charset val="186"/>
          </rPr>
          <t xml:space="preserve">Social tax accrues to the budget of state </t>
        </r>
        <r>
          <rPr>
            <b/>
            <u/>
            <sz val="9"/>
            <color indexed="81"/>
            <rFont val="Tahoma"/>
            <family val="2"/>
            <charset val="186"/>
          </rPr>
          <t>health insurance (13%)</t>
        </r>
        <r>
          <rPr>
            <b/>
            <sz val="9"/>
            <color indexed="81"/>
            <rFont val="Tahoma"/>
            <family val="2"/>
            <charset val="186"/>
          </rPr>
          <t xml:space="preserve"> and </t>
        </r>
        <r>
          <rPr>
            <b/>
            <u/>
            <sz val="9"/>
            <color indexed="81"/>
            <rFont val="Tahoma"/>
            <family val="2"/>
            <charset val="186"/>
          </rPr>
          <t>pension insurance fund (20%)</t>
        </r>
        <r>
          <rPr>
            <b/>
            <sz val="9"/>
            <color indexed="81"/>
            <rFont val="Tahoma"/>
            <family val="2"/>
            <charset val="186"/>
          </rPr>
          <t>.</t>
        </r>
        <r>
          <rPr>
            <sz val="9"/>
            <color indexed="81"/>
            <rFont val="Tahoma"/>
            <family val="2"/>
            <charset val="186"/>
          </rPr>
          <t xml:space="preserve"> If a person has joined the second pillar of </t>
        </r>
        <r>
          <rPr>
            <b/>
            <sz val="9"/>
            <color indexed="81"/>
            <rFont val="Tahoma"/>
            <family val="2"/>
            <charset val="186"/>
          </rPr>
          <t xml:space="preserve">the pension insurance system, then 16% (instead of 20%) </t>
        </r>
        <r>
          <rPr>
            <sz val="9"/>
            <color indexed="81"/>
            <rFont val="Tahoma"/>
            <family val="2"/>
            <charset val="186"/>
          </rPr>
          <t xml:space="preserve">accrues to pension insurance fund and </t>
        </r>
        <r>
          <rPr>
            <b/>
            <sz val="9"/>
            <color indexed="81"/>
            <rFont val="Tahoma"/>
            <family val="2"/>
            <charset val="186"/>
          </rPr>
          <t>4% to the II pillar pension fund.</t>
        </r>
      </text>
    </comment>
    <comment ref="D39" authorId="1" shapeId="0" xr:uid="{044E74CF-31FA-42DC-956F-CE92CA04CB3E}">
      <text>
        <r>
          <rPr>
            <b/>
            <sz val="9"/>
            <color indexed="81"/>
            <rFont val="Tahoma"/>
            <family val="2"/>
            <charset val="186"/>
          </rPr>
          <t>Ieva Kodoliņa-Miglāne:</t>
        </r>
        <r>
          <rPr>
            <sz val="9"/>
            <color indexed="81"/>
            <rFont val="Tahoma"/>
            <family val="2"/>
            <charset val="186"/>
          </rPr>
          <t xml:space="preserve">
No 01.01.2002. ieviests atsevišķs bezdarba apdrošināšanas maksājums - 1% darba ņēmējam un 0,5% darba devējam.
From January 1, 2002 separate unemployment insurance payment has been introduced - 1% for employee and 0.5% for employer</t>
        </r>
      </text>
    </comment>
    <comment ref="L54" authorId="1" shapeId="0" xr:uid="{2201F3E9-23F7-4954-9609-3A79D0CB1155}">
      <text>
        <r>
          <rPr>
            <b/>
            <sz val="9"/>
            <color indexed="81"/>
            <rFont val="Tahoma"/>
            <family val="2"/>
            <charset val="186"/>
          </rPr>
          <t>Ieva Kodoliņa-Miglāne:</t>
        </r>
        <r>
          <rPr>
            <sz val="9"/>
            <color indexed="81"/>
            <rFont val="Tahoma"/>
            <family val="2"/>
            <charset val="186"/>
          </rPr>
          <t xml:space="preserve">
2010.gadā brīvprātīgi varēja veikt iemaksas fondēto pensiju shēmā no 1 līdz 2%.
In 2010, contributions to the funded pension scheme were voluntary from 1 to 2%.</t>
        </r>
      </text>
    </comment>
    <comment ref="A62" authorId="1" shapeId="0" xr:uid="{5A2BA0E3-0F10-4C8F-B0A7-4491A946AF01}">
      <text>
        <r>
          <rPr>
            <b/>
            <sz val="9"/>
            <color indexed="81"/>
            <rFont val="Tahoma"/>
            <family val="2"/>
            <charset val="186"/>
          </rPr>
          <t>Ieva Kodoliņa-Miglāne:</t>
        </r>
        <r>
          <rPr>
            <sz val="9"/>
            <color indexed="81"/>
            <rFont val="Tahoma"/>
            <family val="2"/>
            <charset val="186"/>
          </rPr>
          <t xml:space="preserve">
Obligātā fondētā pensija (obligāta personām, kas dzimušas 1983. gadā vai vēlāk)</t>
        </r>
      </text>
    </comment>
    <comment ref="V63" authorId="0" shapeId="0" xr:uid="{EC03ADCD-CA5E-442B-B77F-5763D81C390D}">
      <text>
        <r>
          <rPr>
            <b/>
            <sz val="9"/>
            <color indexed="81"/>
            <rFont val="Tahoma"/>
            <family val="2"/>
            <charset val="186"/>
          </rPr>
          <t>Viktorija Jureviča:</t>
        </r>
        <r>
          <rPr>
            <sz val="9"/>
            <color indexed="81"/>
            <rFont val="Tahoma"/>
            <family val="2"/>
            <charset val="186"/>
          </rPr>
          <t xml:space="preserve">
1) </t>
        </r>
        <r>
          <rPr>
            <b/>
            <sz val="9"/>
            <color indexed="81"/>
            <rFont val="Tahoma"/>
            <family val="2"/>
            <charset val="186"/>
          </rPr>
          <t xml:space="preserve">PIT 20%  </t>
        </r>
        <r>
          <rPr>
            <sz val="9"/>
            <color indexed="81"/>
            <rFont val="Tahoma"/>
            <family val="2"/>
            <charset val="186"/>
          </rPr>
          <t xml:space="preserve">
2)</t>
        </r>
        <r>
          <rPr>
            <b/>
            <sz val="9"/>
            <color indexed="81"/>
            <rFont val="Tahoma"/>
            <family val="2"/>
            <charset val="186"/>
          </rPr>
          <t xml:space="preserve"> SSC: 33% of gross income</t>
        </r>
        <r>
          <rPr>
            <sz val="9"/>
            <color indexed="81"/>
            <rFont val="Tahoma"/>
            <family val="2"/>
            <charset val="186"/>
          </rPr>
          <t xml:space="preserve">
The tax rate of 33% is applied to employers and self-employed persons:
</t>
        </r>
        <r>
          <rPr>
            <b/>
            <sz val="9"/>
            <color indexed="81"/>
            <rFont val="Tahoma"/>
            <family val="2"/>
            <charset val="186"/>
          </rPr>
          <t>13%</t>
        </r>
        <r>
          <rPr>
            <sz val="9"/>
            <color indexed="81"/>
            <rFont val="Tahoma"/>
            <family val="2"/>
            <charset val="186"/>
          </rPr>
          <t xml:space="preserve"> - health insurance;
</t>
        </r>
        <r>
          <rPr>
            <b/>
            <sz val="9"/>
            <color indexed="81"/>
            <rFont val="Tahoma"/>
            <family val="2"/>
            <charset val="186"/>
          </rPr>
          <t xml:space="preserve">16% </t>
        </r>
        <r>
          <rPr>
            <sz val="9"/>
            <color indexed="81"/>
            <rFont val="Tahoma"/>
            <family val="2"/>
            <charset val="186"/>
          </rPr>
          <t xml:space="preserve">- pension insurance fund (Pillar I);
</t>
        </r>
        <r>
          <rPr>
            <b/>
            <sz val="9"/>
            <color indexed="81"/>
            <rFont val="Tahoma"/>
            <family val="2"/>
            <charset val="186"/>
          </rPr>
          <t xml:space="preserve">4% </t>
        </r>
        <r>
          <rPr>
            <sz val="9"/>
            <color indexed="81"/>
            <rFont val="Tahoma"/>
            <family val="2"/>
            <charset val="186"/>
          </rPr>
          <t>- Pillar II pension fund</t>
        </r>
      </text>
    </comment>
    <comment ref="AD63" authorId="0" shapeId="0" xr:uid="{35505D38-BF66-4157-9988-BE90DF419E07}">
      <text>
        <r>
          <rPr>
            <b/>
            <sz val="9"/>
            <color indexed="81"/>
            <rFont val="Tahoma"/>
            <family val="2"/>
            <charset val="186"/>
          </rPr>
          <t>Viktorija Jureviča:</t>
        </r>
        <r>
          <rPr>
            <sz val="9"/>
            <color indexed="81"/>
            <rFont val="Tahoma"/>
            <family val="2"/>
            <charset val="186"/>
          </rPr>
          <t xml:space="preserve">
</t>
        </r>
        <r>
          <rPr>
            <b/>
            <sz val="9"/>
            <color indexed="81"/>
            <rFont val="Tahoma"/>
            <family val="2"/>
            <charset val="186"/>
          </rPr>
          <t>33% of gross income:</t>
        </r>
        <r>
          <rPr>
            <sz val="9"/>
            <color indexed="81"/>
            <rFont val="Tahoma"/>
            <family val="2"/>
            <charset val="186"/>
          </rPr>
          <t xml:space="preserve">
The tax rate of 33% is applied to employers and self-employed persons:
</t>
        </r>
        <r>
          <rPr>
            <b/>
            <sz val="9"/>
            <color indexed="81"/>
            <rFont val="Tahoma"/>
            <family val="2"/>
            <charset val="186"/>
          </rPr>
          <t>13%</t>
        </r>
        <r>
          <rPr>
            <sz val="9"/>
            <color indexed="81"/>
            <rFont val="Tahoma"/>
            <family val="2"/>
            <charset val="186"/>
          </rPr>
          <t xml:space="preserve"> - health insurance;
</t>
        </r>
        <r>
          <rPr>
            <b/>
            <sz val="9"/>
            <color indexed="81"/>
            <rFont val="Tahoma"/>
            <family val="2"/>
            <charset val="186"/>
          </rPr>
          <t>16%</t>
        </r>
        <r>
          <rPr>
            <sz val="9"/>
            <color indexed="81"/>
            <rFont val="Tahoma"/>
            <family val="2"/>
            <charset val="186"/>
          </rPr>
          <t xml:space="preserve"> - pension insurance fund (Pillar I);
</t>
        </r>
        <r>
          <rPr>
            <b/>
            <sz val="9"/>
            <color indexed="81"/>
            <rFont val="Tahoma"/>
            <family val="2"/>
            <charset val="186"/>
          </rPr>
          <t>4%</t>
        </r>
        <r>
          <rPr>
            <sz val="9"/>
            <color indexed="81"/>
            <rFont val="Tahoma"/>
            <family val="2"/>
            <charset val="186"/>
          </rPr>
          <t xml:space="preserve"> - Pillar II pension fund.
Minimum SCIMC object - is applied to self-employed persons (even if the monthly income is less than this minimum object).
The mandatory minimum amount of the SCIMC object is determined every year - in accordance with the previous year's minimum wage ( in 2020 - 540 euros).</t>
        </r>
      </text>
    </comment>
    <comment ref="A67" authorId="2" shapeId="0" xr:uid="{9BA1A591-228F-4989-8264-9613C34BB1FA}">
      <text>
        <r>
          <rPr>
            <b/>
            <sz val="9"/>
            <color indexed="81"/>
            <rFont val="Tahoma"/>
            <family val="2"/>
            <charset val="186"/>
          </rPr>
          <t>Daina Dzelme-Urbāne:</t>
        </r>
        <r>
          <rPr>
            <sz val="9"/>
            <color indexed="81"/>
            <rFont val="Tahoma"/>
            <family val="2"/>
            <charset val="186"/>
          </rPr>
          <t xml:space="preserve">
Vienmēr ir jāmaksā minimālais VSAOI apmērs, pat tad, ja darbiniekam nav samaksāts par algotu darbu.
</t>
        </r>
      </text>
    </comment>
    <comment ref="AD67" authorId="0" shapeId="0" xr:uid="{BAE78A0F-013D-42E0-B2FD-6D4770A8A5B5}">
      <text>
        <r>
          <rPr>
            <b/>
            <sz val="9"/>
            <color indexed="81"/>
            <rFont val="Tahoma"/>
            <family val="2"/>
            <charset val="186"/>
          </rPr>
          <t>Viktorija Jureviča:</t>
        </r>
        <r>
          <rPr>
            <sz val="9"/>
            <color indexed="81"/>
            <rFont val="Tahoma"/>
            <family val="2"/>
            <charset val="186"/>
          </rPr>
          <t xml:space="preserve">
Even if there were no payments for salaried work for each employee.  https://www.emta.ee/eng/business-client/income-expenses-supply-profits/tax-rates </t>
        </r>
      </text>
    </comment>
    <comment ref="A68" authorId="3" shapeId="0" xr:uid="{14889967-AD95-485C-997B-73659CDADF6F}">
      <text>
        <r>
          <rPr>
            <b/>
            <sz val="9"/>
            <color indexed="81"/>
            <rFont val="Tahoma"/>
            <family val="2"/>
            <charset val="186"/>
          </rPr>
          <t>Līga Gudēvica-Liepiņa:</t>
        </r>
        <r>
          <rPr>
            <sz val="9"/>
            <color indexed="81"/>
            <rFont val="Tahoma"/>
            <family val="2"/>
            <charset val="186"/>
          </rPr>
          <t xml:space="preserve">
Tikai pašnodarbinātajiem</t>
        </r>
      </text>
    </comment>
    <comment ref="T68" authorId="4" shapeId="0" xr:uid="{96F3BD5C-F9BE-4A11-BD42-D15FFAC67DE6}">
      <text>
        <r>
          <rPr>
            <b/>
            <sz val="9"/>
            <color indexed="81"/>
            <rFont val="Segoe UI"/>
            <family val="2"/>
            <charset val="186"/>
          </rPr>
          <t>Margus Tuvikene:</t>
        </r>
        <r>
          <rPr>
            <sz val="9"/>
            <color indexed="81"/>
            <rFont val="Segoe UI"/>
            <family val="2"/>
            <charset val="186"/>
          </rPr>
          <t xml:space="preserve">
10x</t>
        </r>
      </text>
    </comment>
    <comment ref="AD68" authorId="3" shapeId="0" xr:uid="{2CD36140-F10A-4A0F-A834-B7D4ED77AD91}">
      <text>
        <r>
          <rPr>
            <b/>
            <sz val="9"/>
            <color indexed="81"/>
            <rFont val="Tahoma"/>
            <family val="2"/>
            <charset val="186"/>
          </rPr>
          <t>Līga Gudēvica-Liepiņa:</t>
        </r>
        <r>
          <rPr>
            <sz val="9"/>
            <color indexed="81"/>
            <rFont val="Tahoma"/>
            <family val="2"/>
            <charset val="186"/>
          </rPr>
          <t xml:space="preserve">
Only for self employed</t>
        </r>
      </text>
    </comment>
    <comment ref="Y70" authorId="5" shapeId="0" xr:uid="{0380A509-A3C2-4338-8FCE-B7DE404E6AA3}">
      <text>
        <t xml:space="preserve">[Threaded comment]
Your version of Excel allows you to read this threaded comment; however, any edits to it will get removed if the file is opened in a newer version of Excel. Learn more: https://go.microsoft.com/fwlink/?linkid=870924
Comment:
    From 2018 onwards, a lower CIT at the rate of 14% for those companies making regular profit distributions is available. The payment of dividends in the amount that is below or equal to the extent of taxed dividends paid during the three preceding years will be taxed with a rate of 14% (the tax rate on the net amount being 14/86 instead of the regular 20/80). In cases where the recipient of the 14% dividend is either a resident or non-resident individual, a 7% WHT rate will apply unless a tax treaty provides for a lower WHT rate (5% or 0%). 2018 is the first year to be taken into consideration for the purposes of determining the average dividend.
</t>
      </text>
    </comment>
    <comment ref="Q71" authorId="0" shapeId="0" xr:uid="{F06DF489-798C-44F1-81C5-755B4417932D}">
      <text>
        <r>
          <rPr>
            <b/>
            <sz val="9"/>
            <color indexed="81"/>
            <rFont val="Tahoma"/>
            <family val="2"/>
            <charset val="186"/>
          </rPr>
          <t>Viktorija Jureviča: Arī dividendēm</t>
        </r>
        <r>
          <rPr>
            <sz val="9"/>
            <color indexed="81"/>
            <rFont val="Tahoma"/>
            <family val="2"/>
            <charset val="186"/>
          </rPr>
          <t xml:space="preserve">
Piemērs, dalītās likmes aprēķinam
100 * 20%/0,80 = 25 eiro (CIT)
An example for calculating a split rate
100 * 20% / 0,80 = 25 euros (CIT)</t>
        </r>
      </text>
    </comment>
    <comment ref="T71" authorId="1" shapeId="0" xr:uid="{FAAC8CC0-554E-4EA4-A1EC-FE978606D321}">
      <text>
        <r>
          <rPr>
            <b/>
            <sz val="9"/>
            <color indexed="81"/>
            <rFont val="Tahoma"/>
            <family val="2"/>
            <charset val="186"/>
          </rPr>
          <t>Ieva Kodoliņa-Miglāne:</t>
        </r>
        <r>
          <rPr>
            <sz val="9"/>
            <color indexed="81"/>
            <rFont val="Tahoma"/>
            <family val="2"/>
            <charset val="186"/>
          </rPr>
          <t xml:space="preserve">
Sākot ar 2018.gada 1.janvāri, tiek ieviesta jauna nodokļu likme uzņēmumiem, kas regulāri sadala peļņu. Trīs gadu laikā likme samazināsies līdz 14%. Pirmais gads ar zemāku likmi ir 2019.gads, kad 2/3 no sadalītās peļņas tiks apliktas ar 20% un 1/3 ar 14%. 2020.gadā 1/3 tiks aplikta ar nodokli 20% un 2/3 ar 14%. 2021.gadā visi ar 14%. Zemākā likme 2019.gadā tiek piemērota tikai attiecībā uz summu, kas nepārsniedz 2018.gadā sadalīto summu. 2021.gadā 14% tiek piemēroti zemākajam sadalītās peļņas līmenim 2018.-2021.gada četru gadu periodā. Piemēram, ja sadalītā peļņa 2018.gadā - 30 milj., 2019 - 31 milj., 2020. gadā - 18 milj., 2021.-40 milj., tad 2021.gadā likme 14%  apmērā tiks piemērota 18 milj.
No 2018.gada kredītiestādes iepriekšējā ceturksnī gūto peļņu izmaksā avansa ienākuma nodokli ar likmi 14% apmērā. Pirmais maksājums 2018 gada septembrī no 2018. gada II ceturkšņa nopelnīto peļņu. To var atņemt no nākamā gada UIN par sadalīto peļņu.
From January 1st, 2018 the new tax rate for companies who distribute profits regularly is introduced. The rate will fall to 14% in three years. The first year with lower rate is 2019, when 2/3 of the distributed profits is taxed with 20% and 1/3 with 14%. In 2020 1/3 is taxed with 20% and 2/3 with 14%. In 2021 all with 14%. The lower rate in 2019 is applied only on the amount which does not exceed the amount distributed in 2018. The 14% in 2021 is applied on the lowest amount of distributed profits in the four-year period 2018-2021. For example if the distributed profits are 2018 – 30 mln, 2019 – 31 mln, 2020 – 18 mln, 2021 – 40 mln, then the rate of 14% in 2021 is applied on 18 mln.
From 2018 the credit institutions pay advance income tax with rate of 14% from profit earned in previous quarter. The first payment is in September 2018 from the 2018 II quarter earned profits. It can be subtracted from next year`s CIT on distributed profits.</t>
        </r>
      </text>
    </comment>
    <comment ref="AD72" authorId="6" shapeId="0" xr:uid="{06D2AEB0-DB24-42D8-8509-11EB0710E206}">
      <text>
        <r>
          <rPr>
            <b/>
            <sz val="9"/>
            <color indexed="81"/>
            <rFont val="Tahoma"/>
            <family val="2"/>
            <charset val="186"/>
          </rPr>
          <t>Madara Jaunzeme:</t>
        </r>
        <r>
          <rPr>
            <sz val="9"/>
            <color indexed="81"/>
            <rFont val="Tahoma"/>
            <family val="2"/>
            <charset val="186"/>
          </rPr>
          <t xml:space="preserve">
As of 2018 simplified tax regime for small entrepreneurs (individuals) using special enterpise account in the bank is introduced. The bank automatically transfers 20% of the recieved income to the Tax and Customs Board to cover income tax, social tax and mandatory funded pension contributions.  https://www.rahandusministeerium.ee/en/tax-and-customs-policy However, so far the banks have not made the necessary IT developments in order to create the special enterprise account.</t>
        </r>
        <r>
          <rPr>
            <b/>
            <sz val="9"/>
            <color indexed="81"/>
            <rFont val="Tahoma"/>
            <family val="2"/>
            <charset val="186"/>
          </rPr>
          <t xml:space="preserve">
</t>
        </r>
        <r>
          <rPr>
            <sz val="9"/>
            <color indexed="81"/>
            <rFont val="Tahoma"/>
            <family val="2"/>
            <charset val="186"/>
          </rPr>
          <t>Tax base - gross income from selling goods and providing services</t>
        </r>
      </text>
    </comment>
    <comment ref="A93" authorId="1" shapeId="0" xr:uid="{BF8C6100-FDBD-437A-AB0A-96D6ACB596A5}">
      <text>
        <r>
          <rPr>
            <b/>
            <sz val="9"/>
            <color indexed="81"/>
            <rFont val="Tahoma"/>
            <family val="2"/>
            <charset val="186"/>
          </rPr>
          <t>Ieva Kodoliņa-Miglāne:</t>
        </r>
        <r>
          <rPr>
            <sz val="9"/>
            <color indexed="81"/>
            <rFont val="Tahoma"/>
            <family val="2"/>
            <charset val="186"/>
          </rPr>
          <t xml:space="preserve">
Igaunijā zemes nodokļa likme ir 0,1 - 2,5% no apliekamās vērtības.
NĪN likme</t>
        </r>
        <r>
          <rPr>
            <b/>
            <sz val="9"/>
            <color indexed="81"/>
            <rFont val="Tahoma"/>
            <family val="2"/>
            <charset val="186"/>
          </rPr>
          <t xml:space="preserve"> </t>
        </r>
        <r>
          <rPr>
            <i/>
            <sz val="9"/>
            <color indexed="81"/>
            <rFont val="Tahoma"/>
            <family val="2"/>
            <charset val="186"/>
          </rPr>
          <t>audzējamās platībās, ko izmanto lauksaimniecības produktu ražošanai un dabīgām pļavām</t>
        </r>
        <r>
          <rPr>
            <sz val="9"/>
            <color indexed="81"/>
            <rFont val="Tahoma"/>
            <family val="2"/>
            <charset val="186"/>
          </rPr>
          <t xml:space="preserve">, ir zemāka - </t>
        </r>
        <r>
          <rPr>
            <b/>
            <sz val="9"/>
            <color indexed="81"/>
            <rFont val="Tahoma"/>
            <family val="2"/>
            <charset val="186"/>
          </rPr>
          <t>no 0,1 līdz 2,0%</t>
        </r>
        <r>
          <rPr>
            <sz val="9"/>
            <color indexed="81"/>
            <rFont val="Tahoma"/>
            <family val="2"/>
            <charset val="186"/>
          </rPr>
          <t xml:space="preserve"> no novērtētās vērtības zemes. 
</t>
        </r>
        <r>
          <rPr>
            <i/>
            <sz val="9"/>
            <color indexed="81"/>
            <rFont val="Tahoma"/>
            <family val="2"/>
            <charset val="186"/>
          </rPr>
          <t>Zeme, kur saimniecisko darbību ierobežo likums</t>
        </r>
        <r>
          <rPr>
            <sz val="9"/>
            <color indexed="81"/>
            <rFont val="Tahoma"/>
            <family val="2"/>
            <charset val="186"/>
          </rPr>
          <t>,</t>
        </r>
        <r>
          <rPr>
            <b/>
            <sz val="9"/>
            <color indexed="81"/>
            <rFont val="Tahoma"/>
            <family val="2"/>
            <charset val="186"/>
          </rPr>
          <t xml:space="preserve"> ir pilnībā atbrīvota no nodokļa vai 50% no standarta nodokļa likmes</t>
        </r>
        <r>
          <rPr>
            <sz val="9"/>
            <color indexed="81"/>
            <rFont val="Tahoma"/>
            <family val="2"/>
            <charset val="186"/>
          </rPr>
          <t xml:space="preserve">.
</t>
        </r>
        <r>
          <rPr>
            <i/>
            <sz val="9"/>
            <color indexed="81"/>
            <rFont val="Tahoma"/>
            <family val="2"/>
            <charset val="186"/>
          </rPr>
          <t>Pilsētā</t>
        </r>
        <r>
          <rPr>
            <sz val="9"/>
            <color indexed="81"/>
            <rFont val="Tahoma"/>
            <family val="2"/>
            <charset val="186"/>
          </rPr>
          <t xml:space="preserve"> līdz</t>
        </r>
        <r>
          <rPr>
            <b/>
            <sz val="9"/>
            <color indexed="81"/>
            <rFont val="Tahoma"/>
            <family val="2"/>
            <charset val="186"/>
          </rPr>
          <t xml:space="preserve"> 0,15 </t>
        </r>
        <r>
          <rPr>
            <sz val="9"/>
            <color indexed="81"/>
            <rFont val="Tahoma"/>
            <family val="2"/>
            <charset val="186"/>
          </rPr>
          <t xml:space="preserve">hektāriem zemes īpašumi un </t>
        </r>
        <r>
          <rPr>
            <b/>
            <sz val="9"/>
            <color indexed="81"/>
            <rFont val="Tahoma"/>
            <family val="2"/>
            <charset val="186"/>
          </rPr>
          <t>līdz</t>
        </r>
        <r>
          <rPr>
            <sz val="9"/>
            <color indexed="81"/>
            <rFont val="Tahoma"/>
            <family val="2"/>
            <charset val="186"/>
          </rPr>
          <t xml:space="preserve"> </t>
        </r>
        <r>
          <rPr>
            <b/>
            <sz val="9"/>
            <color indexed="81"/>
            <rFont val="Tahoma"/>
            <family val="2"/>
            <charset val="186"/>
          </rPr>
          <t>2</t>
        </r>
        <r>
          <rPr>
            <sz val="9"/>
            <color indexed="81"/>
            <rFont val="Tahoma"/>
            <family val="2"/>
            <charset val="186"/>
          </rPr>
          <t xml:space="preserve"> hektāriem </t>
        </r>
        <r>
          <rPr>
            <i/>
            <sz val="9"/>
            <color indexed="81"/>
            <rFont val="Tahoma"/>
            <family val="2"/>
            <charset val="186"/>
          </rPr>
          <t>citur</t>
        </r>
        <r>
          <rPr>
            <sz val="9"/>
            <color indexed="81"/>
            <rFont val="Tahoma"/>
            <family val="2"/>
            <charset val="186"/>
          </rPr>
          <t xml:space="preserve"> ir atbrīvoti no nodokļiem, </t>
        </r>
        <r>
          <rPr>
            <u/>
            <sz val="9"/>
            <color indexed="81"/>
            <rFont val="Tahoma"/>
            <family val="2"/>
            <charset val="186"/>
          </rPr>
          <t>ja īpašuma reģistrētā dzīvesvieta</t>
        </r>
        <r>
          <rPr>
            <sz val="9"/>
            <color indexed="81"/>
            <rFont val="Tahoma"/>
            <family val="2"/>
            <charset val="186"/>
          </rPr>
          <t xml:space="preserve">.
Pašvaldības </t>
        </r>
        <r>
          <rPr>
            <b/>
            <sz val="9"/>
            <color indexed="81"/>
            <rFont val="Tahoma"/>
            <family val="2"/>
            <charset val="186"/>
          </rPr>
          <t>var atbrīvot</t>
        </r>
        <r>
          <rPr>
            <sz val="9"/>
            <color indexed="81"/>
            <rFont val="Tahoma"/>
            <family val="2"/>
            <charset val="186"/>
          </rPr>
          <t xml:space="preserve"> no maksāšanas </t>
        </r>
        <r>
          <rPr>
            <i/>
            <sz val="9"/>
            <color indexed="81"/>
            <rFont val="Tahoma"/>
            <family val="2"/>
            <charset val="186"/>
          </rPr>
          <t>represētās personas un pensionārus</t>
        </r>
        <r>
          <rPr>
            <sz val="9"/>
            <color indexed="81"/>
            <rFont val="Tahoma"/>
            <family val="2"/>
            <charset val="186"/>
          </rPr>
          <t xml:space="preserve"> (</t>
        </r>
        <r>
          <rPr>
            <b/>
            <sz val="9"/>
            <color indexed="81"/>
            <rFont val="Tahoma"/>
            <family val="2"/>
            <charset val="186"/>
          </rPr>
          <t>līdz 0,3</t>
        </r>
        <r>
          <rPr>
            <sz val="9"/>
            <color indexed="81"/>
            <rFont val="Tahoma"/>
            <family val="2"/>
            <charset val="186"/>
          </rPr>
          <t xml:space="preserve"> hektāriem pilsētā un</t>
        </r>
        <r>
          <rPr>
            <b/>
            <sz val="9"/>
            <color indexed="81"/>
            <rFont val="Tahoma"/>
            <family val="2"/>
            <charset val="186"/>
          </rPr>
          <t xml:space="preserve"> 1,0 </t>
        </r>
        <r>
          <rPr>
            <sz val="9"/>
            <color indexed="81"/>
            <rFont val="Tahoma"/>
            <family val="2"/>
            <charset val="186"/>
          </rPr>
          <t xml:space="preserve">hektāru laukos), ja nodokļu atbrīvojuma pieteikuma iesniedzējs izmanto zemi dzīvošanai un nesaņem par to īres maksu.
</t>
        </r>
      </text>
    </comment>
    <comment ref="AD93" authorId="1" shapeId="0" xr:uid="{8EDB8E0E-936B-4938-B1FF-B3D223660A99}">
      <text>
        <r>
          <rPr>
            <b/>
            <sz val="9"/>
            <color indexed="81"/>
            <rFont val="Tahoma"/>
            <family val="2"/>
            <charset val="186"/>
          </rPr>
          <t>Ieva Kodoliņa-Miglāne:</t>
        </r>
        <r>
          <rPr>
            <sz val="9"/>
            <color indexed="81"/>
            <rFont val="Tahoma"/>
            <family val="2"/>
            <charset val="186"/>
          </rPr>
          <t xml:space="preserve">
In Estonia, the tax rate for land is 0.1 - 2.5% of the taxable value.
The rate of land tax for </t>
        </r>
        <r>
          <rPr>
            <i/>
            <sz val="9"/>
            <color indexed="81"/>
            <rFont val="Tahoma"/>
            <family val="2"/>
            <charset val="186"/>
          </rPr>
          <t>areas under cultivation used for the production of agricultural products and for natural grasslands</t>
        </r>
        <r>
          <rPr>
            <sz val="9"/>
            <color indexed="81"/>
            <rFont val="Tahoma"/>
            <family val="2"/>
            <charset val="186"/>
          </rPr>
          <t xml:space="preserve"> is lower (</t>
        </r>
        <r>
          <rPr>
            <b/>
            <sz val="9"/>
            <color indexed="81"/>
            <rFont val="Tahoma"/>
            <family val="2"/>
            <charset val="186"/>
          </rPr>
          <t>0.1-2.0</t>
        </r>
        <r>
          <rPr>
            <sz val="9"/>
            <color indexed="81"/>
            <rFont val="Tahoma"/>
            <family val="2"/>
            <charset val="186"/>
          </rPr>
          <t xml:space="preserve">%) than the regular rate.
Land where the </t>
        </r>
        <r>
          <rPr>
            <i/>
            <sz val="9"/>
            <color indexed="81"/>
            <rFont val="Tahoma"/>
            <family val="2"/>
            <charset val="186"/>
          </rPr>
          <t>economic activity is restricted by law</t>
        </r>
        <r>
          <rPr>
            <sz val="9"/>
            <color indexed="81"/>
            <rFont val="Tahoma"/>
            <family val="2"/>
            <charset val="186"/>
          </rPr>
          <t xml:space="preserve"> is either </t>
        </r>
        <r>
          <rPr>
            <b/>
            <sz val="9"/>
            <color indexed="81"/>
            <rFont val="Tahoma"/>
            <family val="2"/>
            <charset val="186"/>
          </rPr>
          <t>fully exempted or 50%</t>
        </r>
        <r>
          <rPr>
            <sz val="9"/>
            <color indexed="81"/>
            <rFont val="Tahoma"/>
            <family val="2"/>
            <charset val="186"/>
          </rPr>
          <t xml:space="preserve"> of the standard tax rate.
</t>
        </r>
        <r>
          <rPr>
            <i/>
            <sz val="9"/>
            <color indexed="81"/>
            <rFont val="Tahoma"/>
            <family val="2"/>
            <charset val="186"/>
          </rPr>
          <t>Owners of the land</t>
        </r>
        <r>
          <rPr>
            <sz val="9"/>
            <color indexed="81"/>
            <rFont val="Tahoma"/>
            <family val="2"/>
            <charset val="186"/>
          </rPr>
          <t xml:space="preserve"> u</t>
        </r>
        <r>
          <rPr>
            <b/>
            <sz val="9"/>
            <color indexed="81"/>
            <rFont val="Tahoma"/>
            <family val="2"/>
            <charset val="186"/>
          </rPr>
          <t>p to 0.15</t>
        </r>
        <r>
          <rPr>
            <sz val="9"/>
            <color indexed="81"/>
            <rFont val="Tahoma"/>
            <family val="2"/>
            <charset val="186"/>
          </rPr>
          <t xml:space="preserve"> hectares of </t>
        </r>
        <r>
          <rPr>
            <i/>
            <sz val="9"/>
            <color indexed="81"/>
            <rFont val="Tahoma"/>
            <family val="2"/>
            <charset val="186"/>
          </rPr>
          <t>land in the city</t>
        </r>
        <r>
          <rPr>
            <sz val="9"/>
            <color indexed="81"/>
            <rFont val="Tahoma"/>
            <family val="2"/>
            <charset val="186"/>
          </rPr>
          <t xml:space="preserve"> and </t>
        </r>
        <r>
          <rPr>
            <b/>
            <sz val="9"/>
            <color indexed="81"/>
            <rFont val="Tahoma"/>
            <family val="2"/>
            <charset val="186"/>
          </rPr>
          <t>up to 2</t>
        </r>
        <r>
          <rPr>
            <sz val="9"/>
            <color indexed="81"/>
            <rFont val="Tahoma"/>
            <family val="2"/>
            <charset val="186"/>
          </rPr>
          <t xml:space="preserve"> hectares </t>
        </r>
        <r>
          <rPr>
            <i/>
            <sz val="9"/>
            <color indexed="81"/>
            <rFont val="Tahoma"/>
            <family val="2"/>
            <charset val="186"/>
          </rPr>
          <t>somewhere else</t>
        </r>
        <r>
          <rPr>
            <sz val="9"/>
            <color indexed="81"/>
            <rFont val="Tahoma"/>
            <family val="2"/>
            <charset val="186"/>
          </rPr>
          <t xml:space="preserve"> are </t>
        </r>
        <r>
          <rPr>
            <b/>
            <sz val="9"/>
            <color indexed="81"/>
            <rFont val="Tahoma"/>
            <family val="2"/>
            <charset val="186"/>
          </rPr>
          <t>exempt</t>
        </r>
        <r>
          <rPr>
            <sz val="9"/>
            <color indexed="81"/>
            <rFont val="Tahoma"/>
            <family val="2"/>
            <charset val="186"/>
          </rPr>
          <t xml:space="preserve"> from taxes i</t>
        </r>
        <r>
          <rPr>
            <u/>
            <sz val="9"/>
            <color indexed="81"/>
            <rFont val="Tahoma"/>
            <family val="2"/>
            <charset val="186"/>
          </rPr>
          <t>f the property is registered as a residence</t>
        </r>
        <r>
          <rPr>
            <sz val="9"/>
            <color indexed="81"/>
            <rFont val="Tahoma"/>
            <family val="2"/>
            <charset val="186"/>
          </rPr>
          <t xml:space="preserve">.
Municipalities may exempt from payment </t>
        </r>
        <r>
          <rPr>
            <i/>
            <sz val="9"/>
            <color indexed="81"/>
            <rFont val="Tahoma"/>
            <family val="2"/>
            <charset val="186"/>
          </rPr>
          <t>repressed persons and pensioners</t>
        </r>
        <r>
          <rPr>
            <sz val="9"/>
            <color indexed="81"/>
            <rFont val="Tahoma"/>
            <family val="2"/>
            <charset val="186"/>
          </rPr>
          <t xml:space="preserve"> (</t>
        </r>
        <r>
          <rPr>
            <b/>
            <sz val="9"/>
            <color indexed="81"/>
            <rFont val="Tahoma"/>
            <family val="2"/>
            <charset val="186"/>
          </rPr>
          <t>up to 0.3</t>
        </r>
        <r>
          <rPr>
            <sz val="9"/>
            <color indexed="81"/>
            <rFont val="Tahoma"/>
            <family val="2"/>
            <charset val="186"/>
          </rPr>
          <t xml:space="preserve"> hectares in the city and </t>
        </r>
        <r>
          <rPr>
            <b/>
            <sz val="9"/>
            <color indexed="81"/>
            <rFont val="Tahoma"/>
            <family val="2"/>
            <charset val="186"/>
          </rPr>
          <t>1.0</t>
        </r>
        <r>
          <rPr>
            <sz val="9"/>
            <color indexed="81"/>
            <rFont val="Tahoma"/>
            <family val="2"/>
            <charset val="186"/>
          </rPr>
          <t xml:space="preserve"> hectares in rural municipalities) if the tax-exempted applicant uses the land for living and does not receive rent for it.</t>
        </r>
      </text>
    </comment>
    <comment ref="V106" authorId="0" shapeId="0" xr:uid="{79789755-5D9A-4517-A73F-7F8F8C3FAF60}">
      <text>
        <r>
          <rPr>
            <b/>
            <sz val="9"/>
            <color indexed="81"/>
            <rFont val="Tahoma"/>
            <family val="2"/>
            <charset val="186"/>
          </rPr>
          <t xml:space="preserve">Viktorija Jureviča: 
https://www.rahandusministeerium.ee/en/news/supplementary-budget-includes-lower-excise-duties-and-temporary-suspension-funded-pension
</t>
        </r>
        <r>
          <rPr>
            <sz val="9"/>
            <color indexed="81"/>
            <rFont val="Tahoma"/>
            <family val="2"/>
            <charset val="186"/>
          </rPr>
          <t>To mitigate transportation and domestic expenses, the</t>
        </r>
        <r>
          <rPr>
            <b/>
            <sz val="9"/>
            <color indexed="81"/>
            <rFont val="Tahoma"/>
            <family val="2"/>
            <charset val="186"/>
          </rPr>
          <t xml:space="preserve"> </t>
        </r>
        <r>
          <rPr>
            <sz val="9"/>
            <color indexed="81"/>
            <rFont val="Tahoma"/>
            <family val="2"/>
            <charset val="186"/>
          </rPr>
          <t xml:space="preserve">government will lower the excise duty rates on several types of fuels, and electric power, for two years, that is, </t>
        </r>
        <r>
          <rPr>
            <b/>
            <sz val="9"/>
            <color indexed="81"/>
            <rFont val="Tahoma"/>
            <family val="2"/>
            <charset val="186"/>
          </rPr>
          <t>from 1 May this year</t>
        </r>
        <r>
          <rPr>
            <sz val="9"/>
            <color indexed="81"/>
            <rFont val="Tahoma"/>
            <family val="2"/>
            <charset val="186"/>
          </rPr>
          <t xml:space="preserve"> until </t>
        </r>
        <r>
          <rPr>
            <b/>
            <sz val="9"/>
            <color indexed="81"/>
            <rFont val="Tahoma"/>
            <family val="2"/>
            <charset val="186"/>
          </rPr>
          <t xml:space="preserve">30 April 2022. </t>
        </r>
        <r>
          <rPr>
            <sz val="9"/>
            <color indexed="81"/>
            <rFont val="Tahoma"/>
            <family val="2"/>
            <charset val="186"/>
          </rPr>
          <t xml:space="preserve">
The excise duty rate on </t>
        </r>
        <r>
          <rPr>
            <u/>
            <sz val="9"/>
            <color indexed="81"/>
            <rFont val="Tahoma"/>
            <family val="2"/>
            <charset val="186"/>
          </rPr>
          <t>diesel fuel will be lowered from the current 493 euros to 372 euros per 1,000 litres</t>
        </r>
        <r>
          <rPr>
            <sz val="9"/>
            <color indexed="81"/>
            <rFont val="Tahoma"/>
            <family val="2"/>
            <charset val="186"/>
          </rPr>
          <t xml:space="preserve">. This rate equals the current rate in Lithuania. </t>
        </r>
        <r>
          <rPr>
            <b/>
            <sz val="9"/>
            <color indexed="81"/>
            <rFont val="Tahoma"/>
            <family val="2"/>
            <charset val="186"/>
          </rPr>
          <t xml:space="preserve">
Lauri Lelumees &lt;Lauri.Lelumees@fin.ee&gt; 
</t>
        </r>
        <r>
          <rPr>
            <sz val="9"/>
            <color indexed="81"/>
            <rFont val="Tahoma"/>
            <family val="2"/>
            <charset val="186"/>
          </rPr>
          <t>The draft law is discussed at the parliament on oncoming weeks. It’s quite realistic that these changes will be proceeded.</t>
        </r>
        <r>
          <rPr>
            <sz val="9"/>
            <color indexed="81"/>
            <rFont val="Tahoma"/>
            <family val="2"/>
            <charset val="186"/>
          </rPr>
          <t xml:space="preserve">
The plan is for 2 years – starting from 1.05.2020 until 30.04.2022  to lower the excise rates of the following products:
The rate of </t>
        </r>
        <r>
          <rPr>
            <u/>
            <sz val="9"/>
            <color indexed="81"/>
            <rFont val="Tahoma"/>
            <family val="2"/>
            <charset val="186"/>
          </rPr>
          <t>diesel will lowered from 493 €</t>
        </r>
        <r>
          <rPr>
            <sz val="9"/>
            <color indexed="81"/>
            <rFont val="Tahoma"/>
            <family val="2"/>
            <charset val="186"/>
          </rPr>
          <t xml:space="preserve"> </t>
        </r>
        <r>
          <rPr>
            <b/>
            <sz val="9"/>
            <color indexed="81"/>
            <rFont val="Tahoma"/>
            <family val="2"/>
            <charset val="186"/>
          </rPr>
          <t>to 372 €.</t>
        </r>
        <r>
          <rPr>
            <sz val="9"/>
            <color indexed="81"/>
            <rFont val="Tahoma"/>
            <family val="2"/>
            <charset val="186"/>
          </rPr>
          <t xml:space="preserve">
Agricultural diesel: from 133 to 100 €.
Natural gas for heating purposes and as propellant – to 40€ per 1000m3
Electricity- from 4,47 to 1 € MWh (business and non business use).</t>
        </r>
      </text>
    </comment>
    <comment ref="X106" authorId="7" shapeId="0" xr:uid="{6E4D5E2B-602F-480A-9782-F245C6BD444F}">
      <text>
        <t>[Threaded comment]
Your version of Excel allows you to read this threaded comment; however, any edits to it will get removed if the file is opened in a newer version of Excel. Learn more: https://go.microsoft.com/fwlink/?linkid=870924
Comment:
    Excise duties on fuel were originally to be increased from May 1, the state decided to postpone the increase in these excise duties until 2023.</t>
      </text>
    </comment>
    <comment ref="A119" authorId="0" shapeId="0" xr:uid="{96CC1465-9A09-4A78-9875-0ED81B46045F}">
      <text>
        <r>
          <rPr>
            <b/>
            <sz val="9"/>
            <color indexed="81"/>
            <rFont val="Tahoma"/>
            <family val="2"/>
            <charset val="186"/>
          </rPr>
          <t>Viktorija Jureviča:</t>
        </r>
        <r>
          <rPr>
            <sz val="9"/>
            <color indexed="81"/>
            <rFont val="Tahoma"/>
            <family val="2"/>
            <charset val="186"/>
          </rPr>
          <t xml:space="preserve">
Igaunijas kolēģu labots</t>
        </r>
      </text>
    </comment>
    <comment ref="V119" authorId="0" shapeId="0" xr:uid="{339233E9-8B34-4CA3-9C56-6DE5D8D978AD}">
      <text>
        <r>
          <rPr>
            <b/>
            <sz val="9"/>
            <color indexed="81"/>
            <rFont val="Tahoma"/>
            <family val="2"/>
            <charset val="186"/>
          </rPr>
          <t xml:space="preserve">Viktorija Jureviča: 
https://www.rahandusministeerium.ee/en/news/supplementary-budget-includes-lower-excise-duties-and-temporary-suspension-funded-pension
</t>
        </r>
        <r>
          <rPr>
            <sz val="9"/>
            <color indexed="81"/>
            <rFont val="Tahoma"/>
            <family val="2"/>
            <charset val="186"/>
          </rPr>
          <t>To mitigate transportation and domestic expenses, the</t>
        </r>
        <r>
          <rPr>
            <b/>
            <sz val="9"/>
            <color indexed="81"/>
            <rFont val="Tahoma"/>
            <family val="2"/>
            <charset val="186"/>
          </rPr>
          <t xml:space="preserve"> </t>
        </r>
        <r>
          <rPr>
            <sz val="9"/>
            <color indexed="81"/>
            <rFont val="Tahoma"/>
            <family val="2"/>
            <charset val="186"/>
          </rPr>
          <t xml:space="preserve">government will lower the excise duty rates on several types of fuels, and electric power, for two years, that is, </t>
        </r>
        <r>
          <rPr>
            <b/>
            <sz val="9"/>
            <color indexed="81"/>
            <rFont val="Tahoma"/>
            <family val="2"/>
            <charset val="186"/>
          </rPr>
          <t>from 1 May this year</t>
        </r>
        <r>
          <rPr>
            <sz val="9"/>
            <color indexed="81"/>
            <rFont val="Tahoma"/>
            <family val="2"/>
            <charset val="186"/>
          </rPr>
          <t xml:space="preserve"> until </t>
        </r>
        <r>
          <rPr>
            <b/>
            <sz val="9"/>
            <color indexed="81"/>
            <rFont val="Tahoma"/>
            <family val="2"/>
            <charset val="186"/>
          </rPr>
          <t xml:space="preserve">30 April 2022. </t>
        </r>
        <r>
          <rPr>
            <sz val="9"/>
            <color indexed="81"/>
            <rFont val="Tahoma"/>
            <family val="2"/>
            <charset val="186"/>
          </rPr>
          <t xml:space="preserve">
The excise duty rate on </t>
        </r>
        <r>
          <rPr>
            <u/>
            <sz val="9"/>
            <color indexed="81"/>
            <rFont val="Tahoma"/>
            <family val="2"/>
            <charset val="186"/>
          </rPr>
          <t>diesel fuel will be lowered from the current 493 euros to 372 euros per 1,000 litres</t>
        </r>
        <r>
          <rPr>
            <sz val="9"/>
            <color indexed="81"/>
            <rFont val="Tahoma"/>
            <family val="2"/>
            <charset val="186"/>
          </rPr>
          <t xml:space="preserve">. This rate equals the current rate in Lithuania. </t>
        </r>
        <r>
          <rPr>
            <b/>
            <sz val="9"/>
            <color indexed="81"/>
            <rFont val="Tahoma"/>
            <family val="2"/>
            <charset val="186"/>
          </rPr>
          <t xml:space="preserve">
Lauri Lelumees &lt;Lauri.Lelumees@fin.ee&gt; 
</t>
        </r>
        <r>
          <rPr>
            <sz val="9"/>
            <color indexed="81"/>
            <rFont val="Tahoma"/>
            <family val="2"/>
            <charset val="186"/>
          </rPr>
          <t>The draft law is discussed at the parliament on oncoming weeks. It’s quite realistic that these changes will be proceeded.</t>
        </r>
        <r>
          <rPr>
            <sz val="9"/>
            <color indexed="81"/>
            <rFont val="Tahoma"/>
            <family val="2"/>
            <charset val="186"/>
          </rPr>
          <t xml:space="preserve">
The plan is for 2 years – starting from 1.05.2020 until 30.04.2022  to lower the excise rates of the following products:
The rate of </t>
        </r>
        <r>
          <rPr>
            <u/>
            <sz val="9"/>
            <color indexed="81"/>
            <rFont val="Tahoma"/>
            <family val="2"/>
            <charset val="186"/>
          </rPr>
          <t>diesel will lowered from 493 €</t>
        </r>
        <r>
          <rPr>
            <sz val="9"/>
            <color indexed="81"/>
            <rFont val="Tahoma"/>
            <family val="2"/>
            <charset val="186"/>
          </rPr>
          <t xml:space="preserve"> </t>
        </r>
        <r>
          <rPr>
            <b/>
            <sz val="9"/>
            <color indexed="81"/>
            <rFont val="Tahoma"/>
            <family val="2"/>
            <charset val="186"/>
          </rPr>
          <t>to 372 €.</t>
        </r>
        <r>
          <rPr>
            <sz val="9"/>
            <color indexed="81"/>
            <rFont val="Tahoma"/>
            <family val="2"/>
            <charset val="186"/>
          </rPr>
          <t xml:space="preserve">
Agricultural diesel: from 133 to 100 €.
Natural gas for heating purposes and as propellant – to 40€ per 1000m3
Electricity- from 4,47 to 1 € MWh (business and non business use).</t>
        </r>
      </text>
    </comment>
    <comment ref="X119" authorId="3" shapeId="0" xr:uid="{BBF8644C-5179-4F0E-BBA6-D68BDD9AAF10}">
      <text>
        <r>
          <rPr>
            <b/>
            <sz val="9"/>
            <color indexed="81"/>
            <rFont val="Tahoma"/>
            <family val="2"/>
            <charset val="186"/>
          </rPr>
          <t>Līga Gudēvica-Liepiņa:</t>
        </r>
        <r>
          <rPr>
            <sz val="9"/>
            <color indexed="81"/>
            <rFont val="Tahoma"/>
            <family val="2"/>
            <charset val="186"/>
          </rPr>
          <t xml:space="preserve">
While excise duties on fuel and were originally to be increased from May 1, the state decided to postpone the increase in these excise duties until 2023.</t>
        </r>
      </text>
    </comment>
    <comment ref="A122" authorId="0" shapeId="0" xr:uid="{09D56E5E-52F6-4443-B0AC-ABD0AD1C8BCA}">
      <text>
        <r>
          <rPr>
            <b/>
            <sz val="9"/>
            <color indexed="81"/>
            <rFont val="Tahoma"/>
            <family val="2"/>
            <charset val="186"/>
          </rPr>
          <t>Viktorija Jureviča:</t>
        </r>
        <r>
          <rPr>
            <sz val="9"/>
            <color indexed="81"/>
            <rFont val="Tahoma"/>
            <family val="2"/>
            <charset val="186"/>
          </rPr>
          <t xml:space="preserve">
Igaunijas kolēģu labots</t>
        </r>
      </text>
    </comment>
    <comment ref="V122" authorId="0" shapeId="0" xr:uid="{70644F72-F6A3-4F3B-8B1D-014A891D0D4A}">
      <text>
        <r>
          <rPr>
            <b/>
            <sz val="9"/>
            <color indexed="81"/>
            <rFont val="Tahoma"/>
            <family val="2"/>
            <charset val="186"/>
          </rPr>
          <t xml:space="preserve">Viktorija Jureviča:
https://www.rahandusministeerium.ee/en/news/supplementary-budget-includes-lower-excise-duties-and-temporary-suspension-funded-pension
</t>
        </r>
        <r>
          <rPr>
            <sz val="9"/>
            <color indexed="81"/>
            <rFont val="Tahoma"/>
            <family val="2"/>
            <charset val="186"/>
          </rPr>
          <t xml:space="preserve">The excise duty rate on special-purpose diesel fuel used in agriculture will be lowered </t>
        </r>
        <r>
          <rPr>
            <u/>
            <sz val="9"/>
            <color indexed="81"/>
            <rFont val="Tahoma"/>
            <family val="2"/>
            <charset val="186"/>
          </rPr>
          <t>to 100 euros from 133 euros per 1,000 litres,</t>
        </r>
        <r>
          <rPr>
            <sz val="9"/>
            <color indexed="81"/>
            <rFont val="Tahoma"/>
            <family val="2"/>
            <charset val="186"/>
          </rPr>
          <t xml:space="preserve"> continuing to make up close to 27 per cent of the diesel fuel excise duty rate subject to the standard rate of taxation. </t>
        </r>
        <r>
          <rPr>
            <b/>
            <sz val="9"/>
            <color indexed="81"/>
            <rFont val="Tahoma"/>
            <family val="2"/>
            <charset val="186"/>
          </rPr>
          <t xml:space="preserve">
Lauri Lelumees &lt;Lauri.Lelumees@fin.ee&gt; </t>
        </r>
        <r>
          <rPr>
            <sz val="9"/>
            <color indexed="81"/>
            <rFont val="Tahoma"/>
            <family val="2"/>
            <charset val="186"/>
          </rPr>
          <t xml:space="preserve">
The draft law is discussed at the parliament on oncoming weeks. It’s quite realistic that these changes will be proceeded.
The plan is for 2 years – starting from </t>
        </r>
        <r>
          <rPr>
            <b/>
            <sz val="9"/>
            <color indexed="81"/>
            <rFont val="Tahoma"/>
            <family val="2"/>
            <charset val="186"/>
          </rPr>
          <t>1.05.2020 until 30.04.2022</t>
        </r>
        <r>
          <rPr>
            <sz val="9"/>
            <color indexed="81"/>
            <rFont val="Tahoma"/>
            <family val="2"/>
            <charset val="186"/>
          </rPr>
          <t xml:space="preserve">  to lower the excise rates of the following products:
The rate of diesel will lowered from 493 € to 372 €.
</t>
        </r>
        <r>
          <rPr>
            <u/>
            <sz val="9"/>
            <color indexed="81"/>
            <rFont val="Tahoma"/>
            <family val="2"/>
            <charset val="186"/>
          </rPr>
          <t xml:space="preserve">Agricultural diesel: from 133 </t>
        </r>
        <r>
          <rPr>
            <b/>
            <sz val="9"/>
            <color indexed="81"/>
            <rFont val="Tahoma"/>
            <family val="2"/>
            <charset val="186"/>
          </rPr>
          <t>to 100 €.</t>
        </r>
        <r>
          <rPr>
            <sz val="9"/>
            <color indexed="81"/>
            <rFont val="Tahoma"/>
            <family val="2"/>
            <charset val="186"/>
          </rPr>
          <t xml:space="preserve">
Natural gas for heating purposes and as propellant – to 40€ per 1000m3
Electricity- from 4,47 to 1 € MWh (business and non business use).</t>
        </r>
      </text>
    </comment>
    <comment ref="A133" authorId="1" shapeId="0" xr:uid="{C584E3A5-38AB-4679-8BB8-E78C3C04D77B}">
      <text>
        <r>
          <rPr>
            <b/>
            <sz val="9"/>
            <color indexed="81"/>
            <rFont val="Tahoma"/>
            <family val="2"/>
            <charset val="186"/>
          </rPr>
          <t>Ieva Kodoliņa-Miglāne:</t>
        </r>
        <r>
          <rPr>
            <sz val="9"/>
            <color indexed="81"/>
            <rFont val="Tahoma"/>
            <family val="2"/>
            <charset val="186"/>
          </rPr>
          <t xml:space="preserve">
Par 15 000 hl</t>
        </r>
      </text>
    </comment>
    <comment ref="AD133" authorId="1" shapeId="0" xr:uid="{A5166493-A3A0-4C4E-9F0F-E34E452CEC39}">
      <text>
        <r>
          <rPr>
            <b/>
            <sz val="9"/>
            <color indexed="81"/>
            <rFont val="Tahoma"/>
            <family val="2"/>
            <charset val="186"/>
          </rPr>
          <t>Ieva Kodoliņa-Miglāne:</t>
        </r>
        <r>
          <rPr>
            <sz val="9"/>
            <color indexed="81"/>
            <rFont val="Tahoma"/>
            <family val="2"/>
            <charset val="186"/>
          </rPr>
          <t xml:space="preserve">
For 15 000 hl</t>
        </r>
      </text>
    </comment>
    <comment ref="T176" authorId="1" shapeId="0" xr:uid="{4B1A7CBA-2AF7-4F49-8A8D-538BE38F7E49}">
      <text>
        <r>
          <rPr>
            <b/>
            <sz val="9"/>
            <color indexed="81"/>
            <rFont val="Tahoma"/>
            <family val="2"/>
            <charset val="186"/>
          </rPr>
          <t>Ieva Kodoliņa-Miglāne:</t>
        </r>
        <r>
          <rPr>
            <sz val="9"/>
            <color indexed="81"/>
            <rFont val="Tahoma"/>
            <family val="2"/>
            <charset val="186"/>
          </rPr>
          <t xml:space="preserve">
no cenas</t>
        </r>
      </text>
    </comment>
    <comment ref="W183" authorId="0" shapeId="0" xr:uid="{BB6C0363-E6D0-4262-877F-B222041C4F40}">
      <text>
        <r>
          <rPr>
            <sz val="9"/>
            <color indexed="81"/>
            <rFont val="Tahoma"/>
            <family val="2"/>
            <charset val="186"/>
          </rPr>
          <t xml:space="preserve">EE presentation:
Taxation of e-cigarette liquids with excise will be stopped  temporarily from 1st of April 2021 until 31st of December 2022. 
</t>
        </r>
      </text>
    </comment>
    <comment ref="S186" authorId="0" shapeId="0" xr:uid="{A90267C7-CFFE-4C26-B372-D10452AF776B}">
      <text>
        <r>
          <rPr>
            <b/>
            <sz val="9"/>
            <color indexed="81"/>
            <rFont val="Tahoma"/>
            <family val="2"/>
            <charset val="186"/>
          </rPr>
          <t>Viktorija Jureviča:</t>
        </r>
        <r>
          <rPr>
            <sz val="9"/>
            <color indexed="81"/>
            <rFont val="Tahoma"/>
            <family val="2"/>
            <charset val="186"/>
          </rPr>
          <t xml:space="preserve">
Juris Lukss papildināja prezentācijā par motordegvielu</t>
        </r>
      </text>
    </comment>
    <comment ref="V186" authorId="0" shapeId="0" xr:uid="{BB6F4F25-A88F-4F30-91FC-D12A0069E876}">
      <text>
        <r>
          <rPr>
            <b/>
            <sz val="9"/>
            <color indexed="81"/>
            <rFont val="Tahoma"/>
            <family val="2"/>
            <charset val="186"/>
          </rPr>
          <t xml:space="preserve">Viktorija Jureviča:
</t>
        </r>
        <r>
          <rPr>
            <sz val="9"/>
            <color indexed="81"/>
            <rFont val="Tahoma"/>
            <family val="2"/>
            <charset val="186"/>
          </rPr>
          <t>https://www.rahandusministeerium.ee/en/news/supplementary-budget-includes-lower-excise-duties-and-temporary-suspension-funded-pension</t>
        </r>
        <r>
          <rPr>
            <b/>
            <sz val="9"/>
            <color indexed="81"/>
            <rFont val="Tahoma"/>
            <family val="2"/>
            <charset val="186"/>
          </rPr>
          <t xml:space="preserve">
</t>
        </r>
        <r>
          <rPr>
            <sz val="9"/>
            <color indexed="81"/>
            <rFont val="Tahoma"/>
            <family val="2"/>
            <charset val="186"/>
          </rPr>
          <t xml:space="preserve">The excise duty rate on natural gas will be lowered to </t>
        </r>
        <r>
          <rPr>
            <b/>
            <sz val="9"/>
            <color indexed="81"/>
            <rFont val="Tahoma"/>
            <family val="2"/>
            <charset val="186"/>
          </rPr>
          <t>40 euros from 79.14 euros per 1,000 cubic metres, t</t>
        </r>
        <r>
          <rPr>
            <sz val="9"/>
            <color indexed="81"/>
            <rFont val="Tahoma"/>
            <family val="2"/>
            <charset val="186"/>
          </rPr>
          <t xml:space="preserve">hat is, to the </t>
        </r>
        <r>
          <rPr>
            <b/>
            <sz val="9"/>
            <color indexed="81"/>
            <rFont val="Tahoma"/>
            <family val="2"/>
            <charset val="186"/>
          </rPr>
          <t xml:space="preserve">level of the year 2017.
</t>
        </r>
        <r>
          <rPr>
            <sz val="9"/>
            <color indexed="81"/>
            <rFont val="Tahoma"/>
            <family val="2"/>
            <charset val="186"/>
          </rPr>
          <t xml:space="preserve">The excise duty rates on pressurised and liquefied natural gas </t>
        </r>
        <r>
          <rPr>
            <b/>
            <sz val="9"/>
            <color indexed="81"/>
            <rFont val="Tahoma"/>
            <family val="2"/>
            <charset val="186"/>
          </rPr>
          <t xml:space="preserve">used as engine fuel will be cut to the same level. 
</t>
        </r>
        <r>
          <rPr>
            <sz val="9"/>
            <color indexed="81"/>
            <rFont val="Tahoma"/>
            <family val="2"/>
            <charset val="186"/>
          </rPr>
          <t xml:space="preserve">
</t>
        </r>
        <r>
          <rPr>
            <b/>
            <sz val="9"/>
            <color indexed="81"/>
            <rFont val="Tahoma"/>
            <family val="2"/>
            <charset val="186"/>
          </rPr>
          <t xml:space="preserve">Lauri Lelumees &lt;Lauri.Lelumees@fin.ee&gt; </t>
        </r>
        <r>
          <rPr>
            <sz val="9"/>
            <color indexed="81"/>
            <rFont val="Tahoma"/>
            <family val="2"/>
            <charset val="186"/>
          </rPr>
          <t xml:space="preserve">
The draft law is discussed at the parliament on oncoming weeks. It’s quite realistic that these changes will be proceeded.
The plan is for 2 years – starting from 1.05.2020 until 30.04.2022  to lower the excise rates of the following products:
The rate of diesel will lowered from 493 € to 372 €.
Agricultural diesel: from 133 to 100 €.
N</t>
        </r>
        <r>
          <rPr>
            <u/>
            <sz val="9"/>
            <color indexed="81"/>
            <rFont val="Tahoma"/>
            <family val="2"/>
            <charset val="186"/>
          </rPr>
          <t>atural gas for heating purposes and as propellant</t>
        </r>
        <r>
          <rPr>
            <sz val="9"/>
            <color indexed="81"/>
            <rFont val="Tahoma"/>
            <family val="2"/>
            <charset val="186"/>
          </rPr>
          <t xml:space="preserve"> – </t>
        </r>
        <r>
          <rPr>
            <b/>
            <sz val="9"/>
            <color indexed="81"/>
            <rFont val="Tahoma"/>
            <family val="2"/>
            <charset val="186"/>
          </rPr>
          <t>to 40€ per 1000m3</t>
        </r>
        <r>
          <rPr>
            <sz val="9"/>
            <color indexed="81"/>
            <rFont val="Tahoma"/>
            <family val="2"/>
            <charset val="186"/>
          </rPr>
          <t xml:space="preserve">
Electricity- from 4,47 to 1 € MWh (business and non business use).</t>
        </r>
      </text>
    </comment>
    <comment ref="V194" authorId="0" shapeId="0" xr:uid="{D8005DB7-A94F-41EA-9F67-7D3AA9210FA3}">
      <text>
        <r>
          <rPr>
            <b/>
            <sz val="9"/>
            <color indexed="81"/>
            <rFont val="Tahoma"/>
            <family val="2"/>
            <charset val="186"/>
          </rPr>
          <t>Viktorija Jureviča:</t>
        </r>
        <r>
          <rPr>
            <sz val="9"/>
            <color indexed="81"/>
            <rFont val="Tahoma"/>
            <family val="2"/>
            <charset val="186"/>
          </rPr>
          <t xml:space="preserve">
Lauri Lelumees &lt;Lauri.Lelumees@fin.ee&gt; 
The draft law is discussed at the parliament on oncoming weeks. It’s quite realistic that these changes will be proceeded.
The plan is for 2 years – starting from 1.05.2020 until 30.04.2022  to lower the excise rates of the following products:
The rate of diesel will lowered from 493 € to 372 €.
Agricultural diesel: from 133 to 100 €.
Natural gas for heating purposes and as propellant – to 40€ per 1000m3
</t>
        </r>
        <r>
          <rPr>
            <u/>
            <sz val="9"/>
            <color indexed="81"/>
            <rFont val="Tahoma"/>
            <family val="2"/>
            <charset val="186"/>
          </rPr>
          <t>Electricity- from 4,4</t>
        </r>
        <r>
          <rPr>
            <sz val="9"/>
            <color indexed="81"/>
            <rFont val="Tahoma"/>
            <family val="2"/>
            <charset val="186"/>
          </rPr>
          <t>7</t>
        </r>
        <r>
          <rPr>
            <b/>
            <sz val="9"/>
            <color indexed="81"/>
            <rFont val="Tahoma"/>
            <family val="2"/>
            <charset val="186"/>
          </rPr>
          <t xml:space="preserve"> to 1 € MWh </t>
        </r>
        <r>
          <rPr>
            <sz val="9"/>
            <color indexed="81"/>
            <rFont val="Tahoma"/>
            <family val="2"/>
            <charset val="186"/>
          </rPr>
          <t>(business and non business use).</t>
        </r>
      </text>
    </comment>
    <comment ref="X194" authorId="1" shapeId="0" xr:uid="{5C5C415E-3B65-40FB-BAC0-66075B75ADAD}">
      <text>
        <r>
          <rPr>
            <b/>
            <sz val="9"/>
            <color indexed="81"/>
            <rFont val="Tahoma"/>
            <family val="2"/>
            <charset val="186"/>
          </rPr>
          <t>Ieva Kodoliņa-Miglāne:</t>
        </r>
        <r>
          <rPr>
            <sz val="9"/>
            <color indexed="81"/>
            <rFont val="Tahoma"/>
            <family val="2"/>
            <charset val="186"/>
          </rPr>
          <t xml:space="preserve">
excise duties on electricity were originally to be increased from May 1, the state decided to postpone the increase in these excise duties until 2023.</t>
        </r>
      </text>
    </comment>
    <comment ref="AD209" authorId="0" shapeId="0" xr:uid="{B4008BAF-8197-4DF5-A185-6DACD179664F}">
      <text>
        <r>
          <rPr>
            <b/>
            <sz val="9"/>
            <color indexed="81"/>
            <rFont val="Tahoma"/>
            <family val="2"/>
            <charset val="186"/>
          </rPr>
          <t>EXAMPLE for family (2 adult with six children)</t>
        </r>
        <r>
          <rPr>
            <sz val="9"/>
            <color indexed="81"/>
            <rFont val="Tahoma"/>
            <family val="2"/>
            <charset val="186"/>
          </rPr>
          <t xml:space="preserve"> if family members income does not exceed the relative poverty treshold: 
</t>
        </r>
        <r>
          <rPr>
            <u/>
            <sz val="9"/>
            <color indexed="81"/>
            <rFont val="Tahoma"/>
            <family val="2"/>
            <charset val="186"/>
          </rPr>
          <t>Child allowance</t>
        </r>
        <r>
          <rPr>
            <sz val="9"/>
            <color indexed="81"/>
            <rFont val="Tahoma"/>
            <family val="2"/>
            <charset val="186"/>
          </rPr>
          <t xml:space="preserve">: 60 + 60 + 100 + 100 + 100 + 100 = </t>
        </r>
        <r>
          <rPr>
            <b/>
            <sz val="9"/>
            <color indexed="81"/>
            <rFont val="Tahoma"/>
            <family val="2"/>
            <charset val="186"/>
          </rPr>
          <t xml:space="preserve">520 € </t>
        </r>
        <r>
          <rPr>
            <sz val="9"/>
            <color indexed="81"/>
            <rFont val="Tahoma"/>
            <family val="2"/>
            <charset val="186"/>
          </rPr>
          <t xml:space="preserve">(The amount of the child allowance depends on the number of children in the family: Family with one or two children eligible for the child allowance - 60 euros per child per month; Family with three or more children eligible for the child allowance - 100 euros per child per month starting from the third child.)
</t>
        </r>
        <r>
          <rPr>
            <u/>
            <sz val="9"/>
            <color indexed="81"/>
            <rFont val="Tahoma"/>
            <family val="2"/>
            <charset val="186"/>
          </rPr>
          <t>Parent’s allowance for families</t>
        </r>
        <r>
          <rPr>
            <sz val="9"/>
            <color indexed="81"/>
            <rFont val="Tahoma"/>
            <family val="2"/>
            <charset val="186"/>
          </rPr>
          <t xml:space="preserve">: </t>
        </r>
        <r>
          <rPr>
            <b/>
            <sz val="9"/>
            <color indexed="81"/>
            <rFont val="Tahoma"/>
            <family val="2"/>
            <charset val="186"/>
          </rPr>
          <t>300€</t>
        </r>
        <r>
          <rPr>
            <sz val="9"/>
            <color indexed="81"/>
            <rFont val="Tahoma"/>
            <family val="2"/>
            <charset val="186"/>
          </rPr>
          <t xml:space="preserve">
</t>
        </r>
        <r>
          <rPr>
            <u/>
            <sz val="9"/>
            <color indexed="81"/>
            <rFont val="Tahoma"/>
            <family val="2"/>
            <charset val="186"/>
          </rPr>
          <t>The household allowance</t>
        </r>
        <r>
          <rPr>
            <sz val="9"/>
            <color indexed="81"/>
            <rFont val="Tahoma"/>
            <family val="2"/>
            <charset val="186"/>
          </rPr>
          <t xml:space="preserve"> is in addition to the state family benefit. 
The household allowance 150 + 120 + (6 * 180) = </t>
        </r>
        <r>
          <rPr>
            <b/>
            <sz val="9"/>
            <color indexed="81"/>
            <rFont val="Tahoma"/>
            <family val="2"/>
            <charset val="186"/>
          </rPr>
          <t>1350€</t>
        </r>
        <r>
          <rPr>
            <sz val="9"/>
            <color indexed="81"/>
            <rFont val="Tahoma"/>
            <family val="2"/>
            <charset val="186"/>
          </rPr>
          <t xml:space="preserve">
(The children have to under-age. This means that they are under 18 years of age)
</t>
        </r>
        <r>
          <rPr>
            <b/>
            <sz val="9"/>
            <color indexed="81"/>
            <rFont val="Tahoma"/>
            <family val="2"/>
            <charset val="186"/>
          </rPr>
          <t>All benefits added together for this family would be: 520 + 300 + 1350 = 2170€</t>
        </r>
      </text>
    </comment>
    <comment ref="A210" authorId="1" shapeId="0" xr:uid="{8D50530D-A272-44F9-94B0-15181F55C382}">
      <text>
        <r>
          <rPr>
            <b/>
            <sz val="9"/>
            <color indexed="81"/>
            <rFont val="Tahoma"/>
            <family val="2"/>
            <charset val="186"/>
          </rPr>
          <t>Ieva Kodoliņa-Miglāne:</t>
        </r>
        <r>
          <rPr>
            <sz val="9"/>
            <color indexed="81"/>
            <rFont val="Tahoma"/>
            <family val="2"/>
            <charset val="186"/>
          </rPr>
          <t xml:space="preserve">
Līdz 16 gadiem (līdz 19 gadiem - ja studē)</t>
        </r>
      </text>
    </comment>
    <comment ref="AD210" authorId="1" shapeId="0" xr:uid="{69E746DB-24B0-4726-B531-A21D3F84D0D2}">
      <text>
        <r>
          <rPr>
            <b/>
            <sz val="9"/>
            <color indexed="81"/>
            <rFont val="Tahoma"/>
            <family val="2"/>
            <charset val="186"/>
          </rPr>
          <t>Ieva Kodoliņa-Miglāne:</t>
        </r>
        <r>
          <rPr>
            <sz val="9"/>
            <color indexed="81"/>
            <rFont val="Tahoma"/>
            <family val="2"/>
            <charset val="186"/>
          </rPr>
          <t xml:space="preserve">
Up to 16 years (up to 19 years - if studying)</t>
        </r>
      </text>
    </comment>
    <comment ref="S218" authorId="0" shapeId="0" xr:uid="{6AECB9B6-191C-4E61-A1FF-712E038A2890}">
      <text>
        <r>
          <rPr>
            <b/>
            <sz val="9"/>
            <color indexed="81"/>
            <rFont val="Tahoma"/>
            <family val="2"/>
            <charset val="186"/>
          </rPr>
          <t>Viktorija Jureviča:</t>
        </r>
        <r>
          <rPr>
            <sz val="9"/>
            <color indexed="81"/>
            <rFont val="Tahoma"/>
            <family val="2"/>
            <charset val="186"/>
          </rPr>
          <t xml:space="preserve">
394.00 for one family member
197.00 - for others (14+ yrs)
118.2 - for others (up to 14 yrs)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Viktorija Jureviča</author>
    <author>Daina Dzelme-Urbāne</author>
    <author>Ieva Kodoliņa-Miglāne</author>
    <author>Līga Gudēvica-Liepiņa</author>
    <author>Asta Čingienė</author>
    <author>Jolanta Poškevičienė</author>
    <author>Lina Kažemėkienė</author>
    <author>Gabija Brazauskienė</author>
  </authors>
  <commentList>
    <comment ref="A8" authorId="0" shapeId="0" xr:uid="{8B685376-3D97-40BF-8069-2036C76FD57C}">
      <text/>
    </comment>
    <comment ref="U9" authorId="0" shapeId="0" xr:uid="{7F3C62A0-7933-4A96-A276-7BBAB53CF99D}">
      <text>
        <r>
          <rPr>
            <b/>
            <sz val="9"/>
            <color indexed="81"/>
            <rFont val="Tahoma"/>
            <family val="2"/>
            <charset val="186"/>
          </rPr>
          <t>Daina Dzelme-Urbāne:</t>
        </r>
        <r>
          <rPr>
            <sz val="9"/>
            <color indexed="81"/>
            <rFont val="Tahoma"/>
            <family val="2"/>
            <charset val="186"/>
          </rPr>
          <t xml:space="preserve">
 Lai nodrošinātu, ka nodokļu sistēmas izmaiņas negatīvi neietekmē darbinieku nopelnīto neto algu, darba devējiem būs jāpārrēķina darbinieku bruto alga. 2019. gada 1. janvārī bruto alga būtu jāpārrēķina, reizinot pašreizējo bruto algu ar koeficientu 1,289.
</t>
        </r>
        <r>
          <rPr>
            <b/>
            <sz val="9"/>
            <color indexed="81"/>
            <rFont val="Tahoma"/>
            <family val="2"/>
            <charset val="186"/>
          </rPr>
          <t>https://www.lrs.lt/sip/portal.show?p_r=119&amp;p_k=1&amp;p_t=259701</t>
        </r>
      </text>
    </comment>
    <comment ref="W10" authorId="0" shapeId="0" xr:uid="{601FFDAA-0544-4E58-8174-0BD815831779}">
      <text>
        <r>
          <rPr>
            <b/>
            <sz val="9"/>
            <color indexed="81"/>
            <rFont val="Tahoma"/>
            <family val="2"/>
            <charset val="186"/>
          </rPr>
          <t>Viktorija Jureviča: Gabija Brazauskiene &lt;Gabija.Brazauskiene@finmin.lt&gt; 10.11.2020.</t>
        </r>
        <r>
          <rPr>
            <sz val="9"/>
            <color indexed="81"/>
            <rFont val="Tahoma"/>
            <family val="2"/>
            <charset val="186"/>
          </rPr>
          <t xml:space="preserve">
20% from gross amount for income up to 60 AAW*
*AAW - annual average wage. AAW for 2020 is 1241 EUR, AAW for 2021 – 1353 EUR (not yet been approved by the Seimas)  </t>
        </r>
      </text>
    </comment>
    <comment ref="U11" authorId="1" shapeId="0" xr:uid="{68EB57A7-82CA-42DC-BAAF-B453B8E20943}">
      <text>
        <r>
          <rPr>
            <b/>
            <sz val="9"/>
            <color indexed="81"/>
            <rFont val="Tahoma"/>
            <family val="2"/>
            <charset val="186"/>
          </rPr>
          <t>Daina Dzelme-Urbāne:</t>
        </r>
        <r>
          <rPr>
            <sz val="9"/>
            <color indexed="81"/>
            <rFont val="Tahoma"/>
            <family val="2"/>
            <charset val="186"/>
          </rPr>
          <t xml:space="preserve">
Nodokļu likmi 27% piemēro ienākumam, kas pārsniedz VSAOI objekta maksimālo apmēru:
120 vidējo algu apmērs 2019.gadā,
84 vidējo algu apmērs 2020.gadā,
60 vidējo algu apmērs 2021.gadā.
The tax rate 27% will be applied to income exceeding Ceiling for SSC (except for health insurance): 
120 times the average monthly salaries per year in 2019;
84 times the average monthly salaries per year in 2020;
60 times the average monthly salaries per year in 2021.</t>
        </r>
      </text>
    </comment>
    <comment ref="W11" authorId="0" shapeId="0" xr:uid="{898DA96E-ED79-410B-83CE-7023881E93B2}">
      <text>
        <r>
          <rPr>
            <b/>
            <sz val="9"/>
            <color indexed="81"/>
            <rFont val="Tahoma"/>
            <family val="2"/>
            <charset val="186"/>
          </rPr>
          <t xml:space="preserve">Viktorija Jureviča:
</t>
        </r>
        <r>
          <rPr>
            <sz val="9"/>
            <color indexed="81"/>
            <rFont val="Tahoma"/>
            <family val="2"/>
            <charset val="186"/>
          </rPr>
          <t>Higher max progressive PIT rate on  labor income</t>
        </r>
        <r>
          <rPr>
            <b/>
            <sz val="9"/>
            <color indexed="81"/>
            <rFont val="Tahoma"/>
            <family val="2"/>
            <charset val="186"/>
          </rPr>
          <t xml:space="preserve">
32 % on labor income exceeding  
  84 </t>
        </r>
        <r>
          <rPr>
            <sz val="9"/>
            <color indexed="81"/>
            <rFont val="Tahoma"/>
            <family val="2"/>
            <charset val="186"/>
          </rPr>
          <t xml:space="preserve">AMW in </t>
        </r>
        <r>
          <rPr>
            <b/>
            <sz val="9"/>
            <color indexed="81"/>
            <rFont val="Tahoma"/>
            <family val="2"/>
            <charset val="186"/>
          </rPr>
          <t xml:space="preserve">2020 (104 244 EUR)  
  60 </t>
        </r>
        <r>
          <rPr>
            <sz val="9"/>
            <color indexed="81"/>
            <rFont val="Tahoma"/>
            <family val="2"/>
            <charset val="186"/>
          </rPr>
          <t>AMW in</t>
        </r>
        <r>
          <rPr>
            <b/>
            <sz val="9"/>
            <color indexed="81"/>
            <rFont val="Tahoma"/>
            <family val="2"/>
            <charset val="186"/>
          </rPr>
          <t xml:space="preserve"> 2021 (81 162 EUR) and onwards
</t>
        </r>
      </text>
    </comment>
    <comment ref="I14" authorId="0" shapeId="0" xr:uid="{458BA4F8-874B-4331-940B-53209B8132E2}">
      <text>
        <r>
          <rPr>
            <b/>
            <sz val="9"/>
            <color indexed="81"/>
            <rFont val="Tahoma"/>
            <family val="2"/>
            <charset val="186"/>
          </rPr>
          <t>Viktorija Jureviča:</t>
        </r>
        <r>
          <rPr>
            <sz val="9"/>
            <color indexed="81"/>
            <rFont val="Tahoma"/>
            <family val="2"/>
            <charset val="186"/>
          </rPr>
          <t xml:space="preserve">
15% for activities of sportpersons and artists; other personal activities if person decides not to deduct expences</t>
        </r>
      </text>
    </comment>
    <comment ref="J14" authorId="0" shapeId="0" xr:uid="{C9382B0C-7AE7-44E7-A4F5-C1200A773A94}">
      <text>
        <r>
          <rPr>
            <b/>
            <sz val="9"/>
            <color indexed="81"/>
            <rFont val="Tahoma"/>
            <family val="2"/>
            <charset val="186"/>
          </rPr>
          <t>Viktorija Jureviča:</t>
        </r>
        <r>
          <rPr>
            <sz val="9"/>
            <color indexed="81"/>
            <rFont val="Tahoma"/>
            <family val="2"/>
            <charset val="186"/>
          </rPr>
          <t xml:space="preserve">
15% for activities of sportpersons and artists; other personal activities if person decides not to deduct expences</t>
        </r>
      </text>
    </comment>
    <comment ref="L14" authorId="0" shapeId="0" xr:uid="{18CFE891-E574-49E8-B80E-5900517E1FF4}">
      <text>
        <r>
          <rPr>
            <b/>
            <sz val="9"/>
            <color indexed="81"/>
            <rFont val="Tahoma"/>
            <family val="2"/>
            <charset val="186"/>
          </rPr>
          <t>Viktorija Jureviča:</t>
        </r>
        <r>
          <rPr>
            <sz val="9"/>
            <color indexed="81"/>
            <rFont val="Tahoma"/>
            <family val="2"/>
            <charset val="186"/>
          </rPr>
          <t xml:space="preserve">
 (exept of liberal professions, income from which are subject to 15% tax rate)
</t>
        </r>
      </text>
    </comment>
    <comment ref="M14" authorId="0" shapeId="0" xr:uid="{3AC8BD3A-70A5-4AD8-9A3B-FB4DF4C6E47F}">
      <text>
        <r>
          <rPr>
            <b/>
            <sz val="9"/>
            <color indexed="81"/>
            <rFont val="Tahoma"/>
            <family val="2"/>
            <charset val="186"/>
          </rPr>
          <t>Viktorija Jureviča:</t>
        </r>
        <r>
          <rPr>
            <sz val="9"/>
            <color indexed="81"/>
            <rFont val="Tahoma"/>
            <family val="2"/>
            <charset val="186"/>
          </rPr>
          <t xml:space="preserve">
 (exept of liberal professions, income from which are subject to 15% tax rate)</t>
        </r>
      </text>
    </comment>
    <comment ref="N14" authorId="0" shapeId="0" xr:uid="{7679B59D-837D-422C-85A2-86AF61E4FDA3}">
      <text>
        <r>
          <rPr>
            <b/>
            <sz val="9"/>
            <color indexed="81"/>
            <rFont val="Tahoma"/>
            <family val="2"/>
            <charset val="186"/>
          </rPr>
          <t>Viktorija Jureviča:</t>
        </r>
        <r>
          <rPr>
            <sz val="9"/>
            <color indexed="81"/>
            <rFont val="Tahoma"/>
            <family val="2"/>
            <charset val="186"/>
          </rPr>
          <t xml:space="preserve">
 (exept of liberal professions, income from which are subject to 15% tax rate)</t>
        </r>
      </text>
    </comment>
    <comment ref="O14" authorId="0" shapeId="0" xr:uid="{FC523392-3168-4BF8-8F2F-61FA46F7CE4A}">
      <text>
        <r>
          <rPr>
            <b/>
            <sz val="9"/>
            <color indexed="81"/>
            <rFont val="Tahoma"/>
            <family val="2"/>
            <charset val="186"/>
          </rPr>
          <t>Viktorija Jureviča:</t>
        </r>
        <r>
          <rPr>
            <sz val="9"/>
            <color indexed="81"/>
            <rFont val="Tahoma"/>
            <family val="2"/>
            <charset val="186"/>
          </rPr>
          <t xml:space="preserve">
 (exept of liberal professions, income from which are subject to 15% tax rate)</t>
        </r>
      </text>
    </comment>
    <comment ref="P14" authorId="0" shapeId="0" xr:uid="{0A1D3280-182C-4F84-8213-3AD51C12908A}">
      <text>
        <r>
          <rPr>
            <b/>
            <sz val="9"/>
            <color indexed="81"/>
            <rFont val="Tahoma"/>
            <family val="2"/>
            <charset val="186"/>
          </rPr>
          <t>Viktorija Jureviča:</t>
        </r>
        <r>
          <rPr>
            <sz val="9"/>
            <color indexed="81"/>
            <rFont val="Tahoma"/>
            <family val="2"/>
            <charset val="186"/>
          </rPr>
          <t xml:space="preserve">
 (exept of liberal professions, income from which are subject to 15% tax rate)</t>
        </r>
      </text>
    </comment>
    <comment ref="Q14" authorId="0" shapeId="0" xr:uid="{D6028EF7-49B5-487C-B2C0-0CA5FA653E42}">
      <text>
        <r>
          <rPr>
            <b/>
            <sz val="9"/>
            <color indexed="81"/>
            <rFont val="Tahoma"/>
            <family val="2"/>
            <charset val="186"/>
          </rPr>
          <t>Viktorija Jureviča:</t>
        </r>
        <r>
          <rPr>
            <sz val="9"/>
            <color indexed="81"/>
            <rFont val="Tahoma"/>
            <family val="2"/>
            <charset val="186"/>
          </rPr>
          <t xml:space="preserve">
 (exept of liberal professions, income from which are subject to 15% tax rate)</t>
        </r>
      </text>
    </comment>
    <comment ref="R14" authorId="0" shapeId="0" xr:uid="{A937FA32-68FC-4D74-89ED-0698EE880444}">
      <text>
        <r>
          <rPr>
            <b/>
            <sz val="9"/>
            <color indexed="81"/>
            <rFont val="Tahoma"/>
            <family val="2"/>
            <charset val="186"/>
          </rPr>
          <t>Viktorija Jureviča:</t>
        </r>
        <r>
          <rPr>
            <sz val="9"/>
            <color indexed="81"/>
            <rFont val="Tahoma"/>
            <family val="2"/>
            <charset val="186"/>
          </rPr>
          <t xml:space="preserve">
 (exept of liberal professions, income from which are subject to 15% tax rate)</t>
        </r>
      </text>
    </comment>
    <comment ref="S14" authorId="0" shapeId="0" xr:uid="{373D33FB-FB7D-4135-9801-E3600090E898}">
      <text>
        <r>
          <rPr>
            <b/>
            <sz val="9"/>
            <color indexed="81"/>
            <rFont val="Tahoma"/>
            <family val="2"/>
            <charset val="186"/>
          </rPr>
          <t>Viktorija Jureviča:</t>
        </r>
        <r>
          <rPr>
            <sz val="9"/>
            <color indexed="81"/>
            <rFont val="Tahoma"/>
            <family val="2"/>
            <charset val="186"/>
          </rPr>
          <t xml:space="preserve">
 (exept of liberal professions, income from which are subject to 15% tax rate)</t>
        </r>
      </text>
    </comment>
    <comment ref="T14" authorId="0" shapeId="0" xr:uid="{AC2D8A97-8277-40E2-B4C2-8B3B8044231C}">
      <text>
        <r>
          <rPr>
            <b/>
            <sz val="9"/>
            <color indexed="81"/>
            <rFont val="Tahoma"/>
            <family val="2"/>
            <charset val="186"/>
          </rPr>
          <t>Viktorija Jureviča:</t>
        </r>
        <r>
          <rPr>
            <sz val="9"/>
            <color indexed="81"/>
            <rFont val="Tahoma"/>
            <family val="2"/>
            <charset val="186"/>
          </rPr>
          <t xml:space="preserve">
Taxation of self employed (individual activities) depends on the amount of profits gained over a year (and not on the type of professional activities). The actual level of taxation of individual activities will be adjusted by applying a 15% PIT rate and reducing the calculated personal income tax by applying a tax credit. Profits from individual activities not exceeding EUR 20,000 per year would be effectively taxed at 5% rate, which would gradually reach taxation by a 15% rate when profits reach EUR 35,000 per year or more.</t>
        </r>
      </text>
    </comment>
    <comment ref="A17" authorId="2" shapeId="0" xr:uid="{28009827-C333-4E34-AC2D-C05A373211BD}">
      <text>
        <r>
          <rPr>
            <b/>
            <sz val="9"/>
            <color indexed="81"/>
            <rFont val="Tahoma"/>
            <family val="2"/>
            <charset val="186"/>
          </rPr>
          <t>Ieva Kodoliņa-Miglāne:</t>
        </r>
        <r>
          <rPr>
            <sz val="9"/>
            <color indexed="81"/>
            <rFont val="Tahoma"/>
            <family val="2"/>
            <charset val="186"/>
          </rPr>
          <t xml:space="preserve">
Lietuvā jau no 01.01.2009.  ieviests diferencētais NM, kas tiek piemērots atkarībā no ienākuma līmeņa. No 2009.-2013.gadam:
1) ienākumiem līdz EUR 231,70 (LTL 800 ) mēnesī - NM ir EUR 136,12 (LTL 470) mēnesīī;
2) ienākumiem no EUR 231,70 - 912,30 (LTL 800 - 3 150) mēnesī - NM atbilstoši formulai pakāpeniski samazinās;
3) ienākumiem virs 1912,30 (LTL 800 - 3 150) mēnesī - NM ir 0.</t>
        </r>
      </text>
    </comment>
    <comment ref="P17" authorId="0" shapeId="0" xr:uid="{9C9D36D1-719A-4937-933F-3D40011977D7}">
      <text>
        <r>
          <rPr>
            <b/>
            <sz val="9"/>
            <color indexed="81"/>
            <rFont val="Tahoma"/>
            <family val="2"/>
            <charset val="186"/>
          </rPr>
          <t xml:space="preserve">Viktorija Jureviča:
</t>
        </r>
        <r>
          <rPr>
            <sz val="9"/>
            <color indexed="81"/>
            <rFont val="Tahoma"/>
            <family val="2"/>
            <charset val="186"/>
          </rPr>
          <t>Ja apliekamais ienākums (alga, ieguvumi..) ir: 
1) līdz 1000 LTL/m. (</t>
        </r>
        <r>
          <rPr>
            <b/>
            <sz val="9"/>
            <color indexed="81"/>
            <rFont val="Tahoma"/>
            <family val="2"/>
            <charset val="186"/>
          </rPr>
          <t>290 eu</t>
        </r>
        <r>
          <rPr>
            <sz val="9"/>
            <color indexed="81"/>
            <rFont val="Tahoma"/>
            <family val="2"/>
            <charset val="186"/>
          </rPr>
          <t>r), tad neapliekamais  apjoms ir  570 LTL/m.</t>
        </r>
        <r>
          <rPr>
            <b/>
            <sz val="9"/>
            <color indexed="81"/>
            <rFont val="Tahoma"/>
            <family val="2"/>
            <charset val="186"/>
          </rPr>
          <t xml:space="preserve"> (165 eur</t>
        </r>
        <r>
          <rPr>
            <sz val="9"/>
            <color indexed="81"/>
            <rFont val="Tahoma"/>
            <family val="2"/>
            <charset val="186"/>
          </rPr>
          <t>).
2) no 1000 - 3192 LTL/m (</t>
        </r>
        <r>
          <rPr>
            <b/>
            <sz val="9"/>
            <color indexed="81"/>
            <rFont val="Tahoma"/>
            <family val="2"/>
            <charset val="186"/>
          </rPr>
          <t>290 - 924 eu</t>
        </r>
        <r>
          <rPr>
            <sz val="9"/>
            <color indexed="81"/>
            <rFont val="Tahoma"/>
            <family val="2"/>
            <charset val="186"/>
          </rPr>
          <t>r), tad</t>
        </r>
        <r>
          <rPr>
            <u/>
            <sz val="9"/>
            <color indexed="81"/>
            <rFont val="Tahoma"/>
            <family val="2"/>
            <charset val="186"/>
          </rPr>
          <t xml:space="preserve"> piemēro formulu</t>
        </r>
        <r>
          <rPr>
            <sz val="9"/>
            <color indexed="81"/>
            <rFont val="Tahoma"/>
            <family val="2"/>
            <charset val="186"/>
          </rPr>
          <t xml:space="preserve"> = </t>
        </r>
        <r>
          <rPr>
            <b/>
            <sz val="9"/>
            <color indexed="81"/>
            <rFont val="Tahoma"/>
            <family val="2"/>
            <charset val="186"/>
          </rPr>
          <t xml:space="preserve">165 eur - 0,26 *(mēneša ienākums - 290 eur)
3) </t>
        </r>
        <r>
          <rPr>
            <sz val="9"/>
            <color indexed="81"/>
            <rFont val="Tahoma"/>
            <family val="2"/>
            <charset val="186"/>
          </rPr>
          <t>Pie negatīvas zīmes (t.i.,</t>
        </r>
        <r>
          <rPr>
            <b/>
            <sz val="9"/>
            <color indexed="81"/>
            <rFont val="Tahoma"/>
            <family val="2"/>
            <charset val="186"/>
          </rPr>
          <t xml:space="preserve"> ~</t>
        </r>
        <r>
          <rPr>
            <sz val="9"/>
            <color indexed="81"/>
            <rFont val="Tahoma"/>
            <family val="2"/>
            <charset val="186"/>
          </rPr>
          <t xml:space="preserve"> 3195LTL vai </t>
        </r>
        <r>
          <rPr>
            <b/>
            <sz val="9"/>
            <color indexed="81"/>
            <rFont val="Tahoma"/>
            <family val="2"/>
            <charset val="186"/>
          </rPr>
          <t>925eu</t>
        </r>
        <r>
          <rPr>
            <sz val="9"/>
            <color indexed="81"/>
            <rFont val="Tahoma"/>
            <family val="2"/>
            <charset val="186"/>
          </rPr>
          <t xml:space="preserve">r) nav neapliekamā apjoma. Tātad IIN aprēķina no </t>
        </r>
        <r>
          <rPr>
            <b/>
            <sz val="9"/>
            <color indexed="81"/>
            <rFont val="Tahoma"/>
            <family val="2"/>
            <charset val="186"/>
          </rPr>
          <t>0</t>
        </r>
        <r>
          <rPr>
            <sz val="9"/>
            <color indexed="81"/>
            <rFont val="Tahoma"/>
            <family val="2"/>
            <charset val="186"/>
          </rPr>
          <t>.
If the taxable income (salary, benefits..) is:
1) up to 1000 LTL per moth (</t>
        </r>
        <r>
          <rPr>
            <b/>
            <sz val="9"/>
            <color indexed="81"/>
            <rFont val="Tahoma"/>
            <family val="2"/>
            <charset val="186"/>
          </rPr>
          <t>290 EUR</t>
        </r>
        <r>
          <rPr>
            <sz val="9"/>
            <color indexed="81"/>
            <rFont val="Tahoma"/>
            <family val="2"/>
            <charset val="186"/>
          </rPr>
          <t>), the non-taxable amount is 570 LTL per month</t>
        </r>
        <r>
          <rPr>
            <b/>
            <sz val="9"/>
            <color indexed="81"/>
            <rFont val="Tahoma"/>
            <family val="2"/>
            <charset val="186"/>
          </rPr>
          <t xml:space="preserve"> (165 EUR)</t>
        </r>
        <r>
          <rPr>
            <sz val="9"/>
            <color indexed="81"/>
            <rFont val="Tahoma"/>
            <family val="2"/>
            <charset val="186"/>
          </rPr>
          <t>.
2) from 1000 to 3192 LTL per month (</t>
        </r>
        <r>
          <rPr>
            <b/>
            <sz val="9"/>
            <color indexed="81"/>
            <rFont val="Tahoma"/>
            <family val="2"/>
            <charset val="186"/>
          </rPr>
          <t>290 - 924 EUR</t>
        </r>
        <r>
          <rPr>
            <sz val="9"/>
            <color indexed="81"/>
            <rFont val="Tahoma"/>
            <family val="2"/>
            <charset val="186"/>
          </rPr>
          <t>), then the formula = 165 EUR - 0.26 * (monthly income - 290 EUR) is applied.
3) third case when calculated by the formula NPD is negative, it is assumed that it is equal to 0.</t>
        </r>
      </text>
    </comment>
    <comment ref="W17" authorId="0" shapeId="0" xr:uid="{46625B13-7631-416A-AE65-DC818E3B8678}">
      <text>
        <r>
          <rPr>
            <b/>
            <sz val="9"/>
            <color indexed="81"/>
            <rFont val="Tahoma"/>
            <family val="2"/>
            <charset val="186"/>
          </rPr>
          <t>Viktorija Jureviča: Gabija Brazauskiene &lt;Gabija.Brazauskiene@finmin.lt&gt; 10.11.2020.</t>
        </r>
        <r>
          <rPr>
            <sz val="9"/>
            <color indexed="81"/>
            <rFont val="Tahoma"/>
            <family val="2"/>
            <charset val="186"/>
          </rPr>
          <t xml:space="preserve">
Starting from 1 January 2021 the monthly tax exempt amount will be calculated according to the formula 400-0,18*(monthly salary - 642) and annual tax exempt amount according to the formula 4800-0,18*(annual income of an individual -7704)</t>
        </r>
      </text>
    </comment>
    <comment ref="AD17" authorId="2" shapeId="0" xr:uid="{8B72BC32-52C0-434F-89D0-16216D7D29F9}">
      <text>
        <r>
          <rPr>
            <b/>
            <sz val="9"/>
            <color indexed="81"/>
            <rFont val="Tahoma"/>
            <family val="2"/>
            <charset val="186"/>
          </rPr>
          <t>Ieva Kodoliņa-Miglāne:</t>
        </r>
        <r>
          <rPr>
            <sz val="9"/>
            <color indexed="81"/>
            <rFont val="Tahoma"/>
            <family val="2"/>
            <charset val="186"/>
          </rPr>
          <t xml:space="preserve">
In Lithuania from January 1, 2009  a differentiated NM has been introduced, which is applied depending on the level of income. From 2009 to 2013:
1) for income up to EUR 231,70 (LTL 800) per month - NM is EUR 136,12 (LTL 470) per month;
2) for income from EUR 231,70 - 912,30 (LTL 800 - 3 150) per month - NM according to the formula is gradually decreasing;
3) for income over 1912,30 (LTL 800 - 3 150) per month - NM is 0.</t>
        </r>
      </text>
    </comment>
    <comment ref="U19" authorId="1" shapeId="0" xr:uid="{1073CF5A-2BD8-4EA7-81F3-A6C5B884CCA9}">
      <text>
        <r>
          <rPr>
            <b/>
            <sz val="9"/>
            <color indexed="81"/>
            <rFont val="Tahoma"/>
            <family val="2"/>
            <charset val="186"/>
          </rPr>
          <t>Daina Dzelme-Urbāne:</t>
        </r>
        <r>
          <rPr>
            <sz val="9"/>
            <color indexed="81"/>
            <rFont val="Tahoma"/>
            <family val="2"/>
            <charset val="186"/>
          </rPr>
          <t xml:space="preserve">
despite nominal decrease in non-taxable minimum (300 euros in 2019 compared with 380 euros in 2018), taking into account the increase in PIT rate (from 15% to 20% in 2019) the gain from non-taxable minimum in 2019 increases compared to 2018, as (300 euros * 20%) &gt; (380 euros * 15%)</t>
        </r>
      </text>
    </comment>
    <comment ref="V22" authorId="0" shapeId="0" xr:uid="{5EEC213C-79C0-4B71-ADD4-D74A98DD777E}">
      <text>
        <r>
          <rPr>
            <b/>
            <sz val="9"/>
            <color indexed="81"/>
            <rFont val="Tahoma"/>
            <family val="2"/>
            <charset val="186"/>
          </rPr>
          <t>Viktorija Jureviča:</t>
        </r>
        <r>
          <rPr>
            <sz val="9"/>
            <color indexed="81"/>
            <rFont val="Tahoma"/>
            <family val="2"/>
            <charset val="186"/>
          </rPr>
          <t xml:space="preserve">
Is the Coefficient 0,19 correct? 
02.02,2021. 
</t>
        </r>
        <r>
          <rPr>
            <b/>
            <sz val="9"/>
            <color indexed="81"/>
            <rFont val="Tahoma"/>
            <family val="2"/>
            <charset val="186"/>
          </rPr>
          <t>LT</t>
        </r>
        <r>
          <rPr>
            <sz val="9"/>
            <color indexed="81"/>
            <rFont val="Tahoma"/>
            <family val="2"/>
            <charset val="186"/>
          </rPr>
          <t xml:space="preserve"> Yes, Coefficient 0,19 is  correct</t>
        </r>
      </text>
    </comment>
    <comment ref="A23" authorId="0" shapeId="0" xr:uid="{2B81EAB5-A580-4FE1-8BFA-C7F9ADF2D32C}">
      <text>
        <r>
          <rPr>
            <b/>
            <sz val="9"/>
            <color indexed="81"/>
            <rFont val="Tahoma"/>
            <family val="2"/>
            <charset val="186"/>
          </rPr>
          <t xml:space="preserve">Pensijas netiek apliektas ar nodokli. </t>
        </r>
        <r>
          <rPr>
            <sz val="9"/>
            <color indexed="81"/>
            <rFont val="Tahoma"/>
            <family val="2"/>
            <charset val="186"/>
          </rPr>
          <t xml:space="preserve">
Pensionāriem piemēro tādu pašu nodokļu režīmu kā citām personām.</t>
        </r>
      </text>
    </comment>
    <comment ref="AD23" authorId="0" shapeId="0" xr:uid="{7B6181D7-BC7F-40A6-9B48-74D52C1E983A}">
      <text>
        <r>
          <rPr>
            <sz val="9"/>
            <color indexed="81"/>
            <rFont val="Tahoma"/>
            <family val="2"/>
            <charset val="186"/>
          </rPr>
          <t>02.02.2021.</t>
        </r>
        <r>
          <rPr>
            <b/>
            <sz val="9"/>
            <color indexed="81"/>
            <rFont val="Tahoma"/>
            <family val="2"/>
            <charset val="186"/>
          </rPr>
          <t xml:space="preserve"> LT</t>
        </r>
        <r>
          <rPr>
            <sz val="9"/>
            <color indexed="81"/>
            <rFont val="Tahoma"/>
            <family val="2"/>
            <charset val="186"/>
          </rPr>
          <t xml:space="preserve"> pensions are not taxable. Pensioners are subject to the same tax treatment as other individuals.</t>
        </r>
      </text>
    </comment>
    <comment ref="A24" authorId="2" shapeId="0" xr:uid="{F0FA5386-A3EE-4C0F-B00B-9A69924A1450}">
      <text>
        <r>
          <rPr>
            <b/>
            <sz val="9"/>
            <color indexed="81"/>
            <rFont val="Tahoma"/>
            <family val="2"/>
            <charset val="186"/>
          </rPr>
          <t>Ieva Kodoliņa-Miglāne:</t>
        </r>
        <r>
          <rPr>
            <sz val="9"/>
            <color indexed="81"/>
            <rFont val="Tahoma"/>
            <family val="2"/>
            <charset val="186"/>
          </rPr>
          <t xml:space="preserve">
Par bērniem līdz 18 gadu vecumam</t>
        </r>
      </text>
    </comment>
    <comment ref="T24" authorId="2" shapeId="0" xr:uid="{A17DFDA0-07C0-4ABB-84FD-36C8867C9E5C}">
      <text>
        <r>
          <rPr>
            <b/>
            <sz val="9"/>
            <color indexed="81"/>
            <rFont val="Tahoma"/>
            <family val="2"/>
            <charset val="186"/>
          </rPr>
          <t>Ieva Kodoliņa-Miglāne:</t>
        </r>
        <r>
          <rPr>
            <sz val="9"/>
            <color indexed="81"/>
            <rFont val="Tahoma"/>
            <family val="2"/>
            <charset val="186"/>
          </rPr>
          <t xml:space="preserve">
Lietuvā no 2018.gada atvieglojums par bērniem ir atcelts, bet tas aizstāts ar  ģimenes valsts pabalstu.
In Lithuania from 2018 allowance for children has been abolished, but it has been replaced with state family benefits. </t>
        </r>
      </text>
    </comment>
    <comment ref="AD24" authorId="2" shapeId="0" xr:uid="{B99EA000-E025-4E30-8B7E-453126737FD7}">
      <text>
        <r>
          <rPr>
            <b/>
            <sz val="9"/>
            <color indexed="81"/>
            <rFont val="Tahoma"/>
            <family val="2"/>
            <charset val="186"/>
          </rPr>
          <t>Ieva Kodoliņa-Miglāne:</t>
        </r>
        <r>
          <rPr>
            <sz val="9"/>
            <color indexed="81"/>
            <rFont val="Tahoma"/>
            <family val="2"/>
            <charset val="186"/>
          </rPr>
          <t xml:space="preserve">
For children under 18 years of age</t>
        </r>
      </text>
    </comment>
    <comment ref="U41" authorId="0" shapeId="0" xr:uid="{C2934A9E-D827-4217-A52D-8B44D13A929D}">
      <text>
        <r>
          <rPr>
            <b/>
            <sz val="9"/>
            <color indexed="81"/>
            <rFont val="Tahoma"/>
            <family val="2"/>
            <charset val="186"/>
          </rPr>
          <t>Daina Dzelme-Urbāne:</t>
        </r>
        <r>
          <rPr>
            <sz val="9"/>
            <color indexed="81"/>
            <rFont val="Tahoma"/>
            <family val="2"/>
            <charset val="186"/>
          </rPr>
          <t xml:space="preserve">
Atvieglojums ir īslaicīgs un tiks piemērots 2019., 2020. un 2021. kalendārajam gadam
</t>
        </r>
        <r>
          <rPr>
            <b/>
            <sz val="9"/>
            <color indexed="81"/>
            <rFont val="Tahoma"/>
            <family val="2"/>
            <charset val="186"/>
          </rPr>
          <t>http://taxsummaries.pwc.com/ID/Lithuania-Individual-Significant-developments</t>
        </r>
      </text>
    </comment>
    <comment ref="AD42" authorId="0" shapeId="0" xr:uid="{26DD6D66-4928-49F4-8A62-8B6562CF773D}">
      <text>
        <r>
          <rPr>
            <b/>
            <sz val="9"/>
            <color indexed="81"/>
            <rFont val="Tahoma"/>
            <family val="2"/>
            <charset val="186"/>
          </rPr>
          <t>Viktorija Jureviča:</t>
        </r>
        <r>
          <rPr>
            <sz val="9"/>
            <color indexed="81"/>
            <rFont val="Tahoma"/>
            <family val="2"/>
            <charset val="186"/>
          </rPr>
          <t xml:space="preserve">
Incentive was abolished from 2009</t>
        </r>
      </text>
    </comment>
    <comment ref="AD43" authorId="0" shapeId="0" xr:uid="{66F393CE-87C7-4FF8-822B-3BC27F0DF7C6}">
      <text>
        <r>
          <rPr>
            <b/>
            <sz val="9"/>
            <color indexed="81"/>
            <rFont val="Tahoma"/>
            <family val="2"/>
            <charset val="186"/>
          </rPr>
          <t>Daina Dzelme-Urbāne:</t>
        </r>
        <r>
          <rPr>
            <sz val="9"/>
            <color indexed="81"/>
            <rFont val="Tahoma"/>
            <family val="2"/>
            <charset val="186"/>
          </rPr>
          <t xml:space="preserve">
Saskaņā ar jaunajiem noteikumiem, darba ņēmējs maksās pensiju, slimības, maternitātes un veselības sociālās apdrošināšanas iemaksas, bet darba devējiem būs jāmaksā tikai bezdarba un nelaimes gadījumiem darbā un arodslimībām sociālās apdrošināšanas iemaksas.
No 2019.gada sociālās apdrošināšanas pensiju pilnībā finansēs no valsts budžeta (pirms tam pensiju finansēja no valsts sociālās apdrošināšanas fonda)
</t>
        </r>
        <r>
          <rPr>
            <b/>
            <sz val="9"/>
            <color indexed="81"/>
            <rFont val="Tahoma"/>
            <family val="2"/>
            <charset val="186"/>
          </rPr>
          <t>https://www.lrs.lt/sip/portal.show?p_r=119&amp;p_k=1&amp;p_t=259701</t>
        </r>
      </text>
    </comment>
    <comment ref="A59" authorId="2" shapeId="0" xr:uid="{67311D18-A53D-4CFF-B13D-C676864185F8}">
      <text>
        <r>
          <rPr>
            <sz val="9"/>
            <color indexed="81"/>
            <rFont val="Tahoma"/>
            <family val="2"/>
            <charset val="186"/>
          </rPr>
          <t xml:space="preserve">Vispārējā nelaimes gadījumu darbā un arodslimību apdrošināšanas likme - 0,16 %. Praksē tiek piemērotas četras nelaimes gadījumu darbā un arodslimību apdrošināšanas iemaksu likmes kategorijas atkarībā no uzņēmuma riska profila:
I kategorija - 0,14 procenti;
II kategorija - 0,47 procenti;
III kategorija - 0,7 procenti;
IV kategorija - 1,4 procenti.
</t>
        </r>
      </text>
    </comment>
    <comment ref="AD59" authorId="2" shapeId="0" xr:uid="{DFF66AE1-34DD-45B3-B46A-5179FDF5298A}">
      <text>
        <r>
          <rPr>
            <b/>
            <sz val="9"/>
            <color indexed="81"/>
            <rFont val="Tahoma"/>
            <family val="2"/>
            <charset val="186"/>
          </rPr>
          <t>Ieva Kodoliņa-Miglāne:</t>
        </r>
        <r>
          <rPr>
            <sz val="9"/>
            <color indexed="81"/>
            <rFont val="Tahoma"/>
            <family val="2"/>
            <charset val="186"/>
          </rPr>
          <t xml:space="preserve">
The overall rate of the state social insurance contributions for accidents at work and occupational diseases range between 0,3 – 0.2 percent.  </t>
        </r>
      </text>
    </comment>
    <comment ref="P68" authorId="3" shapeId="0" xr:uid="{B211D624-8272-4E95-86E0-195877550367}">
      <text>
        <r>
          <rPr>
            <b/>
            <sz val="9"/>
            <color indexed="81"/>
            <rFont val="Tahoma"/>
            <family val="2"/>
            <charset val="186"/>
          </rPr>
          <t>Līga Gudēvica-Liepiņa:</t>
        </r>
        <r>
          <rPr>
            <sz val="9"/>
            <color indexed="81"/>
            <rFont val="Tahoma"/>
            <family val="2"/>
            <charset val="186"/>
          </rPr>
          <t xml:space="preserve">
I var. 2% pārskaita no valsts sociālās apdrošināšanas fonda + 1% brīvprātīgi + 1% maksā valsts no vidējās algas valstī
II var. 2% pārskaita no valsts sociālās apdrošināšana fonda</t>
        </r>
      </text>
    </comment>
    <comment ref="R68" authorId="3" shapeId="0" xr:uid="{6C7E4D27-20A9-4794-B4E9-7382EBA1A33D}">
      <text>
        <r>
          <rPr>
            <b/>
            <sz val="9"/>
            <color indexed="81"/>
            <rFont val="Tahoma"/>
            <family val="2"/>
            <charset val="186"/>
          </rPr>
          <t>Līga Gudēvica-Liepiņa:</t>
        </r>
        <r>
          <rPr>
            <sz val="9"/>
            <color indexed="81"/>
            <rFont val="Tahoma"/>
            <family val="2"/>
            <charset val="186"/>
          </rPr>
          <t xml:space="preserve">
I var. 2% pārskaita no valsts sociālās apdrošināšanas fonda + 2% brīvprātīgi + 2% maksā valsts no vidējās algas valstī
II var. 2% pārskaita no valsts sociālās apdrošināšana fonda</t>
        </r>
      </text>
    </comment>
    <comment ref="U68" authorId="3" shapeId="0" xr:uid="{BE0C6CC5-3487-41B9-A9B6-A649A5BAD439}">
      <text>
        <r>
          <rPr>
            <b/>
            <sz val="9"/>
            <color indexed="81"/>
            <rFont val="Tahoma"/>
            <family val="2"/>
            <charset val="186"/>
          </rPr>
          <t>Līga Gudēvica-Liepiņa:</t>
        </r>
        <r>
          <rPr>
            <sz val="9"/>
            <color indexed="81"/>
            <rFont val="Tahoma"/>
            <family val="2"/>
            <charset val="186"/>
          </rPr>
          <t xml:space="preserve">
No 2019.g. valsts sociālās apdrošināšanas fonds neveic pārskaitījumus uz II pens. līmeni.
Turpmāk brīvprātīgi 3% no algas + 1,5% maksā valsts no valstī vidējās algas. Tiem, kuri līdz šim nav bijuši iesaistīti pensiju shēmā, un tiem, kuri iepriekš veikuši pensiju iemaksu, kas sastāv no 2% no Valsts sociālās apdrošināšanas fondā veiktās iemaksas, iemaksu pakāpeniski varēs palielināt: sākot ar 1,8% ieguldījumu 2019.g. un beidzot ar 3% pēc 5 gadiem. Tāpat arī valsts daļa pakāpeniski pieaug līdz 1,5% 2023.g.</t>
        </r>
      </text>
    </comment>
    <comment ref="V68" authorId="3" shapeId="0" xr:uid="{C0026623-16A3-46A7-AC90-3C9EEB7E3D3B}">
      <text>
        <r>
          <rPr>
            <b/>
            <sz val="9"/>
            <color indexed="81"/>
            <rFont val="Tahoma"/>
            <family val="2"/>
            <charset val="186"/>
          </rPr>
          <t>Līga Gudēvica-Liepiņa:</t>
        </r>
        <r>
          <rPr>
            <sz val="9"/>
            <color indexed="81"/>
            <rFont val="Tahoma"/>
            <family val="2"/>
            <charset val="186"/>
          </rPr>
          <t xml:space="preserve">
No 2019.g. valsts sociālās apdrošināšanas fonds neveic pārskaitījumus uz II pens. līmeni.
Brīvprātīgi 3% no algas + 1,5% maksā valsts no valstī vidējās algas. 
Tiem, kuri līdz šim nav bijuši iesaistīti pensiju shēmā, un tiem, kuri iepriekš veikuši pensiju iemaksu, kas sastāv no 2% no Valsts sociālās apdrošināšanas fondā veiktās iemaksas, iemaksu pakāpeniski varēs palielināt: sākot ar 1,8% ieguldījumu 2019.g. un beidzot ar 3% pēc 5 gadiem. 2020.g. 2,1%.
Tāpat arī valsts daļa pakāpeniski pieaug līdz 1,5% 2023.g.
</t>
        </r>
      </text>
    </comment>
    <comment ref="W68" authorId="3" shapeId="0" xr:uid="{5B4E82E2-45A9-45F3-87EF-C6515EBE3FE9}">
      <text>
        <r>
          <rPr>
            <b/>
            <sz val="9"/>
            <color indexed="81"/>
            <rFont val="Tahoma"/>
            <family val="2"/>
            <charset val="186"/>
          </rPr>
          <t>Līga Gudēvica-Liepiņa:</t>
        </r>
        <r>
          <rPr>
            <sz val="9"/>
            <color indexed="81"/>
            <rFont val="Tahoma"/>
            <family val="2"/>
            <charset val="186"/>
          </rPr>
          <t xml:space="preserve">
No 2019.g. valsts sociālās apdrošināšanas fonds neveic pārskaitījumus uz II pens. līmeni.
Brīvprātīgi 3% no algas + 1,5% maksā valsts no valstī vidējās algas. 
Tiem, kuri līdz šim nav bijuši iesaistīti pensiju shēmā, un tiem, kuri iepriekš veikuši pensiju iemaksu, kas sastāv no 2% no Valsts sociālās apdrošināšanas fondā veiktās iemaksas, iemaksu pakāpeniski varēs palielināt: sākot ar 1,8% ieguldījumu 2019.g. un beidzot ar 3% pēc 5 gadiem. (2021.g. 2,4%). Tāpat arī valsts daļa pakāpeniski pieaug līdz 1,5% 2023.g.
</t>
        </r>
      </text>
    </comment>
    <comment ref="X68" authorId="3" shapeId="0" xr:uid="{BD96EA3E-E575-4611-82EA-F5150DEC5469}">
      <text>
        <r>
          <rPr>
            <b/>
            <sz val="9"/>
            <color indexed="81"/>
            <rFont val="Tahoma"/>
            <family val="2"/>
            <charset val="186"/>
          </rPr>
          <t>Līga Gudēvica-Liepiņa:</t>
        </r>
        <r>
          <rPr>
            <sz val="9"/>
            <color indexed="81"/>
            <rFont val="Tahoma"/>
            <family val="2"/>
            <charset val="186"/>
          </rPr>
          <t xml:space="preserve">
No 2019.g. valsts sociālās apdrošināšanas fonds neveic pārskaitījumus uz II pens. līmeni.
Brīvprātīgi 3% no algas + 1,5% maksā valsts no valstī vidējās algas. 
Tiem, kuri līdz šim nav bijuši iesaistīti pensiju shēmā, un tiem, kuri iepriekš veikuši pensiju iemaksu, kas sastāv no 2% no Valsts sociālās apdrošināšanas fondā veiktās iemaksas, iemaksu pakāpeniski varēs palielināt: sākot ar 1,8% ieguldījumu 2019.g. un beidzou ar 3% pēc 5 gadiem. 2022.g. 2,7%
Tāpat arī valsts daļa pakāpeniski pieaug līdz 1,5% 2023.g.</t>
        </r>
      </text>
    </comment>
    <comment ref="Y68" authorId="3" shapeId="0" xr:uid="{A2218902-12FA-4288-87BA-478E5358DFE9}">
      <text>
        <r>
          <rPr>
            <b/>
            <sz val="9"/>
            <color indexed="81"/>
            <rFont val="Tahoma"/>
            <family val="2"/>
            <charset val="186"/>
          </rPr>
          <t>Līga Gudēvica-Liepiņa:</t>
        </r>
        <r>
          <rPr>
            <sz val="9"/>
            <color indexed="81"/>
            <rFont val="Tahoma"/>
            <family val="2"/>
            <charset val="186"/>
          </rPr>
          <t xml:space="preserve">
No 2019.g. valsts sociālās apdrošināšanas fonds neveic pārskaitījumus uz II pens. līmeni.
Brīvprātīgi 3% no algas + 1,5% maksā valsts no valstī vidējās algas. 
</t>
        </r>
      </text>
    </comment>
    <comment ref="AD68" authorId="3" shapeId="0" xr:uid="{8933CC15-0823-42F7-B500-E3473AA7FA16}">
      <text>
        <r>
          <rPr>
            <b/>
            <sz val="9"/>
            <color indexed="81"/>
            <rFont val="Tahoma"/>
            <family val="2"/>
            <charset val="186"/>
          </rPr>
          <t>Līga Gudēvica-Liepiņa:</t>
        </r>
        <r>
          <rPr>
            <sz val="9"/>
            <color indexed="81"/>
            <rFont val="Tahoma"/>
            <family val="2"/>
            <charset val="186"/>
          </rPr>
          <t xml:space="preserve">
https://socmin.lrv.lt/en/activities/social-insurance-1/funded-pension-scheme </t>
        </r>
      </text>
    </comment>
    <comment ref="V69" authorId="0" shapeId="0" xr:uid="{910979B5-772F-4ABC-B52B-A356F426A599}">
      <text>
        <r>
          <rPr>
            <b/>
            <sz val="9"/>
            <color indexed="81"/>
            <rFont val="Tahoma"/>
            <family val="2"/>
            <charset val="186"/>
          </rPr>
          <t xml:space="preserve">Viktorija Jureviča:
IIN  5 % - 15% 
</t>
        </r>
        <r>
          <rPr>
            <sz val="9"/>
            <color indexed="81"/>
            <rFont val="Tahoma"/>
            <family val="2"/>
            <charset val="186"/>
          </rPr>
          <t xml:space="preserve">5% likmi piemēro peļņai, kas nepārsniedz 20 000 euro gadā. Likme pakāpeniski pieaug līdz 15% peļņai, kas gadā sasniedz 35 000 euro un vairāk.
</t>
        </r>
        <r>
          <rPr>
            <b/>
            <sz val="9"/>
            <color indexed="81"/>
            <rFont val="Tahoma"/>
            <family val="2"/>
            <charset val="186"/>
          </rPr>
          <t xml:space="preserve">
Sociālās iemaksas 19,5% sadalās:
- 12,52% </t>
        </r>
        <r>
          <rPr>
            <sz val="9"/>
            <color indexed="81"/>
            <rFont val="Tahoma"/>
            <family val="2"/>
            <charset val="186"/>
          </rPr>
          <t xml:space="preserve">valsts sociālajā apdrošināšana  no  90% no saņemtajiem ienākumiem; </t>
        </r>
        <r>
          <rPr>
            <b/>
            <sz val="9"/>
            <color indexed="81"/>
            <rFont val="Tahoma"/>
            <family val="2"/>
            <charset val="186"/>
          </rPr>
          <t xml:space="preserve">
- 6,98% </t>
        </r>
        <r>
          <rPr>
            <sz val="9"/>
            <color indexed="81"/>
            <rFont val="Tahoma"/>
            <family val="2"/>
            <charset val="186"/>
          </rPr>
          <t xml:space="preserve">obligātajā veselības apdrošināšana, kur  lielākoties  jāveic iemaksas katru mēnesi no minimālās mēneša algas (607 euro).
</t>
        </r>
        <r>
          <rPr>
            <b/>
            <sz val="9"/>
            <color indexed="81"/>
            <rFont val="Tahoma"/>
            <family val="2"/>
            <charset val="186"/>
          </rPr>
          <t>PIT 5 % - 15% 
T</t>
        </r>
        <r>
          <rPr>
            <sz val="9"/>
            <color indexed="81"/>
            <rFont val="Tahoma"/>
            <family val="2"/>
            <charset val="186"/>
          </rPr>
          <t>he 5% rate applies to profits of up to € 20,000 per year. The rate gradually increases to 15% for profits of € 35,000 or more per year.</t>
        </r>
        <r>
          <rPr>
            <b/>
            <sz val="9"/>
            <color indexed="81"/>
            <rFont val="Tahoma"/>
            <family val="2"/>
            <charset val="186"/>
          </rPr>
          <t xml:space="preserve">
SSC 19.5% distributed:
- 12.52% </t>
        </r>
        <r>
          <rPr>
            <sz val="9"/>
            <color indexed="81"/>
            <rFont val="Tahoma"/>
            <family val="2"/>
            <charset val="186"/>
          </rPr>
          <t>state social insurance from 90% of the received income;</t>
        </r>
        <r>
          <rPr>
            <b/>
            <sz val="9"/>
            <color indexed="81"/>
            <rFont val="Tahoma"/>
            <family val="2"/>
            <charset val="186"/>
          </rPr>
          <t xml:space="preserve">
- 6.98% </t>
        </r>
        <r>
          <rPr>
            <sz val="9"/>
            <color indexed="81"/>
            <rFont val="Tahoma"/>
            <family val="2"/>
            <charset val="186"/>
          </rPr>
          <t>compulsory health insurance, where most contributions pay each month from the minimum monthly wage (€ 607).</t>
        </r>
      </text>
    </comment>
    <comment ref="W69" authorId="0" shapeId="0" xr:uid="{BA38738C-7ED8-414A-9273-1040875A41D7}">
      <text>
        <r>
          <rPr>
            <b/>
            <sz val="9"/>
            <color indexed="81"/>
            <rFont val="Tahoma"/>
            <family val="2"/>
            <charset val="186"/>
          </rPr>
          <t xml:space="preserve">Viktorija Jureviča:
IIN  5 % - 15% 
</t>
        </r>
        <r>
          <rPr>
            <sz val="9"/>
            <color indexed="81"/>
            <rFont val="Tahoma"/>
            <family val="2"/>
            <charset val="186"/>
          </rPr>
          <t xml:space="preserve">5% likmi piemēro peļņai, kas nepārsniedz 20 000 euro gadā. Likme pakāpeniski pieaug līdz 15% peļņai, kas gadā sasniedz 35 000 euro un vairāk.
</t>
        </r>
        <r>
          <rPr>
            <b/>
            <sz val="9"/>
            <color indexed="81"/>
            <rFont val="Tahoma"/>
            <family val="2"/>
            <charset val="186"/>
          </rPr>
          <t xml:space="preserve">
Sociālās iemaksas 19,5% sadalās:
- 12,52% </t>
        </r>
        <r>
          <rPr>
            <sz val="9"/>
            <color indexed="81"/>
            <rFont val="Tahoma"/>
            <family val="2"/>
            <charset val="186"/>
          </rPr>
          <t xml:space="preserve">valsts sociālajā apdrošināšana  no  90% no saņemtajiem ienākumiem; </t>
        </r>
        <r>
          <rPr>
            <b/>
            <sz val="9"/>
            <color indexed="81"/>
            <rFont val="Tahoma"/>
            <family val="2"/>
            <charset val="186"/>
          </rPr>
          <t xml:space="preserve">
- 6,98% </t>
        </r>
        <r>
          <rPr>
            <sz val="9"/>
            <color indexed="81"/>
            <rFont val="Tahoma"/>
            <family val="2"/>
            <charset val="186"/>
          </rPr>
          <t xml:space="preserve">obligātajā veselības apdrošināšana, kur  lielākoties  jāveic iemaksas katru mēnesi no minimālās mēneša algas (607 euro).
</t>
        </r>
        <r>
          <rPr>
            <b/>
            <sz val="9"/>
            <color indexed="81"/>
            <rFont val="Tahoma"/>
            <family val="2"/>
            <charset val="186"/>
          </rPr>
          <t>PIT 5 % - 15% 
T</t>
        </r>
        <r>
          <rPr>
            <sz val="9"/>
            <color indexed="81"/>
            <rFont val="Tahoma"/>
            <family val="2"/>
            <charset val="186"/>
          </rPr>
          <t>he 5% rate applies to profits of up to € 20,000 per year. The rate gradually increases to 15% for profits of € 35,000 or more per year.</t>
        </r>
        <r>
          <rPr>
            <b/>
            <sz val="9"/>
            <color indexed="81"/>
            <rFont val="Tahoma"/>
            <family val="2"/>
            <charset val="186"/>
          </rPr>
          <t xml:space="preserve">
SSC 19.5% distributed:
- 12.52% </t>
        </r>
        <r>
          <rPr>
            <sz val="9"/>
            <color indexed="81"/>
            <rFont val="Tahoma"/>
            <family val="2"/>
            <charset val="186"/>
          </rPr>
          <t>state social insurance from 90% of the received income;</t>
        </r>
        <r>
          <rPr>
            <b/>
            <sz val="9"/>
            <color indexed="81"/>
            <rFont val="Tahoma"/>
            <family val="2"/>
            <charset val="186"/>
          </rPr>
          <t xml:space="preserve">
- 6.98% </t>
        </r>
        <r>
          <rPr>
            <sz val="9"/>
            <color indexed="81"/>
            <rFont val="Tahoma"/>
            <family val="2"/>
            <charset val="186"/>
          </rPr>
          <t>compulsory health insurance, where most contributions pay each month from the minimum monthly wage (€ 607).</t>
        </r>
      </text>
    </comment>
    <comment ref="A71" authorId="0" shapeId="0" xr:uid="{714F6F5B-55A4-4F7E-8C3D-ABB52B554810}">
      <text>
        <r>
          <rPr>
            <b/>
            <sz val="9"/>
            <color indexed="81"/>
            <rFont val="Tahoma"/>
            <family val="2"/>
            <charset val="186"/>
          </rPr>
          <t>Viktorija Jureviča:</t>
        </r>
        <r>
          <rPr>
            <sz val="9"/>
            <color indexed="81"/>
            <rFont val="Tahoma"/>
            <family val="2"/>
            <charset val="186"/>
          </rPr>
          <t xml:space="preserve">
Ja darba alga ir mazāka par minimālo algu, tad no starpības ir jāveic VSAOI. Starpību maksā darba devējs par visiem DŅ sociālajiem apdrošināšanas veidiem, piemērojot gan DD, gan DŅ likmes. Minimālais VSAOI neatiecas uz pašnodarbinātajiem. Uz pašnodarbinātajiem attiecas min. bāze (90% no gada neto ienākumiem)</t>
        </r>
      </text>
    </comment>
    <comment ref="Y71" authorId="3" shapeId="0" xr:uid="{798BD7F3-3A80-4463-A8C9-207249122006}">
      <text>
        <r>
          <rPr>
            <b/>
            <sz val="9"/>
            <color indexed="81"/>
            <rFont val="Tahoma"/>
            <family val="2"/>
            <charset val="186"/>
          </rPr>
          <t>Līga Gudēvica-Liepiņa:</t>
        </r>
        <r>
          <rPr>
            <sz val="9"/>
            <color indexed="81"/>
            <rFont val="Tahoma"/>
            <family val="2"/>
            <charset val="186"/>
          </rPr>
          <t xml:space="preserve">
12 x MA</t>
        </r>
      </text>
    </comment>
    <comment ref="AD71" authorId="3" shapeId="0" xr:uid="{DC44B9AC-AAC4-442F-BFCE-BA93126A18A4}">
      <text>
        <r>
          <rPr>
            <b/>
            <sz val="9"/>
            <color indexed="81"/>
            <rFont val="Tahoma"/>
            <family val="2"/>
            <charset val="186"/>
          </rPr>
          <t>Līga Gudēvica-Liepiņa:</t>
        </r>
        <r>
          <rPr>
            <sz val="9"/>
            <color indexed="81"/>
            <rFont val="Tahoma"/>
            <family val="2"/>
            <charset val="186"/>
          </rPr>
          <t xml:space="preserve">
The amount of minimum and maximum SSC (rows 70 and 71) refers to employees social insurance, except health insurance.
Above the maximum SSC only the 6,98% health insurance is paid.
The difference between the employees wage and the minimum SSC income is paid by employers (both - employer &amp; employee rate)</t>
        </r>
      </text>
    </comment>
    <comment ref="A72" authorId="3" shapeId="0" xr:uid="{A17D8A11-AD1D-488B-9BA8-7169CC4EE3F7}">
      <text>
        <r>
          <rPr>
            <b/>
            <sz val="9"/>
            <color indexed="81"/>
            <rFont val="Tahoma"/>
            <family val="2"/>
            <charset val="186"/>
          </rPr>
          <t>Līga Gudēvica-Liepiņa:</t>
        </r>
        <r>
          <rPr>
            <sz val="9"/>
            <color indexed="81"/>
            <rFont val="Tahoma"/>
            <family val="2"/>
            <charset val="186"/>
          </rPr>
          <t xml:space="preserve">
No 2021.g. attiecas tikai uz DŅ, DD turpina maksāt arī virs griestiem</t>
        </r>
      </text>
    </comment>
    <comment ref="U72" authorId="1" shapeId="0" xr:uid="{82F7544B-63D3-4494-BDE8-66D6D17BA868}">
      <text>
        <r>
          <rPr>
            <b/>
            <sz val="9"/>
            <color indexed="81"/>
            <rFont val="Tahoma"/>
            <family val="2"/>
            <charset val="186"/>
          </rPr>
          <t>Daina Dzelme-Urbāne:</t>
        </r>
        <r>
          <rPr>
            <sz val="9"/>
            <color indexed="81"/>
            <rFont val="Tahoma"/>
            <family val="2"/>
            <charset val="186"/>
          </rPr>
          <t xml:space="preserve">
120 times the average monthly salaries per year.
1107*120 = 132 840 /12 =11070 eur per month (in 2019)</t>
        </r>
      </text>
    </comment>
    <comment ref="V72" authorId="0" shapeId="0" xr:uid="{201E3A09-FE1D-4185-999A-497ADDCF059B}">
      <text>
        <r>
          <rPr>
            <b/>
            <sz val="9"/>
            <color indexed="81"/>
            <rFont val="Tahoma"/>
            <family val="2"/>
            <charset val="186"/>
          </rPr>
          <t>Viktorija Jureviča:</t>
        </r>
        <r>
          <rPr>
            <sz val="9"/>
            <color indexed="81"/>
            <rFont val="Tahoma"/>
            <family val="2"/>
            <charset val="186"/>
          </rPr>
          <t xml:space="preserve">
84 times the average monthly salaries per year.
1241,4*84 = 104278/12 =8689,83 eur per month</t>
        </r>
      </text>
    </comment>
    <comment ref="W72" authorId="0" shapeId="0" xr:uid="{5EC69FBD-BA3D-4FB8-8AAD-292D00FB279D}">
      <text>
        <r>
          <rPr>
            <b/>
            <sz val="9"/>
            <color indexed="81"/>
            <rFont val="Tahoma"/>
            <family val="2"/>
            <charset val="186"/>
          </rPr>
          <t>10.11.2020. was not approved</t>
        </r>
        <r>
          <rPr>
            <sz val="9"/>
            <color indexed="81"/>
            <rFont val="Tahoma"/>
            <family val="2"/>
            <charset val="186"/>
          </rPr>
          <t xml:space="preserve">
60 times the average monthly salaries per year.
1352,7*60 = 81162 /12 =6763,5 eur per month</t>
        </r>
      </text>
    </comment>
    <comment ref="Y72" authorId="3" shapeId="0" xr:uid="{6D1B5C13-B3DA-4F81-8143-99D0DB218A96}">
      <text>
        <r>
          <rPr>
            <b/>
            <sz val="9"/>
            <color indexed="81"/>
            <rFont val="Tahoma"/>
            <family val="2"/>
            <charset val="186"/>
          </rPr>
          <t>Līga Gudēvica-Liepiņa:</t>
        </r>
        <r>
          <rPr>
            <sz val="9"/>
            <color indexed="81"/>
            <rFont val="Tahoma"/>
            <family val="2"/>
            <charset val="186"/>
          </rPr>
          <t xml:space="preserve">
60 av. wages (60x1684,9=101 094)</t>
        </r>
      </text>
    </comment>
    <comment ref="Z72" authorId="4" shapeId="0" xr:uid="{2E7A4CB7-9E1A-4F9F-8704-3C37B8EFFC17}">
      <text>
        <r>
          <rPr>
            <b/>
            <sz val="9"/>
            <color indexed="81"/>
            <rFont val="Tahoma"/>
            <family val="2"/>
            <charset val="186"/>
          </rPr>
          <t>Asta Čingienė:</t>
        </r>
        <r>
          <rPr>
            <sz val="9"/>
            <color indexed="81"/>
            <rFont val="Tahoma"/>
            <family val="2"/>
            <charset val="186"/>
          </rPr>
          <t xml:space="preserve">
60 av. wages (1902,7*60=114162)
</t>
        </r>
      </text>
    </comment>
    <comment ref="AD72" authorId="3" shapeId="0" xr:uid="{F3C201F3-6BD4-41B2-A4CE-8FB05B3A3A05}">
      <text>
        <r>
          <rPr>
            <b/>
            <sz val="9"/>
            <color indexed="81"/>
            <rFont val="Tahoma"/>
            <family val="2"/>
            <charset val="186"/>
          </rPr>
          <t>Līga Gudēvica-Liepiņa:</t>
        </r>
        <r>
          <rPr>
            <sz val="9"/>
            <color indexed="81"/>
            <rFont val="Tahoma"/>
            <family val="2"/>
            <charset val="186"/>
          </rPr>
          <t xml:space="preserve">
The amount of minimum and maximum SSC (rows 70 and 71) refers to employees social insurance, except health insurance. Above the maximum SSC only the 6,98% health insurance is paid.
The maximum SSC does not refer to employer contributions. Employers pay the same SSC rate also above the SSC ceiling.</t>
        </r>
      </text>
    </comment>
    <comment ref="K73" authorId="4" shapeId="0" xr:uid="{0EFADA2F-7221-4008-81C5-9F7C5A12B060}">
      <text>
        <r>
          <rPr>
            <b/>
            <sz val="9"/>
            <color indexed="81"/>
            <rFont val="Tahoma"/>
            <family val="2"/>
            <charset val="186"/>
          </rPr>
          <t>Asta Čingienė:</t>
        </r>
        <r>
          <rPr>
            <sz val="9"/>
            <color indexed="81"/>
            <rFont val="Tahoma"/>
            <family val="2"/>
            <charset val="186"/>
          </rPr>
          <t xml:space="preserve">
48 times insurable monthly earnings per year</t>
        </r>
      </text>
    </comment>
    <comment ref="L73" authorId="4" shapeId="0" xr:uid="{81A7A63E-5F9D-4F4D-AE37-5A3FD6905378}">
      <text>
        <r>
          <rPr>
            <b/>
            <sz val="9"/>
            <color indexed="81"/>
            <rFont val="Tahoma"/>
            <family val="2"/>
            <charset val="186"/>
          </rPr>
          <t>Asta Čingienė:</t>
        </r>
        <r>
          <rPr>
            <sz val="9"/>
            <color indexed="81"/>
            <rFont val="Tahoma"/>
            <family val="2"/>
            <charset val="186"/>
          </rPr>
          <t xml:space="preserve">
48 times insurable monthly earnings per year</t>
        </r>
      </text>
    </comment>
    <comment ref="M73" authorId="4" shapeId="0" xr:uid="{34AD7DF7-1D93-400A-A46A-078B7C5FC072}">
      <text>
        <r>
          <rPr>
            <b/>
            <sz val="9"/>
            <color indexed="81"/>
            <rFont val="Tahoma"/>
            <family val="2"/>
            <charset val="186"/>
          </rPr>
          <t>Asta Čingienė:</t>
        </r>
        <r>
          <rPr>
            <sz val="9"/>
            <color indexed="81"/>
            <rFont val="Tahoma"/>
            <family val="2"/>
            <charset val="186"/>
          </rPr>
          <t xml:space="preserve">
48 times insurable monthly earnings per year</t>
        </r>
      </text>
    </comment>
    <comment ref="N73" authorId="4" shapeId="0" xr:uid="{008F94F3-2176-484A-8630-C8768D983DA0}">
      <text>
        <r>
          <rPr>
            <b/>
            <sz val="9"/>
            <color indexed="81"/>
            <rFont val="Tahoma"/>
            <family val="2"/>
            <charset val="186"/>
          </rPr>
          <t>Asta Čingienė:</t>
        </r>
        <r>
          <rPr>
            <sz val="9"/>
            <color indexed="81"/>
            <rFont val="Tahoma"/>
            <family val="2"/>
            <charset val="186"/>
          </rPr>
          <t xml:space="preserve">
48 times insurable monthly earnings per year</t>
        </r>
      </text>
    </comment>
    <comment ref="O73" authorId="4" shapeId="0" xr:uid="{0582C9D2-1390-4156-A810-6F811C7D9660}">
      <text>
        <r>
          <rPr>
            <b/>
            <sz val="9"/>
            <color indexed="81"/>
            <rFont val="Tahoma"/>
            <family val="2"/>
            <charset val="186"/>
          </rPr>
          <t>Asta Čingienė:</t>
        </r>
        <r>
          <rPr>
            <sz val="9"/>
            <color indexed="81"/>
            <rFont val="Tahoma"/>
            <family val="2"/>
            <charset val="186"/>
          </rPr>
          <t xml:space="preserve">
48 times insurable monthly earnings per year</t>
        </r>
      </text>
    </comment>
    <comment ref="P73" authorId="4" shapeId="0" xr:uid="{FA6872E7-AA95-463E-9091-FC3B1B65EC80}">
      <text>
        <r>
          <rPr>
            <b/>
            <sz val="9"/>
            <color indexed="81"/>
            <rFont val="Tahoma"/>
            <family val="2"/>
            <charset val="186"/>
          </rPr>
          <t>Asta Čingienė:</t>
        </r>
        <r>
          <rPr>
            <sz val="9"/>
            <color indexed="81"/>
            <rFont val="Tahoma"/>
            <family val="2"/>
            <charset val="186"/>
          </rPr>
          <t xml:space="preserve">
48 times insurable monthly earnings per year</t>
        </r>
      </text>
    </comment>
    <comment ref="Q73" authorId="4" shapeId="0" xr:uid="{12D74B32-FC65-4D8E-9184-0EB019960565}">
      <text>
        <r>
          <rPr>
            <b/>
            <sz val="9"/>
            <color indexed="81"/>
            <rFont val="Tahoma"/>
            <family val="2"/>
            <charset val="186"/>
          </rPr>
          <t>Asta Čingienė:</t>
        </r>
        <r>
          <rPr>
            <sz val="9"/>
            <color indexed="81"/>
            <rFont val="Tahoma"/>
            <family val="2"/>
            <charset val="186"/>
          </rPr>
          <t xml:space="preserve">
48 times insurable monthly earnings per year</t>
        </r>
      </text>
    </comment>
    <comment ref="R73" authorId="4" shapeId="0" xr:uid="{DF33CD55-1744-4792-B672-982D3FA95C15}">
      <text>
        <r>
          <rPr>
            <b/>
            <sz val="9"/>
            <color indexed="81"/>
            <rFont val="Tahoma"/>
            <family val="2"/>
            <charset val="186"/>
          </rPr>
          <t>Asta Čingienė:</t>
        </r>
        <r>
          <rPr>
            <sz val="9"/>
            <color indexed="81"/>
            <rFont val="Tahoma"/>
            <family val="2"/>
            <charset val="186"/>
          </rPr>
          <t xml:space="preserve">
48 times insurable monthly earnings per year</t>
        </r>
      </text>
    </comment>
    <comment ref="S73" authorId="4" shapeId="0" xr:uid="{6957614A-CF43-4FB4-9267-7BB5B289C76C}">
      <text>
        <r>
          <rPr>
            <b/>
            <sz val="9"/>
            <color indexed="81"/>
            <rFont val="Tahoma"/>
            <family val="2"/>
            <charset val="186"/>
          </rPr>
          <t>Asta Čingienė:</t>
        </r>
        <r>
          <rPr>
            <sz val="9"/>
            <color indexed="81"/>
            <rFont val="Tahoma"/>
            <family val="2"/>
            <charset val="186"/>
          </rPr>
          <t xml:space="preserve">
28 times the average monthly salaries per year</t>
        </r>
      </text>
    </comment>
    <comment ref="T73" authorId="4" shapeId="0" xr:uid="{08FA80AB-E6EB-47DA-AA30-45D473927F10}">
      <text>
        <r>
          <rPr>
            <b/>
            <sz val="9"/>
            <color indexed="81"/>
            <rFont val="Tahoma"/>
            <family val="2"/>
            <charset val="186"/>
          </rPr>
          <t>Asta Čingienė:</t>
        </r>
        <r>
          <rPr>
            <sz val="9"/>
            <color indexed="81"/>
            <rFont val="Tahoma"/>
            <family val="2"/>
            <charset val="186"/>
          </rPr>
          <t xml:space="preserve">
28 times the average monthly salaries per year</t>
        </r>
      </text>
    </comment>
    <comment ref="U73" authorId="4" shapeId="0" xr:uid="{4ED0D761-B4F3-4D16-91D0-777379E1D8B9}">
      <text>
        <r>
          <rPr>
            <b/>
            <sz val="9"/>
            <color indexed="81"/>
            <rFont val="Tahoma"/>
            <family val="2"/>
            <charset val="186"/>
          </rPr>
          <t>Asta Čingienė:</t>
        </r>
        <r>
          <rPr>
            <sz val="9"/>
            <color indexed="81"/>
            <rFont val="Tahoma"/>
            <family val="2"/>
            <charset val="186"/>
          </rPr>
          <t xml:space="preserve">
43 times the average monthly salaries per year</t>
        </r>
      </text>
    </comment>
    <comment ref="V73" authorId="4" shapeId="0" xr:uid="{6945851B-0FAA-4E6B-B3E6-FEE012168650}">
      <text>
        <r>
          <rPr>
            <b/>
            <sz val="9"/>
            <color indexed="81"/>
            <rFont val="Tahoma"/>
            <family val="2"/>
            <charset val="186"/>
          </rPr>
          <t>Asta Čingienė:</t>
        </r>
        <r>
          <rPr>
            <sz val="9"/>
            <color indexed="81"/>
            <rFont val="Tahoma"/>
            <family val="2"/>
            <charset val="186"/>
          </rPr>
          <t xml:space="preserve">
43 times the average monthly salaries per year</t>
        </r>
      </text>
    </comment>
    <comment ref="Y73" authorId="3" shapeId="0" xr:uid="{9AB7CAB8-0B46-45CD-A5F0-A48D28F26F4B}">
      <text>
        <r>
          <rPr>
            <b/>
            <sz val="9"/>
            <color indexed="81"/>
            <rFont val="Tahoma"/>
            <family val="2"/>
            <charset val="186"/>
          </rPr>
          <t>Līga Gudēvica-Liepiņa:</t>
        </r>
        <r>
          <rPr>
            <sz val="9"/>
            <color indexed="81"/>
            <rFont val="Tahoma"/>
            <family val="2"/>
            <charset val="186"/>
          </rPr>
          <t xml:space="preserve">
SSC cap for self employed is 43 av. wages (43x1684,9=72450,7</t>
        </r>
      </text>
    </comment>
    <comment ref="Z73" authorId="4" shapeId="0" xr:uid="{B6E8114B-797F-443F-BFCA-D3A2D7999425}">
      <text>
        <r>
          <rPr>
            <b/>
            <sz val="9"/>
            <color indexed="81"/>
            <rFont val="Tahoma"/>
            <family val="2"/>
            <charset val="186"/>
          </rPr>
          <t>Asta Čingienė:</t>
        </r>
        <r>
          <rPr>
            <sz val="9"/>
            <color indexed="81"/>
            <rFont val="Tahoma"/>
            <family val="2"/>
            <charset val="186"/>
          </rPr>
          <t xml:space="preserve">
SSC cap for self employed is 43 av. wages (43x1907,2=81816,1</t>
        </r>
      </text>
    </comment>
    <comment ref="AD74" authorId="3" shapeId="0" xr:uid="{64F58065-2576-44F6-BD19-3F2619DB7EA4}">
      <text>
        <r>
          <rPr>
            <b/>
            <sz val="9"/>
            <color indexed="81"/>
            <rFont val="Tahoma"/>
            <family val="2"/>
            <charset val="186"/>
          </rPr>
          <t>Līga Gudēvica-Liepiņa:</t>
        </r>
        <r>
          <rPr>
            <sz val="9"/>
            <color indexed="81"/>
            <rFont val="Tahoma"/>
            <family val="2"/>
            <charset val="186"/>
          </rPr>
          <t xml:space="preserve">
Contribution base: 
current years’ net interest income which is 50 per cent higher the average of the net interest income received during the relevant four years 
- for the year 2023, the contribution base is calculated based on net interest income earned in 2018-2021.
- for the year 2024 and 2025 – based on net interest income earned in 2019-2022.
- sum of the net interest income is also multiplied by a coefficient that reflects the scope of the institution's activities in Lithuania</t>
        </r>
      </text>
    </comment>
    <comment ref="A77" authorId="2" shapeId="0" xr:uid="{C68ECA9E-B43F-4975-881E-5F4A455A8854}">
      <text>
        <r>
          <rPr>
            <b/>
            <sz val="9"/>
            <color indexed="81"/>
            <rFont val="Tahoma"/>
            <family val="2"/>
            <charset val="186"/>
          </rPr>
          <t>Ieva Kodoliņa-Miglāne:</t>
        </r>
        <r>
          <rPr>
            <sz val="9"/>
            <color indexed="81"/>
            <rFont val="Tahoma"/>
            <family val="2"/>
            <charset val="186"/>
          </rPr>
          <t xml:space="preserve">
Samazināta UIN likme tiek piemērota ar nodokli apliekamai peļņai, uzņēmumiem, kuru vidējais darbinieku skaits nepārsniedz 10 un kuru ienākumi nodokļu periodā nepārsniedz noteiktu summu taksācijas periodā</t>
        </r>
      </text>
    </comment>
    <comment ref="AD77" authorId="2" shapeId="0" xr:uid="{A2497CD6-1BDE-4EC0-A262-4D360E2EE9F0}">
      <text>
        <r>
          <rPr>
            <b/>
            <sz val="9"/>
            <color indexed="81"/>
            <rFont val="Tahoma"/>
            <family val="2"/>
            <charset val="186"/>
          </rPr>
          <t>Ieva Kodoliņa-Miglāne:</t>
        </r>
        <r>
          <rPr>
            <sz val="9"/>
            <color indexed="81"/>
            <rFont val="Tahoma"/>
            <family val="2"/>
            <charset val="186"/>
          </rPr>
          <t xml:space="preserve">
Reduced CIT rate is applicable to taxable profits of entities whose average number of employees on the staff list does not exceed 10 and whose income during the tax period does not exceed fixed amount  (additional participation condition is applied). </t>
        </r>
      </text>
    </comment>
    <comment ref="A80" authorId="0" shapeId="0" xr:uid="{1F58DBEE-781C-47CE-AFB9-6A02501DCE04}">
      <text>
        <r>
          <rPr>
            <b/>
            <sz val="9"/>
            <color indexed="81"/>
            <rFont val="Tahoma"/>
            <family val="2"/>
            <charset val="186"/>
          </rPr>
          <t>Viktorija Jureviča:</t>
        </r>
        <r>
          <rPr>
            <sz val="9"/>
            <color indexed="81"/>
            <rFont val="Tahoma"/>
            <family val="2"/>
            <charset val="186"/>
          </rPr>
          <t xml:space="preserve">
Modokļa 20.gadu brīvdienas</t>
        </r>
      </text>
    </comment>
    <comment ref="A91" authorId="2" shapeId="0" xr:uid="{0D8CDD9A-0B5D-415A-8458-F30E009EC9D1}">
      <text>
        <r>
          <rPr>
            <b/>
            <sz val="9"/>
            <color indexed="81"/>
            <rFont val="Tahoma"/>
            <family val="2"/>
            <charset val="186"/>
          </rPr>
          <t>Ieva Kodoliņa-Miglāne:</t>
        </r>
        <r>
          <rPr>
            <sz val="9"/>
            <color indexed="81"/>
            <rFont val="Tahoma"/>
            <family val="2"/>
            <charset val="186"/>
          </rPr>
          <t xml:space="preserve">
Medikamnetii un medicīniskā palīdzība personām, kam ir tiesības uz šo preču iegādes izdevumu pilnīgu vai daļēju atlīdzināšanu saskaņā ar Veselības apdrošināšanas likumu.</t>
        </r>
      </text>
    </comment>
    <comment ref="AD91" authorId="2" shapeId="0" xr:uid="{88CEE5AF-9CF3-406C-8936-3989C3E6A94A}">
      <text>
        <r>
          <rPr>
            <sz val="9"/>
            <color indexed="81"/>
            <rFont val="Tahoma"/>
            <family val="2"/>
            <charset val="186"/>
          </rPr>
          <t>From 2017 the reduced VAT rate is also applied to non-compensated prescription medicines: when the value of outer packaging is more than EUR 300;  all categories of price - since 2018.</t>
        </r>
      </text>
    </comment>
    <comment ref="K99" authorId="2" shapeId="0" xr:uid="{EDC539DD-1446-45BD-A665-77428E917357}">
      <text>
        <r>
          <rPr>
            <b/>
            <sz val="9"/>
            <color indexed="81"/>
            <rFont val="Tahoma"/>
            <family val="2"/>
            <charset val="186"/>
          </rPr>
          <t>Ieva Kodoliņa-Miglāne:</t>
        </r>
        <r>
          <rPr>
            <sz val="9"/>
            <color indexed="81"/>
            <rFont val="Tahoma"/>
            <family val="2"/>
            <charset val="186"/>
          </rPr>
          <t xml:space="preserve">
Līdz 2009.gada 31.augustam tika piemērots kompensācijas mehānisms, t.i., no valsts budžeta kompensēja 14% starpība starp 19% un 5%) PVN par siltumenerģiju.
Compensation mechanism was applied until 31 August 2009, i.e. 14 percent (difference between 19% and 5%) of VAT on heating energy was compensated from the state budget </t>
        </r>
      </text>
    </comment>
    <comment ref="S103" authorId="0" shapeId="0" xr:uid="{CB5C56AA-7529-42DD-9B9C-1EE2CAE76483}">
      <text>
        <r>
          <rPr>
            <b/>
            <sz val="9"/>
            <color indexed="81"/>
            <rFont val="Tahoma"/>
            <family val="2"/>
            <charset val="186"/>
          </rPr>
          <t>Viktorija Jureviča:</t>
        </r>
        <r>
          <rPr>
            <sz val="9"/>
            <color indexed="81"/>
            <rFont val="Tahoma"/>
            <family val="2"/>
            <charset val="186"/>
          </rPr>
          <t xml:space="preserve">
until 31 May 2017 and since 1 October 2017.</t>
        </r>
      </text>
    </comment>
    <comment ref="Y108" authorId="3" shapeId="0" xr:uid="{B8BA6596-D933-49D3-87EE-F457C9D46C3F}">
      <text>
        <r>
          <rPr>
            <b/>
            <sz val="9"/>
            <color indexed="81"/>
            <rFont val="Tahoma"/>
            <family val="2"/>
            <charset val="186"/>
          </rPr>
          <t>Līga Gudēvica-Liepiņa:</t>
        </r>
        <r>
          <rPr>
            <sz val="9"/>
            <color indexed="81"/>
            <rFont val="Tahoma"/>
            <family val="2"/>
            <charset val="186"/>
          </rPr>
          <t xml:space="preserve">
9% VAT rate has been extended for the first half of 2023 for the attendance of sports events, sports clubs (till 30.06.2023.) unlimited - for attendance at all types of artistic and cultural institutions, artistic and cultural events</t>
        </r>
      </text>
    </comment>
    <comment ref="A126" authorId="2" shapeId="0" xr:uid="{B070904A-BF4B-4F14-9D02-F0FE687EB426}">
      <text>
        <r>
          <rPr>
            <b/>
            <sz val="9"/>
            <color indexed="81"/>
            <rFont val="Tahoma"/>
            <family val="2"/>
            <charset val="186"/>
          </rPr>
          <t>Ieva Kodoliņa-Miglāne:</t>
        </r>
        <r>
          <rPr>
            <sz val="9"/>
            <color indexed="81"/>
            <rFont val="Tahoma"/>
            <family val="2"/>
            <charset val="186"/>
          </rPr>
          <t xml:space="preserve">
Zemes nodokļa objekts ir privāta zeme, izņemot meža zemi.
Nodokļu bāze ir zemes vidējā tirgus vērtība. Zemes vidējā tirgus vērtība tiek aprēķināta Lietuvas Republikas valdības noteiktajā kārtībā. 
Saskaņā ar valdības noteikumiem vērtības samazinājuma koeficients 0,35 attiecas uz lauksaimniecības zemi.
Zemes nodokļa atbrīvojumi tiek piemēroti arī:
- plaši izmantotie ceļi;
- bieži izmantoti dārza zemes gabali;
- dabas aizsardzībai (piemēram, nacionālie parki, dabas rezervāti utt.);
- vēsturisko, arheoloģisko dabas, kultūras un citu pieminekļu zeme un etnogrāfisko zemnieku zeme;
- piekrastes buferjoslu zeme;
- zeme zemnieku saimniecības uzņēmumam (pirmajos trīs gados).
Zemes nodokļa atbrīvojumi tiek piemēroti arī zemes īpašniekiem ar invaliditāti, vecāka gadagājuma pensionāriem un nepilngadīgajiem, ar nosacījumu, ka taksācijas perioda sākumā nav personu, kas varētu strādāt minēto zemes īpašnieku ģimenēs, un ar nosacījumu, ka kuru īpašumā esošais zemes gabals nepārsniedz pašvaldību padomju noteikto zemes nodokļa atbrīvojumu.
Pašvaldību padomēm ir tiesības samazināt zemes nodokļa summu vai piešķirt atbrīvojumu no zemes nodokļa maksājuma, kas kompensē summas no to attiecīgajiem budžetiem.
Iznomātā zemes nodokļa gada likme ir robežās no 0,1 līdz 4 procentiem no zemes nominālvērtības (gadījumos, kad valsts īpašumā esošā zeme netiek iznomāta izsolēs). Katrai pašvaldībai ir tiesības noteikt savu likmi pēdējā diapazonā.</t>
        </r>
      </text>
    </comment>
    <comment ref="O126" authorId="2" shapeId="0" xr:uid="{16038DB0-A084-4EFD-88CF-2BC2752D62DD}">
      <text>
        <r>
          <rPr>
            <b/>
            <sz val="9"/>
            <color indexed="81"/>
            <rFont val="Tahoma"/>
            <family val="2"/>
            <charset val="186"/>
          </rPr>
          <t>Ieva Kodoliņa-Miglāne:</t>
        </r>
        <r>
          <rPr>
            <sz val="9"/>
            <color indexed="81"/>
            <rFont val="Tahoma"/>
            <family val="2"/>
            <charset val="186"/>
          </rPr>
          <t xml:space="preserve">
Sākot ar 2013.gada 1. janvāra, ikgadējo nodokļu likmi nosaka pašvaldību domes, un tā var svārstīties no 0,01 līdz 4 procentiem no zemes tirgus vērtības.
Atbrīvojums attiecas  uz zemes īpašniekiem, kuru kopējā zemes nodokļa summa par visu zemes īpašumu nepārsniedz 5 LTL (EUR 1,4).
Starting from 1 January 2013 the annual tax rate set the municipal councils and it can vary from 0.01 up to 4 percent of the market value of the land. 
The exemption also applies to land-owners, whose total land tax sum for all land owned does not exceed 5 LTL (€ 1.4).</t>
        </r>
      </text>
    </comment>
    <comment ref="AD126" authorId="2" shapeId="0" xr:uid="{D3CDF665-A133-43BD-ABA7-28A6FE112342}">
      <text>
        <r>
          <rPr>
            <b/>
            <sz val="9"/>
            <color indexed="81"/>
            <rFont val="Tahoma"/>
            <family val="2"/>
            <charset val="186"/>
          </rPr>
          <t>Ieva Kodoliņa-Miglāne:</t>
        </r>
        <r>
          <rPr>
            <sz val="9"/>
            <color indexed="81"/>
            <rFont val="Tahoma"/>
            <family val="2"/>
            <charset val="186"/>
          </rPr>
          <t xml:space="preserve">
The object of land tax is private land, except forest land.
Tax base is the average market value of the land. The average market value of the land is calculated according to the procedure established by the Government of the Republic of Lithuania. 
According to the government regulation the value reduction coefficient of 0.35 applies to the land of agricultural nature.
Land tax exemptions also are applied to:
- commonly used roads;
- commonly used garden plots;
- land used for the purposes of nature protection (like national parks, nature reserves and etc.);
- land of historical, archaeological natural, cultural ant etc. monuments and  land of ethnographical homesteads;
- land of riparian buffer strips;
- land for farmer's farm establishment (first three years).
Land tax exemptions also are applied to disabled land-owners, old-age pensioners and minors, provided that at the beginning of the taxation period there are no persons capable of work in the families of said land owners, and provided that the size of the land plot owned by them does not exceed the tax exempt area of land established by municipal councils.
Municipal councils have the right to reduce the amount of land tax or grant exemption from the payment of land tax compensating sums from their respective budgets.
The annual rate of leased state-owned land tax is within the range of 0.1 - 4 percent of the nominal value of the land (in the cases when the state-owned land is not leased in auctions). Each municipality has a right to establish its own rate within the latter range. 
</t>
        </r>
      </text>
    </comment>
    <comment ref="A127" authorId="2" shapeId="0" xr:uid="{712C7BF7-A887-4B33-8284-1EA5AA0D1DEC}">
      <text>
        <r>
          <rPr>
            <b/>
            <sz val="9"/>
            <color indexed="81"/>
            <rFont val="Tahoma"/>
            <family val="2"/>
            <charset val="186"/>
          </rPr>
          <t>Ieva Kodoliņa-Miglāne:</t>
        </r>
        <r>
          <rPr>
            <sz val="9"/>
            <color indexed="81"/>
            <rFont val="Tahoma"/>
            <family val="2"/>
            <charset val="186"/>
          </rPr>
          <t xml:space="preserve">
Gada nodokļa likme ir robežās no 0,3 līdz 3 procentiem no nekustamā īpašuma apliekamās vērtības. Katrai pašvaldībai ir tiesības noteikt savu likmi (likmes).</t>
        </r>
      </text>
    </comment>
    <comment ref="L127" authorId="2" shapeId="0" xr:uid="{0DDE6494-88EC-41CF-8A2C-34FEEF153945}">
      <text>
        <r>
          <rPr>
            <b/>
            <sz val="9"/>
            <color indexed="81"/>
            <rFont val="Tahoma"/>
            <family val="2"/>
            <charset val="186"/>
          </rPr>
          <t>Ieva Kodoliņa-Miglāne:</t>
        </r>
        <r>
          <rPr>
            <sz val="9"/>
            <color indexed="81"/>
            <rFont val="Tahoma"/>
            <family val="2"/>
            <charset val="186"/>
          </rPr>
          <t xml:space="preserve">
Gada nodokļa likme ir robežās no 0,3 līdz 3 procentiem no nekustamā īpašuma apliekamās vērtības. Katrai pašvaldībai ir tiesības noteikt savu likmi (likmes).</t>
        </r>
      </text>
    </comment>
    <comment ref="AD127" authorId="2" shapeId="0" xr:uid="{E86C47B5-99AC-40C8-9451-1B2189F0EC6F}">
      <text>
        <r>
          <rPr>
            <b/>
            <sz val="9"/>
            <color indexed="81"/>
            <rFont val="Tahoma"/>
            <family val="2"/>
            <charset val="186"/>
          </rPr>
          <t>Ieva Kodoliņa-Miglāne:</t>
        </r>
        <r>
          <rPr>
            <sz val="9"/>
            <color indexed="81"/>
            <rFont val="Tahoma"/>
            <family val="2"/>
            <charset val="186"/>
          </rPr>
          <t xml:space="preserve">
The annual tax rate is within the range of 0.3 - 3 per cent of the taxable value of the immovable property. Each municipality has a right to establish its own rate (rates) within the latter range.</t>
        </r>
      </text>
    </comment>
    <comment ref="A128" authorId="2" shapeId="0" xr:uid="{C946D959-6BAC-44AA-9435-6EC1B696CC08}">
      <text>
        <r>
          <rPr>
            <b/>
            <sz val="9"/>
            <color indexed="81"/>
            <rFont val="Tahoma"/>
            <family val="2"/>
            <charset val="186"/>
          </rPr>
          <t>Ieva Kodoliņa-Miglāne:</t>
        </r>
        <r>
          <rPr>
            <sz val="9"/>
            <color indexed="81"/>
            <rFont val="Tahoma"/>
            <family val="2"/>
            <charset val="186"/>
          </rPr>
          <t xml:space="preserve">
Nodokļa atvieglojumi fiziskām personām:
1.kultūras priekšmetu, kā arī sociālās labklājības nodrošināšana;
2. lauksaimniecības darbības;
3. izglītības mērķiem;
4.kapitāla teritorijā esošo apbedīšanas pakalpojumu un īpašuma nodrošināšana;
5. individuālām radošām darbībām;
6. Nekustamā īpašuma vērtība, ko izmanto nekomerciālos nolūkos (ieskaitot dzīvokļus, garāžas, fermas, izklaides nolūkos izmantoto nekustamo īpašumu uc), nepārsniedzot 1 miljonu litu (290 000 eiro).</t>
        </r>
      </text>
    </comment>
    <comment ref="AD128" authorId="2" shapeId="0" xr:uid="{0A08D326-0394-4644-B6F7-3A7D5B879B87}">
      <text>
        <r>
          <rPr>
            <b/>
            <sz val="9"/>
            <color indexed="81"/>
            <rFont val="Tahoma"/>
            <family val="2"/>
            <charset val="186"/>
          </rPr>
          <t xml:space="preserve">Ieva Kodoliņa-Miglāne:
</t>
        </r>
        <r>
          <rPr>
            <sz val="9"/>
            <color indexed="81"/>
            <rFont val="Tahoma"/>
            <family val="2"/>
            <charset val="186"/>
          </rPr>
          <t>Tax exemptions are:</t>
        </r>
        <r>
          <rPr>
            <sz val="9"/>
            <color indexed="81"/>
            <rFont val="Tahoma"/>
            <family val="2"/>
            <charset val="186"/>
          </rPr>
          <t xml:space="preserve">
1.manufacture of cult articles as well as for social welfare;
2.agricultural activities;
3.for education endeavours;
4.the provision of burial services and property located in the territory of a cemetery;
5.for individual creative activities;
6.the value of real estate used for non-commercial economic purposes (including dwellings, garages, farms, real estate used for leisure and etc.) not exceeding 1 million litas (€ 290,000).</t>
        </r>
      </text>
    </comment>
    <comment ref="T129" authorId="2" shapeId="0" xr:uid="{2576C25A-618F-40D0-8EE4-5E9E4770DA84}">
      <text>
        <r>
          <rPr>
            <b/>
            <sz val="9"/>
            <color indexed="81"/>
            <rFont val="Tahoma"/>
            <family val="2"/>
            <charset val="186"/>
          </rPr>
          <t>Ieva Kodoliņa-Miglāne:</t>
        </r>
        <r>
          <rPr>
            <sz val="9"/>
            <color indexed="81"/>
            <rFont val="Tahoma"/>
            <family val="2"/>
            <charset val="186"/>
          </rPr>
          <t xml:space="preserve">
No 2018.gada tiek ieviestas progresīvas NĪN likmes atbilstoši īpašuma vērtībai - 0,5%, 1,0% un 2,0%, saglabājot NĪN atbrīvojumu privātām dzīvojamām mājām, ja to vērtība nepārsniedz 220 000 EUR. Bet ģimenēm ar 3 vai vairāk bērniem vai bērnu ar invaliditāti atbrīvojums tiek piemērots īpašumam, ja tā  vērtība nepārsniedz 286 000 EUR.
 In 2015-2017 private residential houses are subject to RET rate of 0.5%, for the value exceeding EUR 220,000 (until 1 January 2015 the rate was 1% on the value exceeding LTL 1 000 000 (approximately EUR 290 000)).
Starting from 2018, progressive RET rates are set at 0.5%, 1.0% and 2.0%:
      - 0.5% rate for the value of the property exceeding EUR 220 thousand but not exceeding EUR 300 thousand (for taxpayers with 3 or more children or disabled child - for the value of     the property exceeding EUR 286 thousand but not exceeding EUR 390 thousand)
      - 1% rate – for the value of the property exceeding EUR 300 thousand but not exceeding EUR 500 thousand (for taxpayers with 3 or more children or disabled child - for the value of the property exceeding EUR 390 thousand but not exceeding EUR 650 thousand) and 
      - 2% rate – for the value  of the property exceeding EUR 500 thousand  (for taxpayers with 3 or more children or disabled child - exceeding EUR 650 thousand).</t>
        </r>
      </text>
    </comment>
    <comment ref="V129" authorId="0" shapeId="0" xr:uid="{C30BB7E4-2A17-4570-9849-B7C1688718F6}">
      <text>
        <r>
          <rPr>
            <b/>
            <sz val="9"/>
            <color indexed="81"/>
            <rFont val="Tahoma"/>
            <family val="2"/>
            <charset val="186"/>
          </rPr>
          <t>Viktorija Jureviča:</t>
        </r>
        <r>
          <rPr>
            <sz val="9"/>
            <color indexed="81"/>
            <rFont val="Tahoma"/>
            <family val="2"/>
            <charset val="186"/>
          </rPr>
          <t xml:space="preserve">
No 2020.gada samazina neapliekamo minimumu no 220 t. līdz 150 tūkst.  Un daudzbērnu ģimenēm līdz 200t.
From 2020, non-taxable value for non-commercial immovable property had reduced from 220 t. up to 150 thousand. And for large families up to 200t. </t>
        </r>
      </text>
    </comment>
    <comment ref="A138" authorId="2" shapeId="0" xr:uid="{6107A819-395D-4569-9993-CC4B1A252714}">
      <text>
        <r>
          <rPr>
            <b/>
            <sz val="9"/>
            <color indexed="81"/>
            <rFont val="Tahoma"/>
            <family val="2"/>
            <charset val="186"/>
          </rPr>
          <t>Ieva Kodoliņa-Miglāne:</t>
        </r>
        <r>
          <rPr>
            <sz val="9"/>
            <color indexed="81"/>
            <rFont val="Tahoma"/>
            <family val="2"/>
            <charset val="186"/>
          </rPr>
          <t xml:space="preserve">
Standarta akcīzes nodokļa likmi samazina par procentuālo daudzumu proporcionāli bioloģiskās izcelsmes piedevu procentuālajam daudzumam produktā. No 2016. gada atbrīvojumu no akcīzes nodokļa piemēro produktam, kas atbilst standartam CEN/TS 15293, ko apstiprinājusi Eiropas Standartizācijas komiteja</t>
        </r>
      </text>
    </comment>
    <comment ref="AD138" authorId="2" shapeId="0" xr:uid="{584520EE-BE27-4847-8E6B-385D25FE1E75}">
      <text>
        <r>
          <rPr>
            <b/>
            <sz val="9"/>
            <color indexed="81"/>
            <rFont val="Tahoma"/>
            <family val="2"/>
            <charset val="186"/>
          </rPr>
          <t>Ieva Kodoliņa-Miglāne:</t>
        </r>
        <r>
          <rPr>
            <sz val="9"/>
            <color indexed="81"/>
            <rFont val="Tahoma"/>
            <family val="2"/>
            <charset val="186"/>
          </rPr>
          <t xml:space="preserve">
The standart excise duty rate  is reduced by the percentage in proportion to the percentage of additives of biological origin in the product.  From 2016 the excise duty exemption shall apply to the product corresponding to the Standard CEN/TS 15293 approved by the European Committee for Standardization.
</t>
        </r>
      </text>
    </comment>
    <comment ref="AD141" authorId="5" shapeId="0" xr:uid="{E943F95E-FECB-409C-9A51-1A55BDE2597E}">
      <text>
        <r>
          <rPr>
            <b/>
            <sz val="9"/>
            <color indexed="81"/>
            <rFont val="Tahoma"/>
            <family val="2"/>
            <charset val="186"/>
          </rPr>
          <t>Jolanta Poškevičienė:</t>
        </r>
        <r>
          <rPr>
            <sz val="9"/>
            <color indexed="81"/>
            <rFont val="Tahoma"/>
            <family val="2"/>
            <charset val="186"/>
          </rPr>
          <t xml:space="preserve">
The standart excise duty rate  is reduced by the percentage in proportion to the percentage of additives of biological origin in the product.  From 2016 the excise duty exemption shall apply to the product corresponding to the Standard EN14214 and CEN/TS 15293 approved by the European Committee for Standardization (in practice these biofuels and fuels blends are known as B100 (fuels are made up of 100% FAME concentration and intended to diesel cars) and E85 (85% ethanol and 15% petrol)).</t>
        </r>
      </text>
    </comment>
    <comment ref="AD147" authorId="0" shapeId="0" xr:uid="{F2D1FD11-AEBC-4C3E-8D8E-7CB4FF4BEA56}">
      <text>
        <r>
          <rPr>
            <sz val="9"/>
            <color indexed="81"/>
            <rFont val="Tahoma"/>
            <family val="2"/>
            <charset val="186"/>
          </rPr>
          <t xml:space="preserve">02.02.2021. </t>
        </r>
        <r>
          <rPr>
            <b/>
            <sz val="9"/>
            <color indexed="81"/>
            <rFont val="Tahoma"/>
            <family val="2"/>
            <charset val="186"/>
          </rPr>
          <t xml:space="preserve">LT: </t>
        </r>
        <r>
          <rPr>
            <sz val="9"/>
            <color indexed="81"/>
            <rFont val="Tahoma"/>
            <family val="2"/>
            <charset val="186"/>
          </rPr>
          <t xml:space="preserve">
LPG has exempted from excise duty, when used for heating.</t>
        </r>
      </text>
    </comment>
    <comment ref="W152" authorId="0" shapeId="0" xr:uid="{670FE804-1661-4461-A401-28DFC5860EC8}">
      <text>
        <r>
          <rPr>
            <sz val="9"/>
            <color indexed="81"/>
            <rFont val="Tahoma"/>
            <family val="2"/>
            <charset val="186"/>
          </rPr>
          <t xml:space="preserve">LT presentation:
As of 2021 increase decrease in quotas by  6 % for gas oil used in agriculture
LT: </t>
        </r>
        <r>
          <rPr>
            <b/>
            <sz val="9"/>
            <color indexed="81"/>
            <rFont val="Tahoma"/>
            <family val="2"/>
            <charset val="186"/>
          </rPr>
          <t>The budget loss calculations provided by the Ministry of Agriculture shows that in other economic  activity years (from 1 July 2021 to 30 June 2022) the State budget losses would decrease by 6.19% or almost 6 MEUR (The budget loss calculations provided by the Ministry of Finance - the State budget losses would decrease by 5.1% or almost 5 MEUR).</t>
        </r>
      </text>
    </comment>
    <comment ref="AD158" authorId="6" shapeId="0" xr:uid="{D6994A59-2916-43BF-AB41-11CC4C7CE153}">
      <text>
        <r>
          <rPr>
            <b/>
            <sz val="9"/>
            <color indexed="81"/>
            <rFont val="Tahoma"/>
            <family val="2"/>
            <charset val="186"/>
          </rPr>
          <t>Lina Kažemėkienė:</t>
        </r>
        <r>
          <rPr>
            <sz val="9"/>
            <color indexed="81"/>
            <rFont val="Tahoma"/>
            <family val="2"/>
            <charset val="186"/>
          </rPr>
          <t xml:space="preserve">
In Lithuania independent small breweries producing not more than 80 thousand hectoliters of beer per calendar year can apply reduced rate for the first 10 thousand hectoliters.</t>
        </r>
      </text>
    </comment>
    <comment ref="W176" authorId="0" shapeId="0" xr:uid="{4F56A635-DD4C-4BE5-8C5B-F9285DEE46BA}">
      <text>
        <r>
          <rPr>
            <b/>
            <sz val="9"/>
            <color indexed="81"/>
            <rFont val="Tahoma"/>
            <family val="2"/>
            <charset val="186"/>
          </rPr>
          <t xml:space="preserve">LT: The specific excise rate of cigarettes will be increased by 5,6 %, the minimum rate – 6,5 %, excise duty rates on cigars and cigarillos, smoking tobacco increase by 14,6 %. That will be increased of 5,6 - 14,6 %.  </t>
        </r>
      </text>
    </comment>
    <comment ref="T198" authorId="0" shapeId="0" xr:uid="{42A1ECDF-B856-4694-946D-560676D33BBE}">
      <text>
        <r>
          <rPr>
            <b/>
            <sz val="9"/>
            <color indexed="81"/>
            <rFont val="Tahoma"/>
            <family val="2"/>
            <charset val="186"/>
          </rPr>
          <t>Viktorija Jureviča:
No 2017.gada karsējamā tabaka bija iekļauta pie smēķējamās tabakas likmes.</t>
        </r>
        <r>
          <rPr>
            <sz val="9"/>
            <color indexed="81"/>
            <rFont val="Tahoma"/>
            <family val="2"/>
            <charset val="186"/>
          </rPr>
          <t xml:space="preserve">
How long have heated tobacco been taxed?
LT: From 01/03/2019 heated tobacco products are subject to excise duty as a separate category. Until 28/02/2019  the rate of smoking tobacco was applied for heated tobacco products.These</t>
        </r>
        <r>
          <rPr>
            <b/>
            <sz val="9"/>
            <color indexed="81"/>
            <rFont val="Tahoma"/>
            <family val="2"/>
            <charset val="186"/>
          </rPr>
          <t xml:space="preserve"> products had appeared on the Lithuanian market in 2017 and only from that year the rate of smoking tobacco has been applied for them. </t>
        </r>
      </text>
    </comment>
    <comment ref="V198" authorId="0" shapeId="0" xr:uid="{6FE5CD25-00E6-4B88-B875-C1B3F2C2E0F1}">
      <text>
        <r>
          <rPr>
            <b/>
            <sz val="9"/>
            <color indexed="81"/>
            <rFont val="Tahoma"/>
            <family val="2"/>
            <charset val="186"/>
          </rPr>
          <t>Viktorija Jureviča:</t>
        </r>
        <r>
          <rPr>
            <sz val="9"/>
            <color indexed="81"/>
            <rFont val="Tahoma"/>
            <family val="2"/>
            <charset val="186"/>
          </rPr>
          <t xml:space="preserve">
</t>
        </r>
        <r>
          <rPr>
            <b/>
            <sz val="9"/>
            <color indexed="81"/>
            <rFont val="Tahoma"/>
            <family val="2"/>
            <charset val="186"/>
          </rPr>
          <t>No 2017.gada karsējamā tabaka bija iekļauta pie smēķējamās tabakas likmes.</t>
        </r>
        <r>
          <rPr>
            <sz val="9"/>
            <color indexed="81"/>
            <rFont val="Tahoma"/>
            <family val="2"/>
            <charset val="186"/>
          </rPr>
          <t xml:space="preserve">
How long have heated tobacco been taxed?
</t>
        </r>
        <r>
          <rPr>
            <b/>
            <sz val="9"/>
            <color indexed="81"/>
            <rFont val="Tahoma"/>
            <family val="2"/>
            <charset val="186"/>
          </rPr>
          <t>LT:</t>
        </r>
        <r>
          <rPr>
            <sz val="9"/>
            <color indexed="81"/>
            <rFont val="Tahoma"/>
            <family val="2"/>
            <charset val="186"/>
          </rPr>
          <t xml:space="preserve"> From 01/03/2019 heated tobacco products are subject to excise duty as a separate category. Until 28/02/2019  the rate of smoking tobacco was applied for heated tobacco products.These products had appeared on the Lithuanian market in 2017 and only from that year the rate of smoking tobacco has been applied for them. </t>
        </r>
      </text>
    </comment>
    <comment ref="A200" authorId="0" shapeId="0" xr:uid="{63CC0E3D-AF01-4C85-A06E-F9055669078B}">
      <text>
        <r>
          <rPr>
            <b/>
            <sz val="9"/>
            <color indexed="81"/>
            <rFont val="Tahoma"/>
            <family val="2"/>
            <charset val="186"/>
          </rPr>
          <t>Viktorija Jureviča:</t>
        </r>
        <r>
          <rPr>
            <sz val="9"/>
            <color indexed="81"/>
            <rFont val="Tahoma"/>
            <family val="2"/>
            <charset val="186"/>
          </rPr>
          <t xml:space="preserve">
No akcīzes nodokļa atbrīvo no citas dalībvalsts saņemta neapstrādātata tabaka, ražota Lietuvā, importēta, iegūta Lietuvā un ir izsniegta atbilstoša atļauja.</t>
        </r>
      </text>
    </comment>
    <comment ref="AD200" authorId="5" shapeId="0" xr:uid="{043AB237-6889-4325-B560-B2FE941CFF12}">
      <text>
        <r>
          <rPr>
            <b/>
            <sz val="9"/>
            <color indexed="81"/>
            <rFont val="Tahoma"/>
            <family val="2"/>
            <charset val="186"/>
          </rPr>
          <t>Jolanta Poškevičienė:</t>
        </r>
        <r>
          <rPr>
            <sz val="9"/>
            <color indexed="81"/>
            <rFont val="Tahoma"/>
            <family val="2"/>
            <charset val="186"/>
          </rPr>
          <t xml:space="preserve">
From excise duty shall be exempt raw tobacco received from another Member State, produced in Lithuania, imported, acquired in Lithuania, lost by a person holding an authorization issued in accordance with the procedure established by the Central Tax Administrator.</t>
        </r>
      </text>
    </comment>
    <comment ref="A202" authorId="2" shapeId="0" xr:uid="{5E9A4705-1444-4AFE-B212-0B6C98A99ABF}">
      <text>
        <r>
          <rPr>
            <b/>
            <sz val="9"/>
            <color indexed="81"/>
            <rFont val="Tahoma"/>
            <family val="2"/>
            <charset val="186"/>
          </rPr>
          <t>Ieva Kodoliņa-Miglāne:</t>
        </r>
        <r>
          <rPr>
            <sz val="9"/>
            <color indexed="81"/>
            <rFont val="Tahoma"/>
            <family val="2"/>
            <charset val="186"/>
          </rPr>
          <t xml:space="preserve">
Līdz 2015.gada 31.decembrim akcīzes nodoklis tika piemērots tikai par dabasgāzi, ko izmanto kā degvielu (23,60 EUR par 1 MWh).
No 2016. gada 1. janvāra tika ieviests akcīzes nodoklis par dabasgāzi, ko izmanto kā kurināmo: uzņēmumiem - 0,54 EUR / 1 MWh, bet pārējiem - 1,08 EUR / 1 MWh. No 2018. ada 1.janvāra atcelts akcīzes nodokļa atbrīvojums dabas gāzei. </t>
        </r>
      </text>
    </comment>
    <comment ref="AD202" authorId="2" shapeId="0" xr:uid="{CA6EED2A-0884-45B7-A508-4EEB0A751EFD}">
      <text>
        <r>
          <rPr>
            <b/>
            <sz val="9"/>
            <color indexed="81"/>
            <rFont val="Tahoma"/>
            <family val="2"/>
            <charset val="186"/>
          </rPr>
          <t>Ieva Kodoliņa-Miglāne:</t>
        </r>
        <r>
          <rPr>
            <sz val="9"/>
            <color indexed="81"/>
            <rFont val="Tahoma"/>
            <family val="2"/>
            <charset val="186"/>
          </rPr>
          <t xml:space="preserve">
Until 31 December 2015  excise duty was applied only for natural gas used as motor fuel (23,60 EUR/1MWh). 
From 2016 1 January excise duty also was introduced for natural gas used as heating fuel: buseiness use - 0,54 EUR/1MWh, other use - 1,08 EUR/1MWh. From 2018 1 January introduced  excise duty exemption for natural gas </t>
        </r>
      </text>
    </comment>
    <comment ref="A205" authorId="0" shapeId="0" xr:uid="{0EEFCC44-0690-4B14-A128-9C84857A04E2}">
      <text>
        <r>
          <rPr>
            <b/>
            <sz val="9"/>
            <color indexed="81"/>
            <rFont val="Tahoma"/>
            <family val="2"/>
            <charset val="186"/>
          </rPr>
          <t>Viktorija Jureviča:</t>
        </r>
        <r>
          <rPr>
            <sz val="9"/>
            <color indexed="81"/>
            <rFont val="Tahoma"/>
            <family val="2"/>
            <charset val="186"/>
          </rPr>
          <t xml:space="preserve">
Ja dabasgāzi izmanto kā motordegvielu (</t>
        </r>
        <r>
          <rPr>
            <b/>
            <sz val="9"/>
            <color indexed="81"/>
            <rFont val="Tahoma"/>
            <family val="2"/>
            <charset val="186"/>
          </rPr>
          <t>mehānismos</t>
        </r>
        <r>
          <rPr>
            <sz val="9"/>
            <color indexed="81"/>
            <rFont val="Tahoma"/>
            <family val="2"/>
            <charset val="186"/>
          </rPr>
          <t>), uzliek akcīzes nodokli EUR 23,60 par MWh</t>
        </r>
      </text>
    </comment>
    <comment ref="AD205" authorId="5" shapeId="0" xr:uid="{8CE08AC0-8B37-4FD9-934F-F2CA17572608}">
      <text>
        <r>
          <rPr>
            <b/>
            <sz val="9"/>
            <color indexed="81"/>
            <rFont val="Tahoma"/>
            <family val="2"/>
            <charset val="186"/>
          </rPr>
          <t>Jolanta Poškevičienė:</t>
        </r>
        <r>
          <rPr>
            <sz val="9"/>
            <color indexed="81"/>
            <rFont val="Tahoma"/>
            <family val="2"/>
            <charset val="186"/>
          </rPr>
          <t xml:space="preserve">
LT: Natural gas used as motor fuel (in mechanisms) is subject to an excise duty of EUR 23.60 per MWh.
LV: 
1) Is it correct that fuel for vehicle (cars, trucks) has a rate 0 eur?
LT: Yes
2) What kind these mechanisms are (which is subject to an excise duty of EUR 23.60 per MWh)? please give an example.
LT: In practice we do not have any information if some business uses natural gas in stationary mechanism.</t>
        </r>
      </text>
    </comment>
    <comment ref="AD219" authorId="7" shapeId="0" xr:uid="{FF30A9D9-8B0E-4322-B0A7-04668A7A33FF}">
      <text>
        <r>
          <rPr>
            <b/>
            <sz val="9"/>
            <color indexed="81"/>
            <rFont val="Tahoma"/>
            <family val="2"/>
            <charset val="186"/>
          </rPr>
          <t>Gabija Brazauskienė:</t>
        </r>
        <r>
          <rPr>
            <sz val="9"/>
            <color indexed="81"/>
            <rFont val="Tahoma"/>
            <family val="2"/>
            <charset val="186"/>
          </rPr>
          <t xml:space="preserve">
From 2022-07-01 legal entities, seeking to obtain a license to organize gambling activities in accordance with the procedure established by the Law on Gambling, shall be subject to a one-time fee:
 1) EUR 300,000 for the issuance of a license to organize table games and gambling with category A slot machines; 
2) EUR 300,000 for the issuance of a license to organize gambling with category B slot machines ; 
3) EUR 100,000 for the issuance of a bingo license;
4) EUR 100,000 for the issuance of a license to organize totalizator, including horse totalizator;
5) EUR 100,000 for the issuance of a license to organize betting ;
6) EUR 500,000 for the issuance of a license to organize remote gambling ; 
7) EUR 1 000 000 for the issuance of all types of licenses referred to in points 1 to 6 of this Part. 
</t>
        </r>
      </text>
    </comment>
    <comment ref="T229" authorId="2" shapeId="0" xr:uid="{FC580BBD-7F67-487D-AC7F-F037ECE6272F}">
      <text>
        <r>
          <rPr>
            <b/>
            <sz val="9"/>
            <color indexed="81"/>
            <rFont val="Tahoma"/>
            <family val="2"/>
            <charset val="186"/>
          </rPr>
          <t>Ieva Kodoliņa-Miglāne:</t>
        </r>
        <r>
          <rPr>
            <sz val="9"/>
            <color indexed="81"/>
            <rFont val="Tahoma"/>
            <family val="2"/>
            <charset val="186"/>
          </rPr>
          <t xml:space="preserve">
Lietuvā no 2018.gada atvieglojums par bērniem ir atcelts, bet tas aizstāts ar  ģimenes valsts pabalstu.
In Lithuania from 2018 allowance for children has been abolished, but it has been replaced with state family benefits. </t>
        </r>
      </text>
    </comment>
    <comment ref="S231" authorId="0" shapeId="0" xr:uid="{F5EBAE7C-7D75-471D-B675-3A2C8F7DCEA4}">
      <text>
        <r>
          <rPr>
            <b/>
            <sz val="9"/>
            <color indexed="81"/>
            <rFont val="Tahoma"/>
            <family val="2"/>
            <charset val="186"/>
          </rPr>
          <t>Viktorija Jureviča:</t>
        </r>
        <r>
          <rPr>
            <sz val="9"/>
            <color indexed="81"/>
            <rFont val="Tahoma"/>
            <family val="2"/>
            <charset val="186"/>
          </rPr>
          <t xml:space="preserve">
from 2017 for families with 3 or more children benefit is payed without income test</t>
        </r>
      </text>
    </comment>
    <comment ref="T231" authorId="0" shapeId="0" xr:uid="{26EA4863-D3FC-4C44-84B8-F31D16105D8E}">
      <text>
        <r>
          <rPr>
            <b/>
            <sz val="9"/>
            <color indexed="81"/>
            <rFont val="Tahoma"/>
            <family val="2"/>
            <charset val="186"/>
          </rPr>
          <t>Viktorija Jureviča:</t>
        </r>
        <r>
          <rPr>
            <sz val="9"/>
            <color indexed="81"/>
            <rFont val="Tahoma"/>
            <family val="2"/>
            <charset val="186"/>
          </rPr>
          <t xml:space="preserve">
from 2017 for families with 3 or more children benefit is payed without income test</t>
        </r>
      </text>
    </comment>
    <comment ref="U231" authorId="0" shapeId="0" xr:uid="{3F6B0983-F053-438A-BD53-F9E530EBA1F0}">
      <text>
        <r>
          <rPr>
            <b/>
            <sz val="9"/>
            <color indexed="81"/>
            <rFont val="Tahoma"/>
            <family val="2"/>
            <charset val="186"/>
          </rPr>
          <t>Viktorija Jureviča:</t>
        </r>
        <r>
          <rPr>
            <sz val="9"/>
            <color indexed="81"/>
            <rFont val="Tahoma"/>
            <family val="2"/>
            <charset val="186"/>
          </rPr>
          <t xml:space="preserve">
from 2017 for families with 3 or more children benefit is payed without income test</t>
        </r>
      </text>
    </comment>
    <comment ref="A241" authorId="0" shapeId="0" xr:uid="{6DC13AD2-F257-42CE-BADD-2151C33297A9}">
      <text>
        <r>
          <rPr>
            <b/>
            <sz val="9"/>
            <color indexed="81"/>
            <rFont val="Tahoma"/>
            <family val="2"/>
            <charset val="186"/>
          </rPr>
          <t>Viktorija Jureviča:</t>
        </r>
        <r>
          <rPr>
            <sz val="9"/>
            <color indexed="81"/>
            <rFont val="Tahoma"/>
            <family val="2"/>
            <charset val="186"/>
          </rPr>
          <t xml:space="preserve">
Aktuāla, apkopota informācija par 2015.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Līga Gudēvica-Liepiņa</author>
    <author>Ieva Kodoliņa-Miglāne</author>
    <author>Viktorija Jureviča</author>
  </authors>
  <commentList>
    <comment ref="J6" authorId="0" shapeId="0" xr:uid="{DBB04798-9A3B-4F3E-B48B-E13AD3B24D51}">
      <text>
        <r>
          <rPr>
            <b/>
            <sz val="9"/>
            <color indexed="81"/>
            <rFont val="Tahoma"/>
            <family val="2"/>
            <charset val="186"/>
          </rPr>
          <t>Author:</t>
        </r>
        <r>
          <rPr>
            <sz val="9"/>
            <color indexed="81"/>
            <rFont val="Tahoma"/>
            <family val="2"/>
            <charset val="186"/>
          </rPr>
          <t xml:space="preserve">
Nodokļu likmi 32% piemēro ienākumam, kas pārsniedz VSAOI objekta maksimālo apmēru:
120 vidējo algu apmērs 2019.gadā,
84 vidējo algu apmērs 2020.gadā,</t>
        </r>
      </text>
    </comment>
    <comment ref="G10" authorId="1" shapeId="0" xr:uid="{E2E6E29F-F82C-4BA8-BEF7-D97DCD5E632F}">
      <text>
        <r>
          <rPr>
            <b/>
            <sz val="9"/>
            <color indexed="81"/>
            <rFont val="Tahoma"/>
            <family val="2"/>
            <charset val="186"/>
          </rPr>
          <t>Līga Gudēvica-Liepiņa:</t>
        </r>
        <r>
          <rPr>
            <sz val="9"/>
            <color indexed="81"/>
            <rFont val="Tahoma"/>
            <family val="2"/>
            <charset val="186"/>
          </rPr>
          <t xml:space="preserve">
fixed</t>
        </r>
      </text>
    </comment>
    <comment ref="H10" authorId="1" shapeId="0" xr:uid="{1ECFD4A0-2BE6-4415-8D01-12666D431BAA}">
      <text>
        <r>
          <rPr>
            <b/>
            <sz val="9"/>
            <color indexed="81"/>
            <rFont val="Tahoma"/>
            <family val="2"/>
            <charset val="186"/>
          </rPr>
          <t>Līga Gudēvica-Liepiņa:</t>
        </r>
        <r>
          <rPr>
            <sz val="9"/>
            <color indexed="81"/>
            <rFont val="Tahoma"/>
            <family val="2"/>
            <charset val="186"/>
          </rPr>
          <t xml:space="preserve">
fixed</t>
        </r>
      </text>
    </comment>
    <comment ref="I10" authorId="1" shapeId="0" xr:uid="{AB210E80-041C-4B26-B271-CCC0F5BFD280}">
      <text>
        <r>
          <rPr>
            <b/>
            <sz val="9"/>
            <color indexed="81"/>
            <rFont val="Tahoma"/>
            <family val="2"/>
            <charset val="186"/>
          </rPr>
          <t>Līga Gudēvica-Liepiņa:</t>
        </r>
        <r>
          <rPr>
            <sz val="9"/>
            <color indexed="81"/>
            <rFont val="Tahoma"/>
            <family val="2"/>
            <charset val="186"/>
          </rPr>
          <t xml:space="preserve">
fixed</t>
        </r>
      </text>
    </comment>
    <comment ref="D11" authorId="1" shapeId="0" xr:uid="{A12C56F7-C3CE-48B8-8597-5AAE8BFFB317}">
      <text>
        <r>
          <rPr>
            <b/>
            <sz val="9"/>
            <color indexed="81"/>
            <rFont val="Tahoma"/>
            <family val="2"/>
            <charset val="186"/>
          </rPr>
          <t>Līga Gudēvica-Liepiņa:</t>
        </r>
        <r>
          <rPr>
            <sz val="9"/>
            <color indexed="81"/>
            <rFont val="Tahoma"/>
            <family val="2"/>
            <charset val="186"/>
          </rPr>
          <t xml:space="preserve">
From January till June EUR 350 per month, from July till December EUR 500 per month</t>
        </r>
      </text>
    </comment>
    <comment ref="B22" authorId="1" shapeId="0" xr:uid="{3EFE8836-0095-486A-A039-A63867A3BED4}">
      <text>
        <r>
          <rPr>
            <b/>
            <sz val="9"/>
            <color indexed="81"/>
            <rFont val="Tahoma"/>
            <charset val="1"/>
          </rPr>
          <t xml:space="preserve">Līga Gudēvica-Liepiņa:
</t>
        </r>
        <r>
          <rPr>
            <sz val="9"/>
            <color indexed="81"/>
            <rFont val="Tahoma"/>
            <family val="2"/>
            <charset val="186"/>
          </rPr>
          <t>Contributions to the II pillar are mandatory in Latvia - included in the social tax rate</t>
        </r>
      </text>
    </comment>
    <comment ref="C29" authorId="1" shapeId="0" xr:uid="{AD6D5901-6C43-40F5-912C-0D41F7D41FAA}">
      <text>
        <r>
          <rPr>
            <b/>
            <sz val="9"/>
            <color indexed="81"/>
            <rFont val="Tahoma"/>
            <family val="2"/>
            <charset val="186"/>
          </rPr>
          <t>Līga Gudēvica-Liepiņa:</t>
        </r>
        <r>
          <rPr>
            <sz val="9"/>
            <color indexed="81"/>
            <rFont val="Tahoma"/>
            <family val="2"/>
            <charset val="186"/>
          </rPr>
          <t xml:space="preserve">
as of July 1</t>
        </r>
      </text>
    </comment>
    <comment ref="Q30" authorId="0" shapeId="0" xr:uid="{01D722BE-3E5F-449C-9064-76C7852AA46B}">
      <text>
        <r>
          <rPr>
            <b/>
            <sz val="9"/>
            <color indexed="81"/>
            <rFont val="Tahoma"/>
            <family val="2"/>
            <charset val="186"/>
          </rPr>
          <t>Author:</t>
        </r>
        <r>
          <rPr>
            <sz val="9"/>
            <color indexed="81"/>
            <rFont val="Tahoma"/>
            <family val="2"/>
            <charset val="186"/>
          </rPr>
          <t xml:space="preserve">
From 2. child and 3.child</t>
        </r>
      </text>
    </comment>
    <comment ref="R30" authorId="0" shapeId="0" xr:uid="{1422A1B4-7375-4B48-8D3E-DFDB05658F4D}">
      <text>
        <r>
          <rPr>
            <b/>
            <sz val="9"/>
            <color indexed="81"/>
            <rFont val="Tahoma"/>
            <family val="2"/>
            <charset val="186"/>
          </rPr>
          <t>Author:</t>
        </r>
        <r>
          <rPr>
            <sz val="9"/>
            <color indexed="81"/>
            <rFont val="Tahoma"/>
            <family val="2"/>
            <charset val="186"/>
          </rPr>
          <t xml:space="preserve">
From 2. child and 3.child</t>
        </r>
      </text>
    </comment>
    <comment ref="S30" authorId="0" shapeId="0" xr:uid="{04F36671-F40E-408B-BB86-FFC43B77B7A5}">
      <text>
        <r>
          <rPr>
            <b/>
            <sz val="9"/>
            <color indexed="81"/>
            <rFont val="Tahoma"/>
            <family val="2"/>
            <charset val="186"/>
          </rPr>
          <t>Author:</t>
        </r>
        <r>
          <rPr>
            <sz val="9"/>
            <color indexed="81"/>
            <rFont val="Tahoma"/>
            <family val="2"/>
            <charset val="186"/>
          </rPr>
          <t xml:space="preserve">
From 2. child and 3.child</t>
        </r>
      </text>
    </comment>
    <comment ref="T30" authorId="1" shapeId="0" xr:uid="{ED2A7718-3434-4FAA-BCD4-40FC7861396F}">
      <text>
        <r>
          <rPr>
            <b/>
            <sz val="9"/>
            <color indexed="81"/>
            <rFont val="Tahoma"/>
            <family val="2"/>
            <charset val="186"/>
          </rPr>
          <t>Līga Gudēvica-Liepiņa:</t>
        </r>
        <r>
          <rPr>
            <sz val="9"/>
            <color indexed="81"/>
            <rFont val="Tahoma"/>
            <family val="2"/>
            <charset val="186"/>
          </rPr>
          <t xml:space="preserve">
Abolished</t>
        </r>
      </text>
    </comment>
    <comment ref="D42" authorId="0" shapeId="0" xr:uid="{A2C8EB76-C4BB-4CCE-B51D-47EDC7A68B0A}">
      <text>
        <r>
          <rPr>
            <b/>
            <sz val="12"/>
            <color indexed="81"/>
            <rFont val="Tahoma"/>
            <family val="2"/>
            <charset val="186"/>
          </rPr>
          <t>Variable values are entered here</t>
        </r>
      </text>
    </comment>
    <comment ref="C50" authorId="2" shapeId="0" xr:uid="{73B5F2F2-C6EC-44E4-AAC0-401258E7E46A}">
      <text>
        <r>
          <rPr>
            <sz val="9"/>
            <color indexed="81"/>
            <rFont val="Tahoma"/>
            <family val="2"/>
            <charset val="186"/>
          </rPr>
          <t xml:space="preserve">Applied to income up to SSC celling </t>
        </r>
        <r>
          <rPr>
            <b/>
            <sz val="9"/>
            <color indexed="81"/>
            <rFont val="Tahoma"/>
            <family val="2"/>
            <charset val="186"/>
          </rPr>
          <t>78 100 E</t>
        </r>
        <r>
          <rPr>
            <sz val="9"/>
            <color indexed="81"/>
            <rFont val="Tahoma"/>
            <family val="2"/>
            <charset val="186"/>
          </rPr>
          <t>UR per year or</t>
        </r>
        <r>
          <rPr>
            <b/>
            <sz val="9"/>
            <color indexed="81"/>
            <rFont val="Tahoma"/>
            <family val="2"/>
            <charset val="186"/>
          </rPr>
          <t xml:space="preserve"> 6 508,33 </t>
        </r>
        <r>
          <rPr>
            <sz val="9"/>
            <color indexed="81"/>
            <rFont val="Tahoma"/>
            <family val="2"/>
            <charset val="186"/>
          </rPr>
          <t xml:space="preserve">EUR per month
If the gross salary is less than the minimum monthly wage, the difference is paid by the employer applying the 34,09% rate. </t>
        </r>
      </text>
    </comment>
    <comment ref="E50" authorId="2" shapeId="0" xr:uid="{BC8164FC-99E2-40C4-BC67-531E8A95A2F5}">
      <text>
        <r>
          <rPr>
            <sz val="9"/>
            <color indexed="81"/>
            <rFont val="Tahoma"/>
            <family val="2"/>
            <charset val="186"/>
          </rPr>
          <t xml:space="preserve">Applied to income up to SSC celling </t>
        </r>
        <r>
          <rPr>
            <b/>
            <sz val="9"/>
            <color indexed="81"/>
            <rFont val="Tahoma"/>
            <family val="2"/>
            <charset val="186"/>
          </rPr>
          <t>105 300 EUR</t>
        </r>
        <r>
          <rPr>
            <sz val="9"/>
            <color indexed="81"/>
            <rFont val="Tahoma"/>
            <family val="2"/>
            <charset val="186"/>
          </rPr>
          <t xml:space="preserve"> per year or</t>
        </r>
        <r>
          <rPr>
            <b/>
            <sz val="9"/>
            <color indexed="81"/>
            <rFont val="Tahoma"/>
            <family val="2"/>
            <charset val="186"/>
          </rPr>
          <t xml:space="preserve"> 8 775 </t>
        </r>
        <r>
          <rPr>
            <sz val="9"/>
            <color indexed="81"/>
            <rFont val="Tahoma"/>
            <family val="2"/>
            <charset val="186"/>
          </rPr>
          <t xml:space="preserve">EUR per month
If the gross salary is less than the minimum monthly wage, the difference is paid by the employer applying the 34,09% rate. </t>
        </r>
      </text>
    </comment>
    <comment ref="G50" authorId="2" shapeId="0" xr:uid="{A1CDCEE5-1874-4B86-81A9-A3484E943F68}">
      <text>
        <r>
          <rPr>
            <sz val="9"/>
            <color indexed="81"/>
            <rFont val="Tahoma"/>
            <family val="2"/>
            <charset val="186"/>
          </rPr>
          <t xml:space="preserve">Applied to income up to SSC celling </t>
        </r>
        <r>
          <rPr>
            <b/>
            <sz val="9"/>
            <color indexed="81"/>
            <rFont val="Tahoma"/>
            <family val="2"/>
            <charset val="186"/>
          </rPr>
          <t>105 300 EUR</t>
        </r>
        <r>
          <rPr>
            <sz val="9"/>
            <color indexed="81"/>
            <rFont val="Tahoma"/>
            <family val="2"/>
            <charset val="186"/>
          </rPr>
          <t xml:space="preserve"> per year or</t>
        </r>
        <r>
          <rPr>
            <b/>
            <sz val="9"/>
            <color indexed="81"/>
            <rFont val="Tahoma"/>
            <family val="2"/>
            <charset val="186"/>
          </rPr>
          <t xml:space="preserve"> 8 775 </t>
        </r>
        <r>
          <rPr>
            <sz val="9"/>
            <color indexed="81"/>
            <rFont val="Tahoma"/>
            <family val="2"/>
            <charset val="186"/>
          </rPr>
          <t xml:space="preserve">EUR per month
If the gross salary is less than the minimum monthly wage, the difference is paid by the employer applying the 34,09% rate. </t>
        </r>
      </text>
    </comment>
    <comment ref="P50" authorId="1" shapeId="0" xr:uid="{D10EFACB-7576-486E-8BFC-0CD008140F8E}">
      <text>
        <r>
          <rPr>
            <b/>
            <sz val="9"/>
            <color indexed="81"/>
            <rFont val="Tahoma"/>
            <charset val="1"/>
          </rPr>
          <t>Līga Gudēvica-Liepiņa:</t>
        </r>
        <r>
          <rPr>
            <sz val="9"/>
            <color indexed="81"/>
            <rFont val="Tahoma"/>
            <charset val="1"/>
          </rPr>
          <t xml:space="preserve">
The minimum social security payment is 654 x 33% plus the 0.08% unemployment insurance</t>
        </r>
      </text>
    </comment>
    <comment ref="C52" authorId="2" shapeId="0" xr:uid="{848D8205-BB0F-4C95-8804-34835B7EF86C}">
      <text>
        <r>
          <rPr>
            <sz val="9"/>
            <color indexed="81"/>
            <rFont val="Tahoma"/>
            <family val="2"/>
            <charset val="186"/>
          </rPr>
          <t xml:space="preserve">Applied to income above </t>
        </r>
        <r>
          <rPr>
            <b/>
            <sz val="9"/>
            <color indexed="81"/>
            <rFont val="Tahoma"/>
            <family val="2"/>
            <charset val="186"/>
          </rPr>
          <t>78 100</t>
        </r>
        <r>
          <rPr>
            <sz val="9"/>
            <color indexed="81"/>
            <rFont val="Tahoma"/>
            <family val="2"/>
            <charset val="186"/>
          </rPr>
          <t xml:space="preserve"> EUR per year or </t>
        </r>
        <r>
          <rPr>
            <b/>
            <sz val="9"/>
            <color indexed="81"/>
            <rFont val="Tahoma"/>
            <family val="2"/>
            <charset val="186"/>
          </rPr>
          <t xml:space="preserve">6508,33 </t>
        </r>
        <r>
          <rPr>
            <sz val="9"/>
            <color indexed="81"/>
            <rFont val="Tahoma"/>
            <family val="2"/>
            <charset val="186"/>
          </rPr>
          <t xml:space="preserve">EUR per month
</t>
        </r>
      </text>
    </comment>
    <comment ref="C54" authorId="2" shapeId="0" xr:uid="{9929AF5A-0CEE-423D-8257-6784F187E685}">
      <text>
        <r>
          <rPr>
            <sz val="9"/>
            <color indexed="81"/>
            <rFont val="Tahoma"/>
            <family val="2"/>
            <charset val="186"/>
          </rPr>
          <t>Applied to income up to</t>
        </r>
        <r>
          <rPr>
            <b/>
            <sz val="9"/>
            <color indexed="81"/>
            <rFont val="Tahoma"/>
            <family val="2"/>
            <charset val="186"/>
          </rPr>
          <t xml:space="preserve"> 78 100 </t>
        </r>
        <r>
          <rPr>
            <sz val="9"/>
            <color indexed="81"/>
            <rFont val="Tahoma"/>
            <family val="2"/>
            <charset val="186"/>
          </rPr>
          <t xml:space="preserve">EUR per year or </t>
        </r>
        <r>
          <rPr>
            <b/>
            <sz val="9"/>
            <color indexed="81"/>
            <rFont val="Tahoma"/>
            <family val="2"/>
            <charset val="186"/>
          </rPr>
          <t xml:space="preserve">6508,33 </t>
        </r>
        <r>
          <rPr>
            <sz val="9"/>
            <color indexed="81"/>
            <rFont val="Tahoma"/>
            <family val="2"/>
            <charset val="186"/>
          </rPr>
          <t xml:space="preserve">EUR per month
 </t>
        </r>
      </text>
    </comment>
    <comment ref="C57" authorId="2" shapeId="0" xr:uid="{276B9E02-BA61-4A69-9101-ADB06142F97F}">
      <text>
        <r>
          <rPr>
            <sz val="9"/>
            <color indexed="81"/>
            <rFont val="Tahoma"/>
            <family val="2"/>
            <charset val="186"/>
          </rPr>
          <t xml:space="preserve">Maximum non-taxable minimum is </t>
        </r>
        <r>
          <rPr>
            <b/>
            <sz val="9"/>
            <color indexed="81"/>
            <rFont val="Tahoma"/>
            <family val="2"/>
            <charset val="186"/>
          </rPr>
          <t xml:space="preserve">500 </t>
        </r>
        <r>
          <rPr>
            <sz val="9"/>
            <color indexed="81"/>
            <rFont val="Tahoma"/>
            <family val="2"/>
            <charset val="186"/>
          </rPr>
          <t xml:space="preserve">EUR per month for income up to </t>
        </r>
        <r>
          <rPr>
            <b/>
            <sz val="9"/>
            <color indexed="81"/>
            <rFont val="Tahoma"/>
            <family val="2"/>
            <charset val="186"/>
          </rPr>
          <t>500</t>
        </r>
        <r>
          <rPr>
            <sz val="9"/>
            <color indexed="81"/>
            <rFont val="Tahoma"/>
            <family val="2"/>
            <charset val="186"/>
          </rPr>
          <t xml:space="preserve"> EUR per month. 
For income from </t>
        </r>
        <r>
          <rPr>
            <b/>
            <sz val="9"/>
            <color indexed="81"/>
            <rFont val="Tahoma"/>
            <family val="2"/>
            <charset val="186"/>
          </rPr>
          <t>500</t>
        </r>
        <r>
          <rPr>
            <sz val="9"/>
            <color indexed="81"/>
            <rFont val="Tahoma"/>
            <family val="2"/>
            <charset val="186"/>
          </rPr>
          <t xml:space="preserve"> to </t>
        </r>
        <r>
          <rPr>
            <b/>
            <sz val="9"/>
            <color indexed="81"/>
            <rFont val="Tahoma"/>
            <family val="2"/>
            <charset val="186"/>
          </rPr>
          <t>1800</t>
        </r>
        <r>
          <rPr>
            <sz val="9"/>
            <color indexed="81"/>
            <rFont val="Tahoma"/>
            <family val="2"/>
            <charset val="186"/>
          </rPr>
          <t xml:space="preserve"> EUR per month  non-taxable minimum is applied according to formula: 500 - 0,3846 x (Income - 500))
For income exceeding </t>
        </r>
        <r>
          <rPr>
            <b/>
            <sz val="9"/>
            <color indexed="81"/>
            <rFont val="Tahoma"/>
            <family val="2"/>
            <charset val="186"/>
          </rPr>
          <t xml:space="preserve">1800 </t>
        </r>
        <r>
          <rPr>
            <sz val="9"/>
            <color indexed="81"/>
            <rFont val="Tahoma"/>
            <family val="2"/>
            <charset val="186"/>
          </rPr>
          <t xml:space="preserve">EUR per month the not taxable minimum is not applied.
</t>
        </r>
      </text>
    </comment>
    <comment ref="E57" authorId="2" shapeId="0" xr:uid="{7EFD78B2-E782-4B4E-82BD-6C7D7FC234CF}">
      <text>
        <r>
          <rPr>
            <sz val="9"/>
            <color indexed="81"/>
            <rFont val="Tahoma"/>
            <family val="2"/>
            <charset val="186"/>
          </rPr>
          <t>Fixed non-taxable minimum</t>
        </r>
      </text>
    </comment>
    <comment ref="G57" authorId="2" shapeId="0" xr:uid="{CE999A4D-76C8-43E3-B3D4-95DEA2120482}">
      <text>
        <r>
          <rPr>
            <sz val="9"/>
            <color indexed="81"/>
            <rFont val="Tahoma"/>
            <family val="2"/>
            <charset val="186"/>
          </rPr>
          <t>Fixed non-taxable minimum</t>
        </r>
      </text>
    </comment>
    <comment ref="O58" authorId="3" shapeId="0" xr:uid="{85ED4894-12BE-4736-9480-28483F6BC3EC}">
      <text>
        <r>
          <rPr>
            <sz val="9"/>
            <color indexed="81"/>
            <rFont val="Tahoma"/>
            <family val="2"/>
            <charset val="186"/>
          </rPr>
          <t>Abolished from 2024</t>
        </r>
      </text>
    </comment>
    <comment ref="C59" authorId="2" shapeId="0" xr:uid="{50ECD5EC-37EC-4D50-BE33-9DA26095A178}">
      <text>
        <r>
          <rPr>
            <sz val="9"/>
            <color indexed="81"/>
            <rFont val="Tahoma"/>
            <family val="2"/>
            <charset val="186"/>
          </rPr>
          <t xml:space="preserve">Applied for income up to 
</t>
        </r>
        <r>
          <rPr>
            <b/>
            <sz val="9"/>
            <color indexed="81"/>
            <rFont val="Tahoma"/>
            <family val="2"/>
            <charset val="186"/>
          </rPr>
          <t>20 004</t>
        </r>
        <r>
          <rPr>
            <sz val="9"/>
            <color indexed="81"/>
            <rFont val="Tahoma"/>
            <family val="2"/>
            <charset val="186"/>
          </rPr>
          <t xml:space="preserve"> EUR per year or </t>
        </r>
        <r>
          <rPr>
            <b/>
            <sz val="9"/>
            <color indexed="81"/>
            <rFont val="Tahoma"/>
            <family val="2"/>
            <charset val="186"/>
          </rPr>
          <t>1667</t>
        </r>
        <r>
          <rPr>
            <sz val="9"/>
            <color indexed="81"/>
            <rFont val="Tahoma"/>
            <family val="2"/>
            <charset val="186"/>
          </rPr>
          <t xml:space="preserve"> EUR per month</t>
        </r>
      </text>
    </comment>
    <comment ref="D59" authorId="3" shapeId="0" xr:uid="{E83982E7-D45D-4828-AA8A-5524C209F780}">
      <text>
        <r>
          <rPr>
            <b/>
            <sz val="9"/>
            <color indexed="81"/>
            <rFont val="Tahoma"/>
            <family val="2"/>
            <charset val="186"/>
          </rPr>
          <t>Viktorija Jureviča:</t>
        </r>
        <r>
          <rPr>
            <sz val="9"/>
            <color indexed="81"/>
            <rFont val="Tahoma"/>
            <family val="2"/>
            <charset val="186"/>
          </rPr>
          <t xml:space="preserve">
If the tax calculation has a minus sign (cases when the benefits are higher than the first threshold), then this amount is deducted from the 23% rate.</t>
        </r>
      </text>
    </comment>
    <comment ref="E59" authorId="2" shapeId="0" xr:uid="{1BC92D9B-2B05-4A7E-A032-027B6D42BAB1}">
      <text>
        <r>
          <rPr>
            <sz val="9"/>
            <color indexed="81"/>
            <rFont val="Tahoma"/>
            <family val="2"/>
            <charset val="186"/>
          </rPr>
          <t xml:space="preserve">Applied for income up to 
</t>
        </r>
        <r>
          <rPr>
            <b/>
            <sz val="9"/>
            <color indexed="81"/>
            <rFont val="Tahoma"/>
            <family val="2"/>
            <charset val="186"/>
          </rPr>
          <t>105 300</t>
        </r>
        <r>
          <rPr>
            <sz val="9"/>
            <color indexed="81"/>
            <rFont val="Tahoma"/>
            <family val="2"/>
            <charset val="186"/>
          </rPr>
          <t xml:space="preserve"> EUR per year or </t>
        </r>
        <r>
          <rPr>
            <b/>
            <sz val="9"/>
            <color indexed="81"/>
            <rFont val="Tahoma"/>
            <family val="2"/>
            <charset val="186"/>
          </rPr>
          <t xml:space="preserve">8775 </t>
        </r>
        <r>
          <rPr>
            <sz val="9"/>
            <color indexed="81"/>
            <rFont val="Tahoma"/>
            <family val="2"/>
            <charset val="186"/>
          </rPr>
          <t>EUR per month</t>
        </r>
      </text>
    </comment>
    <comment ref="G59" authorId="2" shapeId="0" xr:uid="{DE64986C-3527-4B52-8416-A35090BFA9CB}">
      <text>
        <r>
          <rPr>
            <sz val="9"/>
            <color indexed="81"/>
            <rFont val="Tahoma"/>
            <family val="2"/>
            <charset val="186"/>
          </rPr>
          <t xml:space="preserve">Applied for income up to 
</t>
        </r>
        <r>
          <rPr>
            <b/>
            <sz val="9"/>
            <color indexed="81"/>
            <rFont val="Tahoma"/>
            <family val="2"/>
            <charset val="186"/>
          </rPr>
          <t>105 300</t>
        </r>
        <r>
          <rPr>
            <sz val="9"/>
            <color indexed="81"/>
            <rFont val="Tahoma"/>
            <family val="2"/>
            <charset val="186"/>
          </rPr>
          <t xml:space="preserve"> EUR per year or </t>
        </r>
        <r>
          <rPr>
            <b/>
            <sz val="9"/>
            <color indexed="81"/>
            <rFont val="Tahoma"/>
            <family val="2"/>
            <charset val="186"/>
          </rPr>
          <t xml:space="preserve">8775 </t>
        </r>
        <r>
          <rPr>
            <sz val="9"/>
            <color indexed="81"/>
            <rFont val="Tahoma"/>
            <family val="2"/>
            <charset val="186"/>
          </rPr>
          <t>EUR per month</t>
        </r>
      </text>
    </comment>
    <comment ref="C60" authorId="2" shapeId="0" xr:uid="{AF6D1242-CCA3-492F-8159-C60FE8A73FC2}">
      <text>
        <r>
          <rPr>
            <sz val="9"/>
            <color indexed="81"/>
            <rFont val="Tahoma"/>
            <family val="2"/>
            <charset val="186"/>
          </rPr>
          <t xml:space="preserve">Applied for income from </t>
        </r>
        <r>
          <rPr>
            <b/>
            <sz val="9"/>
            <color indexed="81"/>
            <rFont val="Tahoma"/>
            <family val="2"/>
            <charset val="186"/>
          </rPr>
          <t>20004</t>
        </r>
        <r>
          <rPr>
            <sz val="9"/>
            <color indexed="81"/>
            <rFont val="Tahoma"/>
            <family val="2"/>
            <charset val="186"/>
          </rPr>
          <t xml:space="preserve"> EUR to </t>
        </r>
        <r>
          <rPr>
            <b/>
            <sz val="9"/>
            <color indexed="81"/>
            <rFont val="Tahoma"/>
            <family val="2"/>
            <charset val="186"/>
          </rPr>
          <t>78100</t>
        </r>
        <r>
          <rPr>
            <sz val="9"/>
            <color indexed="81"/>
            <rFont val="Tahoma"/>
            <family val="2"/>
            <charset val="186"/>
          </rPr>
          <t xml:space="preserve"> EUR per year (from 1667 EUR to 6508,33 per month)
</t>
        </r>
      </text>
    </comment>
    <comment ref="E60" authorId="2" shapeId="0" xr:uid="{7A416865-1FAD-411E-8585-CFD225972BE6}">
      <text>
        <r>
          <rPr>
            <sz val="9"/>
            <color indexed="81"/>
            <rFont val="Tahoma"/>
            <family val="2"/>
            <charset val="186"/>
          </rPr>
          <t xml:space="preserve">Applied for income above </t>
        </r>
        <r>
          <rPr>
            <b/>
            <sz val="9"/>
            <color indexed="81"/>
            <rFont val="Tahoma"/>
            <family val="2"/>
            <charset val="186"/>
          </rPr>
          <t>105 300</t>
        </r>
        <r>
          <rPr>
            <sz val="9"/>
            <color indexed="81"/>
            <rFont val="Tahoma"/>
            <family val="2"/>
            <charset val="186"/>
          </rPr>
          <t xml:space="preserve"> EUR per year (8775 EUR per month)
</t>
        </r>
      </text>
    </comment>
    <comment ref="G60" authorId="2" shapeId="0" xr:uid="{A99F1E1D-732B-4EF7-A837-8894090B87E3}">
      <text>
        <r>
          <rPr>
            <sz val="9"/>
            <color indexed="81"/>
            <rFont val="Tahoma"/>
            <family val="2"/>
            <charset val="186"/>
          </rPr>
          <t xml:space="preserve">Applied for income above </t>
        </r>
        <r>
          <rPr>
            <b/>
            <sz val="9"/>
            <color indexed="81"/>
            <rFont val="Tahoma"/>
            <family val="2"/>
            <charset val="186"/>
          </rPr>
          <t>105 300</t>
        </r>
        <r>
          <rPr>
            <sz val="9"/>
            <color indexed="81"/>
            <rFont val="Tahoma"/>
            <family val="2"/>
            <charset val="186"/>
          </rPr>
          <t xml:space="preserve"> EUR per year (8775 EUR per month)
</t>
        </r>
      </text>
    </comment>
    <comment ref="C61" authorId="2" shapeId="0" xr:uid="{22D620F7-95E1-4A55-9B39-E9C182AD297F}">
      <text>
        <r>
          <rPr>
            <sz val="9"/>
            <color indexed="81"/>
            <rFont val="Tahoma"/>
            <family val="2"/>
            <charset val="186"/>
          </rPr>
          <t xml:space="preserve">Applied for income above  </t>
        </r>
        <r>
          <rPr>
            <b/>
            <sz val="9"/>
            <color indexed="81"/>
            <rFont val="Tahoma"/>
            <family val="2"/>
            <charset val="186"/>
          </rPr>
          <t>78 100</t>
        </r>
        <r>
          <rPr>
            <sz val="9"/>
            <color indexed="81"/>
            <rFont val="Tahoma"/>
            <family val="2"/>
            <charset val="186"/>
          </rPr>
          <t xml:space="preserve"> per year (6508,33 euro per month)
</t>
        </r>
      </text>
    </comment>
    <comment ref="O65" authorId="1" shapeId="0" xr:uid="{00A40D04-C263-49CD-B6CE-EA4D3504E3AF}">
      <text>
        <r>
          <rPr>
            <b/>
            <sz val="9"/>
            <color indexed="81"/>
            <rFont val="Tahoma"/>
            <family val="2"/>
            <charset val="186"/>
          </rPr>
          <t>Līga Gudēvica-Liepiņa:</t>
        </r>
        <r>
          <rPr>
            <sz val="9"/>
            <color indexed="81"/>
            <rFont val="Tahoma"/>
            <family val="2"/>
            <charset val="186"/>
          </rPr>
          <t xml:space="preserve">
Nodokļu plaisā neņem vērā 2% iemaksas II pensiju pīlārā, kas pēc OECD metodoloģijas tiek uzskaitītas kā obligātie maksājumi. OECD aprēķina arī obligāto maksājumu plaisu (compulsory payment wedge), kur tiek ņemtas vērā iemaksas II pensiju pīlārā.
Aprēķinot neto algu, igauņu kolēģi ņem vērā šos 2%, par cik ap 600 000 cilvēku oprojām veic brīvprātīgās iemaksas II pensiju pīlārā. (e-pasts 28.09.2022.)
</t>
        </r>
        <r>
          <rPr>
            <b/>
            <sz val="9"/>
            <color indexed="81"/>
            <rFont val="Tahoma"/>
            <family val="2"/>
            <charset val="186"/>
          </rPr>
          <t>The contributions to the II pillar (2%) are not taken into account calculating the tax wedge. They only affect the net-wage calculations due to the fact that the majority still contribute to the II pillar.</t>
        </r>
      </text>
    </comment>
    <comment ref="T116" authorId="3" shapeId="0" xr:uid="{E936A5E6-60D0-444D-A2EA-85AAE49654F4}">
      <text>
        <r>
          <rPr>
            <b/>
            <sz val="9"/>
            <color indexed="81"/>
            <rFont val="Tahoma"/>
            <family val="2"/>
            <charset val="186"/>
          </rPr>
          <t>Viktorija Jureviča:</t>
        </r>
        <r>
          <rPr>
            <sz val="9"/>
            <color indexed="81"/>
            <rFont val="Tahoma"/>
            <family val="2"/>
            <charset val="186"/>
          </rPr>
          <t xml:space="preserve">
Komemnts piemēram ar bērniem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328F4FF9-4413-4F15-B66A-EB8DCFF06BE6}">
      <text>
        <r>
          <rPr>
            <b/>
            <sz val="9"/>
            <color indexed="81"/>
            <rFont val="Tahoma"/>
            <family val="2"/>
            <charset val="186"/>
          </rPr>
          <t>Author:</t>
        </r>
        <r>
          <rPr>
            <sz val="9"/>
            <color indexed="81"/>
            <rFont val="Tahoma"/>
            <family val="2"/>
            <charset val="186"/>
          </rPr>
          <t xml:space="preserve">
PIT + Solidarity tax (in 2016- 2017)</t>
        </r>
      </text>
    </comment>
    <comment ref="H39" authorId="0" shapeId="0" xr:uid="{9660D496-4193-4A93-894D-4AD6579DFAC0}">
      <text>
        <r>
          <rPr>
            <b/>
            <sz val="9"/>
            <color indexed="81"/>
            <rFont val="Tahoma"/>
            <family val="2"/>
            <charset val="186"/>
          </rPr>
          <t>Author:</t>
        </r>
        <r>
          <rPr>
            <sz val="9"/>
            <color indexed="81"/>
            <rFont val="Tahoma"/>
            <family val="2"/>
            <charset val="186"/>
          </rPr>
          <t xml:space="preserve">
PIT + Solidarity tax</t>
        </r>
      </text>
    </comment>
  </commentList>
</comments>
</file>

<file path=xl/sharedStrings.xml><?xml version="1.0" encoding="utf-8"?>
<sst xmlns="http://schemas.openxmlformats.org/spreadsheetml/2006/main" count="3521" uniqueCount="1324">
  <si>
    <r>
      <t xml:space="preserve">Nodokļu likmes </t>
    </r>
    <r>
      <rPr>
        <b/>
        <sz val="14"/>
        <color rgb="FFFF0000"/>
        <rFont val="Times New Roman"/>
        <family val="1"/>
        <charset val="186"/>
      </rPr>
      <t>LATVIJĀ</t>
    </r>
  </si>
  <si>
    <t>1 EUR = LVL</t>
  </si>
  <si>
    <r>
      <t xml:space="preserve">Tax Rates in </t>
    </r>
    <r>
      <rPr>
        <b/>
        <sz val="14"/>
        <color rgb="FFFF0000"/>
        <rFont val="Times New Roman"/>
        <family val="1"/>
        <charset val="186"/>
      </rPr>
      <t>LATVIA</t>
    </r>
  </si>
  <si>
    <r>
      <t xml:space="preserve">Minimālā alga, </t>
    </r>
    <r>
      <rPr>
        <i/>
        <sz val="12"/>
        <color theme="1"/>
        <rFont val="Times New Roman"/>
        <family val="1"/>
        <charset val="186"/>
      </rPr>
      <t>EUR mēnesī</t>
    </r>
  </si>
  <si>
    <r>
      <t xml:space="preserve">Minimum wage, </t>
    </r>
    <r>
      <rPr>
        <i/>
        <sz val="12"/>
        <color theme="1"/>
        <rFont val="Times New Roman"/>
        <family val="1"/>
        <charset val="186"/>
      </rPr>
      <t>EUR per month</t>
    </r>
  </si>
  <si>
    <t xml:space="preserve">                            LVL mēnesī</t>
  </si>
  <si>
    <t xml:space="preserve">                              LVL per month</t>
  </si>
  <si>
    <t>1. Iedzīvotāju ienākuma nodoklis (IIN)</t>
  </si>
  <si>
    <t>Personal Income Tax (PIT)</t>
  </si>
  <si>
    <t>Pamatlikme</t>
  </si>
  <si>
    <t xml:space="preserve">    Basic rate</t>
  </si>
  <si>
    <r>
      <t xml:space="preserve">         - ienākumiem līdz 20 004 </t>
    </r>
    <r>
      <rPr>
        <i/>
        <sz val="10"/>
        <color theme="1"/>
        <rFont val="Times New Roman"/>
        <family val="1"/>
        <charset val="186"/>
      </rPr>
      <t>EUR gadā</t>
    </r>
  </si>
  <si>
    <r>
      <t xml:space="preserve"> - for income up to 20 004 </t>
    </r>
    <r>
      <rPr>
        <i/>
        <sz val="10"/>
        <color theme="1"/>
        <rFont val="Times New Roman"/>
        <family val="1"/>
        <charset val="186"/>
      </rPr>
      <t>EUR per year</t>
    </r>
  </si>
  <si>
    <r>
      <t xml:space="preserve">         - ienākumiem no 20 004 līdz </t>
    </r>
    <r>
      <rPr>
        <sz val="10"/>
        <color rgb="FFE42202"/>
        <rFont val="Times New Roman"/>
        <family val="1"/>
        <charset val="186"/>
      </rPr>
      <t>105 300</t>
    </r>
    <r>
      <rPr>
        <sz val="10"/>
        <rFont val="Times New Roman"/>
        <family val="1"/>
        <charset val="186"/>
      </rPr>
      <t xml:space="preserve">  </t>
    </r>
    <r>
      <rPr>
        <i/>
        <sz val="10"/>
        <color rgb="FFFF0000"/>
        <rFont val="Times New Roman"/>
        <family val="1"/>
        <charset val="186"/>
      </rPr>
      <t>EUR</t>
    </r>
    <r>
      <rPr>
        <i/>
        <sz val="10"/>
        <rFont val="Times New Roman"/>
        <family val="1"/>
        <charset val="186"/>
      </rPr>
      <t xml:space="preserve"> gadā (līdz 55 000 EUR 2018.gadā, līdz 62 800 EUR 2019. - 2021.gadā, līdz 78 100 EUR 2022. - 2024. g.)</t>
    </r>
  </si>
  <si>
    <r>
      <t xml:space="preserve"> - for income from 20 004 up to </t>
    </r>
    <r>
      <rPr>
        <sz val="10"/>
        <color rgb="FFFF0000"/>
        <rFont val="Times New Roman"/>
        <family val="1"/>
        <charset val="186"/>
      </rPr>
      <t xml:space="preserve">105 300 </t>
    </r>
    <r>
      <rPr>
        <i/>
        <sz val="10"/>
        <color rgb="FFFF0000"/>
        <rFont val="Times New Roman"/>
        <family val="1"/>
        <charset val="186"/>
      </rPr>
      <t>EUR</t>
    </r>
    <r>
      <rPr>
        <i/>
        <sz val="10"/>
        <rFont val="Times New Roman"/>
        <family val="1"/>
        <charset val="186"/>
      </rPr>
      <t xml:space="preserve"> per year (in 2018 up to 55 000 EUR, from 2019 to 2021 up to 62 800 EUR, from 2022 to 2024 upt to 78 100 EUR)</t>
    </r>
  </si>
  <si>
    <r>
      <t xml:space="preserve">         - ienākumiem virs </t>
    </r>
    <r>
      <rPr>
        <sz val="10"/>
        <color rgb="FFFF0000"/>
        <rFont val="Times New Roman"/>
        <family val="1"/>
        <charset val="186"/>
      </rPr>
      <t xml:space="preserve">105 300 </t>
    </r>
    <r>
      <rPr>
        <i/>
        <sz val="10"/>
        <color rgb="FFFF0000"/>
        <rFont val="Times New Roman"/>
        <family val="1"/>
        <charset val="186"/>
      </rPr>
      <t>EUR</t>
    </r>
    <r>
      <rPr>
        <i/>
        <sz val="10"/>
        <rFont val="Times New Roman"/>
        <family val="1"/>
        <charset val="186"/>
      </rPr>
      <t xml:space="preserve"> gadā (virs 55 000 EUR 2018.gadā, virs 62 800 EUR 2019.-2021.g., līdz 78 100 EUR 2022. - 2024. g.)</t>
    </r>
  </si>
  <si>
    <r>
      <t xml:space="preserve"> - for income above </t>
    </r>
    <r>
      <rPr>
        <sz val="10"/>
        <color rgb="FFFF0000"/>
        <rFont val="Times New Roman"/>
        <family val="1"/>
        <charset val="186"/>
      </rPr>
      <t xml:space="preserve">105 300 </t>
    </r>
    <r>
      <rPr>
        <i/>
        <sz val="10"/>
        <color rgb="FFFF0000"/>
        <rFont val="Times New Roman"/>
        <family val="1"/>
        <charset val="186"/>
      </rPr>
      <t xml:space="preserve">EUR </t>
    </r>
    <r>
      <rPr>
        <i/>
        <sz val="10"/>
        <rFont val="Times New Roman"/>
        <family val="1"/>
        <charset val="186"/>
      </rPr>
      <t>per year (in 2018 above 55 000 EUR, from 2019 to 2021 above 62 800 EUR, from 2022 to 2024 up to 78 100 EUR)</t>
    </r>
  </si>
  <si>
    <t>Likme kapitālam un kapitāla pieaugumam</t>
  </si>
  <si>
    <t>-</t>
  </si>
  <si>
    <r>
      <t xml:space="preserve">Tax rate for capital </t>
    </r>
    <r>
      <rPr>
        <i/>
        <sz val="11"/>
        <color theme="1"/>
        <rFont val="Times New Roman"/>
        <family val="1"/>
        <charset val="186"/>
      </rPr>
      <t>(incl. dividends)</t>
    </r>
  </si>
  <si>
    <r>
      <t xml:space="preserve">Likme no kapitāla pieauguma </t>
    </r>
    <r>
      <rPr>
        <i/>
        <sz val="11"/>
        <color theme="1"/>
        <rFont val="Times New Roman"/>
        <family val="1"/>
        <charset val="186"/>
      </rPr>
      <t>(t.sk., īp. pārdoš.)</t>
    </r>
  </si>
  <si>
    <r>
      <t>Tax rate for capital gains</t>
    </r>
    <r>
      <rPr>
        <i/>
        <sz val="11"/>
        <color theme="1"/>
        <rFont val="Times New Roman"/>
        <family val="1"/>
        <charset val="186"/>
      </rPr>
      <t xml:space="preserve"> (incl. sale of property)</t>
    </r>
  </si>
  <si>
    <r>
      <rPr>
        <b/>
        <sz val="11"/>
        <color theme="1"/>
        <rFont val="Times New Roman"/>
        <family val="1"/>
        <charset val="186"/>
      </rPr>
      <t>Neapliekamais minimums</t>
    </r>
    <r>
      <rPr>
        <sz val="11"/>
        <color theme="1"/>
        <rFont val="Times New Roman"/>
        <family val="1"/>
        <charset val="186"/>
      </rPr>
      <t xml:space="preserve">, </t>
    </r>
    <r>
      <rPr>
        <i/>
        <sz val="11"/>
        <color theme="1"/>
        <rFont val="Times New Roman"/>
        <family val="1"/>
        <charset val="186"/>
      </rPr>
      <t>EUR mēnesī</t>
    </r>
  </si>
  <si>
    <r>
      <rPr>
        <b/>
        <sz val="11"/>
        <color theme="1"/>
        <rFont val="Times New Roman"/>
        <family val="1"/>
        <charset val="186"/>
      </rPr>
      <t>Non-taxable minimum</t>
    </r>
    <r>
      <rPr>
        <sz val="11"/>
        <color theme="1"/>
        <rFont val="Times New Roman"/>
        <family val="1"/>
        <charset val="186"/>
      </rPr>
      <t xml:space="preserve">, </t>
    </r>
    <r>
      <rPr>
        <i/>
        <sz val="11"/>
        <color theme="1"/>
        <rFont val="Times New Roman"/>
        <family val="1"/>
        <charset val="186"/>
      </rPr>
      <t>EUR per month</t>
    </r>
  </si>
  <si>
    <t xml:space="preserve">(no 01.01.)    </t>
  </si>
  <si>
    <t>(no 01.07.)</t>
  </si>
  <si>
    <t xml:space="preserve">                                                LVL mēnesī</t>
  </si>
  <si>
    <t xml:space="preserve">                                         LVL per month</t>
  </si>
  <si>
    <t xml:space="preserve">(no 01.01.)     </t>
  </si>
  <si>
    <t xml:space="preserve"> (no 01.07.)</t>
  </si>
  <si>
    <r>
      <rPr>
        <b/>
        <sz val="11"/>
        <color theme="1"/>
        <rFont val="Times New Roman"/>
        <family val="1"/>
        <charset val="186"/>
      </rPr>
      <t>Diferencētais neapliekamais minimums (DNM)</t>
    </r>
    <r>
      <rPr>
        <sz val="11"/>
        <color theme="1"/>
        <rFont val="Times New Roman"/>
        <family val="1"/>
        <charset val="186"/>
      </rPr>
      <t xml:space="preserve">, </t>
    </r>
    <r>
      <rPr>
        <i/>
        <sz val="11"/>
        <color theme="1"/>
        <rFont val="Times New Roman"/>
        <family val="1"/>
        <charset val="186"/>
      </rPr>
      <t>EUR mēnesī</t>
    </r>
  </si>
  <si>
    <r>
      <rPr>
        <b/>
        <sz val="11"/>
        <color theme="1"/>
        <rFont val="Times New Roman"/>
        <family val="1"/>
        <charset val="186"/>
      </rPr>
      <t>Differentiated non-taxable minimum (DNM)</t>
    </r>
    <r>
      <rPr>
        <sz val="11"/>
        <color theme="1"/>
        <rFont val="Times New Roman"/>
        <family val="1"/>
        <charset val="186"/>
      </rPr>
      <t xml:space="preserve">, </t>
    </r>
    <r>
      <rPr>
        <i/>
        <sz val="11"/>
        <color theme="1"/>
        <rFont val="Times New Roman"/>
        <family val="1"/>
        <charset val="186"/>
      </rPr>
      <t>EUR per month</t>
    </r>
  </si>
  <si>
    <r>
      <t xml:space="preserve">        DNM </t>
    </r>
    <r>
      <rPr>
        <i/>
        <vertAlign val="subscript"/>
        <sz val="10"/>
        <color rgb="FF000000"/>
        <rFont val="Times New Roman"/>
        <family val="1"/>
        <charset val="186"/>
      </rPr>
      <t>min</t>
    </r>
  </si>
  <si>
    <r>
      <t xml:space="preserve">      DNM </t>
    </r>
    <r>
      <rPr>
        <i/>
        <vertAlign val="subscript"/>
        <sz val="10"/>
        <color rgb="FF000000"/>
        <rFont val="Times New Roman"/>
        <family val="1"/>
        <charset val="186"/>
      </rPr>
      <t>min</t>
    </r>
  </si>
  <si>
    <r>
      <t xml:space="preserve">        DNM </t>
    </r>
    <r>
      <rPr>
        <i/>
        <vertAlign val="subscript"/>
        <sz val="10"/>
        <color rgb="FF000000"/>
        <rFont val="Times New Roman"/>
        <family val="1"/>
        <charset val="186"/>
      </rPr>
      <t>max</t>
    </r>
  </si>
  <si>
    <r>
      <t xml:space="preserve">      DNM </t>
    </r>
    <r>
      <rPr>
        <i/>
        <vertAlign val="subscript"/>
        <sz val="10"/>
        <color rgb="FF000000"/>
        <rFont val="Times New Roman"/>
        <family val="1"/>
        <charset val="186"/>
      </rPr>
      <t>max</t>
    </r>
  </si>
  <si>
    <r>
      <t xml:space="preserve">        AI </t>
    </r>
    <r>
      <rPr>
        <i/>
        <vertAlign val="subscript"/>
        <sz val="10"/>
        <color rgb="FF000000"/>
        <rFont val="Times New Roman"/>
        <family val="1"/>
        <charset val="186"/>
      </rPr>
      <t>min</t>
    </r>
  </si>
  <si>
    <r>
      <t xml:space="preserve">      AI </t>
    </r>
    <r>
      <rPr>
        <i/>
        <vertAlign val="subscript"/>
        <sz val="10"/>
        <color rgb="FF000000"/>
        <rFont val="Times New Roman"/>
        <family val="1"/>
        <charset val="186"/>
      </rPr>
      <t>min</t>
    </r>
  </si>
  <si>
    <r>
      <t xml:space="preserve">        AI </t>
    </r>
    <r>
      <rPr>
        <i/>
        <vertAlign val="subscript"/>
        <sz val="10"/>
        <color rgb="FF000000"/>
        <rFont val="Times New Roman"/>
        <family val="1"/>
        <charset val="186"/>
      </rPr>
      <t>max</t>
    </r>
  </si>
  <si>
    <r>
      <t xml:space="preserve">      AI </t>
    </r>
    <r>
      <rPr>
        <i/>
        <vertAlign val="subscript"/>
        <sz val="10"/>
        <color rgb="FF000000"/>
        <rFont val="Times New Roman"/>
        <family val="1"/>
        <charset val="186"/>
      </rPr>
      <t>max</t>
    </r>
  </si>
  <si>
    <t xml:space="preserve">        Koeficients</t>
  </si>
  <si>
    <t xml:space="preserve">      Coefficient</t>
  </si>
  <si>
    <t xml:space="preserve">       Formula</t>
  </si>
  <si>
    <r>
      <t>DNM = NM</t>
    </r>
    <r>
      <rPr>
        <i/>
        <vertAlign val="subscript"/>
        <sz val="10"/>
        <rFont val="Times New Roman"/>
        <family val="1"/>
        <charset val="186"/>
      </rPr>
      <t>max</t>
    </r>
    <r>
      <rPr>
        <i/>
        <sz val="10"/>
        <rFont val="Times New Roman"/>
        <family val="1"/>
        <charset val="186"/>
      </rPr>
      <t xml:space="preserve"> - Koef.x(Gada ienākums – AI</t>
    </r>
    <r>
      <rPr>
        <i/>
        <vertAlign val="subscript"/>
        <sz val="10"/>
        <rFont val="Times New Roman"/>
        <family val="1"/>
        <charset val="186"/>
      </rPr>
      <t>min</t>
    </r>
    <r>
      <rPr>
        <i/>
        <sz val="10"/>
        <rFont val="Times New Roman"/>
        <family val="1"/>
        <charset val="186"/>
      </rPr>
      <t>)</t>
    </r>
  </si>
  <si>
    <t xml:space="preserve">      Formula</t>
  </si>
  <si>
    <r>
      <rPr>
        <b/>
        <sz val="11"/>
        <color theme="1"/>
        <rFont val="Times New Roman"/>
        <family val="1"/>
        <charset val="186"/>
      </rPr>
      <t xml:space="preserve">Pensionāra neapliekamais minimums </t>
    </r>
    <r>
      <rPr>
        <sz val="11"/>
        <color theme="1"/>
        <rFont val="Times New Roman"/>
        <family val="1"/>
        <charset val="186"/>
      </rPr>
      <t xml:space="preserve">, </t>
    </r>
    <r>
      <rPr>
        <i/>
        <sz val="11"/>
        <color theme="1"/>
        <rFont val="Times New Roman"/>
        <family val="1"/>
        <charset val="186"/>
      </rPr>
      <t>EUR mēnesī</t>
    </r>
  </si>
  <si>
    <r>
      <t xml:space="preserve">Non-taxable minimum for pensioners, </t>
    </r>
    <r>
      <rPr>
        <i/>
        <sz val="11"/>
        <color rgb="FF000000"/>
        <rFont val="Times New Roman"/>
        <family val="1"/>
        <charset val="186"/>
      </rPr>
      <t>EUR per month</t>
    </r>
  </si>
  <si>
    <t xml:space="preserve">                                                                          LVL mēnesī</t>
  </si>
  <si>
    <t xml:space="preserve">                                                                     LVL per month</t>
  </si>
  <si>
    <r>
      <rPr>
        <b/>
        <sz val="11"/>
        <color theme="1"/>
        <rFont val="Times New Roman"/>
        <family val="1"/>
        <charset val="186"/>
      </rPr>
      <t>Atvieglojums par apgādībā esošu personu</t>
    </r>
    <r>
      <rPr>
        <sz val="11"/>
        <color theme="1"/>
        <rFont val="Times New Roman"/>
        <family val="1"/>
        <charset val="186"/>
      </rPr>
      <t xml:space="preserve">, </t>
    </r>
    <r>
      <rPr>
        <i/>
        <sz val="11"/>
        <color theme="1"/>
        <rFont val="Times New Roman"/>
        <family val="1"/>
        <charset val="186"/>
      </rPr>
      <t>EUR mēnesī</t>
    </r>
  </si>
  <si>
    <r>
      <rPr>
        <b/>
        <sz val="11"/>
        <color theme="1"/>
        <rFont val="Times New Roman"/>
        <family val="1"/>
        <charset val="186"/>
      </rPr>
      <t>Allowance for dependants</t>
    </r>
    <r>
      <rPr>
        <sz val="11"/>
        <color theme="1"/>
        <rFont val="Times New Roman"/>
        <family val="1"/>
        <charset val="186"/>
      </rPr>
      <t xml:space="preserve">, </t>
    </r>
    <r>
      <rPr>
        <i/>
        <sz val="11"/>
        <color theme="1"/>
        <rFont val="Times New Roman"/>
        <family val="1"/>
        <charset val="186"/>
      </rPr>
      <t>EUR per month</t>
    </r>
  </si>
  <si>
    <t xml:space="preserve">                                                                    LVL mēnesī</t>
  </si>
  <si>
    <t xml:space="preserve">                                               LVL per month</t>
  </si>
  <si>
    <r>
      <rPr>
        <b/>
        <sz val="11"/>
        <color theme="1"/>
        <rFont val="Times New Roman"/>
        <family val="1"/>
        <charset val="186"/>
      </rPr>
      <t>Papildus atvieglojums personām ar invaliditāti</t>
    </r>
    <r>
      <rPr>
        <sz val="11"/>
        <color theme="1"/>
        <rFont val="Times New Roman"/>
        <family val="1"/>
        <charset val="186"/>
      </rPr>
      <t/>
    </r>
  </si>
  <si>
    <t>Additional allowance for disabled individuals</t>
  </si>
  <si>
    <r>
      <t xml:space="preserve">         - I un II grupas, </t>
    </r>
    <r>
      <rPr>
        <i/>
        <sz val="11"/>
        <color theme="1"/>
        <rFont val="Times New Roman"/>
        <family val="1"/>
        <charset val="186"/>
      </rPr>
      <t xml:space="preserve">EUR mēnesī </t>
    </r>
  </si>
  <si>
    <r>
      <t xml:space="preserve">      - with disability group I - II, </t>
    </r>
    <r>
      <rPr>
        <i/>
        <sz val="11"/>
        <color theme="1"/>
        <rFont val="Times New Roman"/>
        <family val="1"/>
        <charset val="186"/>
      </rPr>
      <t>EUR per month</t>
    </r>
  </si>
  <si>
    <t xml:space="preserve">                                     LVLmēnesī</t>
  </si>
  <si>
    <t xml:space="preserve">                                                        LVL per month</t>
  </si>
  <si>
    <r>
      <t xml:space="preserve">         - III grupas, </t>
    </r>
    <r>
      <rPr>
        <i/>
        <sz val="11"/>
        <color theme="1"/>
        <rFont val="Times New Roman"/>
        <family val="1"/>
        <charset val="186"/>
      </rPr>
      <t xml:space="preserve">EUR mēnesī </t>
    </r>
  </si>
  <si>
    <r>
      <t xml:space="preserve">      - with disability group III, </t>
    </r>
    <r>
      <rPr>
        <i/>
        <sz val="11"/>
        <color theme="1"/>
        <rFont val="Times New Roman"/>
        <family val="1"/>
        <charset val="186"/>
      </rPr>
      <t>EUR per month</t>
    </r>
  </si>
  <si>
    <t xml:space="preserve">                               LVLmēnesī</t>
  </si>
  <si>
    <t xml:space="preserve">                                                      LVL per month</t>
  </si>
  <si>
    <t xml:space="preserve">Papildus atvieglojums politiski represētām personām un Nacionālās pretošanās kustības dalībniekiem </t>
  </si>
  <si>
    <t>Additional allowance for politically repressed person and National resistance movement members</t>
  </si>
  <si>
    <r>
      <t xml:space="preserve">         - ja piešķirta pensija, </t>
    </r>
    <r>
      <rPr>
        <i/>
        <sz val="11"/>
        <color theme="1"/>
        <rFont val="Times New Roman"/>
        <family val="1"/>
        <charset val="186"/>
      </rPr>
      <t>EUR mēnesī</t>
    </r>
  </si>
  <si>
    <r>
      <t xml:space="preserve">       - if a pension is granted, </t>
    </r>
    <r>
      <rPr>
        <i/>
        <sz val="11"/>
        <color rgb="FF222222"/>
        <rFont val="Times New Roman"/>
        <family val="1"/>
        <charset val="186"/>
      </rPr>
      <t xml:space="preserve">EUR per month </t>
    </r>
  </si>
  <si>
    <r>
      <t xml:space="preserve">                                             </t>
    </r>
    <r>
      <rPr>
        <i/>
        <sz val="10"/>
        <color theme="1"/>
        <rFont val="Times New Roman"/>
        <family val="1"/>
        <charset val="186"/>
      </rPr>
      <t>LVL mēnesī</t>
    </r>
  </si>
  <si>
    <r>
      <t xml:space="preserve">                                                  </t>
    </r>
    <r>
      <rPr>
        <i/>
        <sz val="10"/>
        <color rgb="FF222222"/>
        <rFont val="Times New Roman"/>
        <family val="1"/>
        <charset val="186"/>
      </rPr>
      <t>LVL per month</t>
    </r>
  </si>
  <si>
    <r>
      <t xml:space="preserve">        - ja nav piešķirta pensija, </t>
    </r>
    <r>
      <rPr>
        <i/>
        <sz val="11"/>
        <color theme="1"/>
        <rFont val="Times New Roman"/>
        <family val="1"/>
        <charset val="186"/>
      </rPr>
      <t>EUR mēnesī</t>
    </r>
  </si>
  <si>
    <r>
      <t xml:space="preserve">       - if a pension isn't granted, </t>
    </r>
    <r>
      <rPr>
        <i/>
        <sz val="11"/>
        <color rgb="FF222222"/>
        <rFont val="Times New Roman"/>
        <family val="1"/>
        <charset val="186"/>
      </rPr>
      <t>EUR per month</t>
    </r>
  </si>
  <si>
    <t xml:space="preserve">                                                   LVL mēnesī</t>
  </si>
  <si>
    <r>
      <t xml:space="preserve">                                                      </t>
    </r>
    <r>
      <rPr>
        <i/>
        <sz val="10"/>
        <color rgb="FF222222"/>
        <rFont val="Times New Roman"/>
        <family val="1"/>
        <charset val="186"/>
      </rPr>
      <t xml:space="preserve"> LVL per month</t>
    </r>
  </si>
  <si>
    <t>Attaisnotie izdevumi:</t>
  </si>
  <si>
    <t>Eligible expenses:</t>
  </si>
  <si>
    <t xml:space="preserve">    - par izglītību un ārstnieciskajiem pakalpojumiem par sevi un katru savu ģimenes locekli (katram), EUR gadā</t>
  </si>
  <si>
    <t>128/85/43</t>
  </si>
  <si>
    <r>
      <t xml:space="preserve">600 </t>
    </r>
    <r>
      <rPr>
        <sz val="11"/>
        <rFont val="Times New Roman"/>
        <family val="1"/>
        <charset val="186"/>
      </rPr>
      <t>EUR gadā</t>
    </r>
    <r>
      <rPr>
        <b/>
        <sz val="11"/>
        <rFont val="Times New Roman"/>
        <family val="1"/>
        <charset val="186"/>
      </rPr>
      <t>,</t>
    </r>
    <r>
      <rPr>
        <b/>
        <sz val="11"/>
        <color rgb="FFFF0000"/>
        <rFont val="Times New Roman"/>
        <family val="1"/>
        <charset val="186"/>
      </rPr>
      <t xml:space="preserve"> </t>
    </r>
    <r>
      <rPr>
        <sz val="11"/>
        <rFont val="Times New Roman"/>
        <family val="1"/>
        <charset val="186"/>
      </rPr>
      <t xml:space="preserve">bet ne vairāk kā </t>
    </r>
    <r>
      <rPr>
        <b/>
        <sz val="11"/>
        <color rgb="FFFF0000"/>
        <rFont val="Times New Roman"/>
        <family val="1"/>
        <charset val="186"/>
      </rPr>
      <t>50%</t>
    </r>
    <r>
      <rPr>
        <b/>
        <sz val="11"/>
        <rFont val="Times New Roman"/>
        <family val="1"/>
        <charset val="186"/>
      </rPr>
      <t xml:space="preserve"> </t>
    </r>
    <r>
      <rPr>
        <sz val="11"/>
        <rFont val="Times New Roman"/>
        <family val="1"/>
        <charset val="186"/>
      </rPr>
      <t>no apliekamā ienākuma</t>
    </r>
  </si>
  <si>
    <r>
      <t xml:space="preserve">  - for education and medical services for the taxpayer himself and for each family member,</t>
    </r>
    <r>
      <rPr>
        <i/>
        <sz val="11"/>
        <rFont val="Times New Roman"/>
        <family val="1"/>
        <charset val="186"/>
      </rPr>
      <t xml:space="preserve"> EUR per year</t>
    </r>
  </si>
  <si>
    <t xml:space="preserve">             LVL gadā</t>
  </si>
  <si>
    <t>90/60/30</t>
  </si>
  <si>
    <t xml:space="preserve">      LVL per year</t>
  </si>
  <si>
    <t xml:space="preserve"> - par zobārstniecību un plānotām operācijām, bet ne vairāk, kā ieturētais IIN</t>
  </si>
  <si>
    <r>
      <t xml:space="preserve">   -  </t>
    </r>
    <r>
      <rPr>
        <sz val="11"/>
        <rFont val="Times New Roman"/>
        <family val="1"/>
        <charset val="186"/>
      </rPr>
      <t>for dentistry and planned surgery, not more than withholding PIT</t>
    </r>
  </si>
  <si>
    <t xml:space="preserve">   - summa, kas nodota ziedojumam vai dāvinājumam (budžeta iestādei, sabiedriskā labuma organizācijai vai politiskajai partijai), % no gada apliekamā ienākuma</t>
  </si>
  <si>
    <r>
      <t xml:space="preserve">   - the amount given as a donation or gift (to a budget institution, public benefit organization or political party), </t>
    </r>
    <r>
      <rPr>
        <i/>
        <sz val="11"/>
        <rFont val="Times New Roman"/>
        <family val="1"/>
        <charset val="186"/>
      </rPr>
      <t>% of the annual taxable income</t>
    </r>
  </si>
  <si>
    <r>
      <t xml:space="preserve">     - privātos pensiju fondos veiktās iemaksas, </t>
    </r>
    <r>
      <rPr>
        <i/>
        <sz val="11"/>
        <rFont val="Times New Roman"/>
        <family val="1"/>
        <charset val="186"/>
      </rPr>
      <t>% no gada apliekamā ienākuma</t>
    </r>
  </si>
  <si>
    <r>
      <rPr>
        <b/>
        <sz val="11"/>
        <color rgb="FFFF0000"/>
        <rFont val="Times New Roman"/>
        <family val="1"/>
        <charset val="186"/>
      </rPr>
      <t xml:space="preserve">4 000 </t>
    </r>
    <r>
      <rPr>
        <b/>
        <sz val="11"/>
        <rFont val="Times New Roman"/>
        <family val="1"/>
        <charset val="186"/>
      </rPr>
      <t>EUR gadā</t>
    </r>
    <r>
      <rPr>
        <sz val="11"/>
        <rFont val="Times New Roman"/>
        <family val="1"/>
        <charset val="186"/>
      </rPr>
      <t>, bet ne vairāk kā</t>
    </r>
    <r>
      <rPr>
        <sz val="11"/>
        <color rgb="FFFF0000"/>
        <rFont val="Times New Roman"/>
        <family val="1"/>
        <charset val="186"/>
      </rPr>
      <t xml:space="preserve"> </t>
    </r>
    <r>
      <rPr>
        <sz val="11"/>
        <rFont val="Times New Roman"/>
        <family val="1"/>
        <charset val="186"/>
      </rPr>
      <t>10% no apliekamā ienākuma</t>
    </r>
  </si>
  <si>
    <r>
      <t xml:space="preserve">   - contributions made  in private pension funds, </t>
    </r>
    <r>
      <rPr>
        <i/>
        <sz val="11"/>
        <rFont val="Times New Roman"/>
        <family val="1"/>
        <charset val="186"/>
      </rPr>
      <t xml:space="preserve">% of the annual taxable income </t>
    </r>
  </si>
  <si>
    <r>
      <t xml:space="preserve">    - </t>
    </r>
    <r>
      <rPr>
        <sz val="11"/>
        <rFont val="Times New Roman"/>
        <family val="1"/>
        <charset val="186"/>
      </rPr>
      <t xml:space="preserve">apdrošināšanas prēmiju maksājumi, kas izdarīti atbilstoši dzīvības apdrošināšanas līgumam (ar līdzekļu uzkrāšanu), </t>
    </r>
    <r>
      <rPr>
        <i/>
        <sz val="11"/>
        <rFont val="Times New Roman"/>
        <family val="1"/>
        <charset val="186"/>
      </rPr>
      <t xml:space="preserve">% no gada apliekamā ienākuma </t>
    </r>
  </si>
  <si>
    <r>
      <t xml:space="preserve">    -</t>
    </r>
    <r>
      <rPr>
        <sz val="11"/>
        <rFont val="Times New Roman"/>
        <family val="1"/>
        <charset val="186"/>
      </rPr>
      <t xml:space="preserve"> insurance premium payments in conformity with life insurance agreement (with accumulation of funds)' </t>
    </r>
    <r>
      <rPr>
        <i/>
        <sz val="11"/>
        <rFont val="Times New Roman"/>
        <family val="1"/>
        <charset val="186"/>
      </rPr>
      <t xml:space="preserve">% of the annual taxable income </t>
    </r>
  </si>
  <si>
    <t xml:space="preserve"> - ieguldījumu fondu ieguldījumu apliecību iegādes izmaksas, ja šīs apliecības bijušas fiziskās personas īpašumā vismaz 60 mēnešus, nepārsniedz 20 % no personas gada apliekamā ienākuma</t>
  </si>
  <si>
    <t>- costs for purchase of investment certificates of the investment funds, if these certificates have been in the ownership of the taxpayer for at least 60 months</t>
  </si>
  <si>
    <t>2. Valsts sociālās apdrošināšanas obligātās iemaksas (VSAOI)</t>
  </si>
  <si>
    <t>Compulsory State Social security contributions (SSC)</t>
  </si>
  <si>
    <r>
      <t xml:space="preserve">   Pamatlikme, </t>
    </r>
    <r>
      <rPr>
        <i/>
        <sz val="11"/>
        <color theme="1"/>
        <rFont val="Times New Roman"/>
        <family val="1"/>
        <charset val="186"/>
      </rPr>
      <t>no tās:</t>
    </r>
  </si>
  <si>
    <r>
      <t xml:space="preserve">   Basic rate, </t>
    </r>
    <r>
      <rPr>
        <i/>
        <sz val="11"/>
        <color theme="1"/>
        <rFont val="Times New Roman"/>
        <family val="1"/>
        <charset val="186"/>
      </rPr>
      <t>of which:</t>
    </r>
  </si>
  <si>
    <r>
      <t xml:space="preserve">      - </t>
    </r>
    <r>
      <rPr>
        <b/>
        <sz val="11"/>
        <color theme="1"/>
        <rFont val="Times New Roman"/>
        <family val="1"/>
        <charset val="186"/>
      </rPr>
      <t>darba devēja likme,</t>
    </r>
  </si>
  <si>
    <r>
      <t xml:space="preserve">      - </t>
    </r>
    <r>
      <rPr>
        <b/>
        <sz val="11"/>
        <color theme="1"/>
        <rFont val="Times New Roman"/>
        <family val="1"/>
        <charset val="186"/>
      </rPr>
      <t>employer rate</t>
    </r>
    <r>
      <rPr>
        <sz val="11"/>
        <color theme="1"/>
        <rFont val="Times New Roman"/>
        <family val="1"/>
        <charset val="186"/>
      </rPr>
      <t xml:space="preserve">, </t>
    </r>
  </si>
  <si>
    <t xml:space="preserve">      - darba ņēmēja likme</t>
  </si>
  <si>
    <r>
      <t xml:space="preserve">      - </t>
    </r>
    <r>
      <rPr>
        <b/>
        <sz val="11"/>
        <color theme="1"/>
        <rFont val="Times New Roman"/>
        <family val="1"/>
        <charset val="186"/>
      </rPr>
      <t>employee rate</t>
    </r>
  </si>
  <si>
    <t>VSAOI likmes sadalījums pa valsts sociālās apdrošināšanas veidiem:</t>
  </si>
  <si>
    <t>SSC rate distribution by state social insurance types:</t>
  </si>
  <si>
    <t xml:space="preserve">      - pensiju apdrošināšanai</t>
  </si>
  <si>
    <t xml:space="preserve">    - pensions insurance</t>
  </si>
  <si>
    <t xml:space="preserve">      - bezdarba apdrošināšanai</t>
  </si>
  <si>
    <t xml:space="preserve">    - unemployment insurance</t>
  </si>
  <si>
    <t xml:space="preserve">      - darba negadījumu un arodslimību apdrošināšana</t>
  </si>
  <si>
    <t xml:space="preserve">    - accidents at work and occupational disease insurance</t>
  </si>
  <si>
    <t xml:space="preserve">      - invaliditātes apdrošināšana</t>
  </si>
  <si>
    <t xml:space="preserve">    - disability insurance</t>
  </si>
  <si>
    <t xml:space="preserve">       - maternitāte, slimību un bērnu kopšanas apdrošināšana </t>
  </si>
  <si>
    <t xml:space="preserve">     - maternity, sickness and maternity insurance</t>
  </si>
  <si>
    <t xml:space="preserve">       - vecāku apdrošināšana</t>
  </si>
  <si>
    <t xml:space="preserve">     - parental insurance</t>
  </si>
  <si>
    <t xml:space="preserve">       - veselības apdrošināšanai</t>
  </si>
  <si>
    <t xml:space="preserve">    - health care insurance</t>
  </si>
  <si>
    <t>Darba devēja maksājumi:</t>
  </si>
  <si>
    <t>Employer's pays:</t>
  </si>
  <si>
    <r>
      <t>Pensions</t>
    </r>
    <r>
      <rPr>
        <i/>
        <sz val="11"/>
        <color theme="1"/>
        <rFont val="Aptos Narrow"/>
        <family val="2"/>
        <charset val="186"/>
        <scheme val="minor"/>
      </rPr>
      <t xml:space="preserve"> </t>
    </r>
  </si>
  <si>
    <t>Unemployment</t>
  </si>
  <si>
    <t>Accidents at work and occupational disease insurance</t>
  </si>
  <si>
    <t>disability insurance</t>
  </si>
  <si>
    <t>maternity, sickness and maternity insurance</t>
  </si>
  <si>
    <t>parental insurance</t>
  </si>
  <si>
    <t xml:space="preserve">Health care </t>
  </si>
  <si>
    <t>Darba ņēmēja maksājumi:</t>
  </si>
  <si>
    <t>Employee's pays:</t>
  </si>
  <si>
    <r>
      <t>Pensions</t>
    </r>
    <r>
      <rPr>
        <i/>
        <sz val="10"/>
        <color theme="1"/>
        <rFont val="Times New Roman"/>
        <family val="1"/>
        <charset val="186"/>
      </rPr>
      <t xml:space="preserve"> </t>
    </r>
  </si>
  <si>
    <t>Pašnodarbinātās personas VSAOI likme</t>
  </si>
  <si>
    <t xml:space="preserve">SSC tax rate for self employed </t>
  </si>
  <si>
    <r>
      <t xml:space="preserve">   1) ienākumiem </t>
    </r>
    <r>
      <rPr>
        <i/>
        <u/>
        <sz val="11"/>
        <rFont val="Times New Roman"/>
        <family val="1"/>
        <charset val="186"/>
      </rPr>
      <t xml:space="preserve">līdz minimālai algai </t>
    </r>
    <r>
      <rPr>
        <i/>
        <sz val="11"/>
        <rFont val="Times New Roman"/>
        <family val="1"/>
        <charset val="186"/>
      </rPr>
      <t xml:space="preserve">(MA) </t>
    </r>
  </si>
  <si>
    <r>
      <t xml:space="preserve"> </t>
    </r>
    <r>
      <rPr>
        <i/>
        <sz val="11"/>
        <color theme="1"/>
        <rFont val="Times New Roman"/>
        <family val="1"/>
        <charset val="186"/>
      </rPr>
      <t>1) for income up to Minimum wage (MW)</t>
    </r>
  </si>
  <si>
    <r>
      <t xml:space="preserve">  2) ienākumiem </t>
    </r>
    <r>
      <rPr>
        <i/>
        <u/>
        <sz val="11"/>
        <rFont val="Times New Roman"/>
        <family val="1"/>
        <charset val="186"/>
      </rPr>
      <t>virs minimālās algas</t>
    </r>
    <r>
      <rPr>
        <i/>
        <sz val="11"/>
        <rFont val="Times New Roman"/>
        <family val="1"/>
        <charset val="186"/>
      </rPr>
      <t xml:space="preserve">(MA) 
       - vismaz no MA apmēra </t>
    </r>
    <r>
      <rPr>
        <b/>
        <i/>
        <sz val="11"/>
        <rFont val="Times New Roman"/>
        <family val="1"/>
        <charset val="186"/>
      </rPr>
      <t xml:space="preserve">un </t>
    </r>
  </si>
  <si>
    <t xml:space="preserve">2)  for income above Minimum wage (MW):
- at least the amount of the MW, and 
 </t>
  </si>
  <si>
    <t xml:space="preserve">       - no starpības starp faktisko ienākumu un MA apmēru</t>
  </si>
  <si>
    <t>+5%</t>
  </si>
  <si>
    <r>
      <t xml:space="preserve">+10% </t>
    </r>
    <r>
      <rPr>
        <sz val="10"/>
        <rFont val="Times New Roman"/>
        <family val="1"/>
        <charset val="186"/>
      </rPr>
      <t xml:space="preserve"> (01.07.)</t>
    </r>
  </si>
  <si>
    <t>+10%</t>
  </si>
  <si>
    <r>
      <rPr>
        <i/>
        <sz val="11"/>
        <color theme="1"/>
        <rFont val="Times New Roman"/>
        <family val="1"/>
        <charset val="186"/>
      </rPr>
      <t>- the difference between the actual income and the amount of the MW</t>
    </r>
  </si>
  <si>
    <r>
      <rPr>
        <b/>
        <sz val="11"/>
        <color theme="1"/>
        <rFont val="Times New Roman"/>
        <family val="1"/>
        <charset val="186"/>
      </rPr>
      <t>VSAOI minimālais apmērs</t>
    </r>
    <r>
      <rPr>
        <sz val="11"/>
        <color theme="1"/>
        <rFont val="Times New Roman"/>
        <family val="1"/>
        <charset val="186"/>
      </rPr>
      <t xml:space="preserve">, </t>
    </r>
    <r>
      <rPr>
        <i/>
        <sz val="11"/>
        <color theme="1"/>
        <rFont val="Times New Roman"/>
        <family val="1"/>
        <charset val="186"/>
      </rPr>
      <t>EUR gadā</t>
    </r>
  </si>
  <si>
    <r>
      <t xml:space="preserve">Minimum SSC income (annual), </t>
    </r>
    <r>
      <rPr>
        <i/>
        <sz val="11"/>
        <rFont val="Times New Roman"/>
        <family val="1"/>
        <charset val="186"/>
      </rPr>
      <t>EUR per year</t>
    </r>
  </si>
  <si>
    <t xml:space="preserve">                                                       LVL gadā</t>
  </si>
  <si>
    <t xml:space="preserve">                                                            LVL per month</t>
  </si>
  <si>
    <r>
      <rPr>
        <b/>
        <sz val="11"/>
        <color theme="1"/>
        <rFont val="Times New Roman"/>
        <family val="1"/>
        <charset val="186"/>
      </rPr>
      <t>VSAOI maksimālais apmērs "soc. griesti"</t>
    </r>
    <r>
      <rPr>
        <sz val="11"/>
        <color theme="1"/>
        <rFont val="Times New Roman"/>
        <family val="1"/>
        <charset val="186"/>
      </rPr>
      <t xml:space="preserve">, </t>
    </r>
    <r>
      <rPr>
        <i/>
        <sz val="11"/>
        <color theme="1"/>
        <rFont val="Times New Roman"/>
        <family val="1"/>
        <charset val="186"/>
      </rPr>
      <t>EUR gadā</t>
    </r>
  </si>
  <si>
    <t>46 400</t>
  </si>
  <si>
    <r>
      <t xml:space="preserve">Cap (maximum ceiling), </t>
    </r>
    <r>
      <rPr>
        <i/>
        <sz val="11"/>
        <rFont val="Times New Roman"/>
        <family val="1"/>
        <charset val="186"/>
      </rPr>
      <t>EUR per year</t>
    </r>
  </si>
  <si>
    <t xml:space="preserve">                                                     LVL gadā</t>
  </si>
  <si>
    <t xml:space="preserve">                                            LVL per month</t>
  </si>
  <si>
    <r>
      <t xml:space="preserve">VSAOI minimālais objekts nodarbinātajiem un pašnodarbinātajiem,  </t>
    </r>
    <r>
      <rPr>
        <i/>
        <sz val="11"/>
        <color theme="1"/>
        <rFont val="Times New Roman"/>
        <family val="1"/>
        <charset val="186"/>
      </rPr>
      <t>EUR mēnesī</t>
    </r>
  </si>
  <si>
    <r>
      <rPr>
        <b/>
        <sz val="11"/>
        <color rgb="FF000000"/>
        <rFont val="Times New Roman"/>
        <family val="1"/>
        <charset val="186"/>
      </rPr>
      <t>The object of the minimum SSC for employee and self-employed person</t>
    </r>
    <r>
      <rPr>
        <i/>
        <sz val="11"/>
        <color rgb="FF000000"/>
        <rFont val="Times New Roman"/>
        <family val="1"/>
        <charset val="186"/>
      </rPr>
      <t>, EUR per month</t>
    </r>
  </si>
  <si>
    <t>(01.07.)</t>
  </si>
  <si>
    <t>3. Solidaritātes nodoklis</t>
  </si>
  <si>
    <t>–</t>
  </si>
  <si>
    <t>Solidarity tax</t>
  </si>
  <si>
    <r>
      <t xml:space="preserve">par ienākumiem, kas pārsniedz, </t>
    </r>
    <r>
      <rPr>
        <i/>
        <sz val="11"/>
        <color theme="1"/>
        <rFont val="Times New Roman"/>
        <family val="1"/>
        <charset val="186"/>
      </rPr>
      <t>EUR gadā</t>
    </r>
  </si>
  <si>
    <r>
      <t xml:space="preserve">on income exceeding, </t>
    </r>
    <r>
      <rPr>
        <i/>
        <sz val="11"/>
        <rFont val="Times New Roman"/>
        <family val="1"/>
        <charset val="186"/>
      </rPr>
      <t>EUR per year</t>
    </r>
  </si>
  <si>
    <r>
      <t xml:space="preserve">      - </t>
    </r>
    <r>
      <rPr>
        <b/>
        <sz val="11"/>
        <color theme="1"/>
        <rFont val="Times New Roman"/>
        <family val="1"/>
        <charset val="186"/>
      </rPr>
      <t>darba devēja likme, kas sadalās:</t>
    </r>
  </si>
  <si>
    <r>
      <t xml:space="preserve">      - </t>
    </r>
    <r>
      <rPr>
        <b/>
        <sz val="11"/>
        <color theme="1"/>
        <rFont val="Times New Roman"/>
        <family val="1"/>
        <charset val="186"/>
      </rPr>
      <t>employer rate</t>
    </r>
    <r>
      <rPr>
        <sz val="11"/>
        <color theme="1"/>
        <rFont val="Times New Roman"/>
        <family val="1"/>
        <charset val="186"/>
      </rPr>
      <t>, which is transfered to:</t>
    </r>
  </si>
  <si>
    <t xml:space="preserve">           ~ valsts pamatbudzētā (nesaistot ar sociālajiem pakalpojumiem);</t>
  </si>
  <si>
    <t xml:space="preserve">           ~ state budget (not tied to social services);</t>
  </si>
  <si>
    <t xml:space="preserve">           ~ fondēto pensiju shēmā (2.līmenis)**;</t>
  </si>
  <si>
    <t xml:space="preserve">            ~ funded pension scheme (level 2)**;</t>
  </si>
  <si>
    <t xml:space="preserve">           ~ privāto pensiju fondu pensiju plānā (3.līmenis)**;</t>
  </si>
  <si>
    <t xml:space="preserve">           ~ private pension fund's pension plan (level 3)**;</t>
  </si>
  <si>
    <t xml:space="preserve">           ~ pensiju aprdrošināšanai;</t>
  </si>
  <si>
    <t xml:space="preserve">           ~ state pension insurance;</t>
  </si>
  <si>
    <t xml:space="preserve">           ~ pensiju aprdrošināšanai (personalizēts maksājums);</t>
  </si>
  <si>
    <t xml:space="preserve">           ~ state pension insurance (personalized payment);</t>
  </si>
  <si>
    <t xml:space="preserve">           ~ veselības apdrošināšanai</t>
  </si>
  <si>
    <t xml:space="preserve">           ~ health care insurance</t>
  </si>
  <si>
    <t xml:space="preserve">      - darba ņēmēja likme, kas sadalās:</t>
  </si>
  <si>
    <r>
      <t xml:space="preserve">      - </t>
    </r>
    <r>
      <rPr>
        <b/>
        <sz val="11"/>
        <color theme="1"/>
        <rFont val="Times New Roman"/>
        <family val="1"/>
        <charset val="186"/>
      </rPr>
      <t xml:space="preserve">employee rate, </t>
    </r>
    <r>
      <rPr>
        <sz val="11"/>
        <color theme="1"/>
        <rFont val="Times New Roman"/>
        <family val="1"/>
        <charset val="186"/>
      </rPr>
      <t>which is transfered to:</t>
    </r>
  </si>
  <si>
    <t xml:space="preserve">           ~ valsts pamatbudzētā (nesaistot ar sociālajiem pakalpojumiem)</t>
  </si>
  <si>
    <t xml:space="preserve">           ~ state budget (not tied to social services)</t>
  </si>
  <si>
    <t xml:space="preserve">           ~ IIN sadales kontā (kā maksājums par trešo IIN likmi 31,0%)</t>
  </si>
  <si>
    <t xml:space="preserve">           ~ personal income tax distribution account (PIT rate 31,0%)</t>
  </si>
  <si>
    <r>
      <t xml:space="preserve">4. Solidaritātes iemaksas </t>
    </r>
    <r>
      <rPr>
        <sz val="12"/>
        <color theme="1"/>
        <rFont val="Times New Roman"/>
        <family val="1"/>
        <charset val="186"/>
      </rPr>
      <t>kredītiestādēm</t>
    </r>
  </si>
  <si>
    <r>
      <t xml:space="preserve">Solidarity contributions </t>
    </r>
    <r>
      <rPr>
        <sz val="12"/>
        <color theme="1"/>
        <rFont val="Times New Roman"/>
        <family val="1"/>
        <charset val="186"/>
      </rPr>
      <t>for credit institutions</t>
    </r>
  </si>
  <si>
    <t>5. Uzņēmumu ienākuma nodoklis (UIN)</t>
  </si>
  <si>
    <t>Corporate Income Tax (CIT)</t>
  </si>
  <si>
    <t>Basic rate</t>
  </si>
  <si>
    <t>Koeficients</t>
  </si>
  <si>
    <t>20/80</t>
  </si>
  <si>
    <t>Coefficient</t>
  </si>
  <si>
    <t>6. Mikrouzņēmumu nodoklis (MUN)</t>
  </si>
  <si>
    <t>Microenterprice tax</t>
  </si>
  <si>
    <r>
      <t xml:space="preserve">         - ja apgrozījums līdz 7000 </t>
    </r>
    <r>
      <rPr>
        <i/>
        <sz val="11"/>
        <color theme="1"/>
        <rFont val="Times New Roman"/>
        <family val="1"/>
        <charset val="186"/>
      </rPr>
      <t>EUR gadā (līdz 2017.gadam)</t>
    </r>
  </si>
  <si>
    <r>
      <t xml:space="preserve">     - for turnover up to 7,000 </t>
    </r>
    <r>
      <rPr>
        <i/>
        <sz val="11"/>
        <rFont val="Times New Roman"/>
        <family val="1"/>
        <charset val="186"/>
      </rPr>
      <t>EUR per year (till 2017)</t>
    </r>
  </si>
  <si>
    <r>
      <t xml:space="preserve">        - ja apgrozījums </t>
    </r>
    <r>
      <rPr>
        <b/>
        <sz val="11"/>
        <rFont val="Times New Roman"/>
        <family val="1"/>
        <charset val="186"/>
      </rPr>
      <t>līdz</t>
    </r>
    <r>
      <rPr>
        <sz val="11"/>
        <rFont val="Times New Roman"/>
        <family val="1"/>
        <charset val="186"/>
      </rPr>
      <t xml:space="preserve"> </t>
    </r>
    <r>
      <rPr>
        <b/>
        <sz val="11"/>
        <rFont val="Times New Roman"/>
        <family val="1"/>
        <charset val="186"/>
      </rPr>
      <t>25 000</t>
    </r>
    <r>
      <rPr>
        <sz val="11"/>
        <rFont val="Times New Roman"/>
        <family val="1"/>
        <charset val="186"/>
      </rPr>
      <t xml:space="preserve"> </t>
    </r>
    <r>
      <rPr>
        <i/>
        <sz val="11"/>
        <rFont val="Times New Roman"/>
        <family val="1"/>
        <charset val="186"/>
      </rPr>
      <t>EUR gadā</t>
    </r>
    <r>
      <rPr>
        <sz val="11"/>
        <rFont val="Times New Roman"/>
        <family val="1"/>
        <charset val="186"/>
      </rPr>
      <t xml:space="preserve"> no </t>
    </r>
    <r>
      <rPr>
        <b/>
        <sz val="11"/>
        <rFont val="Times New Roman"/>
        <family val="1"/>
        <charset val="186"/>
      </rPr>
      <t xml:space="preserve">2021.g. </t>
    </r>
    <r>
      <rPr>
        <sz val="11"/>
        <rFont val="Times New Roman"/>
        <family val="1"/>
        <charset val="186"/>
      </rPr>
      <t>(</t>
    </r>
    <r>
      <rPr>
        <b/>
        <sz val="11"/>
        <rFont val="Times New Roman"/>
        <family val="1"/>
        <charset val="186"/>
      </rPr>
      <t xml:space="preserve">2018.- 2020.g. </t>
    </r>
    <r>
      <rPr>
        <sz val="11"/>
        <rFont val="Times New Roman"/>
        <family val="1"/>
        <charset val="186"/>
      </rPr>
      <t xml:space="preserve">līdz </t>
    </r>
    <r>
      <rPr>
        <b/>
        <sz val="11"/>
        <rFont val="Times New Roman"/>
        <family val="1"/>
        <charset val="186"/>
      </rPr>
      <t>40 000</t>
    </r>
    <r>
      <rPr>
        <sz val="11"/>
        <rFont val="Times New Roman"/>
        <family val="1"/>
        <charset val="186"/>
      </rPr>
      <t xml:space="preserve"> </t>
    </r>
    <r>
      <rPr>
        <i/>
        <sz val="11"/>
        <rFont val="Times New Roman"/>
        <family val="1"/>
        <charset val="186"/>
      </rPr>
      <t>EUR gadā,</t>
    </r>
    <r>
      <rPr>
        <sz val="11"/>
        <rFont val="Times New Roman"/>
        <family val="1"/>
        <charset val="186"/>
      </rPr>
      <t xml:space="preserve"> bet līdz 2017.g. - no 7000,01 līdz 100 000 </t>
    </r>
    <r>
      <rPr>
        <i/>
        <sz val="11"/>
        <rFont val="Times New Roman"/>
        <family val="1"/>
        <charset val="186"/>
      </rPr>
      <t>EUR gadā</t>
    </r>
    <r>
      <rPr>
        <sz val="11"/>
        <rFont val="Times New Roman"/>
        <family val="1"/>
        <charset val="186"/>
      </rPr>
      <t>)</t>
    </r>
  </si>
  <si>
    <r>
      <t xml:space="preserve">     - for turnover </t>
    </r>
    <r>
      <rPr>
        <b/>
        <sz val="11"/>
        <rFont val="Times New Roman"/>
        <family val="1"/>
        <charset val="186"/>
      </rPr>
      <t xml:space="preserve">up to 25 000 </t>
    </r>
    <r>
      <rPr>
        <i/>
        <sz val="11"/>
        <rFont val="Times New Roman"/>
        <family val="1"/>
        <charset val="186"/>
      </rPr>
      <t>EUR per year</t>
    </r>
    <r>
      <rPr>
        <sz val="11"/>
        <rFont val="Times New Roman"/>
        <family val="1"/>
        <charset val="186"/>
      </rPr>
      <t xml:space="preserve"> from 2021 (</t>
    </r>
    <r>
      <rPr>
        <b/>
        <sz val="11"/>
        <rFont val="Times New Roman"/>
        <family val="1"/>
        <charset val="186"/>
      </rPr>
      <t xml:space="preserve">2018 - 2020 </t>
    </r>
    <r>
      <rPr>
        <sz val="11"/>
        <rFont val="Times New Roman"/>
        <family val="1"/>
        <charset val="186"/>
      </rPr>
      <t xml:space="preserve">up to 40,000 </t>
    </r>
    <r>
      <rPr>
        <i/>
        <sz val="11"/>
        <rFont val="Times New Roman"/>
        <family val="1"/>
        <charset val="186"/>
      </rPr>
      <t xml:space="preserve">EUR per year; </t>
    </r>
    <r>
      <rPr>
        <sz val="11"/>
        <rFont val="Times New Roman"/>
        <family val="1"/>
        <charset val="186"/>
      </rPr>
      <t>till 2017 from 7,000 to 100,000</t>
    </r>
    <r>
      <rPr>
        <i/>
        <sz val="11"/>
        <rFont val="Times New Roman"/>
        <family val="1"/>
        <charset val="186"/>
      </rPr>
      <t xml:space="preserve"> EUR per year </t>
    </r>
    <r>
      <rPr>
        <sz val="11"/>
        <rFont val="Times New Roman"/>
        <family val="1"/>
        <charset val="186"/>
      </rPr>
      <t>)</t>
    </r>
  </si>
  <si>
    <r>
      <t xml:space="preserve">         - ja apgrozījums </t>
    </r>
    <r>
      <rPr>
        <b/>
        <sz val="11"/>
        <rFont val="Times New Roman"/>
        <family val="1"/>
        <charset val="186"/>
      </rPr>
      <t xml:space="preserve">virs 25 000 </t>
    </r>
    <r>
      <rPr>
        <i/>
        <sz val="11"/>
        <rFont val="Times New Roman"/>
        <family val="1"/>
        <charset val="186"/>
      </rPr>
      <t>EUR gadā</t>
    </r>
    <r>
      <rPr>
        <sz val="11"/>
        <rFont val="Times New Roman"/>
        <family val="1"/>
        <charset val="186"/>
      </rPr>
      <t xml:space="preserve"> </t>
    </r>
    <r>
      <rPr>
        <b/>
        <sz val="11"/>
        <rFont val="Times New Roman"/>
        <family val="1"/>
        <charset val="186"/>
      </rPr>
      <t xml:space="preserve">no 2021.g. (2018. -2020.g. </t>
    </r>
    <r>
      <rPr>
        <sz val="11"/>
        <rFont val="Times New Roman"/>
        <family val="1"/>
        <charset val="186"/>
      </rPr>
      <t xml:space="preserve">virs </t>
    </r>
    <r>
      <rPr>
        <b/>
        <sz val="11"/>
        <rFont val="Times New Roman"/>
        <family val="1"/>
        <charset val="186"/>
      </rPr>
      <t>40 000</t>
    </r>
    <r>
      <rPr>
        <sz val="11"/>
        <rFont val="Times New Roman"/>
        <family val="1"/>
        <charset val="186"/>
      </rPr>
      <t xml:space="preserve"> </t>
    </r>
    <r>
      <rPr>
        <i/>
        <sz val="11"/>
        <rFont val="Times New Roman"/>
        <family val="1"/>
        <charset val="186"/>
      </rPr>
      <t xml:space="preserve">EUR gadā, </t>
    </r>
    <r>
      <rPr>
        <sz val="11"/>
        <rFont val="Times New Roman"/>
        <family val="1"/>
        <charset val="186"/>
      </rPr>
      <t>bet līdz 2017.g. virs</t>
    </r>
    <r>
      <rPr>
        <i/>
        <sz val="11"/>
        <rFont val="Times New Roman"/>
        <family val="1"/>
        <charset val="186"/>
      </rPr>
      <t xml:space="preserve"> 100 000 EUR gadā </t>
    </r>
    <r>
      <rPr>
        <sz val="11"/>
        <rFont val="Times New Roman"/>
        <family val="1"/>
        <charset val="186"/>
      </rPr>
      <t>)</t>
    </r>
  </si>
  <si>
    <t>(no 01.09.)</t>
  </si>
  <si>
    <r>
      <t xml:space="preserve">     - for turnover </t>
    </r>
    <r>
      <rPr>
        <b/>
        <sz val="11"/>
        <rFont val="Times New Roman"/>
        <family val="1"/>
        <charset val="186"/>
      </rPr>
      <t>above</t>
    </r>
    <r>
      <rPr>
        <sz val="11"/>
        <rFont val="Times New Roman"/>
        <family val="1"/>
        <charset val="186"/>
      </rPr>
      <t xml:space="preserve"> </t>
    </r>
    <r>
      <rPr>
        <b/>
        <sz val="11"/>
        <rFont val="Times New Roman"/>
        <family val="1"/>
        <charset val="186"/>
      </rPr>
      <t xml:space="preserve">25 000 </t>
    </r>
    <r>
      <rPr>
        <i/>
        <sz val="11"/>
        <rFont val="Times New Roman"/>
        <family val="1"/>
        <charset val="186"/>
      </rPr>
      <t>EUR per year</t>
    </r>
    <r>
      <rPr>
        <sz val="11"/>
        <rFont val="Times New Roman"/>
        <family val="1"/>
        <charset val="186"/>
      </rPr>
      <t xml:space="preserve"> from 2021</t>
    </r>
    <r>
      <rPr>
        <b/>
        <sz val="11"/>
        <rFont val="Times New Roman"/>
        <family val="1"/>
        <charset val="186"/>
      </rPr>
      <t xml:space="preserve"> (2018</t>
    </r>
    <r>
      <rPr>
        <sz val="11"/>
        <rFont val="Times New Roman"/>
        <family val="1"/>
        <charset val="186"/>
      </rPr>
      <t xml:space="preserve"> -</t>
    </r>
    <r>
      <rPr>
        <b/>
        <sz val="11"/>
        <rFont val="Times New Roman"/>
        <family val="1"/>
        <charset val="186"/>
      </rPr>
      <t xml:space="preserve"> 2020</t>
    </r>
    <r>
      <rPr>
        <sz val="11"/>
        <rFont val="Times New Roman"/>
        <family val="1"/>
        <charset val="186"/>
      </rPr>
      <t xml:space="preserve"> above 40,000 </t>
    </r>
    <r>
      <rPr>
        <i/>
        <sz val="11"/>
        <rFont val="Times New Roman"/>
        <family val="1"/>
        <charset val="186"/>
      </rPr>
      <t xml:space="preserve">EUR per year; </t>
    </r>
    <r>
      <rPr>
        <sz val="11"/>
        <rFont val="Times New Roman"/>
        <family val="1"/>
        <charset val="186"/>
      </rPr>
      <t>till 2017 above 100,000</t>
    </r>
    <r>
      <rPr>
        <i/>
        <sz val="11"/>
        <rFont val="Times New Roman"/>
        <family val="1"/>
        <charset val="186"/>
      </rPr>
      <t xml:space="preserve"> EUR per year </t>
    </r>
    <r>
      <rPr>
        <sz val="11"/>
        <rFont val="Times New Roman"/>
        <family val="1"/>
        <charset val="186"/>
      </rPr>
      <t>)</t>
    </r>
  </si>
  <si>
    <t>7. Pievienotās vērtības nodoklis (PVN)</t>
  </si>
  <si>
    <t>Value Added Tax (VAT)</t>
  </si>
  <si>
    <t>21%</t>
  </si>
  <si>
    <r>
      <t xml:space="preserve">Samazinātās likmes, </t>
    </r>
    <r>
      <rPr>
        <i/>
        <sz val="11"/>
        <color theme="1"/>
        <rFont val="Times New Roman"/>
        <family val="1"/>
        <charset val="186"/>
      </rPr>
      <t>t.sk.:</t>
    </r>
  </si>
  <si>
    <r>
      <t>12%/</t>
    </r>
    <r>
      <rPr>
        <b/>
        <sz val="11"/>
        <color rgb="FF0070C0"/>
        <rFont val="Times New Roman"/>
        <family val="1"/>
        <charset val="186"/>
      </rPr>
      <t>5%</t>
    </r>
  </si>
  <si>
    <t>12%/5%</t>
  </si>
  <si>
    <r>
      <t>12%/5%/</t>
    </r>
    <r>
      <rPr>
        <b/>
        <sz val="11"/>
        <color rgb="FFFF0000"/>
        <rFont val="Times New Roman"/>
        <family val="1"/>
        <charset val="186"/>
      </rPr>
      <t>0%</t>
    </r>
  </si>
  <si>
    <t>12%/5%/0%</t>
  </si>
  <si>
    <r>
      <t xml:space="preserve">Reduced rates, </t>
    </r>
    <r>
      <rPr>
        <i/>
        <sz val="11"/>
        <rFont val="Times New Roman"/>
        <family val="1"/>
        <charset val="186"/>
      </rPr>
      <t>including:</t>
    </r>
  </si>
  <si>
    <t>(no 01.05.)</t>
  </si>
  <si>
    <t xml:space="preserve">      - medikamenti un medicīnas ierīces, kas paredzētas tikai personu ar organisma funkcijas traucējumiem individuālai lietošanai</t>
  </si>
  <si>
    <t>n/a</t>
  </si>
  <si>
    <t xml:space="preserve">     - pharmaceuticals and medical devices, designed only for the individual use of persons with disabilities</t>
  </si>
  <si>
    <t xml:space="preserve">     - zīdaiņu specializētie pārtikas produkti</t>
  </si>
  <si>
    <t xml:space="preserve">     - specialized food products for infants</t>
  </si>
  <si>
    <r>
      <t xml:space="preserve">     - mācību un orģinālliteratūra </t>
    </r>
    <r>
      <rPr>
        <sz val="9"/>
        <color theme="4"/>
        <rFont val="Times New Roman"/>
        <family val="1"/>
        <charset val="186"/>
      </rPr>
      <t xml:space="preserve">(redakcija līdz 31.12.2021)
   </t>
    </r>
  </si>
  <si>
    <r>
      <t xml:space="preserve">     - educational and orginal literature </t>
    </r>
    <r>
      <rPr>
        <sz val="9"/>
        <color theme="4"/>
        <rFont val="Times New Roman"/>
        <family val="1"/>
        <charset val="186"/>
      </rPr>
      <t>(version until 31.12.2021)</t>
    </r>
  </si>
  <si>
    <t xml:space="preserve">     - grāmatas iespieddarba vai elektroniskā formā </t>
  </si>
  <si>
    <t>(no 01.01.)</t>
  </si>
  <si>
    <t xml:space="preserve">     - books in form of printed or electronic publication</t>
  </si>
  <si>
    <t>(no 01.08.)</t>
  </si>
  <si>
    <r>
      <t xml:space="preserve">     - periodiskie izdevumi </t>
    </r>
    <r>
      <rPr>
        <sz val="9"/>
        <color theme="4"/>
        <rFont val="Times New Roman"/>
        <family val="1"/>
        <charset val="186"/>
      </rPr>
      <t>(redakcija līdz 31.12.2021)</t>
    </r>
    <r>
      <rPr>
        <sz val="11"/>
        <color theme="1"/>
        <rFont val="Times New Roman"/>
        <family val="1"/>
        <charset val="186"/>
      </rPr>
      <t xml:space="preserve">
     - periodiskie izdevumi un publikācijas interneta vietnē</t>
    </r>
  </si>
  <si>
    <r>
      <t xml:space="preserve">     - newspapers and periodicals </t>
    </r>
    <r>
      <rPr>
        <sz val="9"/>
        <color theme="4"/>
        <rFont val="Times New Roman"/>
        <family val="1"/>
        <charset val="186"/>
      </rPr>
      <t>(version until 31.12.2021)</t>
    </r>
    <r>
      <rPr>
        <sz val="11"/>
        <rFont val="Times New Roman"/>
        <family val="1"/>
        <charset val="186"/>
      </rPr>
      <t xml:space="preserve">
     - online periodicals and publications</t>
    </r>
  </si>
  <si>
    <t xml:space="preserve">     - sabiedriskais regulārais transports</t>
  </si>
  <si>
    <t xml:space="preserve">     - public scheduled transport</t>
  </si>
  <si>
    <t xml:space="preserve">     - siltumenerģijas piegādei iedzīvotājiem</t>
  </si>
  <si>
    <t xml:space="preserve">     - thermal energy supplies for inhabitants </t>
  </si>
  <si>
    <t xml:space="preserve">     - koksne kurināmajam iedzīvotājiem</t>
  </si>
  <si>
    <t xml:space="preserve">     - wood as heating for inhabitants</t>
  </si>
  <si>
    <t xml:space="preserve">     - izmitināšanas pakalpojumi</t>
  </si>
  <si>
    <t xml:space="preserve">     - accommodation services</t>
  </si>
  <si>
    <t xml:space="preserve">     - pārtikai (svaigiem dārzeņiem, ogām un augļiem)</t>
  </si>
  <si>
    <t xml:space="preserve">     - food (fresh vegetables, berries and fruits)</t>
  </si>
  <si>
    <t xml:space="preserve">      - COVID 19 vakcīnas un ar šīm vakcīnām cieši saistītu pakalpojumu sniegšanai</t>
  </si>
  <si>
    <r>
      <t xml:space="preserve">0%
</t>
    </r>
    <r>
      <rPr>
        <sz val="8"/>
        <rFont val="Times New Roman"/>
        <family val="1"/>
        <charset val="186"/>
      </rPr>
      <t>(no 25.12)</t>
    </r>
  </si>
  <si>
    <r>
      <t xml:space="preserve">   -  COVID 19 vaccines</t>
    </r>
    <r>
      <rPr>
        <b/>
        <sz val="11"/>
        <rFont val="Times New Roman"/>
        <family val="1"/>
        <charset val="186"/>
      </rPr>
      <t xml:space="preserve"> </t>
    </r>
    <r>
      <rPr>
        <sz val="11"/>
        <rFont val="Times New Roman"/>
        <family val="1"/>
        <charset val="186"/>
      </rPr>
      <t>and with these vaccines closely related services</t>
    </r>
  </si>
  <si>
    <t xml:space="preserve">      - COVID 19 in vitro diagnostikas medicīnas ierīces un ar šīm ierīcēm cieši saistītu pakalpojumu sniegšanai</t>
  </si>
  <si>
    <t xml:space="preserve">   - COVID 19 in vitro diagnostic medical devices and with these devices closely related services</t>
  </si>
  <si>
    <t xml:space="preserve">    - veterinārie medikamenti</t>
  </si>
  <si>
    <t xml:space="preserve">    - veterinary medicines</t>
  </si>
  <si>
    <t xml:space="preserve">    - ūdens, kanalizācija un atkritumu izvešana</t>
  </si>
  <si>
    <t xml:space="preserve">    - water, sewerage and waste disposal</t>
  </si>
  <si>
    <t xml:space="preserve">    - apbedīšanas pakalpojumi</t>
  </si>
  <si>
    <t xml:space="preserve">    - funeral services</t>
  </si>
  <si>
    <t xml:space="preserve">    - kino un sporta pasākumu biļetes </t>
  </si>
  <si>
    <t xml:space="preserve">    - tickets to cinema and sports events</t>
  </si>
  <si>
    <t xml:space="preserve">    - dabas gāzes piegādes iedzīvotājiem</t>
  </si>
  <si>
    <t xml:space="preserve">    - supply of natural gas to inhabitants</t>
  </si>
  <si>
    <t xml:space="preserve">    - elektrības piegādes iedzīvotājiem</t>
  </si>
  <si>
    <t xml:space="preserve">    - electricity supply inhabitants</t>
  </si>
  <si>
    <t xml:space="preserve">    - renovācijas pakalpojumi iedzīvotājiem</t>
  </si>
  <si>
    <t xml:space="preserve">    - renovation services for inhabitants</t>
  </si>
  <si>
    <t xml:space="preserve">    - frizieru pakalpojumi</t>
  </si>
  <si>
    <t xml:space="preserve">    - hairdressing services</t>
  </si>
  <si>
    <t xml:space="preserve"> PVN maksātāju reģistrācijas slieksnis:</t>
  </si>
  <si>
    <t>VAT payer registration threshold:</t>
  </si>
  <si>
    <r>
      <t xml:space="preserve">   - </t>
    </r>
    <r>
      <rPr>
        <sz val="10"/>
        <color theme="1"/>
        <rFont val="Times New Roman"/>
        <family val="1"/>
        <charset val="186"/>
      </rPr>
      <t>ja preču un pakalpojumu piegāžu kopējā vērtība pārsniedz</t>
    </r>
    <r>
      <rPr>
        <i/>
        <sz val="10"/>
        <color theme="1"/>
        <rFont val="Times New Roman"/>
        <family val="1"/>
        <charset val="186"/>
      </rPr>
      <t xml:space="preserve"> EUR</t>
    </r>
  </si>
  <si>
    <r>
      <t xml:space="preserve">   - if total value of the supply of goods and services exceeds </t>
    </r>
    <r>
      <rPr>
        <i/>
        <sz val="10"/>
        <color theme="1"/>
        <rFont val="Times New Roman"/>
        <family val="1"/>
        <charset val="186"/>
      </rPr>
      <t>EUR</t>
    </r>
  </si>
  <si>
    <t xml:space="preserve">                                                                    LVL</t>
  </si>
  <si>
    <t xml:space="preserve">                                                                                                  LVL</t>
  </si>
  <si>
    <r>
      <t xml:space="preserve">   - </t>
    </r>
    <r>
      <rPr>
        <sz val="10"/>
        <color theme="1"/>
        <rFont val="Times New Roman"/>
        <family val="1"/>
        <charset val="186"/>
      </rPr>
      <t>ja preču iegādes kopējā vērtība ES pārsniedz</t>
    </r>
    <r>
      <rPr>
        <i/>
        <sz val="10"/>
        <color theme="1"/>
        <rFont val="Times New Roman"/>
        <family val="1"/>
        <charset val="186"/>
      </rPr>
      <t xml:space="preserve"> EUR</t>
    </r>
  </si>
  <si>
    <r>
      <t xml:space="preserve">   - if total value of the purchase of goods in the EU exceeds </t>
    </r>
    <r>
      <rPr>
        <i/>
        <sz val="10"/>
        <color theme="1"/>
        <rFont val="Times New Roman"/>
        <family val="1"/>
        <charset val="186"/>
      </rPr>
      <t>EUR</t>
    </r>
  </si>
  <si>
    <t xml:space="preserve">                                                                   LVL</t>
  </si>
  <si>
    <t xml:space="preserve">                                                                                                LVL</t>
  </si>
  <si>
    <t>8. Nekustamā īpašuma nodoklis (NĪN )</t>
  </si>
  <si>
    <t>Real Estate Tax (RET)</t>
  </si>
  <si>
    <t xml:space="preserve">     - zemei un ēkām </t>
  </si>
  <si>
    <t xml:space="preserve">    - land and buildings</t>
  </si>
  <si>
    <t xml:space="preserve">     - nesakārtotiem īpašumiem</t>
  </si>
  <si>
    <t>1,5-3%</t>
  </si>
  <si>
    <t xml:space="preserve">    - unmaintained property</t>
  </si>
  <si>
    <t xml:space="preserve">     - mājokļiem </t>
  </si>
  <si>
    <t xml:space="preserve">     - dwellings</t>
  </si>
  <si>
    <t xml:space="preserve">            ~ ar kadastrālo vērtību līdz  56 915 EUR</t>
  </si>
  <si>
    <t xml:space="preserve">            ~ with a cadastral value up to EUR 56,915</t>
  </si>
  <si>
    <t xml:space="preserve">            ~ ar kadastrālo vērtību no 56 915 līdz 106 715 EUR</t>
  </si>
  <si>
    <t xml:space="preserve">            ~ with a cadastral value from EUR 56,915 to 106,715 </t>
  </si>
  <si>
    <t xml:space="preserve">            ~ ar kadastrālo vērtību virs 106 715 EUR </t>
  </si>
  <si>
    <t xml:space="preserve">            ~ with a cadastral value above EUR 106,715  </t>
  </si>
  <si>
    <t>9. Akcīzes nodoklis (AN )</t>
  </si>
  <si>
    <t xml:space="preserve">Excise Duties </t>
  </si>
  <si>
    <t>Naftas produkti</t>
  </si>
  <si>
    <t>Oil products</t>
  </si>
  <si>
    <r>
      <t xml:space="preserve">     </t>
    </r>
    <r>
      <rPr>
        <b/>
        <sz val="11"/>
        <color theme="1"/>
        <rFont val="Times New Roman"/>
        <family val="1"/>
        <charset val="186"/>
      </rPr>
      <t>Bezsvina benzīns</t>
    </r>
    <r>
      <rPr>
        <sz val="11"/>
        <color theme="1"/>
        <rFont val="Times New Roman"/>
        <family val="1"/>
        <charset val="186"/>
      </rPr>
      <t xml:space="preserve">, </t>
    </r>
    <r>
      <rPr>
        <i/>
        <sz val="11"/>
        <color theme="1"/>
        <rFont val="Times New Roman"/>
        <family val="1"/>
        <charset val="186"/>
      </rPr>
      <t>EUR par 1000 litriem</t>
    </r>
  </si>
  <si>
    <r>
      <t xml:space="preserve">    </t>
    </r>
    <r>
      <rPr>
        <b/>
        <sz val="11"/>
        <color theme="1"/>
        <rFont val="Times New Roman"/>
        <family val="1"/>
        <charset val="186"/>
      </rPr>
      <t>Unleaded Petrol</t>
    </r>
    <r>
      <rPr>
        <sz val="11"/>
        <color theme="1"/>
        <rFont val="Times New Roman"/>
        <family val="1"/>
        <charset val="186"/>
      </rPr>
      <t xml:space="preserve">, </t>
    </r>
    <r>
      <rPr>
        <i/>
        <sz val="11"/>
        <color theme="1"/>
        <rFont val="Times New Roman"/>
        <family val="1"/>
        <charset val="186"/>
      </rPr>
      <t>EUR per 1000 liters</t>
    </r>
  </si>
  <si>
    <t xml:space="preserve"> (no 01.05.)</t>
  </si>
  <si>
    <t xml:space="preserve"> (no 01.02.)</t>
  </si>
  <si>
    <t xml:space="preserve"> (no 01.06.)</t>
  </si>
  <si>
    <t xml:space="preserve">                                       LVL par 1000 litriem</t>
  </si>
  <si>
    <t xml:space="preserve">                                  LVL per 1000 liters</t>
  </si>
  <si>
    <r>
      <t xml:space="preserve">     </t>
    </r>
    <r>
      <rPr>
        <b/>
        <sz val="11"/>
        <color theme="1"/>
        <rFont val="Times New Roman"/>
        <family val="1"/>
        <charset val="186"/>
      </rPr>
      <t>Svinu saturošs benzīns</t>
    </r>
    <r>
      <rPr>
        <sz val="11"/>
        <color theme="1"/>
        <rFont val="Times New Roman"/>
        <family val="1"/>
        <charset val="186"/>
      </rPr>
      <t xml:space="preserve">, </t>
    </r>
    <r>
      <rPr>
        <i/>
        <sz val="11"/>
        <color theme="1"/>
        <rFont val="Times New Roman"/>
        <family val="1"/>
        <charset val="186"/>
      </rPr>
      <t>EUR par 1000 litriem</t>
    </r>
  </si>
  <si>
    <r>
      <t xml:space="preserve">    </t>
    </r>
    <r>
      <rPr>
        <b/>
        <sz val="11"/>
        <color theme="1"/>
        <rFont val="Times New Roman"/>
        <family val="1"/>
        <charset val="186"/>
      </rPr>
      <t>Leaded Petrol</t>
    </r>
    <r>
      <rPr>
        <sz val="11"/>
        <color theme="1"/>
        <rFont val="Times New Roman"/>
        <family val="1"/>
        <charset val="186"/>
      </rPr>
      <t xml:space="preserve">, </t>
    </r>
    <r>
      <rPr>
        <i/>
        <sz val="11"/>
        <color theme="1"/>
        <rFont val="Times New Roman"/>
        <family val="1"/>
        <charset val="186"/>
      </rPr>
      <t>EUR per 1000 liters</t>
    </r>
  </si>
  <si>
    <t xml:space="preserve">                                                LVL par 1000 litriem</t>
  </si>
  <si>
    <t xml:space="preserve">                                LVL per 1000 liters</t>
  </si>
  <si>
    <r>
      <t xml:space="preserve">    </t>
    </r>
    <r>
      <rPr>
        <b/>
        <sz val="11"/>
        <color theme="1"/>
        <rFont val="Times New Roman"/>
        <family val="1"/>
        <charset val="186"/>
      </rPr>
      <t>Benzīns ar etilspirtu, abs.sp. 70 - 85%</t>
    </r>
    <r>
      <rPr>
        <sz val="11"/>
        <color theme="1"/>
        <rFont val="Times New Roman"/>
        <family val="1"/>
        <charset val="186"/>
      </rPr>
      <t>,</t>
    </r>
    <r>
      <rPr>
        <i/>
        <sz val="11"/>
        <color theme="1"/>
        <rFont val="Times New Roman"/>
        <family val="1"/>
        <charset val="186"/>
      </rPr>
      <t xml:space="preserve"> EUR par 1000 litriem</t>
    </r>
  </si>
  <si>
    <r>
      <t xml:space="preserve">No </t>
    </r>
    <r>
      <rPr>
        <b/>
        <sz val="11"/>
        <color rgb="FFFF0000"/>
        <rFont val="Times New Roman"/>
        <family val="1"/>
        <charset val="186"/>
      </rPr>
      <t>16,22</t>
    </r>
    <r>
      <rPr>
        <sz val="11"/>
        <color theme="1"/>
        <rFont val="Times New Roman"/>
        <family val="1"/>
        <charset val="186"/>
      </rPr>
      <t xml:space="preserve"> līdz </t>
    </r>
    <r>
      <rPr>
        <b/>
        <sz val="11"/>
        <color rgb="FFFF0000"/>
        <rFont val="Times New Roman"/>
        <family val="1"/>
        <charset val="186"/>
      </rPr>
      <t>97,32</t>
    </r>
  </si>
  <si>
    <r>
      <t xml:space="preserve">No </t>
    </r>
    <r>
      <rPr>
        <b/>
        <sz val="11"/>
        <color rgb="FFFF0000"/>
        <rFont val="Times New Roman"/>
        <family val="1"/>
        <charset val="186"/>
      </rPr>
      <t>19,14</t>
    </r>
    <r>
      <rPr>
        <sz val="11"/>
        <color theme="1"/>
        <rFont val="Times New Roman"/>
        <family val="1"/>
        <charset val="186"/>
      </rPr>
      <t xml:space="preserve"> līdz </t>
    </r>
    <r>
      <rPr>
        <b/>
        <sz val="11"/>
        <color rgb="FFFF0000"/>
        <rFont val="Times New Roman"/>
        <family val="1"/>
        <charset val="186"/>
      </rPr>
      <t xml:space="preserve">114,83         </t>
    </r>
  </si>
  <si>
    <r>
      <t xml:space="preserve">360
</t>
    </r>
    <r>
      <rPr>
        <sz val="11"/>
        <rFont val="Times New Roman"/>
        <family val="1"/>
        <charset val="186"/>
      </rPr>
      <t xml:space="preserve"> </t>
    </r>
    <r>
      <rPr>
        <sz val="9"/>
        <rFont val="Times New Roman"/>
        <family val="1"/>
        <charset val="186"/>
      </rPr>
      <t>(01.02.)</t>
    </r>
  </si>
  <si>
    <r>
      <t xml:space="preserve">   </t>
    </r>
    <r>
      <rPr>
        <b/>
        <sz val="11"/>
        <color theme="1"/>
        <rFont val="Times New Roman"/>
        <family val="1"/>
        <charset val="186"/>
      </rPr>
      <t xml:space="preserve"> Petrol and ethyl alcohol blend, absol. alcohol content in the final product 70 - 85%</t>
    </r>
    <r>
      <rPr>
        <sz val="11"/>
        <color theme="1"/>
        <rFont val="Times New Roman"/>
        <family val="1"/>
        <charset val="186"/>
      </rPr>
      <t xml:space="preserve">, </t>
    </r>
    <r>
      <rPr>
        <i/>
        <sz val="11"/>
        <color theme="1"/>
        <rFont val="Times New Roman"/>
        <family val="1"/>
        <charset val="186"/>
      </rPr>
      <t>EUR per 1000 liters</t>
    </r>
  </si>
  <si>
    <t xml:space="preserve">                                                                        LVL par 1000 litriem</t>
  </si>
  <si>
    <r>
      <rPr>
        <i/>
        <sz val="10"/>
        <rFont val="Times New Roman"/>
        <family val="1"/>
        <charset val="186"/>
      </rPr>
      <t>No</t>
    </r>
    <r>
      <rPr>
        <i/>
        <sz val="10"/>
        <color rgb="FFFF0000"/>
        <rFont val="Times New Roman"/>
        <family val="1"/>
        <charset val="186"/>
      </rPr>
      <t xml:space="preserve"> 11,4 </t>
    </r>
    <r>
      <rPr>
        <i/>
        <sz val="10"/>
        <rFont val="Times New Roman"/>
        <family val="1"/>
        <charset val="186"/>
      </rPr>
      <t>līdz</t>
    </r>
    <r>
      <rPr>
        <i/>
        <sz val="10"/>
        <color rgb="FFFF0000"/>
        <rFont val="Times New Roman"/>
        <family val="1"/>
        <charset val="186"/>
      </rPr>
      <t xml:space="preserve"> 68,43</t>
    </r>
  </si>
  <si>
    <r>
      <rPr>
        <i/>
        <sz val="10"/>
        <rFont val="Times New Roman"/>
        <family val="1"/>
        <charset val="186"/>
      </rPr>
      <t xml:space="preserve">No </t>
    </r>
    <r>
      <rPr>
        <i/>
        <sz val="10"/>
        <color rgb="FFFF0000"/>
        <rFont val="Times New Roman"/>
        <family val="1"/>
        <charset val="186"/>
      </rPr>
      <t>13,45</t>
    </r>
    <r>
      <rPr>
        <i/>
        <sz val="10"/>
        <rFont val="Times New Roman"/>
        <family val="1"/>
        <charset val="186"/>
      </rPr>
      <t>līdz</t>
    </r>
    <r>
      <rPr>
        <i/>
        <sz val="10"/>
        <color rgb="FFFF0000"/>
        <rFont val="Times New Roman"/>
        <family val="1"/>
        <charset val="186"/>
      </rPr>
      <t xml:space="preserve"> 80,7 </t>
    </r>
  </si>
  <si>
    <t xml:space="preserve">                                           LVL per 1000 liters </t>
  </si>
  <si>
    <r>
      <t xml:space="preserve">     </t>
    </r>
    <r>
      <rPr>
        <b/>
        <sz val="11"/>
        <color theme="1"/>
        <rFont val="Times New Roman"/>
        <family val="1"/>
        <charset val="186"/>
      </rPr>
      <t>Dīzeļdegviela</t>
    </r>
    <r>
      <rPr>
        <sz val="11"/>
        <color theme="1"/>
        <rFont val="Times New Roman"/>
        <family val="1"/>
        <charset val="186"/>
      </rPr>
      <t xml:space="preserve">, </t>
    </r>
    <r>
      <rPr>
        <i/>
        <sz val="11"/>
        <color theme="1"/>
        <rFont val="Times New Roman"/>
        <family val="1"/>
        <charset val="186"/>
      </rPr>
      <t>EUR par 1000 litriem</t>
    </r>
  </si>
  <si>
    <r>
      <t xml:space="preserve">   </t>
    </r>
    <r>
      <rPr>
        <b/>
        <sz val="11"/>
        <color theme="1"/>
        <rFont val="Times New Roman"/>
        <family val="1"/>
        <charset val="186"/>
      </rPr>
      <t xml:space="preserve"> Gas oil (diesel fuel)</t>
    </r>
    <r>
      <rPr>
        <sz val="11"/>
        <color theme="1"/>
        <rFont val="Times New Roman"/>
        <family val="1"/>
        <charset val="186"/>
      </rPr>
      <t xml:space="preserve">, </t>
    </r>
    <r>
      <rPr>
        <i/>
        <sz val="11"/>
        <color theme="1"/>
        <rFont val="Times New Roman"/>
        <family val="1"/>
        <charset val="186"/>
      </rPr>
      <t>EUR per 1000 liters</t>
    </r>
  </si>
  <si>
    <t xml:space="preserve"> (no 28.06.)</t>
  </si>
  <si>
    <t xml:space="preserve">                               LVL par 1000 litriem</t>
  </si>
  <si>
    <t xml:space="preserve">                                         LVL per 1000 liters</t>
  </si>
  <si>
    <r>
      <t xml:space="preserve">     </t>
    </r>
    <r>
      <rPr>
        <b/>
        <sz val="11"/>
        <color theme="1"/>
        <rFont val="Times New Roman"/>
        <family val="1"/>
        <charset val="186"/>
      </rPr>
      <t>Petroleja</t>
    </r>
    <r>
      <rPr>
        <sz val="11"/>
        <color theme="1"/>
        <rFont val="Times New Roman"/>
        <family val="1"/>
        <charset val="186"/>
      </rPr>
      <t>,</t>
    </r>
    <r>
      <rPr>
        <i/>
        <sz val="11"/>
        <color theme="1"/>
        <rFont val="Times New Roman"/>
        <family val="1"/>
        <charset val="186"/>
      </rPr>
      <t xml:space="preserve"> EUR par 1000 litriem</t>
    </r>
  </si>
  <si>
    <r>
      <t xml:space="preserve">    </t>
    </r>
    <r>
      <rPr>
        <b/>
        <sz val="11"/>
        <color theme="1"/>
        <rFont val="Times New Roman"/>
        <family val="1"/>
        <charset val="186"/>
      </rPr>
      <t>Kerosene</t>
    </r>
    <r>
      <rPr>
        <sz val="11"/>
        <color theme="1"/>
        <rFont val="Times New Roman"/>
        <family val="1"/>
        <charset val="186"/>
      </rPr>
      <t xml:space="preserve">, </t>
    </r>
    <r>
      <rPr>
        <i/>
        <sz val="11"/>
        <color theme="1"/>
        <rFont val="Times New Roman"/>
        <family val="1"/>
        <charset val="186"/>
      </rPr>
      <t>EUR per 1000 liters</t>
    </r>
  </si>
  <si>
    <t xml:space="preserve">                        LVL par 1000 litriem</t>
  </si>
  <si>
    <t xml:space="preserve">                        LVL per 1000 liters</t>
  </si>
  <si>
    <r>
      <t xml:space="preserve">     </t>
    </r>
    <r>
      <rPr>
        <b/>
        <sz val="11"/>
        <color theme="1"/>
        <rFont val="Times New Roman"/>
        <family val="1"/>
        <charset val="186"/>
      </rPr>
      <t>Naftas gāzes</t>
    </r>
    <r>
      <rPr>
        <sz val="11"/>
        <color theme="1"/>
        <rFont val="Times New Roman"/>
        <family val="1"/>
        <charset val="186"/>
      </rPr>
      <t xml:space="preserve">, </t>
    </r>
    <r>
      <rPr>
        <i/>
        <sz val="11"/>
        <color theme="1"/>
        <rFont val="Times New Roman"/>
        <family val="1"/>
        <charset val="186"/>
      </rPr>
      <t>EUR par 1000 kg</t>
    </r>
  </si>
  <si>
    <r>
      <t xml:space="preserve">    </t>
    </r>
    <r>
      <rPr>
        <b/>
        <sz val="11"/>
        <color theme="1"/>
        <rFont val="Times New Roman"/>
        <family val="1"/>
        <charset val="186"/>
      </rPr>
      <t>Liquefied Petroleum Gas (LPG)</t>
    </r>
    <r>
      <rPr>
        <sz val="11"/>
        <color theme="1"/>
        <rFont val="Times New Roman"/>
        <family val="1"/>
        <charset val="186"/>
      </rPr>
      <t xml:space="preserve">, </t>
    </r>
    <r>
      <rPr>
        <i/>
        <sz val="11"/>
        <color theme="1"/>
        <rFont val="Times New Roman"/>
        <family val="1"/>
        <charset val="186"/>
      </rPr>
      <t>EUR per 1000 kg</t>
    </r>
  </si>
  <si>
    <t xml:space="preserve">                               LVL par 1000 kg</t>
  </si>
  <si>
    <t xml:space="preserve">                                                              LVL per 1000 kg</t>
  </si>
  <si>
    <r>
      <t xml:space="preserve">   </t>
    </r>
    <r>
      <rPr>
        <b/>
        <sz val="11"/>
        <color theme="1"/>
        <rFont val="Times New Roman"/>
        <family val="1"/>
        <charset val="186"/>
      </rPr>
      <t xml:space="preserve">  Naftas gāzes</t>
    </r>
    <r>
      <rPr>
        <sz val="11"/>
        <color theme="1"/>
        <rFont val="Times New Roman"/>
        <family val="1"/>
        <charset val="186"/>
      </rPr>
      <t xml:space="preserve">, ko izmanto par kurināmo, </t>
    </r>
    <r>
      <rPr>
        <i/>
        <sz val="11"/>
        <color theme="1"/>
        <rFont val="Times New Roman"/>
        <family val="1"/>
        <charset val="186"/>
      </rPr>
      <t>EUR par 1000 kg</t>
    </r>
  </si>
  <si>
    <r>
      <rPr>
        <b/>
        <sz val="11"/>
        <rFont val="Times New Roman"/>
        <family val="1"/>
        <charset val="186"/>
      </rPr>
      <t>Liquefied Petroleum Gas (LPG) for heating</t>
    </r>
    <r>
      <rPr>
        <sz val="11"/>
        <rFont val="Times New Roman"/>
        <family val="1"/>
        <charset val="186"/>
      </rPr>
      <t>,</t>
    </r>
    <r>
      <rPr>
        <i/>
        <sz val="11"/>
        <rFont val="Times New Roman"/>
        <family val="1"/>
        <charset val="186"/>
      </rPr>
      <t xml:space="preserve"> </t>
    </r>
    <r>
      <rPr>
        <i/>
        <sz val="11"/>
        <color theme="1"/>
        <rFont val="Times New Roman"/>
        <family val="1"/>
        <charset val="186"/>
      </rPr>
      <t>EUR per 1000 kg</t>
    </r>
  </si>
  <si>
    <r>
      <t xml:space="preserve">    </t>
    </r>
    <r>
      <rPr>
        <b/>
        <sz val="11"/>
        <color theme="1"/>
        <rFont val="Times New Roman"/>
        <family val="1"/>
        <charset val="186"/>
      </rPr>
      <t xml:space="preserve"> Degvieleļļa (mazuts),</t>
    </r>
    <r>
      <rPr>
        <sz val="11"/>
        <color theme="1"/>
        <rFont val="Times New Roman"/>
        <family val="1"/>
        <charset val="186"/>
      </rPr>
      <t xml:space="preserve">  </t>
    </r>
    <r>
      <rPr>
        <i/>
        <sz val="11"/>
        <color theme="1"/>
        <rFont val="Times New Roman"/>
        <family val="1"/>
        <charset val="186"/>
      </rPr>
      <t>EUR par 1000 kg</t>
    </r>
  </si>
  <si>
    <r>
      <t xml:space="preserve">   </t>
    </r>
    <r>
      <rPr>
        <b/>
        <sz val="11"/>
        <color theme="1"/>
        <rFont val="Times New Roman"/>
        <family val="1"/>
        <charset val="186"/>
      </rPr>
      <t xml:space="preserve"> Heavy fuel oil</t>
    </r>
    <r>
      <rPr>
        <sz val="11"/>
        <color theme="1"/>
        <rFont val="Times New Roman"/>
        <family val="1"/>
        <charset val="186"/>
      </rPr>
      <t xml:space="preserve">, </t>
    </r>
    <r>
      <rPr>
        <i/>
        <sz val="11"/>
        <color theme="1"/>
        <rFont val="Times New Roman"/>
        <family val="1"/>
        <charset val="186"/>
      </rPr>
      <t>EUR per 1000 kg</t>
    </r>
  </si>
  <si>
    <t xml:space="preserve">                                            LVL par 1000 kg</t>
  </si>
  <si>
    <t xml:space="preserve">                                 LVL per 1000 kg</t>
  </si>
  <si>
    <r>
      <t xml:space="preserve">    </t>
    </r>
    <r>
      <rPr>
        <b/>
        <sz val="11"/>
        <color theme="1"/>
        <rFont val="Times New Roman"/>
        <family val="1"/>
        <charset val="186"/>
      </rPr>
      <t>Dīzeļdegviela, degvieleļļa un petroleja, kuru izmanto kā kurināmo</t>
    </r>
    <r>
      <rPr>
        <sz val="11"/>
        <color theme="1"/>
        <rFont val="Times New Roman"/>
        <family val="1"/>
        <charset val="186"/>
      </rPr>
      <t xml:space="preserve">, </t>
    </r>
    <r>
      <rPr>
        <i/>
        <sz val="11"/>
        <color theme="1"/>
        <rFont val="Times New Roman"/>
        <family val="1"/>
        <charset val="186"/>
      </rPr>
      <t>EUR par 1000 litriem</t>
    </r>
  </si>
  <si>
    <r>
      <t xml:space="preserve">60
</t>
    </r>
    <r>
      <rPr>
        <sz val="8"/>
        <rFont val="Times New Roman"/>
        <family val="1"/>
        <charset val="186"/>
      </rPr>
      <t>(01.07)</t>
    </r>
  </si>
  <si>
    <r>
      <t xml:space="preserve">    </t>
    </r>
    <r>
      <rPr>
        <b/>
        <sz val="11"/>
        <color theme="1"/>
        <rFont val="Times New Roman"/>
        <family val="1"/>
        <charset val="186"/>
      </rPr>
      <t>Diesel fuel, heavy fuel oil and kerosene used for heating</t>
    </r>
    <r>
      <rPr>
        <sz val="11"/>
        <color theme="1"/>
        <rFont val="Times New Roman"/>
        <family val="1"/>
        <charset val="186"/>
      </rPr>
      <t xml:space="preserve">, </t>
    </r>
    <r>
      <rPr>
        <i/>
        <sz val="11"/>
        <color theme="1"/>
        <rFont val="Times New Roman"/>
        <family val="1"/>
        <charset val="186"/>
      </rPr>
      <t>EUR per 1000 liters</t>
    </r>
  </si>
  <si>
    <t xml:space="preserve">                   LVL par 1000 litriem</t>
  </si>
  <si>
    <t xml:space="preserve"> LVL per 1000 liters</t>
  </si>
  <si>
    <r>
      <t xml:space="preserve">Marķēta dīzeļdegviela, degvieleļļa un petroleja, ja to izmanto brīvostas brīvās zonas teritorijā (ar 01.03.2024. arī brīvostu teritorijā) stacionārās iekārtās, celtņos, iekārtās, kuras tiek izmantotas celtniecības darbos,  un tehnikā, kas pēc savas konstrukcijas nav paredzēta satiksmei pa koplietošanas ceļiem, </t>
    </r>
    <r>
      <rPr>
        <i/>
        <sz val="10"/>
        <color theme="1"/>
        <rFont val="Times New Roman"/>
        <family val="1"/>
        <charset val="186"/>
      </rPr>
      <t>EUR par 1000 litriem</t>
    </r>
  </si>
  <si>
    <r>
      <rPr>
        <b/>
        <sz val="10"/>
        <rFont val="Times New Roman"/>
        <family val="1"/>
        <charset val="186"/>
      </rPr>
      <t>60</t>
    </r>
    <r>
      <rPr>
        <sz val="10"/>
        <rFont val="Times New Roman"/>
        <family val="1"/>
        <charset val="186"/>
      </rPr>
      <t xml:space="preserve"> </t>
    </r>
    <r>
      <rPr>
        <sz val="8"/>
        <rFont val="Times New Roman"/>
        <family val="1"/>
        <charset val="186"/>
      </rPr>
      <t>(no 01.07)</t>
    </r>
  </si>
  <si>
    <r>
      <rPr>
        <b/>
        <sz val="10"/>
        <color rgb="FFFF0000"/>
        <rFont val="Times New Roman"/>
        <family val="1"/>
        <charset val="186"/>
      </rPr>
      <t xml:space="preserve">                       148</t>
    </r>
    <r>
      <rPr>
        <b/>
        <i/>
        <sz val="10"/>
        <rFont val="Times New Roman"/>
        <family val="1"/>
        <charset val="186"/>
      </rPr>
      <t xml:space="preserve">
</t>
    </r>
    <r>
      <rPr>
        <sz val="8"/>
        <rFont val="Times New Roman"/>
        <family val="1"/>
        <charset val="186"/>
      </rPr>
      <t>(no 01.03.)</t>
    </r>
  </si>
  <si>
    <r>
      <rPr>
        <b/>
        <sz val="10"/>
        <color theme="1"/>
        <rFont val="Times New Roman"/>
        <family val="1"/>
        <charset val="186"/>
      </rPr>
      <t xml:space="preserve">   Marked diesel, fuel oil and kerosene used in the free zone territory of the free port (from 01.03.2024 also in the territory of the free port) when used in fixed installations, cranes, equipment used for construction work and in machinery which by its design is not intended for traffic on public roads, </t>
    </r>
    <r>
      <rPr>
        <i/>
        <sz val="10"/>
        <color theme="1"/>
        <rFont val="Times New Roman"/>
        <family val="1"/>
        <charset val="186"/>
      </rPr>
      <t>EUR per 1000 liters</t>
    </r>
  </si>
  <si>
    <r>
      <t xml:space="preserve">40  </t>
    </r>
    <r>
      <rPr>
        <i/>
        <sz val="8"/>
        <rFont val="Times New Roman"/>
        <family val="1"/>
        <charset val="186"/>
      </rPr>
      <t>(no 01.07.)</t>
    </r>
  </si>
  <si>
    <r>
      <t xml:space="preserve">    </t>
    </r>
    <r>
      <rPr>
        <b/>
        <sz val="11"/>
        <color theme="1"/>
        <rFont val="Times New Roman"/>
        <family val="1"/>
        <charset val="186"/>
      </rPr>
      <t>Dīzeļdegviela lauksaimniecibai, dārzniecībai, zivsjsaimniecībai</t>
    </r>
    <r>
      <rPr>
        <sz val="11"/>
        <color theme="1"/>
        <rFont val="Times New Roman"/>
        <family val="1"/>
        <charset val="186"/>
      </rPr>
      <t xml:space="preserve">, </t>
    </r>
    <r>
      <rPr>
        <i/>
        <sz val="11"/>
        <color theme="1"/>
        <rFont val="Times New Roman"/>
        <family val="1"/>
        <charset val="186"/>
      </rPr>
      <t>EUR par 1000 litriem</t>
    </r>
  </si>
  <si>
    <r>
      <t xml:space="preserve">    </t>
    </r>
    <r>
      <rPr>
        <b/>
        <sz val="11"/>
        <color theme="1"/>
        <rFont val="Times New Roman"/>
        <family val="1"/>
        <charset val="186"/>
      </rPr>
      <t>Gas oil for for agriculture, gardening, fish farming,</t>
    </r>
    <r>
      <rPr>
        <sz val="11"/>
        <color theme="1"/>
        <rFont val="Times New Roman"/>
        <family val="1"/>
        <charset val="186"/>
      </rPr>
      <t xml:space="preserve"> </t>
    </r>
    <r>
      <rPr>
        <i/>
        <sz val="11"/>
        <color theme="1"/>
        <rFont val="Times New Roman"/>
        <family val="1"/>
        <charset val="186"/>
      </rPr>
      <t>EUR per 1000 liters</t>
    </r>
  </si>
  <si>
    <r>
      <rPr>
        <b/>
        <sz val="11"/>
        <color theme="1"/>
        <rFont val="Times New Roman"/>
        <family val="1"/>
        <charset val="186"/>
      </rPr>
      <t>Parafinizētā dīzeļdegviela, kas iegūta no biomasas, k</t>
    </r>
    <r>
      <rPr>
        <sz val="11"/>
        <color theme="1"/>
        <rFont val="Times New Roman"/>
        <family val="1"/>
        <charset val="186"/>
      </rPr>
      <t>uru izmanto par</t>
    </r>
    <r>
      <rPr>
        <b/>
        <sz val="11"/>
        <color theme="1"/>
        <rFont val="Times New Roman"/>
        <family val="1"/>
        <charset val="186"/>
      </rPr>
      <t xml:space="preserve"> </t>
    </r>
    <r>
      <rPr>
        <b/>
        <i/>
        <sz val="11"/>
        <color theme="1"/>
        <rFont val="Times New Roman"/>
        <family val="1"/>
        <charset val="186"/>
      </rPr>
      <t>DEGVIELU</t>
    </r>
    <r>
      <rPr>
        <b/>
        <sz val="11"/>
        <color theme="1"/>
        <rFont val="Times New Roman"/>
        <family val="1"/>
        <charset val="186"/>
      </rPr>
      <t>,</t>
    </r>
    <r>
      <rPr>
        <sz val="11"/>
        <color theme="1"/>
        <rFont val="Times New Roman"/>
        <family val="1"/>
        <charset val="186"/>
      </rPr>
      <t xml:space="preserve"> </t>
    </r>
    <r>
      <rPr>
        <i/>
        <sz val="11"/>
        <color theme="1"/>
        <rFont val="Times New Roman"/>
        <family val="1"/>
        <charset val="186"/>
      </rPr>
      <t>EUR par 1000 litriem</t>
    </r>
  </si>
  <si>
    <r>
      <rPr>
        <b/>
        <sz val="11"/>
        <color theme="1"/>
        <rFont val="Times New Roman"/>
        <family val="1"/>
        <charset val="186"/>
      </rPr>
      <t xml:space="preserve">Paraffinic diesel obtained from biomass </t>
    </r>
    <r>
      <rPr>
        <sz val="11"/>
        <color theme="1"/>
        <rFont val="Times New Roman"/>
        <family val="1"/>
        <charset val="186"/>
      </rPr>
      <t>to be used as</t>
    </r>
    <r>
      <rPr>
        <b/>
        <sz val="11"/>
        <color theme="1"/>
        <rFont val="Times New Roman"/>
        <family val="1"/>
        <charset val="186"/>
      </rPr>
      <t xml:space="preserve"> </t>
    </r>
    <r>
      <rPr>
        <b/>
        <i/>
        <sz val="11"/>
        <color theme="1"/>
        <rFont val="Times New Roman"/>
        <family val="1"/>
        <charset val="186"/>
      </rPr>
      <t>FUEL</t>
    </r>
    <r>
      <rPr>
        <b/>
        <sz val="11"/>
        <color theme="1"/>
        <rFont val="Times New Roman"/>
        <family val="1"/>
        <charset val="186"/>
      </rPr>
      <t xml:space="preserve">, </t>
    </r>
    <r>
      <rPr>
        <sz val="11"/>
        <color theme="1"/>
        <rFont val="Times New Roman"/>
        <family val="1"/>
        <charset val="186"/>
      </rPr>
      <t xml:space="preserve"> </t>
    </r>
    <r>
      <rPr>
        <i/>
        <sz val="11"/>
        <color theme="1"/>
        <rFont val="Times New Roman"/>
        <family val="1"/>
        <charset val="186"/>
      </rPr>
      <t>EUR per 1000 liters</t>
    </r>
  </si>
  <si>
    <t xml:space="preserve"> (no 01.02.) </t>
  </si>
  <si>
    <r>
      <rPr>
        <b/>
        <sz val="11"/>
        <color theme="1"/>
        <rFont val="Times New Roman"/>
        <family val="1"/>
        <charset val="186"/>
      </rPr>
      <t>Parafinizētā dīzeļdegviela, kas iegūta no biomasas, k</t>
    </r>
    <r>
      <rPr>
        <sz val="11"/>
        <color theme="1"/>
        <rFont val="Times New Roman"/>
        <family val="1"/>
        <charset val="186"/>
      </rPr>
      <t>uru izmanto par</t>
    </r>
    <r>
      <rPr>
        <b/>
        <sz val="11"/>
        <color theme="1"/>
        <rFont val="Times New Roman"/>
        <family val="1"/>
        <charset val="186"/>
      </rPr>
      <t xml:space="preserve"> </t>
    </r>
    <r>
      <rPr>
        <b/>
        <i/>
        <sz val="11"/>
        <color theme="1"/>
        <rFont val="Times New Roman"/>
        <family val="1"/>
        <charset val="186"/>
      </rPr>
      <t>KURINĀMO</t>
    </r>
    <r>
      <rPr>
        <b/>
        <sz val="11"/>
        <color theme="1"/>
        <rFont val="Times New Roman"/>
        <family val="1"/>
        <charset val="186"/>
      </rPr>
      <t>,</t>
    </r>
    <r>
      <rPr>
        <sz val="11"/>
        <color theme="1"/>
        <rFont val="Times New Roman"/>
        <family val="1"/>
        <charset val="186"/>
      </rPr>
      <t xml:space="preserve"> </t>
    </r>
    <r>
      <rPr>
        <i/>
        <sz val="11"/>
        <color theme="1"/>
        <rFont val="Times New Roman"/>
        <family val="1"/>
        <charset val="186"/>
      </rPr>
      <t>EUR par 1000 litriem</t>
    </r>
  </si>
  <si>
    <r>
      <rPr>
        <b/>
        <sz val="11"/>
        <color theme="1"/>
        <rFont val="Times New Roman"/>
        <family val="1"/>
        <charset val="186"/>
      </rPr>
      <t xml:space="preserve">Paraffinic diesel obtained from biomass </t>
    </r>
    <r>
      <rPr>
        <sz val="11"/>
        <color theme="1"/>
        <rFont val="Times New Roman"/>
        <family val="1"/>
        <charset val="186"/>
      </rPr>
      <t>to be used as</t>
    </r>
    <r>
      <rPr>
        <b/>
        <sz val="11"/>
        <color theme="1"/>
        <rFont val="Times New Roman"/>
        <family val="1"/>
        <charset val="186"/>
      </rPr>
      <t xml:space="preserve"> </t>
    </r>
    <r>
      <rPr>
        <b/>
        <i/>
        <sz val="11"/>
        <color theme="1"/>
        <rFont val="Times New Roman"/>
        <family val="1"/>
        <charset val="186"/>
      </rPr>
      <t>HEATING</t>
    </r>
    <r>
      <rPr>
        <b/>
        <sz val="11"/>
        <color theme="1"/>
        <rFont val="Times New Roman"/>
        <family val="1"/>
        <charset val="186"/>
      </rPr>
      <t xml:space="preserve">, </t>
    </r>
    <r>
      <rPr>
        <sz val="11"/>
        <color theme="1"/>
        <rFont val="Times New Roman"/>
        <family val="1"/>
        <charset val="186"/>
      </rPr>
      <t xml:space="preserve"> </t>
    </r>
    <r>
      <rPr>
        <i/>
        <sz val="11"/>
        <color theme="1"/>
        <rFont val="Times New Roman"/>
        <family val="1"/>
        <charset val="186"/>
      </rPr>
      <t>EUR per 1000 liters</t>
    </r>
  </si>
  <si>
    <r>
      <rPr>
        <b/>
        <sz val="11"/>
        <rFont val="Times New Roman"/>
        <family val="1"/>
        <charset val="186"/>
      </rPr>
      <t xml:space="preserve">Biodīzeļdegviela, kas pilnībā iegūta no biomasas, </t>
    </r>
    <r>
      <rPr>
        <sz val="11"/>
        <rFont val="Times New Roman"/>
        <family val="1"/>
        <charset val="186"/>
      </rPr>
      <t>kuru izmanto par</t>
    </r>
    <r>
      <rPr>
        <b/>
        <sz val="11"/>
        <rFont val="Times New Roman"/>
        <family val="1"/>
        <charset val="186"/>
      </rPr>
      <t xml:space="preserve"> </t>
    </r>
    <r>
      <rPr>
        <b/>
        <i/>
        <sz val="11"/>
        <rFont val="Times New Roman"/>
        <family val="1"/>
        <charset val="186"/>
      </rPr>
      <t>DEGVIELU,</t>
    </r>
    <r>
      <rPr>
        <sz val="11"/>
        <rFont val="Times New Roman"/>
        <family val="1"/>
        <charset val="186"/>
      </rPr>
      <t xml:space="preserve"> </t>
    </r>
    <r>
      <rPr>
        <i/>
        <sz val="11"/>
        <rFont val="Times New Roman"/>
        <family val="1"/>
        <charset val="186"/>
      </rPr>
      <t>EUR par 1000 litriem</t>
    </r>
  </si>
  <si>
    <r>
      <rPr>
        <b/>
        <sz val="11"/>
        <color theme="1"/>
        <rFont val="Times New Roman"/>
        <family val="1"/>
        <charset val="186"/>
      </rPr>
      <t>Biodiesel fully obtained from biomass t</t>
    </r>
    <r>
      <rPr>
        <sz val="11"/>
        <color theme="1"/>
        <rFont val="Times New Roman"/>
        <family val="1"/>
        <charset val="186"/>
      </rPr>
      <t>o be used as</t>
    </r>
    <r>
      <rPr>
        <b/>
        <sz val="11"/>
        <color theme="1"/>
        <rFont val="Times New Roman"/>
        <family val="1"/>
        <charset val="186"/>
      </rPr>
      <t xml:space="preserve"> FUEL, </t>
    </r>
    <r>
      <rPr>
        <sz val="11"/>
        <color theme="1"/>
        <rFont val="Times New Roman"/>
        <family val="1"/>
        <charset val="186"/>
      </rPr>
      <t xml:space="preserve"> </t>
    </r>
    <r>
      <rPr>
        <i/>
        <sz val="11"/>
        <color theme="1"/>
        <rFont val="Times New Roman"/>
        <family val="1"/>
        <charset val="186"/>
      </rPr>
      <t>EUR per 1000 liters</t>
    </r>
  </si>
  <si>
    <r>
      <rPr>
        <b/>
        <sz val="11"/>
        <rFont val="Times New Roman"/>
        <family val="1"/>
        <charset val="186"/>
      </rPr>
      <t xml:space="preserve">Biodīzeļdegviela, kas pilnībā iegūta no biomasas, </t>
    </r>
    <r>
      <rPr>
        <sz val="11"/>
        <rFont val="Times New Roman"/>
        <family val="1"/>
        <charset val="186"/>
      </rPr>
      <t>kuru izmanto par</t>
    </r>
    <r>
      <rPr>
        <b/>
        <sz val="11"/>
        <rFont val="Times New Roman"/>
        <family val="1"/>
        <charset val="186"/>
      </rPr>
      <t xml:space="preserve"> </t>
    </r>
    <r>
      <rPr>
        <b/>
        <i/>
        <sz val="11"/>
        <rFont val="Times New Roman"/>
        <family val="1"/>
        <charset val="186"/>
      </rPr>
      <t>KURINĀMO,</t>
    </r>
    <r>
      <rPr>
        <sz val="11"/>
        <rFont val="Times New Roman"/>
        <family val="1"/>
        <charset val="186"/>
      </rPr>
      <t xml:space="preserve"> </t>
    </r>
    <r>
      <rPr>
        <i/>
        <sz val="11"/>
        <rFont val="Times New Roman"/>
        <family val="1"/>
        <charset val="186"/>
      </rPr>
      <t>EUR par 1000 litriem</t>
    </r>
  </si>
  <si>
    <r>
      <rPr>
        <b/>
        <sz val="11"/>
        <color theme="1"/>
        <rFont val="Times New Roman"/>
        <family val="1"/>
        <charset val="186"/>
      </rPr>
      <t xml:space="preserve">Biodiesel fully obtained from biomass </t>
    </r>
    <r>
      <rPr>
        <sz val="11"/>
        <color theme="1"/>
        <rFont val="Times New Roman"/>
        <family val="1"/>
        <charset val="186"/>
      </rPr>
      <t>to be used as</t>
    </r>
    <r>
      <rPr>
        <b/>
        <sz val="11"/>
        <color theme="1"/>
        <rFont val="Times New Roman"/>
        <family val="1"/>
        <charset val="186"/>
      </rPr>
      <t xml:space="preserve"> </t>
    </r>
    <r>
      <rPr>
        <b/>
        <i/>
        <sz val="11"/>
        <color theme="1"/>
        <rFont val="Times New Roman"/>
        <family val="1"/>
        <charset val="186"/>
      </rPr>
      <t>HEATING</t>
    </r>
    <r>
      <rPr>
        <b/>
        <sz val="11"/>
        <color theme="1"/>
        <rFont val="Times New Roman"/>
        <family val="1"/>
        <charset val="186"/>
      </rPr>
      <t xml:space="preserve">, </t>
    </r>
    <r>
      <rPr>
        <sz val="11"/>
        <color theme="1"/>
        <rFont val="Times New Roman"/>
        <family val="1"/>
        <charset val="186"/>
      </rPr>
      <t xml:space="preserve"> </t>
    </r>
    <r>
      <rPr>
        <i/>
        <sz val="11"/>
        <color theme="1"/>
        <rFont val="Times New Roman"/>
        <family val="1"/>
        <charset val="186"/>
      </rPr>
      <t>EUR per 1000 liters</t>
    </r>
  </si>
  <si>
    <t>Rapšu sēklu eļļa, kuru izmanto par degvielu vai kurināmo, un biodīzeļdegviela, ja tā pilnībā iegūta no rapšu sēklu eļļas</t>
  </si>
  <si>
    <r>
      <rPr>
        <b/>
        <sz val="11"/>
        <rFont val="Times New Roman"/>
        <family val="1"/>
        <charset val="186"/>
      </rPr>
      <t>Naftas produkti, kurus izmanto ELEKTRĪBAS RAŽOŠANĀ UN KOĢENERĀCIJĀ</t>
    </r>
    <r>
      <rPr>
        <sz val="11"/>
        <rFont val="Times New Roman"/>
        <family val="1"/>
        <charset val="186"/>
      </rPr>
      <t xml:space="preserve">, </t>
    </r>
    <r>
      <rPr>
        <i/>
        <sz val="11"/>
        <rFont val="Times New Roman"/>
        <family val="1"/>
        <charset val="186"/>
      </rPr>
      <t>EUR par 1000 litriem</t>
    </r>
  </si>
  <si>
    <r>
      <rPr>
        <b/>
        <sz val="11"/>
        <color theme="1"/>
        <rFont val="Times New Roman"/>
        <family val="1"/>
        <charset val="186"/>
      </rPr>
      <t>Petroleum products used in ELECTRICITY GENERATION AND COGENERATION</t>
    </r>
    <r>
      <rPr>
        <sz val="11"/>
        <color theme="1"/>
        <rFont val="Times New Roman"/>
        <family val="1"/>
        <charset val="186"/>
      </rPr>
      <t xml:space="preserve">, </t>
    </r>
    <r>
      <rPr>
        <i/>
        <sz val="11"/>
        <color theme="1"/>
        <rFont val="Times New Roman"/>
        <family val="1"/>
        <charset val="186"/>
      </rPr>
      <t>EUR per 1000 litres</t>
    </r>
  </si>
  <si>
    <t xml:space="preserve">Alkoholiskie dzērieni </t>
  </si>
  <si>
    <t>Alcoholic beverages</t>
  </si>
  <si>
    <r>
      <t xml:space="preserve">    </t>
    </r>
    <r>
      <rPr>
        <b/>
        <sz val="11"/>
        <color theme="1"/>
        <rFont val="Times New Roman"/>
        <family val="1"/>
        <charset val="186"/>
      </rPr>
      <t>Alus</t>
    </r>
    <r>
      <rPr>
        <sz val="11"/>
        <color theme="1"/>
        <rFont val="Times New Roman"/>
        <family val="1"/>
        <charset val="186"/>
      </rPr>
      <t xml:space="preserve">, </t>
    </r>
    <r>
      <rPr>
        <i/>
        <sz val="11"/>
        <color theme="1"/>
        <rFont val="Times New Roman"/>
        <family val="1"/>
        <charset val="186"/>
      </rPr>
      <t>EUR par katru absolūtā spirta tilp. %, par 100 litriem</t>
    </r>
  </si>
  <si>
    <r>
      <t xml:space="preserve">    </t>
    </r>
    <r>
      <rPr>
        <b/>
        <sz val="11"/>
        <color theme="1"/>
        <rFont val="Times New Roman"/>
        <family val="1"/>
        <charset val="186"/>
      </rPr>
      <t>Beer</t>
    </r>
    <r>
      <rPr>
        <sz val="11"/>
        <color theme="1"/>
        <rFont val="Times New Roman"/>
        <family val="1"/>
        <charset val="186"/>
      </rPr>
      <t xml:space="preserve">, </t>
    </r>
    <r>
      <rPr>
        <i/>
        <sz val="11"/>
        <color theme="1"/>
        <rFont val="Times New Roman"/>
        <family val="1"/>
        <charset val="186"/>
      </rPr>
      <t>EUR per each  per cent of absolute alcohol by volume, per 100 litres</t>
    </r>
  </si>
  <si>
    <t xml:space="preserve"> (no 01.08.)</t>
  </si>
  <si>
    <t xml:space="preserve"> (no 01.03.)</t>
  </si>
  <si>
    <t>(no 01.03.)</t>
  </si>
  <si>
    <t xml:space="preserve">               LVL par katru absolūtā spirta tilp. %</t>
  </si>
  <si>
    <t xml:space="preserve">                LVL per each  per cent of absolute alcohol by volume</t>
  </si>
  <si>
    <r>
      <t xml:space="preserve">Minimālā likme (arī mazo alus darītāju alum), </t>
    </r>
    <r>
      <rPr>
        <i/>
        <sz val="10"/>
        <color theme="1"/>
        <rFont val="Times New Roman"/>
        <family val="1"/>
        <charset val="186"/>
      </rPr>
      <t>EUR par 100 litriem</t>
    </r>
  </si>
  <si>
    <r>
      <t xml:space="preserve">15,2
</t>
    </r>
    <r>
      <rPr>
        <sz val="8"/>
        <rFont val="Times New Roman"/>
        <family val="1"/>
        <charset val="186"/>
      </rPr>
      <t>(no 01.03.)</t>
    </r>
  </si>
  <si>
    <r>
      <t xml:space="preserve">16,70
</t>
    </r>
    <r>
      <rPr>
        <sz val="8"/>
        <rFont val="Times New Roman"/>
        <family val="1"/>
        <charset val="186"/>
      </rPr>
      <t>(no 01.03.)</t>
    </r>
  </si>
  <si>
    <r>
      <t xml:space="preserve">18,1
</t>
    </r>
    <r>
      <rPr>
        <sz val="8"/>
        <rFont val="Times New Roman"/>
        <family val="1"/>
        <charset val="186"/>
      </rPr>
      <t>(no 01.03.)</t>
    </r>
  </si>
  <si>
    <r>
      <t xml:space="preserve">20,0
</t>
    </r>
    <r>
      <rPr>
        <sz val="8"/>
        <rFont val="Times New Roman"/>
        <family val="1"/>
        <charset val="186"/>
      </rPr>
      <t>(no 01.03.)</t>
    </r>
  </si>
  <si>
    <r>
      <t xml:space="preserve">22,5
</t>
    </r>
    <r>
      <rPr>
        <sz val="8"/>
        <rFont val="Times New Roman"/>
        <family val="1"/>
        <charset val="186"/>
      </rPr>
      <t>(no 01.03.)</t>
    </r>
  </si>
  <si>
    <r>
      <t xml:space="preserve">Minimum rate (also for small brewery beer), </t>
    </r>
    <r>
      <rPr>
        <i/>
        <sz val="10"/>
        <color theme="1"/>
        <rFont val="Times New Roman"/>
        <family val="1"/>
        <charset val="186"/>
      </rPr>
      <t>EUR per 100 liters</t>
    </r>
  </si>
  <si>
    <t xml:space="preserve">                                        LVL par 100 litriem</t>
  </si>
  <si>
    <t xml:space="preserve">                                        LVL per 100 liters</t>
  </si>
  <si>
    <r>
      <t xml:space="preserve">    </t>
    </r>
    <r>
      <rPr>
        <b/>
        <sz val="11"/>
        <color theme="1"/>
        <rFont val="Times New Roman"/>
        <family val="1"/>
        <charset val="186"/>
      </rPr>
      <t>Mazo alus ražotāju alus,</t>
    </r>
    <r>
      <rPr>
        <i/>
        <sz val="11"/>
        <color theme="1"/>
        <rFont val="Times New Roman"/>
        <family val="1"/>
        <charset val="186"/>
      </rPr>
      <t xml:space="preserve"> EUR par katru absolūtā spirta tilp. %</t>
    </r>
    <r>
      <rPr>
        <sz val="11"/>
        <color theme="1"/>
        <rFont val="Times New Roman"/>
        <family val="1"/>
        <charset val="186"/>
      </rPr>
      <t>,</t>
    </r>
    <r>
      <rPr>
        <i/>
        <sz val="11"/>
        <color theme="1"/>
        <rFont val="Times New Roman"/>
        <family val="1"/>
        <charset val="186"/>
      </rPr>
      <t xml:space="preserve"> par 100 litriem</t>
    </r>
  </si>
  <si>
    <r>
      <t xml:space="preserve">  </t>
    </r>
    <r>
      <rPr>
        <b/>
        <sz val="11"/>
        <color theme="1"/>
        <rFont val="Times New Roman"/>
        <family val="1"/>
        <charset val="186"/>
      </rPr>
      <t xml:space="preserve">  Small beer producer beer</t>
    </r>
    <r>
      <rPr>
        <sz val="11"/>
        <color theme="1"/>
        <rFont val="Times New Roman"/>
        <family val="1"/>
        <charset val="186"/>
      </rPr>
      <t xml:space="preserve">, </t>
    </r>
    <r>
      <rPr>
        <i/>
        <sz val="11"/>
        <color theme="1"/>
        <rFont val="Times New Roman"/>
        <family val="1"/>
        <charset val="186"/>
      </rPr>
      <t>EUR per each  per cent of absolute alcohol by volume, per 100 litres</t>
    </r>
  </si>
  <si>
    <t xml:space="preserve">                                                 LVL par katru absolūtā spirta tilp. %</t>
  </si>
  <si>
    <t xml:space="preserve">                                         LVL per each liter of absolute alcohol</t>
  </si>
  <si>
    <r>
      <t xml:space="preserve">     </t>
    </r>
    <r>
      <rPr>
        <b/>
        <sz val="11"/>
        <color theme="1"/>
        <rFont val="Times New Roman"/>
        <family val="1"/>
        <charset val="186"/>
      </rPr>
      <t>Vīns</t>
    </r>
    <r>
      <rPr>
        <sz val="11"/>
        <color theme="1"/>
        <rFont val="Times New Roman"/>
        <family val="1"/>
        <charset val="186"/>
      </rPr>
      <t>,</t>
    </r>
    <r>
      <rPr>
        <i/>
        <sz val="11"/>
        <color theme="1"/>
        <rFont val="Times New Roman"/>
        <family val="1"/>
        <charset val="186"/>
      </rPr>
      <t xml:space="preserve"> EUR par 100 litriem</t>
    </r>
  </si>
  <si>
    <r>
      <t xml:space="preserve">    </t>
    </r>
    <r>
      <rPr>
        <b/>
        <sz val="11"/>
        <color theme="1"/>
        <rFont val="Times New Roman"/>
        <family val="1"/>
        <charset val="186"/>
      </rPr>
      <t>Wine,</t>
    </r>
    <r>
      <rPr>
        <i/>
        <sz val="11"/>
        <color theme="1"/>
        <rFont val="Times New Roman"/>
        <family val="1"/>
        <charset val="186"/>
      </rPr>
      <t xml:space="preserve"> EUR per 100 liters</t>
    </r>
  </si>
  <si>
    <t xml:space="preserve">              LVL par 100 litriem</t>
  </si>
  <si>
    <t xml:space="preserve">                LVL per 100 liters</t>
  </si>
  <si>
    <r>
      <t xml:space="preserve">     </t>
    </r>
    <r>
      <rPr>
        <b/>
        <sz val="11"/>
        <color theme="1"/>
        <rFont val="Times New Roman"/>
        <family val="1"/>
        <charset val="186"/>
      </rPr>
      <t xml:space="preserve">Vidējo vīna ražotāju un mazo alkoholisko dzērienu darītavu vīns </t>
    </r>
    <r>
      <rPr>
        <sz val="11"/>
        <color theme="1"/>
        <rFont val="Times New Roman"/>
        <family val="1"/>
        <charset val="186"/>
      </rPr>
      <t>,</t>
    </r>
    <r>
      <rPr>
        <i/>
        <sz val="11"/>
        <color theme="1"/>
        <rFont val="Times New Roman"/>
        <family val="1"/>
        <charset val="186"/>
      </rPr>
      <t xml:space="preserve"> EUR par 100 litriem</t>
    </r>
  </si>
  <si>
    <r>
      <t xml:space="preserve">    </t>
    </r>
    <r>
      <rPr>
        <b/>
        <sz val="11"/>
        <color theme="1"/>
        <rFont val="Times New Roman"/>
        <family val="1"/>
        <charset val="186"/>
      </rPr>
      <t>Wine of medium-sized wine producers and small alcoholic beverage brewery,</t>
    </r>
    <r>
      <rPr>
        <i/>
        <sz val="11"/>
        <color theme="1"/>
        <rFont val="Times New Roman"/>
        <family val="1"/>
        <charset val="186"/>
      </rPr>
      <t xml:space="preserve"> EUR per 100 liters</t>
    </r>
  </si>
  <si>
    <r>
      <t xml:space="preserve">     </t>
    </r>
    <r>
      <rPr>
        <b/>
        <sz val="11"/>
        <color theme="1"/>
        <rFont val="Times New Roman"/>
        <family val="1"/>
        <charset val="186"/>
      </rPr>
      <t>Raudzētie dzērieni līdz 6 absolūtā spirta tilpum%</t>
    </r>
    <r>
      <rPr>
        <sz val="11"/>
        <color theme="1"/>
        <rFont val="Times New Roman"/>
        <family val="1"/>
        <charset val="186"/>
      </rPr>
      <t>,</t>
    </r>
    <r>
      <rPr>
        <i/>
        <sz val="11"/>
        <color theme="1"/>
        <rFont val="Times New Roman"/>
        <family val="1"/>
        <charset val="186"/>
      </rPr>
      <t xml:space="preserve"> EUR par 100 litriem</t>
    </r>
  </si>
  <si>
    <r>
      <t xml:space="preserve">    </t>
    </r>
    <r>
      <rPr>
        <b/>
        <sz val="11"/>
        <color theme="1"/>
        <rFont val="Times New Roman"/>
        <family val="1"/>
        <charset val="186"/>
      </rPr>
      <t>Fermented beverage with an absolute alcohol content up to 6% vol,</t>
    </r>
    <r>
      <rPr>
        <sz val="11"/>
        <color theme="1"/>
        <rFont val="Times New Roman"/>
        <family val="1"/>
        <charset val="186"/>
      </rPr>
      <t xml:space="preserve"> </t>
    </r>
    <r>
      <rPr>
        <i/>
        <sz val="11"/>
        <color theme="1"/>
        <rFont val="Times New Roman"/>
        <family val="1"/>
        <charset val="186"/>
      </rPr>
      <t>EUR per 100 liters</t>
    </r>
  </si>
  <si>
    <t xml:space="preserve">      LVL par 100 litriem</t>
  </si>
  <si>
    <t xml:space="preserve">      LVL per 100 liters</t>
  </si>
  <si>
    <r>
      <t xml:space="preserve">  </t>
    </r>
    <r>
      <rPr>
        <b/>
        <sz val="11"/>
        <color theme="1"/>
        <rFont val="Times New Roman"/>
        <family val="1"/>
        <charset val="186"/>
      </rPr>
      <t xml:space="preserve">   Vidējo raudzēto dzērienu ražotāju un mazo alkoholisko dzērienu darītavu raudzētie dzērieni līdz 6 absolūtā spirta tilpum%</t>
    </r>
    <r>
      <rPr>
        <sz val="11"/>
        <color theme="1"/>
        <rFont val="Times New Roman"/>
        <family val="1"/>
        <charset val="186"/>
      </rPr>
      <t>,</t>
    </r>
    <r>
      <rPr>
        <i/>
        <sz val="11"/>
        <color theme="1"/>
        <rFont val="Times New Roman"/>
        <family val="1"/>
        <charset val="186"/>
      </rPr>
      <t xml:space="preserve"> EUR par 100 litriem</t>
    </r>
  </si>
  <si>
    <t xml:space="preserve">32
</t>
  </si>
  <si>
    <r>
      <t xml:space="preserve">    </t>
    </r>
    <r>
      <rPr>
        <b/>
        <sz val="11"/>
        <color theme="1"/>
        <rFont val="Times New Roman"/>
        <family val="1"/>
        <charset val="186"/>
      </rPr>
      <t>Fermented beverage of medium-sized fermented beverage producers and small alcoholic beverage breweries with an absolute alcohol content up to 6% vol,</t>
    </r>
    <r>
      <rPr>
        <sz val="11"/>
        <color theme="1"/>
        <rFont val="Times New Roman"/>
        <family val="1"/>
        <charset val="186"/>
      </rPr>
      <t xml:space="preserve"> </t>
    </r>
    <r>
      <rPr>
        <i/>
        <sz val="11"/>
        <color theme="1"/>
        <rFont val="Times New Roman"/>
        <family val="1"/>
        <charset val="186"/>
      </rPr>
      <t>EUR per 100 liters</t>
    </r>
  </si>
  <si>
    <r>
      <t xml:space="preserve">     </t>
    </r>
    <r>
      <rPr>
        <b/>
        <sz val="11"/>
        <color theme="1"/>
        <rFont val="Times New Roman"/>
        <family val="1"/>
        <charset val="186"/>
      </rPr>
      <t>Raudzētie dzērieni virs 6 absolūtā spirta tilpum%</t>
    </r>
    <r>
      <rPr>
        <sz val="11"/>
        <color theme="1"/>
        <rFont val="Times New Roman"/>
        <family val="1"/>
        <charset val="186"/>
      </rPr>
      <t>,</t>
    </r>
    <r>
      <rPr>
        <i/>
        <sz val="11"/>
        <color theme="1"/>
        <rFont val="Times New Roman"/>
        <family val="1"/>
        <charset val="186"/>
      </rPr>
      <t xml:space="preserve"> EUR par 100 litriem</t>
    </r>
  </si>
  <si>
    <r>
      <t xml:space="preserve">    </t>
    </r>
    <r>
      <rPr>
        <b/>
        <sz val="11"/>
        <color theme="1"/>
        <rFont val="Times New Roman"/>
        <family val="1"/>
        <charset val="186"/>
      </rPr>
      <t>Fermented beverage with an absolute alcohol content above 6% vol,</t>
    </r>
    <r>
      <rPr>
        <sz val="11"/>
        <color theme="1"/>
        <rFont val="Times New Roman"/>
        <family val="1"/>
        <charset val="186"/>
      </rPr>
      <t xml:space="preserve"> </t>
    </r>
    <r>
      <rPr>
        <i/>
        <sz val="11"/>
        <color theme="1"/>
        <rFont val="Times New Roman"/>
        <family val="1"/>
        <charset val="186"/>
      </rPr>
      <t>EUR per 100 liters</t>
    </r>
  </si>
  <si>
    <r>
      <t xml:space="preserve">  </t>
    </r>
    <r>
      <rPr>
        <b/>
        <sz val="11"/>
        <color theme="1"/>
        <rFont val="Times New Roman"/>
        <family val="1"/>
        <charset val="186"/>
      </rPr>
      <t xml:space="preserve">   Vidējo raudzēto dzērienu ražotāju un mazo alkoholisko dzērienu darītavu raudzētie dzērieni virs 6 absolūtā spirta tilpum%</t>
    </r>
    <r>
      <rPr>
        <sz val="11"/>
        <color theme="1"/>
        <rFont val="Times New Roman"/>
        <family val="1"/>
        <charset val="186"/>
      </rPr>
      <t>,</t>
    </r>
    <r>
      <rPr>
        <i/>
        <sz val="11"/>
        <color theme="1"/>
        <rFont val="Times New Roman"/>
        <family val="1"/>
        <charset val="186"/>
      </rPr>
      <t xml:space="preserve"> EUR par 100 litriem</t>
    </r>
  </si>
  <si>
    <r>
      <t xml:space="preserve">    </t>
    </r>
    <r>
      <rPr>
        <b/>
        <sz val="11"/>
        <color theme="1"/>
        <rFont val="Times New Roman"/>
        <family val="1"/>
        <charset val="186"/>
      </rPr>
      <t>Fermented beverage of medium-sized fermented beverage producers and small alcoholic beverage breweries with an absolute alcohol content above 6% vol,</t>
    </r>
    <r>
      <rPr>
        <sz val="11"/>
        <color theme="1"/>
        <rFont val="Times New Roman"/>
        <family val="1"/>
        <charset val="186"/>
      </rPr>
      <t xml:space="preserve"> </t>
    </r>
    <r>
      <rPr>
        <i/>
        <sz val="11"/>
        <color theme="1"/>
        <rFont val="Times New Roman"/>
        <family val="1"/>
        <charset val="186"/>
      </rPr>
      <t>EUR per 100 liters</t>
    </r>
  </si>
  <si>
    <r>
      <t xml:space="preserve">    </t>
    </r>
    <r>
      <rPr>
        <b/>
        <sz val="11"/>
        <color theme="1"/>
        <rFont val="Times New Roman"/>
        <family val="1"/>
        <charset val="186"/>
      </rPr>
      <t>Starpprodukti līdz 15 absolūtā spirta tilpum%,</t>
    </r>
    <r>
      <rPr>
        <i/>
        <sz val="11"/>
        <color theme="1"/>
        <rFont val="Times New Roman"/>
        <family val="1"/>
        <charset val="186"/>
      </rPr>
      <t xml:space="preserve"> EUR par 100 litriem </t>
    </r>
  </si>
  <si>
    <r>
      <t xml:space="preserve">     </t>
    </r>
    <r>
      <rPr>
        <b/>
        <sz val="11"/>
        <color theme="1"/>
        <rFont val="Times New Roman"/>
        <family val="1"/>
        <charset val="186"/>
      </rPr>
      <t>Intermediate products with an absolute alcohol content up to 15% vol</t>
    </r>
    <r>
      <rPr>
        <sz val="11"/>
        <color theme="1"/>
        <rFont val="Times New Roman"/>
        <family val="1"/>
        <charset val="186"/>
      </rPr>
      <t>,</t>
    </r>
    <r>
      <rPr>
        <i/>
        <sz val="11"/>
        <color theme="1"/>
        <rFont val="Times New Roman"/>
        <family val="1"/>
        <charset val="186"/>
      </rPr>
      <t xml:space="preserve"> EUR per 100 liters</t>
    </r>
  </si>
  <si>
    <t xml:space="preserve">                                                                     LVL par 100 litriem</t>
  </si>
  <si>
    <t xml:space="preserve">       LVL per 100 liters</t>
  </si>
  <si>
    <r>
      <t xml:space="preserve">  </t>
    </r>
    <r>
      <rPr>
        <b/>
        <sz val="11"/>
        <color theme="1"/>
        <rFont val="Times New Roman"/>
        <family val="1"/>
        <charset val="186"/>
      </rPr>
      <t xml:space="preserve">   Vidējo starpproduktu ražotāju un mazo alkoholisko dzērienu darītavu starpprodukti līdz 15 absolūtā spirta tilpum%</t>
    </r>
    <r>
      <rPr>
        <sz val="11"/>
        <color theme="1"/>
        <rFont val="Times New Roman"/>
        <family val="1"/>
        <charset val="186"/>
      </rPr>
      <t>,</t>
    </r>
    <r>
      <rPr>
        <i/>
        <sz val="11"/>
        <color theme="1"/>
        <rFont val="Times New Roman"/>
        <family val="1"/>
        <charset val="186"/>
      </rPr>
      <t xml:space="preserve"> EUR par 100 litriem</t>
    </r>
  </si>
  <si>
    <r>
      <t xml:space="preserve">   </t>
    </r>
    <r>
      <rPr>
        <b/>
        <sz val="11"/>
        <color theme="1"/>
        <rFont val="Times New Roman"/>
        <family val="1"/>
        <charset val="186"/>
      </rPr>
      <t>Intermediate products of medium-sized intermediate product producers and small alcoholic beverage breweries with an absolute alcohol content up to 15% vol,</t>
    </r>
    <r>
      <rPr>
        <sz val="11"/>
        <color theme="1"/>
        <rFont val="Times New Roman"/>
        <family val="1"/>
        <charset val="186"/>
      </rPr>
      <t xml:space="preserve"> </t>
    </r>
    <r>
      <rPr>
        <i/>
        <sz val="11"/>
        <color theme="1"/>
        <rFont val="Times New Roman"/>
        <family val="1"/>
        <charset val="186"/>
      </rPr>
      <t>EUR per 100 liters</t>
    </r>
  </si>
  <si>
    <r>
      <t xml:space="preserve">   </t>
    </r>
    <r>
      <rPr>
        <b/>
        <sz val="11"/>
        <color theme="1"/>
        <rFont val="Times New Roman"/>
        <family val="1"/>
        <charset val="186"/>
      </rPr>
      <t xml:space="preserve"> Starpprodukti no 15 līdz 22 absolūtā spirta tilpum%</t>
    </r>
    <r>
      <rPr>
        <sz val="11"/>
        <color theme="1"/>
        <rFont val="Times New Roman"/>
        <family val="1"/>
        <charset val="186"/>
      </rPr>
      <t>,</t>
    </r>
    <r>
      <rPr>
        <i/>
        <sz val="11"/>
        <color theme="1"/>
        <rFont val="Times New Roman"/>
        <family val="1"/>
        <charset val="186"/>
      </rPr>
      <t xml:space="preserve"> EUR par 100 litriem </t>
    </r>
  </si>
  <si>
    <r>
      <t xml:space="preserve">     </t>
    </r>
    <r>
      <rPr>
        <b/>
        <sz val="11"/>
        <color theme="1"/>
        <rFont val="Times New Roman"/>
        <family val="1"/>
        <charset val="186"/>
      </rPr>
      <t>Intermediate products with an absolute alcohol content from 15 to 22% vol</t>
    </r>
    <r>
      <rPr>
        <sz val="11"/>
        <color theme="1"/>
        <rFont val="Times New Roman"/>
        <family val="1"/>
        <charset val="186"/>
      </rPr>
      <t>,</t>
    </r>
    <r>
      <rPr>
        <i/>
        <sz val="11"/>
        <color theme="1"/>
        <rFont val="Times New Roman"/>
        <family val="1"/>
        <charset val="186"/>
      </rPr>
      <t xml:space="preserve"> EUR per 100 liters</t>
    </r>
  </si>
  <si>
    <t xml:space="preserve">                                                                  LVL par 100 litriem</t>
  </si>
  <si>
    <r>
      <t xml:space="preserve">  </t>
    </r>
    <r>
      <rPr>
        <b/>
        <sz val="11"/>
        <color theme="1"/>
        <rFont val="Times New Roman"/>
        <family val="1"/>
        <charset val="186"/>
      </rPr>
      <t xml:space="preserve">   Vidējo starpproduktu ražotāju un mazo alkoholisko dzērienu darītavu starpprodukti no 15 līdz 22 absolūtā spirta tilpum%</t>
    </r>
    <r>
      <rPr>
        <sz val="11"/>
        <color theme="1"/>
        <rFont val="Times New Roman"/>
        <family val="1"/>
        <charset val="186"/>
      </rPr>
      <t>,</t>
    </r>
    <r>
      <rPr>
        <i/>
        <sz val="11"/>
        <color theme="1"/>
        <rFont val="Times New Roman"/>
        <family val="1"/>
        <charset val="186"/>
      </rPr>
      <t xml:space="preserve"> EUR par 100 litriem</t>
    </r>
  </si>
  <si>
    <r>
      <t xml:space="preserve">   </t>
    </r>
    <r>
      <rPr>
        <b/>
        <sz val="11"/>
        <color theme="1"/>
        <rFont val="Times New Roman"/>
        <family val="1"/>
        <charset val="186"/>
      </rPr>
      <t>Intermediate products of medium-sized intermediate product producers and small alcoholic beverage breweries with an absolute alcohol content from 15 to 22% vol,</t>
    </r>
    <r>
      <rPr>
        <sz val="11"/>
        <color theme="1"/>
        <rFont val="Times New Roman"/>
        <family val="1"/>
        <charset val="186"/>
      </rPr>
      <t xml:space="preserve"> </t>
    </r>
    <r>
      <rPr>
        <i/>
        <sz val="11"/>
        <color theme="1"/>
        <rFont val="Times New Roman"/>
        <family val="1"/>
        <charset val="186"/>
      </rPr>
      <t>EUR per 100 liters</t>
    </r>
  </si>
  <si>
    <r>
      <t xml:space="preserve">    </t>
    </r>
    <r>
      <rPr>
        <b/>
        <sz val="11"/>
        <color theme="1"/>
        <rFont val="Times New Roman"/>
        <family val="1"/>
        <charset val="186"/>
      </rPr>
      <t>Pārējie alkoholiskie dzērieni (stiprie spirtotie dzērieni)</t>
    </r>
    <r>
      <rPr>
        <b/>
        <i/>
        <sz val="11"/>
        <color theme="1"/>
        <rFont val="Times New Roman"/>
        <family val="1"/>
        <charset val="186"/>
      </rPr>
      <t>,</t>
    </r>
    <r>
      <rPr>
        <i/>
        <sz val="11"/>
        <color theme="1"/>
        <rFont val="Times New Roman"/>
        <family val="1"/>
        <charset val="186"/>
      </rPr>
      <t xml:space="preserve"> EUR par 100 litriem absolūtā spirta </t>
    </r>
  </si>
  <si>
    <r>
      <rPr>
        <b/>
        <sz val="11"/>
        <color theme="1"/>
        <rFont val="Times New Roman"/>
        <family val="1"/>
        <charset val="186"/>
      </rPr>
      <t>Other alcohol,</t>
    </r>
    <r>
      <rPr>
        <i/>
        <sz val="11"/>
        <color theme="1"/>
        <rFont val="Times New Roman"/>
        <family val="1"/>
        <charset val="186"/>
      </rPr>
      <t xml:space="preserve"> EUR per 100 liters of absolute alcohol</t>
    </r>
  </si>
  <si>
    <t xml:space="preserve">     LVL par 100 litriem absolūtā spirta </t>
  </si>
  <si>
    <t xml:space="preserve">                           LVL per 100 liters of absolute alcohol</t>
  </si>
  <si>
    <r>
      <t xml:space="preserve">     </t>
    </r>
    <r>
      <rPr>
        <b/>
        <sz val="11"/>
        <color theme="1"/>
        <rFont val="Times New Roman"/>
        <family val="1"/>
        <charset val="186"/>
      </rPr>
      <t>Mazo alkoholisko dzērienu darītavu pārējie alkoholiskie dzērieni</t>
    </r>
    <r>
      <rPr>
        <sz val="11"/>
        <color theme="1"/>
        <rFont val="Times New Roman"/>
        <family val="1"/>
        <charset val="186"/>
      </rPr>
      <t>,</t>
    </r>
    <r>
      <rPr>
        <i/>
        <sz val="11"/>
        <color theme="1"/>
        <rFont val="Times New Roman"/>
        <family val="1"/>
        <charset val="186"/>
      </rPr>
      <t xml:space="preserve"> EUR par 100 litriem absolūtā spirta</t>
    </r>
  </si>
  <si>
    <r>
      <t xml:space="preserve">    </t>
    </r>
    <r>
      <rPr>
        <b/>
        <sz val="11"/>
        <color theme="1"/>
        <rFont val="Times New Roman"/>
        <family val="1"/>
        <charset val="186"/>
      </rPr>
      <t>Small brewery alcoholic beverage,</t>
    </r>
    <r>
      <rPr>
        <i/>
        <sz val="11"/>
        <color theme="1"/>
        <rFont val="Times New Roman"/>
        <family val="1"/>
        <charset val="186"/>
      </rPr>
      <t xml:space="preserve"> EUR per 100 liters of absolute alcohol</t>
    </r>
  </si>
  <si>
    <t>Tabakas izstrādājumi</t>
  </si>
  <si>
    <t>Manufactured Tobacco Products</t>
  </si>
  <si>
    <t xml:space="preserve">    Cigaretes</t>
  </si>
  <si>
    <t xml:space="preserve">    Cigarettes</t>
  </si>
  <si>
    <r>
      <t xml:space="preserve">       </t>
    </r>
    <r>
      <rPr>
        <sz val="11"/>
        <color theme="1"/>
        <rFont val="Times New Roman"/>
        <family val="1"/>
        <charset val="186"/>
      </rPr>
      <t xml:space="preserve">  - bez filtra, </t>
    </r>
    <r>
      <rPr>
        <i/>
        <sz val="11"/>
        <color theme="1"/>
        <rFont val="Times New Roman"/>
        <family val="1"/>
        <charset val="186"/>
      </rPr>
      <t>EUR par 1000 gab.</t>
    </r>
  </si>
  <si>
    <r>
      <t xml:space="preserve">-               </t>
    </r>
    <r>
      <rPr>
        <sz val="8"/>
        <color theme="1"/>
        <rFont val="Times New Roman"/>
        <family val="1"/>
        <charset val="186"/>
      </rPr>
      <t>(no 01.07.)</t>
    </r>
  </si>
  <si>
    <r>
      <t xml:space="preserve">       </t>
    </r>
    <r>
      <rPr>
        <sz val="11"/>
        <color theme="1"/>
        <rFont val="Times New Roman"/>
        <family val="1"/>
        <charset val="186"/>
      </rPr>
      <t xml:space="preserve">  - without filter, </t>
    </r>
    <r>
      <rPr>
        <i/>
        <sz val="11"/>
        <color theme="1"/>
        <rFont val="Times New Roman"/>
        <family val="1"/>
        <charset val="186"/>
      </rPr>
      <t>EUR per 1000 units</t>
    </r>
  </si>
  <si>
    <t xml:space="preserve">                            LVL par 1000 gab.</t>
  </si>
  <si>
    <t xml:space="preserve">                                    LVL per 1000 units</t>
  </si>
  <si>
    <r>
      <t xml:space="preserve">       </t>
    </r>
    <r>
      <rPr>
        <sz val="11"/>
        <color theme="1"/>
        <rFont val="Times New Roman"/>
        <family val="1"/>
        <charset val="186"/>
      </rPr>
      <t xml:space="preserve">  - ar filtru, </t>
    </r>
    <r>
      <rPr>
        <i/>
        <sz val="11"/>
        <color theme="1"/>
        <rFont val="Times New Roman"/>
        <family val="1"/>
        <charset val="186"/>
      </rPr>
      <t>EUR par 1000 gab.</t>
    </r>
  </si>
  <si>
    <r>
      <rPr>
        <b/>
        <sz val="11"/>
        <color rgb="FFFF0000"/>
        <rFont val="Times New Roman"/>
        <family val="1"/>
        <charset val="186"/>
      </rPr>
      <t>8,25</t>
    </r>
    <r>
      <rPr>
        <b/>
        <sz val="11"/>
        <color theme="1"/>
        <rFont val="Times New Roman"/>
        <family val="1"/>
        <charset val="186"/>
      </rPr>
      <t xml:space="preserve">      </t>
    </r>
    <r>
      <rPr>
        <sz val="8"/>
        <color theme="1"/>
        <rFont val="Times New Roman"/>
        <family val="1"/>
        <charset val="186"/>
      </rPr>
      <t>(no 01.07.)</t>
    </r>
  </si>
  <si>
    <r>
      <t xml:space="preserve">       </t>
    </r>
    <r>
      <rPr>
        <sz val="11"/>
        <color theme="1"/>
        <rFont val="Times New Roman"/>
        <family val="1"/>
        <charset val="186"/>
      </rPr>
      <t xml:space="preserve">  - with filter, </t>
    </r>
    <r>
      <rPr>
        <i/>
        <sz val="11"/>
        <color theme="1"/>
        <rFont val="Times New Roman"/>
        <family val="1"/>
        <charset val="186"/>
      </rPr>
      <t>EUR per 1000 units</t>
    </r>
  </si>
  <si>
    <r>
      <rPr>
        <i/>
        <sz val="11"/>
        <color rgb="FFFF0000"/>
        <rFont val="Times New Roman"/>
        <family val="1"/>
        <charset val="186"/>
      </rPr>
      <t xml:space="preserve">5,80  </t>
    </r>
    <r>
      <rPr>
        <i/>
        <sz val="11"/>
        <color theme="1"/>
        <rFont val="Times New Roman"/>
        <family val="1"/>
        <charset val="186"/>
      </rPr>
      <t xml:space="preserve">       </t>
    </r>
    <r>
      <rPr>
        <sz val="11"/>
        <color theme="1"/>
        <rFont val="Times New Roman"/>
        <family val="1"/>
        <charset val="186"/>
      </rPr>
      <t xml:space="preserve"> </t>
    </r>
    <r>
      <rPr>
        <sz val="8"/>
        <color theme="1"/>
        <rFont val="Times New Roman"/>
        <family val="1"/>
        <charset val="186"/>
      </rPr>
      <t>(no 01.07.)</t>
    </r>
  </si>
  <si>
    <t xml:space="preserve">                              LVL per 1000 units</t>
  </si>
  <si>
    <r>
      <t xml:space="preserve">         - </t>
    </r>
    <r>
      <rPr>
        <sz val="11"/>
        <color theme="1"/>
        <rFont val="Times New Roman"/>
        <family val="1"/>
        <charset val="186"/>
      </rPr>
      <t>specifiskā likme</t>
    </r>
    <r>
      <rPr>
        <i/>
        <sz val="11"/>
        <color theme="1"/>
        <rFont val="Times New Roman"/>
        <family val="1"/>
        <charset val="186"/>
      </rPr>
      <t>, EUR par 1000 gab.</t>
    </r>
  </si>
  <si>
    <r>
      <rPr>
        <b/>
        <sz val="11"/>
        <color rgb="FFFF0000"/>
        <rFont val="Times New Roman"/>
        <family val="1"/>
        <charset val="186"/>
      </rPr>
      <t>54,2</t>
    </r>
    <r>
      <rPr>
        <b/>
        <sz val="11"/>
        <rFont val="Times New Roman"/>
        <family val="1"/>
        <charset val="186"/>
      </rPr>
      <t xml:space="preserve">    </t>
    </r>
    <r>
      <rPr>
        <sz val="8"/>
        <rFont val="Times New Roman"/>
        <family val="1"/>
        <charset val="186"/>
      </rPr>
      <t xml:space="preserve">  </t>
    </r>
  </si>
  <si>
    <r>
      <rPr>
        <b/>
        <sz val="11"/>
        <color rgb="FFFF0000"/>
        <rFont val="Times New Roman"/>
        <family val="1"/>
        <charset val="186"/>
      </rPr>
      <t>56,2</t>
    </r>
    <r>
      <rPr>
        <b/>
        <sz val="11"/>
        <rFont val="Times New Roman"/>
        <family val="1"/>
        <charset val="186"/>
      </rPr>
      <t xml:space="preserve">    </t>
    </r>
    <r>
      <rPr>
        <sz val="8"/>
        <rFont val="Times New Roman"/>
        <family val="1"/>
        <charset val="186"/>
      </rPr>
      <t xml:space="preserve"> </t>
    </r>
  </si>
  <si>
    <r>
      <rPr>
        <b/>
        <sz val="11"/>
        <color rgb="FFFF0000"/>
        <rFont val="Times New Roman"/>
        <family val="1"/>
        <charset val="186"/>
      </rPr>
      <t>67,0</t>
    </r>
    <r>
      <rPr>
        <b/>
        <sz val="11"/>
        <rFont val="Times New Roman"/>
        <family val="1"/>
        <charset val="186"/>
      </rPr>
      <t xml:space="preserve">    </t>
    </r>
    <r>
      <rPr>
        <sz val="8"/>
        <rFont val="Times New Roman"/>
        <family val="1"/>
        <charset val="186"/>
      </rPr>
      <t xml:space="preserve">  </t>
    </r>
  </si>
  <si>
    <r>
      <rPr>
        <b/>
        <sz val="11"/>
        <color rgb="FFFF0000"/>
        <rFont val="Times New Roman"/>
        <family val="1"/>
        <charset val="186"/>
      </rPr>
      <t>74,6</t>
    </r>
    <r>
      <rPr>
        <b/>
        <sz val="11"/>
        <rFont val="Times New Roman"/>
        <family val="1"/>
        <charset val="186"/>
      </rPr>
      <t xml:space="preserve">    </t>
    </r>
    <r>
      <rPr>
        <sz val="8"/>
        <rFont val="Times New Roman"/>
        <family val="1"/>
        <charset val="186"/>
      </rPr>
      <t xml:space="preserve"> </t>
    </r>
  </si>
  <si>
    <r>
      <rPr>
        <b/>
        <sz val="11"/>
        <color rgb="FFFF0000"/>
        <rFont val="Times New Roman"/>
        <family val="1"/>
        <charset val="186"/>
      </rPr>
      <t>78,7</t>
    </r>
    <r>
      <rPr>
        <b/>
        <sz val="11"/>
        <rFont val="Times New Roman"/>
        <family val="1"/>
        <charset val="186"/>
      </rPr>
      <t xml:space="preserve">  </t>
    </r>
    <r>
      <rPr>
        <sz val="8"/>
        <rFont val="Times New Roman"/>
        <family val="1"/>
        <charset val="186"/>
      </rPr>
      <t xml:space="preserve">      </t>
    </r>
  </si>
  <si>
    <t>78,7</t>
  </si>
  <si>
    <r>
      <t xml:space="preserve">         - </t>
    </r>
    <r>
      <rPr>
        <sz val="11"/>
        <color theme="1"/>
        <rFont val="Times New Roman"/>
        <family val="1"/>
        <charset val="186"/>
      </rPr>
      <t>specific excise rate</t>
    </r>
    <r>
      <rPr>
        <i/>
        <sz val="11"/>
        <color theme="1"/>
        <rFont val="Times New Roman"/>
        <family val="1"/>
        <charset val="186"/>
      </rPr>
      <t>, EUR per 1000 units</t>
    </r>
  </si>
  <si>
    <t xml:space="preserve">                                         LVL par 1000 gab.</t>
  </si>
  <si>
    <r>
      <rPr>
        <i/>
        <sz val="10"/>
        <color rgb="FFFF0000"/>
        <rFont val="Times New Roman"/>
        <family val="1"/>
        <charset val="186"/>
      </rPr>
      <t>25,0</t>
    </r>
    <r>
      <rPr>
        <i/>
        <sz val="10"/>
        <rFont val="Times New Roman"/>
        <family val="1"/>
        <charset val="186"/>
      </rPr>
      <t xml:space="preserve">     </t>
    </r>
  </si>
  <si>
    <t xml:space="preserve">                                               LVL per 1000 units</t>
  </si>
  <si>
    <r>
      <t xml:space="preserve">         -  Ad valorem (</t>
    </r>
    <r>
      <rPr>
        <sz val="11"/>
        <color theme="1"/>
        <rFont val="Times New Roman"/>
        <family val="1"/>
        <charset val="186"/>
      </rPr>
      <t>% no maksimālās mazumtirdzniecības cenas (MMC))</t>
    </r>
  </si>
  <si>
    <r>
      <t xml:space="preserve">         - </t>
    </r>
    <r>
      <rPr>
        <i/>
        <sz val="11"/>
        <color theme="1"/>
        <rFont val="Times New Roman"/>
        <family val="1"/>
        <charset val="186"/>
      </rPr>
      <t xml:space="preserve">Ad valorem </t>
    </r>
    <r>
      <rPr>
        <sz val="11"/>
        <color theme="1"/>
        <rFont val="Times New Roman"/>
        <family val="1"/>
        <charset val="186"/>
      </rPr>
      <t>(% of the maximum retail price (MRP))</t>
    </r>
  </si>
  <si>
    <r>
      <t xml:space="preserve">         -  </t>
    </r>
    <r>
      <rPr>
        <sz val="11"/>
        <color theme="1"/>
        <rFont val="Times New Roman"/>
        <family val="1"/>
        <charset val="186"/>
      </rPr>
      <t>minimālā likme</t>
    </r>
    <r>
      <rPr>
        <i/>
        <sz val="11"/>
        <color theme="1"/>
        <rFont val="Times New Roman"/>
        <family val="1"/>
        <charset val="186"/>
      </rPr>
      <t>, EUR par 1000 gab.</t>
    </r>
  </si>
  <si>
    <r>
      <rPr>
        <b/>
        <sz val="11"/>
        <color rgb="FFFF0000"/>
        <rFont val="Times New Roman"/>
        <family val="1"/>
        <charset val="186"/>
      </rPr>
      <t>89,8</t>
    </r>
    <r>
      <rPr>
        <b/>
        <sz val="11"/>
        <rFont val="Times New Roman"/>
        <family val="1"/>
        <charset val="186"/>
      </rPr>
      <t xml:space="preserve">    </t>
    </r>
    <r>
      <rPr>
        <sz val="8"/>
        <rFont val="Times New Roman"/>
        <family val="1"/>
        <charset val="186"/>
      </rPr>
      <t xml:space="preserve"> </t>
    </r>
  </si>
  <si>
    <r>
      <rPr>
        <b/>
        <sz val="11"/>
        <color rgb="FFFF0000"/>
        <rFont val="Times New Roman"/>
        <family val="1"/>
        <charset val="186"/>
      </rPr>
      <t>93,7</t>
    </r>
    <r>
      <rPr>
        <b/>
        <sz val="11"/>
        <rFont val="Times New Roman"/>
        <family val="1"/>
        <charset val="186"/>
      </rPr>
      <t xml:space="preserve">    </t>
    </r>
    <r>
      <rPr>
        <sz val="8"/>
        <rFont val="Times New Roman"/>
        <family val="1"/>
        <charset val="186"/>
      </rPr>
      <t xml:space="preserve">  </t>
    </r>
  </si>
  <si>
    <r>
      <rPr>
        <b/>
        <sz val="11"/>
        <color rgb="FFFF0000"/>
        <rFont val="Times New Roman"/>
        <family val="1"/>
        <charset val="186"/>
      </rPr>
      <t>99,0</t>
    </r>
    <r>
      <rPr>
        <b/>
        <sz val="11"/>
        <rFont val="Times New Roman"/>
        <family val="1"/>
        <charset val="186"/>
      </rPr>
      <t xml:space="preserve">    </t>
    </r>
    <r>
      <rPr>
        <sz val="8"/>
        <rFont val="Times New Roman"/>
        <family val="1"/>
        <charset val="186"/>
      </rPr>
      <t xml:space="preserve">  </t>
    </r>
  </si>
  <si>
    <r>
      <rPr>
        <b/>
        <sz val="11"/>
        <color rgb="FFFF0000"/>
        <rFont val="Times New Roman"/>
        <family val="1"/>
        <charset val="186"/>
      </rPr>
      <t>109,2</t>
    </r>
    <r>
      <rPr>
        <b/>
        <sz val="11"/>
        <rFont val="Times New Roman"/>
        <family val="1"/>
        <charset val="186"/>
      </rPr>
      <t xml:space="preserve">    </t>
    </r>
    <r>
      <rPr>
        <sz val="8"/>
        <rFont val="Times New Roman"/>
        <family val="1"/>
        <charset val="186"/>
      </rPr>
      <t xml:space="preserve">  </t>
    </r>
  </si>
  <si>
    <r>
      <rPr>
        <b/>
        <sz val="11"/>
        <color rgb="FFFF0000"/>
        <rFont val="Times New Roman"/>
        <family val="1"/>
        <charset val="186"/>
      </rPr>
      <t>114,7</t>
    </r>
    <r>
      <rPr>
        <b/>
        <sz val="11"/>
        <rFont val="Times New Roman"/>
        <family val="1"/>
        <charset val="186"/>
      </rPr>
      <t xml:space="preserve">    </t>
    </r>
    <r>
      <rPr>
        <sz val="8"/>
        <rFont val="Times New Roman"/>
        <family val="1"/>
        <charset val="186"/>
      </rPr>
      <t xml:space="preserve">  </t>
    </r>
  </si>
  <si>
    <t>114,7</t>
  </si>
  <si>
    <r>
      <t xml:space="preserve">        </t>
    </r>
    <r>
      <rPr>
        <sz val="11"/>
        <color theme="1"/>
        <rFont val="Times New Roman"/>
        <family val="1"/>
        <charset val="186"/>
      </rPr>
      <t xml:space="preserve"> - the minimum rate</t>
    </r>
    <r>
      <rPr>
        <i/>
        <sz val="11"/>
        <color theme="1"/>
        <rFont val="Times New Roman"/>
        <family val="1"/>
        <charset val="186"/>
      </rPr>
      <t>, EUR per 1000 units</t>
    </r>
  </si>
  <si>
    <r>
      <rPr>
        <i/>
        <sz val="10"/>
        <color rgb="FFFF0000"/>
        <rFont val="Times New Roman"/>
        <family val="1"/>
        <charset val="186"/>
      </rPr>
      <t>52,0</t>
    </r>
    <r>
      <rPr>
        <i/>
        <sz val="10"/>
        <rFont val="Times New Roman"/>
        <family val="1"/>
        <charset val="186"/>
      </rPr>
      <t xml:space="preserve">      </t>
    </r>
    <r>
      <rPr>
        <sz val="8"/>
        <rFont val="Times New Roman"/>
        <family val="1"/>
        <charset val="186"/>
      </rPr>
      <t xml:space="preserve"> </t>
    </r>
  </si>
  <si>
    <r>
      <t xml:space="preserve">   </t>
    </r>
    <r>
      <rPr>
        <b/>
        <sz val="11"/>
        <color theme="1"/>
        <rFont val="Times New Roman"/>
        <family val="1"/>
        <charset val="186"/>
      </rPr>
      <t xml:space="preserve"> Cigāri un cigarillas</t>
    </r>
    <r>
      <rPr>
        <i/>
        <sz val="11"/>
        <color theme="1"/>
        <rFont val="Times New Roman"/>
        <family val="1"/>
        <charset val="186"/>
      </rPr>
      <t>, EUR par 1000 gab.</t>
    </r>
  </si>
  <si>
    <r>
      <t xml:space="preserve">    </t>
    </r>
    <r>
      <rPr>
        <b/>
        <sz val="11"/>
        <color theme="1"/>
        <rFont val="Times New Roman"/>
        <family val="1"/>
        <charset val="186"/>
      </rPr>
      <t>Cigars and cigarillos</t>
    </r>
    <r>
      <rPr>
        <i/>
        <sz val="11"/>
        <color theme="1"/>
        <rFont val="Times New Roman"/>
        <family val="1"/>
        <charset val="186"/>
      </rPr>
      <t>, EUR per 1000 units</t>
    </r>
  </si>
  <si>
    <t xml:space="preserve">                                          LVL par 1000 gab.</t>
  </si>
  <si>
    <t xml:space="preserve">                                             LVL per 1000 units</t>
  </si>
  <si>
    <r>
      <t xml:space="preserve">   </t>
    </r>
    <r>
      <rPr>
        <b/>
        <sz val="11"/>
        <color theme="1"/>
        <rFont val="Times New Roman"/>
        <family val="1"/>
        <charset val="186"/>
      </rPr>
      <t xml:space="preserve"> Smēķējamā tabaka (smalki sagriezta cigarešu uztīšanai)</t>
    </r>
    <r>
      <rPr>
        <i/>
        <sz val="11"/>
        <color theme="1"/>
        <rFont val="Times New Roman"/>
        <family val="1"/>
        <charset val="186"/>
      </rPr>
      <t>, EUR par 1 kg</t>
    </r>
  </si>
  <si>
    <r>
      <t xml:space="preserve">    </t>
    </r>
    <r>
      <rPr>
        <b/>
        <sz val="11"/>
        <color theme="1"/>
        <rFont val="Times New Roman"/>
        <family val="1"/>
        <charset val="186"/>
      </rPr>
      <t>Smoking tobacco (fine cut intended for the rolling of cigarettes),</t>
    </r>
    <r>
      <rPr>
        <i/>
        <sz val="11"/>
        <color theme="1"/>
        <rFont val="Times New Roman"/>
        <family val="1"/>
        <charset val="186"/>
      </rPr>
      <t xml:space="preserve"> EUR per 1 kg</t>
    </r>
  </si>
  <si>
    <t xml:space="preserve">                                                                          LVL par 1 kg.</t>
  </si>
  <si>
    <r>
      <rPr>
        <i/>
        <sz val="10"/>
        <color rgb="FFFF0000"/>
        <rFont val="Times New Roman"/>
        <family val="1"/>
        <charset val="186"/>
      </rPr>
      <t>7,9</t>
    </r>
    <r>
      <rPr>
        <i/>
        <sz val="10"/>
        <rFont val="Times New Roman"/>
        <family val="1"/>
        <charset val="186"/>
      </rPr>
      <t xml:space="preserve">       </t>
    </r>
  </si>
  <si>
    <t xml:space="preserve">                                                                LVL per 1 kg.</t>
  </si>
  <si>
    <r>
      <t xml:space="preserve">   </t>
    </r>
    <r>
      <rPr>
        <b/>
        <sz val="11"/>
        <color theme="1"/>
        <rFont val="Times New Roman"/>
        <family val="1"/>
        <charset val="186"/>
      </rPr>
      <t xml:space="preserve"> Smēķējamā tabaka (cita tabaka)</t>
    </r>
    <r>
      <rPr>
        <i/>
        <sz val="11"/>
        <color theme="1"/>
        <rFont val="Times New Roman"/>
        <family val="1"/>
        <charset val="186"/>
      </rPr>
      <t>, EUR par 1 kg</t>
    </r>
  </si>
  <si>
    <r>
      <rPr>
        <b/>
        <sz val="11"/>
        <color theme="1"/>
        <rFont val="Times New Roman"/>
        <family val="1"/>
        <charset val="186"/>
      </rPr>
      <t xml:space="preserve">32,73 </t>
    </r>
    <r>
      <rPr>
        <i/>
        <sz val="11"/>
        <color theme="1"/>
        <rFont val="Times New Roman"/>
        <family val="1"/>
        <charset val="186"/>
      </rPr>
      <t xml:space="preserve">                    </t>
    </r>
    <r>
      <rPr>
        <sz val="8"/>
        <color theme="1"/>
        <rFont val="Times New Roman"/>
        <family val="1"/>
        <charset val="186"/>
      </rPr>
      <t>(no 01.02.)</t>
    </r>
  </si>
  <si>
    <r>
      <t xml:space="preserve">    </t>
    </r>
    <r>
      <rPr>
        <b/>
        <sz val="11"/>
        <color theme="1"/>
        <rFont val="Times New Roman"/>
        <family val="1"/>
        <charset val="186"/>
      </rPr>
      <t>Smoking tobacco (other),</t>
    </r>
    <r>
      <rPr>
        <i/>
        <sz val="11"/>
        <color theme="1"/>
        <rFont val="Times New Roman"/>
        <family val="1"/>
        <charset val="186"/>
      </rPr>
      <t xml:space="preserve"> EUR per 1 kg</t>
    </r>
  </si>
  <si>
    <t xml:space="preserve">(no 01.05.)    </t>
  </si>
  <si>
    <t xml:space="preserve">                                                                LVL par 1 kg</t>
  </si>
  <si>
    <r>
      <t xml:space="preserve">23,0                      </t>
    </r>
    <r>
      <rPr>
        <sz val="8"/>
        <color theme="1"/>
        <rFont val="Times New Roman"/>
        <family val="1"/>
        <charset val="186"/>
      </rPr>
      <t>(no 01.02.)</t>
    </r>
  </si>
  <si>
    <t xml:space="preserve">                                                   LVL per 1 kg.</t>
  </si>
  <si>
    <r>
      <t xml:space="preserve">     </t>
    </r>
    <r>
      <rPr>
        <b/>
        <sz val="11"/>
        <color theme="1"/>
        <rFont val="Times New Roman"/>
        <family val="1"/>
        <charset val="186"/>
      </rPr>
      <t>Tabakas lapas,</t>
    </r>
    <r>
      <rPr>
        <i/>
        <sz val="11"/>
        <color theme="1"/>
        <rFont val="Times New Roman"/>
        <family val="1"/>
        <charset val="186"/>
      </rPr>
      <t xml:space="preserve"> EUR par 1 kg.</t>
    </r>
  </si>
  <si>
    <r>
      <t xml:space="preserve">   </t>
    </r>
    <r>
      <rPr>
        <b/>
        <sz val="11"/>
        <color theme="1"/>
        <rFont val="Times New Roman"/>
        <family val="1"/>
        <charset val="186"/>
      </rPr>
      <t xml:space="preserve"> Tobacco leaves,</t>
    </r>
    <r>
      <rPr>
        <i/>
        <sz val="11"/>
        <color theme="1"/>
        <rFont val="Times New Roman"/>
        <family val="1"/>
        <charset val="186"/>
      </rPr>
      <t xml:space="preserve"> EUR per 1 kg</t>
    </r>
  </si>
  <si>
    <t>(no 01.04.)</t>
  </si>
  <si>
    <r>
      <t xml:space="preserve">    </t>
    </r>
    <r>
      <rPr>
        <b/>
        <sz val="11"/>
        <color theme="1"/>
        <rFont val="Times New Roman"/>
        <family val="1"/>
        <charset val="186"/>
      </rPr>
      <t xml:space="preserve"> Karsējamā tabaka,</t>
    </r>
    <r>
      <rPr>
        <i/>
        <sz val="11"/>
        <color theme="1"/>
        <rFont val="Times New Roman"/>
        <family val="1"/>
        <charset val="186"/>
      </rPr>
      <t xml:space="preserve"> EUR par 1 kg</t>
    </r>
  </si>
  <si>
    <r>
      <t xml:space="preserve">    </t>
    </r>
    <r>
      <rPr>
        <b/>
        <sz val="11"/>
        <color theme="1"/>
        <rFont val="Times New Roman"/>
        <family val="1"/>
        <charset val="186"/>
      </rPr>
      <t>Heated tobacco,</t>
    </r>
    <r>
      <rPr>
        <i/>
        <sz val="11"/>
        <color theme="1"/>
        <rFont val="Times New Roman"/>
        <family val="1"/>
        <charset val="186"/>
      </rPr>
      <t xml:space="preserve"> EUR per 1 kg</t>
    </r>
  </si>
  <si>
    <r>
      <t xml:space="preserve">    </t>
    </r>
    <r>
      <rPr>
        <b/>
        <sz val="11"/>
        <color theme="1"/>
        <rFont val="Times New Roman"/>
        <family val="1"/>
        <charset val="186"/>
      </rPr>
      <t xml:space="preserve">Elektroniskajās smēķēšanas ierīcēs izmantojamais šķidrums un tā sagatavošanas sastāvdaļas, </t>
    </r>
    <r>
      <rPr>
        <i/>
        <sz val="11"/>
        <color rgb="FFFF0000"/>
        <rFont val="Times New Roman"/>
        <family val="1"/>
        <charset val="186"/>
      </rPr>
      <t xml:space="preserve">EUR par 1 ml (līdz 2020.g. </t>
    </r>
    <r>
      <rPr>
        <i/>
        <sz val="11"/>
        <color theme="1"/>
        <rFont val="Times New Roman"/>
        <family val="1"/>
        <charset val="186"/>
      </rPr>
      <t>EUR par 1 mililitru šķidruma  un 1 miligramu nikotīna)</t>
    </r>
  </si>
  <si>
    <t>0,005-0,01</t>
  </si>
  <si>
    <r>
      <t xml:space="preserve">0,24
</t>
    </r>
    <r>
      <rPr>
        <sz val="8"/>
        <rFont val="Times New Roman"/>
        <family val="1"/>
        <charset val="186"/>
      </rPr>
      <t>(no 01.03.)</t>
    </r>
  </si>
  <si>
    <r>
      <t xml:space="preserve">   </t>
    </r>
    <r>
      <rPr>
        <b/>
        <sz val="11"/>
        <color theme="1"/>
        <rFont val="Times New Roman"/>
        <family val="1"/>
        <charset val="186"/>
      </rPr>
      <t xml:space="preserve"> Liquid for use in electronic smoking devices and components for its preparation</t>
    </r>
    <r>
      <rPr>
        <i/>
        <sz val="11"/>
        <color theme="1"/>
        <rFont val="Times New Roman"/>
        <family val="1"/>
        <charset val="186"/>
      </rPr>
      <t xml:space="preserve">, </t>
    </r>
    <r>
      <rPr>
        <i/>
        <sz val="11"/>
        <color rgb="FFFF0000"/>
        <rFont val="Times New Roman"/>
        <family val="1"/>
        <charset val="186"/>
      </rPr>
      <t>EUR per 1 ml</t>
    </r>
    <r>
      <rPr>
        <i/>
        <sz val="11"/>
        <color theme="1"/>
        <rFont val="Times New Roman"/>
        <family val="1"/>
        <charset val="186"/>
      </rPr>
      <t xml:space="preserve"> (EUR per 1 millilitre and 1 milligram nicotine </t>
    </r>
    <r>
      <rPr>
        <i/>
        <sz val="11"/>
        <color rgb="FFFF0000"/>
        <rFont val="Times New Roman"/>
        <family val="1"/>
        <charset val="186"/>
      </rPr>
      <t>till 2020)</t>
    </r>
  </si>
  <si>
    <r>
      <t xml:space="preserve">     </t>
    </r>
    <r>
      <rPr>
        <b/>
        <sz val="11"/>
        <color theme="1"/>
        <rFont val="Times New Roman"/>
        <family val="1"/>
        <charset val="186"/>
      </rPr>
      <t>Tabakas aizstājējprodukti,</t>
    </r>
    <r>
      <rPr>
        <i/>
        <sz val="11"/>
        <color theme="1"/>
        <rFont val="Times New Roman"/>
        <family val="1"/>
        <charset val="186"/>
      </rPr>
      <t xml:space="preserve"> EUR par 1 kg.</t>
    </r>
  </si>
  <si>
    <r>
      <t xml:space="preserve">138
</t>
    </r>
    <r>
      <rPr>
        <sz val="8"/>
        <rFont val="Times New Roman"/>
        <family val="1"/>
        <charset val="186"/>
      </rPr>
      <t>(no 01.03.)</t>
    </r>
  </si>
  <si>
    <r>
      <t xml:space="preserve">   </t>
    </r>
    <r>
      <rPr>
        <b/>
        <sz val="11"/>
        <color theme="1"/>
        <rFont val="Times New Roman"/>
        <family val="1"/>
        <charset val="186"/>
      </rPr>
      <t xml:space="preserve"> Tobacco substitute products,</t>
    </r>
    <r>
      <rPr>
        <i/>
        <sz val="11"/>
        <color theme="1"/>
        <rFont val="Times New Roman"/>
        <family val="1"/>
        <charset val="186"/>
      </rPr>
      <t xml:space="preserve"> EUR per 1 kg</t>
    </r>
  </si>
  <si>
    <t>Citi produkti</t>
  </si>
  <si>
    <t xml:space="preserve">Other products </t>
  </si>
  <si>
    <r>
      <t xml:space="preserve">   </t>
    </r>
    <r>
      <rPr>
        <b/>
        <sz val="11"/>
        <color theme="1"/>
        <rFont val="Times New Roman"/>
        <family val="1"/>
        <charset val="186"/>
      </rPr>
      <t xml:space="preserve"> Dabasgāze, kuru izmanto:</t>
    </r>
  </si>
  <si>
    <r>
      <t xml:space="preserve">     Natural gas </t>
    </r>
    <r>
      <rPr>
        <i/>
        <sz val="11"/>
        <color theme="1"/>
        <rFont val="Times New Roman"/>
        <family val="1"/>
        <charset val="186"/>
      </rPr>
      <t>for using:</t>
    </r>
  </si>
  <si>
    <r>
      <t xml:space="preserve">      - kā degvielu, </t>
    </r>
    <r>
      <rPr>
        <i/>
        <sz val="11"/>
        <color theme="1"/>
        <rFont val="Times New Roman"/>
        <family val="1"/>
        <charset val="186"/>
      </rPr>
      <t xml:space="preserve">EUR par MWh </t>
    </r>
  </si>
  <si>
    <r>
      <t xml:space="preserve">     - as propellant, </t>
    </r>
    <r>
      <rPr>
        <i/>
        <sz val="11"/>
        <color theme="1"/>
        <rFont val="Times New Roman"/>
        <family val="1"/>
        <charset val="186"/>
      </rPr>
      <t xml:space="preserve">EUR per MWh </t>
    </r>
  </si>
  <si>
    <r>
      <t xml:space="preserve">                       (līdz 01.04.2017 EUR par 1000 m</t>
    </r>
    <r>
      <rPr>
        <i/>
        <vertAlign val="superscript"/>
        <sz val="11"/>
        <color theme="1"/>
        <rFont val="Times New Roman"/>
        <family val="1"/>
        <charset val="186"/>
      </rPr>
      <t>3</t>
    </r>
    <r>
      <rPr>
        <i/>
        <sz val="11"/>
        <color theme="1"/>
        <rFont val="Times New Roman"/>
        <family val="1"/>
        <charset val="186"/>
      </rPr>
      <t>)</t>
    </r>
  </si>
  <si>
    <t>(no 01.07.-31.08.)</t>
  </si>
  <si>
    <t>(no 01.09.2010.-30.06.2011.)</t>
  </si>
  <si>
    <r>
      <t xml:space="preserve">                       </t>
    </r>
    <r>
      <rPr>
        <i/>
        <sz val="11"/>
        <color theme="1"/>
        <rFont val="Times New Roman"/>
        <family val="1"/>
        <charset val="186"/>
      </rPr>
      <t xml:space="preserve">  (by April 1, 2017 EUR per 1000 m</t>
    </r>
    <r>
      <rPr>
        <i/>
        <vertAlign val="superscript"/>
        <sz val="11"/>
        <color theme="1"/>
        <rFont val="Times New Roman"/>
        <family val="1"/>
        <charset val="186"/>
      </rPr>
      <t>3</t>
    </r>
    <r>
      <rPr>
        <i/>
        <sz val="11"/>
        <color theme="1"/>
        <rFont val="Times New Roman"/>
        <family val="1"/>
        <charset val="186"/>
      </rPr>
      <t xml:space="preserve"> )</t>
    </r>
  </si>
  <si>
    <r>
      <t xml:space="preserve">                              LVL par 1000 m</t>
    </r>
    <r>
      <rPr>
        <i/>
        <vertAlign val="superscript"/>
        <sz val="10"/>
        <color theme="1"/>
        <rFont val="Times New Roman"/>
        <family val="1"/>
        <charset val="186"/>
      </rPr>
      <t>3</t>
    </r>
  </si>
  <si>
    <r>
      <t xml:space="preserve">                                LVL per 1000 m</t>
    </r>
    <r>
      <rPr>
        <i/>
        <vertAlign val="superscript"/>
        <sz val="10"/>
        <color theme="1"/>
        <rFont val="Times New Roman"/>
        <family val="1"/>
        <charset val="186"/>
      </rPr>
      <t>3</t>
    </r>
  </si>
  <si>
    <r>
      <t xml:space="preserve">      - kā degvielu, ja dabasgāzes tirgotājs ir sasniedzis valsts atbalsta </t>
    </r>
    <r>
      <rPr>
        <i/>
        <sz val="11"/>
        <color theme="1"/>
        <rFont val="Times New Roman"/>
        <family val="1"/>
        <charset val="186"/>
      </rPr>
      <t>de minimis</t>
    </r>
    <r>
      <rPr>
        <sz val="11"/>
        <color theme="1"/>
        <rFont val="Times New Roman"/>
        <family val="1"/>
        <charset val="186"/>
      </rPr>
      <t xml:space="preserve"> slieksni, </t>
    </r>
    <r>
      <rPr>
        <i/>
        <sz val="11"/>
        <color theme="1"/>
        <rFont val="Times New Roman"/>
        <family val="1"/>
        <charset val="186"/>
      </rPr>
      <t xml:space="preserve">EUR par MWh </t>
    </r>
  </si>
  <si>
    <r>
      <rPr>
        <b/>
        <sz val="11"/>
        <color rgb="FFFF0000"/>
        <rFont val="Times New Roman"/>
        <family val="1"/>
        <charset val="186"/>
      </rPr>
      <t>9,64</t>
    </r>
    <r>
      <rPr>
        <b/>
        <sz val="11"/>
        <color theme="1"/>
        <rFont val="Times New Roman"/>
        <family val="1"/>
        <charset val="186"/>
      </rPr>
      <t xml:space="preserve">          </t>
    </r>
    <r>
      <rPr>
        <sz val="10"/>
        <color theme="1"/>
        <rFont val="Times New Roman"/>
        <family val="1"/>
        <charset val="186"/>
      </rPr>
      <t xml:space="preserve"> 
</t>
    </r>
    <r>
      <rPr>
        <sz val="8"/>
        <color theme="1"/>
        <rFont val="Times New Roman"/>
        <family val="1"/>
        <charset val="186"/>
      </rPr>
      <t>(no 01.03)</t>
    </r>
  </si>
  <si>
    <r>
      <t xml:space="preserve">     - as propellant, if natural gas trader has reached state aid </t>
    </r>
    <r>
      <rPr>
        <i/>
        <sz val="11"/>
        <color theme="1"/>
        <rFont val="Times New Roman"/>
        <family val="1"/>
        <charset val="186"/>
      </rPr>
      <t>de minimis</t>
    </r>
    <r>
      <rPr>
        <sz val="11"/>
        <color theme="1"/>
        <rFont val="Times New Roman"/>
        <family val="1"/>
        <charset val="186"/>
      </rPr>
      <t xml:space="preserve"> limit, </t>
    </r>
    <r>
      <rPr>
        <i/>
        <sz val="11"/>
        <color theme="1"/>
        <rFont val="Times New Roman"/>
        <family val="1"/>
        <charset val="186"/>
      </rPr>
      <t xml:space="preserve">EUR per MWh </t>
    </r>
  </si>
  <si>
    <r>
      <t xml:space="preserve">     -  kā kurināmo, </t>
    </r>
    <r>
      <rPr>
        <i/>
        <sz val="11"/>
        <color theme="1"/>
        <rFont val="Times New Roman"/>
        <family val="1"/>
        <charset val="186"/>
      </rPr>
      <t xml:space="preserve">EUR par MWh </t>
    </r>
  </si>
  <si>
    <r>
      <t xml:space="preserve">     - as heating, </t>
    </r>
    <r>
      <rPr>
        <i/>
        <sz val="11"/>
        <color theme="1"/>
        <rFont val="Times New Roman"/>
        <family val="1"/>
        <charset val="186"/>
      </rPr>
      <t xml:space="preserve">EUR per MWh </t>
    </r>
  </si>
  <si>
    <r>
      <t xml:space="preserve">                       </t>
    </r>
    <r>
      <rPr>
        <i/>
        <sz val="11"/>
        <color theme="1"/>
        <rFont val="Times New Roman"/>
        <family val="1"/>
        <charset val="186"/>
      </rPr>
      <t xml:space="preserve">  (by April 1, 2017 EUR per 1000 m</t>
    </r>
    <r>
      <rPr>
        <i/>
        <vertAlign val="superscript"/>
        <sz val="11"/>
        <color theme="1"/>
        <rFont val="Times New Roman"/>
        <family val="1"/>
        <charset val="186"/>
      </rPr>
      <t>3</t>
    </r>
    <r>
      <rPr>
        <i/>
        <sz val="11"/>
        <color theme="1"/>
        <rFont val="Times New Roman"/>
        <family val="1"/>
        <charset val="186"/>
      </rPr>
      <t>)</t>
    </r>
  </si>
  <si>
    <r>
      <t xml:space="preserve">                           LVL per 1000 m</t>
    </r>
    <r>
      <rPr>
        <i/>
        <vertAlign val="superscript"/>
        <sz val="10"/>
        <color theme="1"/>
        <rFont val="Times New Roman"/>
        <family val="1"/>
        <charset val="186"/>
      </rPr>
      <t>3</t>
    </r>
  </si>
  <si>
    <r>
      <t xml:space="preserve">     -  kā kurināmo, </t>
    </r>
    <r>
      <rPr>
        <i/>
        <sz val="11"/>
        <color theme="1"/>
        <rFont val="Times New Roman"/>
        <family val="1"/>
        <charset val="186"/>
      </rPr>
      <t xml:space="preserve">EUR par MWh, </t>
    </r>
    <r>
      <rPr>
        <sz val="11"/>
        <color theme="1"/>
        <rFont val="Times New Roman"/>
        <family val="1"/>
        <charset val="186"/>
      </rPr>
      <t>ja galalietotājs ir Eiropas Savienības emisijas kvotu tirdzniecības sistēmas dalībnieks</t>
    </r>
  </si>
  <si>
    <r>
      <t xml:space="preserve">     -</t>
    </r>
    <r>
      <rPr>
        <sz val="11"/>
        <color theme="1"/>
        <rFont val="Times New Roman"/>
        <family val="1"/>
        <charset val="186"/>
      </rPr>
      <t xml:space="preserve"> as heating,</t>
    </r>
    <r>
      <rPr>
        <i/>
        <sz val="11"/>
        <color theme="1"/>
        <rFont val="Times New Roman"/>
        <family val="1"/>
        <charset val="186"/>
      </rPr>
      <t xml:space="preserve"> EUR per MWh </t>
    </r>
    <r>
      <rPr>
        <sz val="11"/>
        <color theme="1"/>
        <rFont val="Times New Roman"/>
        <family val="1"/>
        <charset val="186"/>
      </rPr>
      <t xml:space="preserve">if the end-user is a participant in the EU Emissions Trading Scheme </t>
    </r>
  </si>
  <si>
    <r>
      <t xml:space="preserve">     - kā apkuri rūpnieciskai ražošanai,</t>
    </r>
    <r>
      <rPr>
        <i/>
        <sz val="11"/>
        <color theme="1"/>
        <rFont val="Times New Roman"/>
        <family val="1"/>
        <charset val="186"/>
      </rPr>
      <t xml:space="preserve"> EUR par MWh </t>
    </r>
  </si>
  <si>
    <r>
      <t xml:space="preserve">     - </t>
    </r>
    <r>
      <rPr>
        <sz val="11"/>
        <color theme="1"/>
        <rFont val="Times New Roman"/>
        <family val="1"/>
        <charset val="186"/>
      </rPr>
      <t>as a heating for industrial production</t>
    </r>
    <r>
      <rPr>
        <sz val="11"/>
        <color theme="1"/>
        <rFont val="Times New Roman"/>
        <family val="1"/>
        <charset val="186"/>
      </rPr>
      <t xml:space="preserve">, </t>
    </r>
    <r>
      <rPr>
        <i/>
        <sz val="11"/>
        <color theme="1"/>
        <rFont val="Times New Roman"/>
        <family val="1"/>
        <charset val="186"/>
      </rPr>
      <t>EUR per MWh</t>
    </r>
    <r>
      <rPr>
        <sz val="11"/>
        <color theme="1"/>
        <rFont val="Times New Roman"/>
        <family val="1"/>
        <charset val="186"/>
      </rPr>
      <t xml:space="preserve"> </t>
    </r>
    <r>
      <rPr>
        <i/>
        <sz val="11"/>
        <color theme="1"/>
        <rFont val="Times New Roman"/>
        <family val="1"/>
        <charset val="186"/>
      </rPr>
      <t/>
    </r>
  </si>
  <si>
    <r>
      <t xml:space="preserve">     - kā apkuri  lauksaimn. izmantojamās zemes segto platību (siltumnīcu) siltumapgādei,</t>
    </r>
    <r>
      <rPr>
        <i/>
        <sz val="11"/>
        <color theme="1"/>
        <rFont val="Times New Roman"/>
        <family val="1"/>
        <charset val="186"/>
      </rPr>
      <t xml:space="preserve"> EUR par MWh</t>
    </r>
  </si>
  <si>
    <r>
      <t xml:space="preserve">  - </t>
    </r>
    <r>
      <rPr>
        <sz val="11"/>
        <color theme="1"/>
        <rFont val="Times New Roman"/>
        <family val="1"/>
        <charset val="186"/>
      </rPr>
      <t xml:space="preserve">as heating for heat supply of agricultural land covered areas (greenhouses),  </t>
    </r>
    <r>
      <rPr>
        <i/>
        <sz val="11"/>
        <color theme="1"/>
        <rFont val="Times New Roman"/>
        <family val="1"/>
        <charset val="186"/>
      </rPr>
      <t>EUR per MWh</t>
    </r>
    <r>
      <rPr>
        <i/>
        <vertAlign val="superscript"/>
        <sz val="11"/>
        <color theme="1"/>
        <rFont val="Times New Roman"/>
        <family val="1"/>
        <charset val="186"/>
      </rPr>
      <t xml:space="preserve"> </t>
    </r>
    <r>
      <rPr>
        <i/>
        <sz val="11"/>
        <color theme="1"/>
        <rFont val="Times New Roman"/>
        <family val="1"/>
        <charset val="186"/>
      </rPr>
      <t xml:space="preserve"> </t>
    </r>
  </si>
  <si>
    <r>
      <t xml:space="preserve">     - kā apkuri rūpniecisko mājputnu novietņu (kūts) un inkubatoru siltumapgādei,</t>
    </r>
    <r>
      <rPr>
        <i/>
        <sz val="11"/>
        <color theme="1"/>
        <rFont val="Times New Roman"/>
        <family val="1"/>
        <charset val="186"/>
      </rPr>
      <t xml:space="preserve">  EUR par MWh</t>
    </r>
  </si>
  <si>
    <r>
      <t xml:space="preserve">  - as a heating for the industrial poultry houses (barn) and incubators, </t>
    </r>
    <r>
      <rPr>
        <i/>
        <sz val="11"/>
        <color theme="1"/>
        <rFont val="Times New Roman"/>
        <family val="1"/>
        <charset val="186"/>
      </rPr>
      <t>EUR per MWh</t>
    </r>
  </si>
  <si>
    <r>
      <t xml:space="preserve">                         (by April 1, 2017 EUR per 1000 m</t>
    </r>
    <r>
      <rPr>
        <i/>
        <vertAlign val="superscript"/>
        <sz val="11"/>
        <color theme="1"/>
        <rFont val="Times New Roman"/>
        <family val="1"/>
        <charset val="186"/>
      </rPr>
      <t>3</t>
    </r>
    <r>
      <rPr>
        <i/>
        <sz val="11"/>
        <color theme="1"/>
        <rFont val="Times New Roman"/>
        <family val="1"/>
        <charset val="186"/>
      </rPr>
      <t xml:space="preserve"> )</t>
    </r>
  </si>
  <si>
    <r>
      <t xml:space="preserve">     - kā kurināmo lauksaimniecības izejvielu pirmapstrādes tehnoloģisko iekārtu darbināšanai,</t>
    </r>
    <r>
      <rPr>
        <i/>
        <sz val="11"/>
        <color theme="1"/>
        <rFont val="Times New Roman"/>
        <family val="1"/>
        <charset val="186"/>
      </rPr>
      <t xml:space="preserve"> EUR par MWh</t>
    </r>
  </si>
  <si>
    <r>
      <t xml:space="preserve">  - </t>
    </r>
    <r>
      <rPr>
        <sz val="11"/>
        <color theme="1"/>
        <rFont val="Times New Roman"/>
        <family val="1"/>
        <charset val="186"/>
      </rPr>
      <t xml:space="preserve">as heating fuel for operating technological equipment for the primary processing of agricultural raw materials, </t>
    </r>
    <r>
      <rPr>
        <i/>
        <sz val="11"/>
        <color theme="1"/>
        <rFont val="Times New Roman"/>
        <family val="1"/>
        <charset val="186"/>
      </rPr>
      <t>EUR per MWh</t>
    </r>
    <r>
      <rPr>
        <i/>
        <vertAlign val="superscript"/>
        <sz val="11"/>
        <color theme="1"/>
        <rFont val="Times New Roman"/>
        <family val="1"/>
        <charset val="186"/>
      </rPr>
      <t xml:space="preserve"> </t>
    </r>
    <r>
      <rPr>
        <i/>
        <sz val="11"/>
        <color theme="1"/>
        <rFont val="Times New Roman"/>
        <family val="1"/>
        <charset val="186"/>
      </rPr>
      <t xml:space="preserve"> </t>
    </r>
  </si>
  <si>
    <r>
      <t xml:space="preserve">    </t>
    </r>
    <r>
      <rPr>
        <b/>
        <sz val="10"/>
        <color theme="1"/>
        <rFont val="Times New Roman"/>
        <family val="1"/>
        <charset val="186"/>
      </rPr>
      <t xml:space="preserve"> Bezalkoholiskie dzērieni ar cukura saturu </t>
    </r>
    <r>
      <rPr>
        <b/>
        <sz val="10"/>
        <color rgb="FF0070C0"/>
        <rFont val="Times New Roman"/>
        <family val="1"/>
        <charset val="186"/>
      </rPr>
      <t>līdz 8g</t>
    </r>
    <r>
      <rPr>
        <b/>
        <sz val="10"/>
        <color theme="1"/>
        <rFont val="Times New Roman"/>
        <family val="1"/>
        <charset val="186"/>
      </rPr>
      <t xml:space="preserve"> uz 100 ml,</t>
    </r>
    <r>
      <rPr>
        <i/>
        <sz val="10"/>
        <color theme="1"/>
        <rFont val="Times New Roman"/>
        <family val="1"/>
        <charset val="186"/>
      </rPr>
      <t xml:space="preserve"> EUR par 100 litriem</t>
    </r>
  </si>
  <si>
    <r>
      <t xml:space="preserve">     </t>
    </r>
    <r>
      <rPr>
        <b/>
        <sz val="10"/>
        <color theme="1"/>
        <rFont val="Times New Roman"/>
        <family val="1"/>
        <charset val="186"/>
      </rPr>
      <t xml:space="preserve">Non-alcoholic drinks with sugar content </t>
    </r>
    <r>
      <rPr>
        <b/>
        <sz val="10"/>
        <color rgb="FF0070C0"/>
        <rFont val="Times New Roman"/>
        <family val="1"/>
        <charset val="186"/>
      </rPr>
      <t>up to 8 grams</t>
    </r>
    <r>
      <rPr>
        <b/>
        <sz val="10"/>
        <color theme="1"/>
        <rFont val="Times New Roman"/>
        <family val="1"/>
        <charset val="186"/>
      </rPr>
      <t xml:space="preserve"> per 100 milliliters</t>
    </r>
    <r>
      <rPr>
        <i/>
        <sz val="10"/>
        <color theme="1"/>
        <rFont val="Times New Roman"/>
        <family val="1"/>
        <charset val="186"/>
      </rPr>
      <t>, EUR per 100 liters</t>
    </r>
  </si>
  <si>
    <t xml:space="preserve">(no 01.02.)    </t>
  </si>
  <si>
    <t xml:space="preserve">                                                     LVL par 100 litriem</t>
  </si>
  <si>
    <t xml:space="preserve">                                             LVL per 100 liters</t>
  </si>
  <si>
    <r>
      <t xml:space="preserve">    </t>
    </r>
    <r>
      <rPr>
        <b/>
        <sz val="10"/>
        <color theme="1"/>
        <rFont val="Times New Roman"/>
        <family val="1"/>
        <charset val="186"/>
      </rPr>
      <t xml:space="preserve"> Bezalkoholiskie dzērieni ar cukura saturu </t>
    </r>
    <r>
      <rPr>
        <b/>
        <sz val="10"/>
        <color rgb="FF0070C0"/>
        <rFont val="Times New Roman"/>
        <family val="1"/>
        <charset val="186"/>
      </rPr>
      <t>no 8g</t>
    </r>
    <r>
      <rPr>
        <b/>
        <sz val="10"/>
        <color theme="1"/>
        <rFont val="Times New Roman"/>
        <family val="1"/>
        <charset val="186"/>
      </rPr>
      <t xml:space="preserve"> uz 100 ml </t>
    </r>
    <r>
      <rPr>
        <b/>
        <sz val="10"/>
        <color rgb="FF0070C0"/>
        <rFont val="Times New Roman"/>
        <family val="1"/>
        <charset val="186"/>
      </rPr>
      <t>un enerģijas dzērieni (ar 01.03.2024.)</t>
    </r>
    <r>
      <rPr>
        <i/>
        <sz val="10"/>
        <color theme="1"/>
        <rFont val="Times New Roman"/>
        <family val="1"/>
        <charset val="186"/>
      </rPr>
      <t>, EUR par 100 litriem</t>
    </r>
  </si>
  <si>
    <r>
      <t xml:space="preserve">5,69
</t>
    </r>
    <r>
      <rPr>
        <sz val="8"/>
        <rFont val="Times New Roman"/>
        <family val="1"/>
        <charset val="186"/>
      </rPr>
      <t xml:space="preserve">(no 01.02.) </t>
    </r>
  </si>
  <si>
    <r>
      <rPr>
        <b/>
        <sz val="11"/>
        <color rgb="FFFF0000"/>
        <rFont val="Times New Roman"/>
        <family val="1"/>
        <charset val="186"/>
      </rPr>
      <t>17,5</t>
    </r>
    <r>
      <rPr>
        <b/>
        <sz val="11"/>
        <color theme="1"/>
        <rFont val="Times New Roman"/>
        <family val="1"/>
        <charset val="186"/>
      </rPr>
      <t xml:space="preserve">
</t>
    </r>
    <r>
      <rPr>
        <sz val="8"/>
        <color theme="1"/>
        <rFont val="Times New Roman"/>
        <family val="1"/>
        <charset val="186"/>
      </rPr>
      <t>(no 01.03.)</t>
    </r>
  </si>
  <si>
    <r>
      <t xml:space="preserve">     </t>
    </r>
    <r>
      <rPr>
        <b/>
        <sz val="10"/>
        <color theme="1"/>
        <rFont val="Times New Roman"/>
        <family val="1"/>
        <charset val="186"/>
      </rPr>
      <t xml:space="preserve">Non-alcoholic drinks with sugar content </t>
    </r>
    <r>
      <rPr>
        <b/>
        <sz val="10"/>
        <color rgb="FF0070C0"/>
        <rFont val="Times New Roman"/>
        <family val="1"/>
        <charset val="186"/>
      </rPr>
      <t>from 8 grams</t>
    </r>
    <r>
      <rPr>
        <b/>
        <sz val="10"/>
        <color theme="1"/>
        <rFont val="Times New Roman"/>
        <family val="1"/>
        <charset val="186"/>
      </rPr>
      <t xml:space="preserve"> per 100 milliliters</t>
    </r>
    <r>
      <rPr>
        <b/>
        <sz val="10"/>
        <color rgb="FF0070C0"/>
        <rFont val="Times New Roman"/>
        <family val="1"/>
        <charset val="186"/>
      </rPr>
      <t xml:space="preserve"> and energy drinks (from 01.03.2024)</t>
    </r>
    <r>
      <rPr>
        <sz val="10"/>
        <color theme="1"/>
        <rFont val="Times New Roman"/>
        <family val="1"/>
        <charset val="186"/>
      </rPr>
      <t xml:space="preserve">, </t>
    </r>
    <r>
      <rPr>
        <i/>
        <sz val="10"/>
        <color theme="1"/>
        <rFont val="Times New Roman"/>
        <family val="1"/>
        <charset val="186"/>
      </rPr>
      <t>EUR per 100 liters</t>
    </r>
  </si>
  <si>
    <r>
      <t xml:space="preserve">     </t>
    </r>
    <r>
      <rPr>
        <b/>
        <sz val="11"/>
        <color theme="1"/>
        <rFont val="Times New Roman"/>
        <family val="1"/>
        <charset val="186"/>
      </rPr>
      <t>Kafija,</t>
    </r>
    <r>
      <rPr>
        <i/>
        <sz val="11"/>
        <color theme="1"/>
        <rFont val="Times New Roman"/>
        <family val="1"/>
        <charset val="186"/>
      </rPr>
      <t xml:space="preserve"> EUR par 100 kg.</t>
    </r>
  </si>
  <si>
    <r>
      <t xml:space="preserve">     </t>
    </r>
    <r>
      <rPr>
        <b/>
        <sz val="11"/>
        <color theme="1"/>
        <rFont val="Times New Roman"/>
        <family val="1"/>
        <charset val="186"/>
      </rPr>
      <t>Coffee,</t>
    </r>
    <r>
      <rPr>
        <i/>
        <sz val="11"/>
        <color theme="1"/>
        <rFont val="Times New Roman"/>
        <family val="1"/>
        <charset val="186"/>
      </rPr>
      <t xml:space="preserve"> EUR per kg</t>
    </r>
  </si>
  <si>
    <t xml:space="preserve">                  LVL par 100 kg.</t>
  </si>
  <si>
    <t xml:space="preserve">                   LVL per kg</t>
  </si>
  <si>
    <r>
      <rPr>
        <b/>
        <sz val="12"/>
        <color theme="1"/>
        <rFont val="Times New Roman"/>
        <family val="1"/>
        <charset val="186"/>
      </rPr>
      <t>10. Elektroenerģijas nodoklis</t>
    </r>
    <r>
      <rPr>
        <sz val="12"/>
        <color theme="1"/>
        <rFont val="Times New Roman"/>
        <family val="1"/>
        <charset val="186"/>
      </rPr>
      <t xml:space="preserve">, </t>
    </r>
    <r>
      <rPr>
        <i/>
        <sz val="12"/>
        <color theme="1"/>
        <rFont val="Times New Roman"/>
        <family val="1"/>
        <charset val="186"/>
      </rPr>
      <t>EUR par MWh</t>
    </r>
  </si>
  <si>
    <r>
      <rPr>
        <b/>
        <sz val="12"/>
        <color theme="1"/>
        <rFont val="Times New Roman"/>
        <family val="1"/>
        <charset val="186"/>
      </rPr>
      <t>Electricity tax</t>
    </r>
    <r>
      <rPr>
        <sz val="12"/>
        <color theme="1"/>
        <rFont val="Times New Roman"/>
        <family val="1"/>
        <charset val="186"/>
      </rPr>
      <t xml:space="preserve">, </t>
    </r>
    <r>
      <rPr>
        <i/>
        <sz val="12"/>
        <color theme="1"/>
        <rFont val="Times New Roman"/>
        <family val="1"/>
        <charset val="186"/>
      </rPr>
      <t>EUR per MWh</t>
    </r>
  </si>
  <si>
    <r>
      <rPr>
        <b/>
        <sz val="12"/>
        <color theme="1"/>
        <rFont val="Times New Roman"/>
        <family val="1"/>
        <charset val="186"/>
      </rPr>
      <t>Subsidētās elektroenerģijas nodoklis</t>
    </r>
    <r>
      <rPr>
        <sz val="12"/>
        <color theme="1"/>
        <rFont val="Times New Roman"/>
        <family val="1"/>
        <charset val="186"/>
      </rPr>
      <t xml:space="preserve">, </t>
    </r>
    <r>
      <rPr>
        <i/>
        <sz val="12"/>
        <color theme="1"/>
        <rFont val="Times New Roman"/>
        <family val="1"/>
        <charset val="186"/>
      </rPr>
      <t>%</t>
    </r>
  </si>
  <si>
    <r>
      <rPr>
        <b/>
        <sz val="12"/>
        <color theme="1"/>
        <rFont val="Times New Roman"/>
        <family val="1"/>
        <charset val="186"/>
      </rPr>
      <t>Subsidized electricity tax</t>
    </r>
    <r>
      <rPr>
        <sz val="12"/>
        <color theme="1"/>
        <rFont val="Times New Roman"/>
        <family val="1"/>
        <charset val="186"/>
      </rPr>
      <t>, %</t>
    </r>
  </si>
  <si>
    <t xml:space="preserve">    - ko izmanto koģenerācijas stacijās</t>
  </si>
  <si>
    <t xml:space="preserve">    - of using natural gas co-generation plants</t>
  </si>
  <si>
    <t xml:space="preserve">    - ko izmanto atjaunojamo energoresursu stacijās</t>
  </si>
  <si>
    <t xml:space="preserve">    - of using renewable energy resources stations</t>
  </si>
  <si>
    <t xml:space="preserve">    - stacijās, kas nodrošina centralizētu siltumapgādi, ja nodokļu likme tieši ietekmē gala siltumapgādes tarifu lietotājus</t>
  </si>
  <si>
    <t xml:space="preserve">    - of stations that provide a centralized heat system and the tax rate has a direct impact on the final heat tariff users</t>
  </si>
  <si>
    <t>11. Dabas resursu nodoklis</t>
  </si>
  <si>
    <t>Natural resource tax</t>
  </si>
  <si>
    <r>
      <rPr>
        <b/>
        <sz val="11"/>
        <rFont val="Times New Roman"/>
        <family val="1"/>
        <charset val="186"/>
      </rPr>
      <t>Akmeņogles, kokss un brūnogles (</t>
    </r>
    <r>
      <rPr>
        <sz val="11"/>
        <rFont val="Times New Roman"/>
        <family val="1"/>
        <charset val="186"/>
      </rPr>
      <t xml:space="preserve">brūnogles), ja pavaddokumentā ir norādīta siltumspēja uz gigadžoulu / t
</t>
    </r>
  </si>
  <si>
    <t>0,30</t>
  </si>
  <si>
    <t>0,35</t>
  </si>
  <si>
    <t>0,36</t>
  </si>
  <si>
    <t>0,38</t>
  </si>
  <si>
    <r>
      <rPr>
        <b/>
        <sz val="10"/>
        <rFont val="Times New Roman"/>
        <family val="1"/>
        <charset val="186"/>
      </rPr>
      <t>Coal, coke and lignite (brown coal)</t>
    </r>
    <r>
      <rPr>
        <sz val="10"/>
        <rFont val="Times New Roman"/>
        <family val="1"/>
        <charset val="186"/>
      </rPr>
      <t>,</t>
    </r>
    <r>
      <rPr>
        <sz val="9"/>
        <rFont val="Times New Roman"/>
        <family val="1"/>
        <charset val="186"/>
      </rPr>
      <t xml:space="preserve"> if in the accompanying document has indicated calorific value</t>
    </r>
    <r>
      <rPr>
        <sz val="9"/>
        <color rgb="FF222222"/>
        <rFont val="Times New Roman"/>
        <family val="1"/>
        <charset val="186"/>
      </rPr>
      <t xml:space="preserve">, </t>
    </r>
    <r>
      <rPr>
        <i/>
        <sz val="9"/>
        <color rgb="FF222222"/>
        <rFont val="Times New Roman"/>
        <family val="1"/>
        <charset val="186"/>
      </rPr>
      <t>per gigajoule/ton</t>
    </r>
  </si>
  <si>
    <r>
      <rPr>
        <b/>
        <sz val="11"/>
        <color theme="1"/>
        <rFont val="Times New Roman"/>
        <family val="1"/>
        <charset val="186"/>
      </rPr>
      <t xml:space="preserve">Akmeņogles, kokss un brūnogles </t>
    </r>
    <r>
      <rPr>
        <sz val="11"/>
        <color theme="1"/>
        <rFont val="Times New Roman"/>
        <family val="1"/>
        <charset val="186"/>
      </rPr>
      <t>(brūnogles), ja pavaddokumentā nav norādīta siltumspēja uz tonnu</t>
    </r>
  </si>
  <si>
    <t>8,54</t>
  </si>
  <si>
    <t>9,80</t>
  </si>
  <si>
    <t>10,25</t>
  </si>
  <si>
    <t>10,65</t>
  </si>
  <si>
    <r>
      <rPr>
        <b/>
        <sz val="10"/>
        <rFont val="Times New Roman"/>
        <family val="1"/>
        <charset val="186"/>
      </rPr>
      <t>Coal, coke and lignite (brown coal),</t>
    </r>
    <r>
      <rPr>
        <sz val="10"/>
        <rFont val="Times New Roman"/>
        <family val="1"/>
        <charset val="186"/>
      </rPr>
      <t xml:space="preserve"> </t>
    </r>
    <r>
      <rPr>
        <sz val="9"/>
        <rFont val="Times New Roman"/>
        <family val="1"/>
        <charset val="186"/>
      </rPr>
      <t>if in the accompanying document has not indicated calorific value</t>
    </r>
    <r>
      <rPr>
        <sz val="9"/>
        <color rgb="FF222222"/>
        <rFont val="Times New Roman"/>
        <family val="1"/>
        <charset val="186"/>
      </rPr>
      <t xml:space="preserve">, </t>
    </r>
    <r>
      <rPr>
        <i/>
        <sz val="9"/>
        <color rgb="FF222222"/>
        <rFont val="Times New Roman"/>
        <family val="1"/>
        <charset val="186"/>
      </rPr>
      <t xml:space="preserve"> per ton</t>
    </r>
  </si>
  <si>
    <t>12. Izložu un azartspēļu nodoklis (IAN )</t>
  </si>
  <si>
    <t>Lotteries and Gambling Tax</t>
  </si>
  <si>
    <t>Azartspēļu nodoklis</t>
  </si>
  <si>
    <t>Gambling tax</t>
  </si>
  <si>
    <r>
      <t xml:space="preserve">    - Rulete,</t>
    </r>
    <r>
      <rPr>
        <i/>
        <sz val="11"/>
        <rFont val="Times New Roman"/>
        <family val="1"/>
        <charset val="186"/>
      </rPr>
      <t xml:space="preserve"> gadā par katru galdu</t>
    </r>
  </si>
  <si>
    <r>
      <rPr>
        <b/>
        <sz val="11"/>
        <color rgb="FFFF0000"/>
        <rFont val="Times New Roman"/>
        <family val="1"/>
        <charset val="186"/>
      </rPr>
      <t>15025,53</t>
    </r>
    <r>
      <rPr>
        <b/>
        <sz val="8"/>
        <color rgb="FFFF0000"/>
        <rFont val="Times New Roman"/>
        <family val="1"/>
        <charset val="186"/>
      </rPr>
      <t xml:space="preserve">
</t>
    </r>
    <r>
      <rPr>
        <sz val="8"/>
        <rFont val="Times New Roman"/>
        <family val="1"/>
        <charset val="186"/>
      </rPr>
      <t>(no 01.06.)</t>
    </r>
  </si>
  <si>
    <r>
      <rPr>
        <i/>
        <sz val="11"/>
        <color theme="1"/>
        <rFont val="Times New Roman"/>
        <family val="1"/>
        <charset val="186"/>
      </rPr>
      <t xml:space="preserve">Roulette, </t>
    </r>
    <r>
      <rPr>
        <sz val="11"/>
        <color theme="1"/>
        <rFont val="Times New Roman"/>
        <family val="1"/>
        <charset val="186"/>
      </rPr>
      <t>per year for each table</t>
    </r>
  </si>
  <si>
    <r>
      <t xml:space="preserve">    - Kāršu un kauliņu spēles, </t>
    </r>
    <r>
      <rPr>
        <i/>
        <sz val="11"/>
        <color theme="1"/>
        <rFont val="Times New Roman"/>
        <family val="1"/>
        <charset val="186"/>
      </rPr>
      <t>gadā par katru galdu</t>
    </r>
  </si>
  <si>
    <r>
      <rPr>
        <b/>
        <sz val="11"/>
        <color rgb="FFFF0000"/>
        <rFont val="Times New Roman"/>
        <family val="1"/>
        <charset val="186"/>
      </rPr>
      <t>15025,53</t>
    </r>
    <r>
      <rPr>
        <b/>
        <sz val="12"/>
        <color rgb="FFFF0000"/>
        <rFont val="Times New Roman"/>
        <family val="1"/>
        <charset val="186"/>
      </rPr>
      <t xml:space="preserve">
</t>
    </r>
    <r>
      <rPr>
        <sz val="8"/>
        <rFont val="Times New Roman"/>
        <family val="1"/>
        <charset val="186"/>
      </rPr>
      <t>(no 01.06.)</t>
    </r>
  </si>
  <si>
    <r>
      <t>Cards and dice games,</t>
    </r>
    <r>
      <rPr>
        <i/>
        <sz val="11"/>
        <color theme="1"/>
        <rFont val="Times New Roman"/>
        <family val="1"/>
        <charset val="186"/>
      </rPr>
      <t xml:space="preserve"> per year for each table</t>
    </r>
  </si>
  <si>
    <r>
      <t xml:space="preserve">    - Azartspēļu automāti, </t>
    </r>
    <r>
      <rPr>
        <i/>
        <sz val="11"/>
        <color theme="1"/>
        <rFont val="Times New Roman"/>
        <family val="1"/>
        <charset val="186"/>
      </rPr>
      <t>gadā par katra automāta katru spēles vietu</t>
    </r>
  </si>
  <si>
    <r>
      <rPr>
        <b/>
        <sz val="11"/>
        <color rgb="FFFF0000"/>
        <rFont val="Times New Roman"/>
        <family val="1"/>
        <charset val="186"/>
      </rPr>
      <t>2731,91</t>
    </r>
    <r>
      <rPr>
        <b/>
        <sz val="12"/>
        <color rgb="FFFF0000"/>
        <rFont val="Times New Roman"/>
        <family val="1"/>
        <charset val="186"/>
      </rPr>
      <t xml:space="preserve">
</t>
    </r>
    <r>
      <rPr>
        <sz val="8"/>
        <rFont val="Times New Roman"/>
        <family val="1"/>
        <charset val="186"/>
      </rPr>
      <t>(no 01.06.)</t>
    </r>
  </si>
  <si>
    <r>
      <t xml:space="preserve">Gaming machines, </t>
    </r>
    <r>
      <rPr>
        <i/>
        <sz val="11"/>
        <color theme="1"/>
        <rFont val="Times New Roman"/>
        <family val="1"/>
        <charset val="186"/>
      </rPr>
      <t>per year for each games machine site</t>
    </r>
  </si>
  <si>
    <r>
      <t xml:space="preserve">    - Veiksmes spēle pa tālruni, </t>
    </r>
    <r>
      <rPr>
        <i/>
        <sz val="11"/>
        <color theme="1"/>
        <rFont val="Times New Roman"/>
        <family val="1"/>
        <charset val="186"/>
      </rPr>
      <t>% no organizēšanas ieņēmumiem</t>
    </r>
  </si>
  <si>
    <r>
      <t xml:space="preserve">Game of chance via the telephone, </t>
    </r>
    <r>
      <rPr>
        <i/>
        <sz val="11"/>
        <color theme="1"/>
        <rFont val="Times New Roman"/>
        <family val="1"/>
        <charset val="186"/>
      </rPr>
      <t>% of income from the organization</t>
    </r>
  </si>
  <si>
    <r>
      <t xml:space="preserve">   - Totalizators un derības, </t>
    </r>
    <r>
      <rPr>
        <i/>
        <sz val="11"/>
        <color theme="1"/>
        <rFont val="Times New Roman"/>
        <family val="1"/>
        <charset val="186"/>
      </rPr>
      <t>% no organizēšanas ieņēmumiem</t>
    </r>
  </si>
  <si>
    <r>
      <t xml:space="preserve">Totalizator and betting, </t>
    </r>
    <r>
      <rPr>
        <i/>
        <sz val="11"/>
        <color theme="1"/>
        <rFont val="Times New Roman"/>
        <family val="1"/>
        <charset val="186"/>
      </rPr>
      <t>% of income from the organization</t>
    </r>
  </si>
  <si>
    <r>
      <t xml:space="preserve">   - Bingo,</t>
    </r>
    <r>
      <rPr>
        <i/>
        <sz val="11"/>
        <color theme="1"/>
        <rFont val="Times New Roman"/>
        <family val="1"/>
        <charset val="186"/>
      </rPr>
      <t xml:space="preserve"> % no organizēšanas ieņēmumiem</t>
    </r>
  </si>
  <si>
    <r>
      <t xml:space="preserve">Bingo, </t>
    </r>
    <r>
      <rPr>
        <i/>
        <sz val="11"/>
        <color theme="1"/>
        <rFont val="Times New Roman"/>
        <family val="1"/>
        <charset val="186"/>
      </rPr>
      <t>% of income from the organization</t>
    </r>
  </si>
  <si>
    <r>
      <t xml:space="preserve">   - Azartspēles izmantojot telekomunikācijas,</t>
    </r>
    <r>
      <rPr>
        <i/>
        <sz val="11"/>
        <color theme="1"/>
        <rFont val="Times New Roman"/>
        <family val="1"/>
        <charset val="186"/>
      </rPr>
      <t xml:space="preserve"> % no organizēšanas ieņēmumiem</t>
    </r>
  </si>
  <si>
    <r>
      <t>Gambling via telecommunications,</t>
    </r>
    <r>
      <rPr>
        <i/>
        <sz val="11"/>
        <color theme="1"/>
        <rFont val="Times New Roman"/>
        <family val="1"/>
        <charset val="186"/>
      </rPr>
      <t xml:space="preserve"> % of income from the organization</t>
    </r>
  </si>
  <si>
    <r>
      <t xml:space="preserve">Izložu nodoklis par izlozēm un momentloterijām, </t>
    </r>
    <r>
      <rPr>
        <sz val="11"/>
        <color theme="1"/>
        <rFont val="Times New Roman"/>
        <family val="1"/>
        <charset val="186"/>
      </rPr>
      <t>% no biļešu realizācijas ieņēmumiem:</t>
    </r>
  </si>
  <si>
    <r>
      <t>Lotteries tax on lotteries and moment lotteries,</t>
    </r>
    <r>
      <rPr>
        <sz val="11"/>
        <color theme="1"/>
        <rFont val="Times New Roman"/>
        <family val="1"/>
        <charset val="186"/>
      </rPr>
      <t xml:space="preserve"> </t>
    </r>
    <r>
      <rPr>
        <i/>
        <sz val="11"/>
        <color theme="1"/>
        <rFont val="Times New Roman"/>
        <family val="1"/>
        <charset val="186"/>
      </rPr>
      <t>% of ticket sales</t>
    </r>
  </si>
  <si>
    <t xml:space="preserve">       - Ja laimestu fonds ir līdz 60% no biļešu realizācijas ieņēmumiem, tad nodokļa bāze ir ieņēmumi no biļešu realizācijas</t>
  </si>
  <si>
    <t>If the prize fund is up to 60% of the ticket sales revenue, then the tax base is the ticket sales revenue</t>
  </si>
  <si>
    <t xml:space="preserve">     - Ja laimestu fonds pārsniedz 60% no biļešu realizācijas ieņēmumiem, tad nodokļa bāze ir biļešu realizācijas ieņēmumi, no kuriem atskaitīti izmaksai aprēķinātie laimesti</t>
  </si>
  <si>
    <t>If the prize fund is above 60% of the ticket sales revenue, then the tax base is the ticket sales revenue from which the prizes calculated for payment have been deducted</t>
  </si>
  <si>
    <r>
      <t xml:space="preserve">    - Interaktīvās izlozes</t>
    </r>
    <r>
      <rPr>
        <b/>
        <sz val="11"/>
        <color theme="1"/>
        <rFont val="Times New Roman"/>
        <family val="1"/>
        <charset val="186"/>
      </rPr>
      <t>,</t>
    </r>
    <r>
      <rPr>
        <sz val="11"/>
        <color theme="1"/>
        <rFont val="Times New Roman"/>
        <family val="1"/>
        <charset val="186"/>
      </rPr>
      <t xml:space="preserve"> nodokļa bāze ir biļešu realizācijas ieņēmumi, no kuriem atskaitīti izmaksātie laimesti</t>
    </r>
  </si>
  <si>
    <r>
      <rPr>
        <b/>
        <sz val="11"/>
        <color theme="1"/>
        <rFont val="Times New Roman"/>
        <family val="1"/>
        <charset val="186"/>
      </rPr>
      <t>Interactive lotteries</t>
    </r>
    <r>
      <rPr>
        <sz val="11"/>
        <color theme="1"/>
        <rFont val="Times New Roman"/>
        <family val="1"/>
        <charset val="186"/>
      </rPr>
      <t>, the tax base is the ticket sales revenue from which the paid prizes have been deducted</t>
    </r>
  </si>
  <si>
    <r>
      <t xml:space="preserve">Ģimenes valsts pabalsti </t>
    </r>
    <r>
      <rPr>
        <b/>
        <sz val="14"/>
        <color rgb="FFFF0000"/>
        <rFont val="Times New Roman"/>
        <family val="1"/>
        <charset val="186"/>
      </rPr>
      <t>LATVIJĀ</t>
    </r>
  </si>
  <si>
    <r>
      <t xml:space="preserve">State Family Benefits in </t>
    </r>
    <r>
      <rPr>
        <b/>
        <sz val="14"/>
        <color rgb="FFFF0000"/>
        <rFont val="Times New Roman"/>
        <family val="1"/>
        <charset val="186"/>
      </rPr>
      <t>LATVIA</t>
    </r>
  </si>
  <si>
    <r>
      <t xml:space="preserve">Ģimenes valsts pabalsts (ĢVP), </t>
    </r>
    <r>
      <rPr>
        <i/>
        <sz val="12"/>
        <color theme="1"/>
        <rFont val="Times New Roman"/>
        <family val="1"/>
        <charset val="186"/>
      </rPr>
      <t xml:space="preserve">EUR mēnesī  </t>
    </r>
  </si>
  <si>
    <r>
      <t>State Family benefit,</t>
    </r>
    <r>
      <rPr>
        <i/>
        <sz val="12"/>
        <color theme="1"/>
        <rFont val="Times New Roman"/>
        <family val="1"/>
        <charset val="186"/>
      </rPr>
      <t xml:space="preserve"> EUR per month</t>
    </r>
  </si>
  <si>
    <t xml:space="preserve">       - par 1.bērnu</t>
  </si>
  <si>
    <t xml:space="preserve">       - for the first child</t>
  </si>
  <si>
    <t xml:space="preserve">       - par 2.bērnu</t>
  </si>
  <si>
    <t xml:space="preserve">       - for the second child</t>
  </si>
  <si>
    <t xml:space="preserve">      - par 3.bērnu</t>
  </si>
  <si>
    <t xml:space="preserve">       - for the third child</t>
  </si>
  <si>
    <t xml:space="preserve">      - par 4.bērnu</t>
  </si>
  <si>
    <t xml:space="preserve">       - for the fourth child</t>
  </si>
  <si>
    <t xml:space="preserve">      - par 5.bērnu</t>
  </si>
  <si>
    <t xml:space="preserve">       - for the fifth child</t>
  </si>
  <si>
    <t xml:space="preserve">      - par 6.bērnu un katru nākamo bērnu</t>
  </si>
  <si>
    <t xml:space="preserve">       - for the sixth child and subsequent children</t>
  </si>
  <si>
    <t xml:space="preserve">     -  par bērnu ar invaliditāti</t>
  </si>
  <si>
    <r>
      <t xml:space="preserve">313,43
</t>
    </r>
    <r>
      <rPr>
        <b/>
        <sz val="8"/>
        <color rgb="FFFF0000"/>
        <rFont val="Times New Roman"/>
        <family val="1"/>
        <charset val="186"/>
      </rPr>
      <t>(no 01.07.)</t>
    </r>
  </si>
  <si>
    <t xml:space="preserve">       - for a disabled child</t>
  </si>
  <si>
    <r>
      <t xml:space="preserve">Piemaksa pie ģimenes valsts pabalsta, </t>
    </r>
    <r>
      <rPr>
        <i/>
        <sz val="12"/>
        <color theme="1"/>
        <rFont val="Times New Roman"/>
        <family val="1"/>
        <charset val="186"/>
      </rPr>
      <t xml:space="preserve">EUR mēnesī  </t>
    </r>
  </si>
  <si>
    <r>
      <t>Premium to State Family benefit,</t>
    </r>
    <r>
      <rPr>
        <i/>
        <sz val="12"/>
        <color theme="1"/>
        <rFont val="Times New Roman"/>
        <family val="1"/>
        <charset val="186"/>
      </rPr>
      <t xml:space="preserve"> EUR per month</t>
    </r>
  </si>
  <si>
    <t xml:space="preserve">       - par 2 bērniem</t>
  </si>
  <si>
    <t xml:space="preserve"> - for 2 children</t>
  </si>
  <si>
    <t xml:space="preserve">      - par 3 bērniem</t>
  </si>
  <si>
    <t xml:space="preserve">      - par katru nākamo bērnu</t>
  </si>
  <si>
    <t xml:space="preserve"> - for for each subsequent child</t>
  </si>
  <si>
    <t xml:space="preserve"> - for a disabled child</t>
  </si>
  <si>
    <r>
      <t xml:space="preserve">Nodokļu likmes </t>
    </r>
    <r>
      <rPr>
        <b/>
        <sz val="14"/>
        <color rgb="FF0070C0"/>
        <rFont val="Times New Roman"/>
        <family val="1"/>
        <charset val="186"/>
      </rPr>
      <t>IGAUNIJĀ</t>
    </r>
  </si>
  <si>
    <t>1 EUR = EEK</t>
  </si>
  <si>
    <r>
      <t xml:space="preserve">Tax Rates in </t>
    </r>
    <r>
      <rPr>
        <b/>
        <sz val="14"/>
        <color rgb="FF0070C0"/>
        <rFont val="Times New Roman"/>
        <family val="1"/>
        <charset val="186"/>
      </rPr>
      <t>ESTONIA</t>
    </r>
  </si>
  <si>
    <t xml:space="preserve">                              EEK mēnesī</t>
  </si>
  <si>
    <t xml:space="preserve">                                 EEK per month</t>
  </si>
  <si>
    <t>Iedzīvotāju ienākuma nodoklis (IIN)</t>
  </si>
  <si>
    <t>Likme kapitālam un kapitāla pieaugumam (dividendes)</t>
  </si>
  <si>
    <t>Tax rate for capital and capital gains (dividends)</t>
  </si>
  <si>
    <t xml:space="preserve">                                                EEK mēnesī</t>
  </si>
  <si>
    <t xml:space="preserve">                                         EEK per month</t>
  </si>
  <si>
    <r>
      <rPr>
        <b/>
        <sz val="11"/>
        <color theme="1"/>
        <rFont val="Times New Roman"/>
        <family val="1"/>
        <charset val="186"/>
      </rPr>
      <t>Diferencētais neapliekamais minimums,</t>
    </r>
    <r>
      <rPr>
        <i/>
        <sz val="11"/>
        <color theme="1"/>
        <rFont val="Times New Roman"/>
        <family val="1"/>
        <charset val="186"/>
      </rPr>
      <t xml:space="preserve"> EUR mēnesī</t>
    </r>
  </si>
  <si>
    <r>
      <rPr>
        <b/>
        <sz val="11"/>
        <color theme="1"/>
        <rFont val="Times New Roman"/>
        <family val="1"/>
        <charset val="186"/>
      </rPr>
      <t>Differentiated non-taxable minimum</t>
    </r>
    <r>
      <rPr>
        <i/>
        <sz val="11"/>
        <color theme="1"/>
        <rFont val="Times New Roman"/>
        <family val="1"/>
        <charset val="186"/>
      </rPr>
      <t>, EUR per month</t>
    </r>
  </si>
  <si>
    <t xml:space="preserve">        Formula</t>
  </si>
  <si>
    <r>
      <t>DNM = NM</t>
    </r>
    <r>
      <rPr>
        <i/>
        <vertAlign val="subscript"/>
        <sz val="10"/>
        <rFont val="Times New Roman"/>
        <family val="1"/>
        <charset val="186"/>
      </rPr>
      <t>min</t>
    </r>
    <r>
      <rPr>
        <i/>
        <sz val="10"/>
        <rFont val="Times New Roman"/>
        <family val="1"/>
        <charset val="186"/>
      </rPr>
      <t>-NM</t>
    </r>
    <r>
      <rPr>
        <i/>
        <vertAlign val="subscript"/>
        <sz val="10"/>
        <rFont val="Times New Roman"/>
        <family val="1"/>
        <charset val="186"/>
      </rPr>
      <t>min</t>
    </r>
    <r>
      <rPr>
        <i/>
        <sz val="10"/>
        <rFont val="Times New Roman"/>
        <family val="1"/>
        <charset val="186"/>
      </rPr>
      <t>÷10 800 × (Income amount–AI</t>
    </r>
    <r>
      <rPr>
        <i/>
        <vertAlign val="subscript"/>
        <sz val="10"/>
        <rFont val="Times New Roman"/>
        <family val="1"/>
        <charset val="186"/>
      </rPr>
      <t>min</t>
    </r>
    <r>
      <rPr>
        <i/>
        <sz val="10"/>
        <rFont val="Times New Roman"/>
        <family val="1"/>
        <charset val="186"/>
      </rPr>
      <t>)</t>
    </r>
  </si>
  <si>
    <r>
      <rPr>
        <b/>
        <sz val="11"/>
        <color theme="1"/>
        <rFont val="Times New Roman"/>
        <family val="1"/>
        <charset val="186"/>
      </rPr>
      <t>Neapliekamais minimums pensionāriem (papildus līdz 2017)</t>
    </r>
    <r>
      <rPr>
        <sz val="11"/>
        <color theme="1"/>
        <rFont val="Times New Roman"/>
        <family val="1"/>
        <charset val="186"/>
      </rPr>
      <t xml:space="preserve">, </t>
    </r>
    <r>
      <rPr>
        <i/>
        <sz val="11"/>
        <color theme="1"/>
        <rFont val="Times New Roman"/>
        <family val="1"/>
        <charset val="186"/>
      </rPr>
      <t>EUR mēnesī</t>
    </r>
  </si>
  <si>
    <r>
      <t xml:space="preserve">Non-taxable minimum for pensioners (additional till 2017), </t>
    </r>
    <r>
      <rPr>
        <i/>
        <sz val="11"/>
        <color rgb="FF000000"/>
        <rFont val="Times New Roman"/>
        <family val="1"/>
        <charset val="186"/>
      </rPr>
      <t>EUR per month</t>
    </r>
  </si>
  <si>
    <t xml:space="preserve">                                                                          EEK mēnesī</t>
  </si>
  <si>
    <t xml:space="preserve">                                                                     EEK per month</t>
  </si>
  <si>
    <r>
      <rPr>
        <b/>
        <sz val="11"/>
        <color theme="1"/>
        <rFont val="Times New Roman"/>
        <family val="1"/>
        <charset val="186"/>
      </rPr>
      <t>Atvieglojums par bērniem</t>
    </r>
    <r>
      <rPr>
        <b/>
        <i/>
        <sz val="11"/>
        <color theme="1"/>
        <rFont val="Times New Roman"/>
        <family val="1"/>
        <charset val="186"/>
      </rPr>
      <t xml:space="preserve"> </t>
    </r>
    <r>
      <rPr>
        <i/>
        <sz val="11"/>
        <color rgb="FFFF0000"/>
        <rFont val="Times New Roman"/>
        <family val="1"/>
        <charset val="186"/>
      </rPr>
      <t>(no otrā bērna)</t>
    </r>
    <r>
      <rPr>
        <sz val="11"/>
        <color theme="1"/>
        <rFont val="Times New Roman"/>
        <family val="1"/>
        <charset val="186"/>
      </rPr>
      <t xml:space="preserve">, </t>
    </r>
    <r>
      <rPr>
        <i/>
        <sz val="11"/>
        <color theme="1"/>
        <rFont val="Times New Roman"/>
        <family val="1"/>
        <charset val="186"/>
      </rPr>
      <t>EUR mēnesī</t>
    </r>
  </si>
  <si>
    <r>
      <rPr>
        <b/>
        <sz val="11"/>
        <color theme="1"/>
        <rFont val="Times New Roman"/>
        <family val="1"/>
        <charset val="186"/>
      </rPr>
      <t>Allowance for children</t>
    </r>
    <r>
      <rPr>
        <i/>
        <sz val="11"/>
        <color rgb="FFFF0000"/>
        <rFont val="Times New Roman"/>
        <family val="1"/>
        <charset val="186"/>
      </rPr>
      <t xml:space="preserve"> (from second child), </t>
    </r>
    <r>
      <rPr>
        <i/>
        <sz val="11"/>
        <color theme="1"/>
        <rFont val="Times New Roman"/>
        <family val="1"/>
        <charset val="186"/>
      </rPr>
      <t>EUR per month</t>
    </r>
  </si>
  <si>
    <t xml:space="preserve"> - sākot ar trešo bērnu </t>
  </si>
  <si>
    <t>Allowance for children EUR per month (starting from the third child)</t>
  </si>
  <si>
    <r>
      <t xml:space="preserve">Atvieglojums kompensācijas gadījumā par nelaimes gadījumu darbā vai arodslimību, </t>
    </r>
    <r>
      <rPr>
        <i/>
        <sz val="11"/>
        <color theme="1"/>
        <rFont val="Times New Roman"/>
        <family val="1"/>
        <charset val="186"/>
      </rPr>
      <t>EUR mēnesī</t>
    </r>
  </si>
  <si>
    <r>
      <t xml:space="preserve">Allowance in the event of compensation for accident at work or occupational disease, </t>
    </r>
    <r>
      <rPr>
        <i/>
        <sz val="11"/>
        <color theme="1"/>
        <rFont val="Times New Roman"/>
        <family val="1"/>
        <charset val="186"/>
      </rPr>
      <t>EUR per month</t>
    </r>
  </si>
  <si>
    <t xml:space="preserve">                                                         EEK mēnesī</t>
  </si>
  <si>
    <t xml:space="preserve">                                       EEK per month</t>
  </si>
  <si>
    <r>
      <t xml:space="preserve">Attaisnotie izdevumi </t>
    </r>
    <r>
      <rPr>
        <i/>
        <sz val="11"/>
        <rFont val="Times New Roman"/>
        <family val="1"/>
        <charset val="186"/>
      </rPr>
      <t/>
    </r>
  </si>
  <si>
    <r>
      <t xml:space="preserve">Eligible expenses </t>
    </r>
    <r>
      <rPr>
        <i/>
        <sz val="11"/>
        <color rgb="FF000000"/>
        <rFont val="Times New Roman"/>
        <family val="1"/>
        <charset val="186"/>
      </rPr>
      <t>:</t>
    </r>
  </si>
  <si>
    <r>
      <t xml:space="preserve">    - par izglītību, ziedojumiem labdarībai un hipotēku procentiem, </t>
    </r>
    <r>
      <rPr>
        <i/>
        <sz val="11"/>
        <rFont val="Times New Roman"/>
        <family val="1"/>
        <charset val="186"/>
      </rPr>
      <t>nepārsniedz euro un nepārsniedz % no gada ar nodokli apliekamā ienākuma</t>
    </r>
  </si>
  <si>
    <r>
      <t>3196,58</t>
    </r>
    <r>
      <rPr>
        <b/>
        <sz val="11"/>
        <rFont val="Times New Roman"/>
        <family val="1"/>
        <charset val="186"/>
      </rPr>
      <t xml:space="preserve"> </t>
    </r>
    <r>
      <rPr>
        <sz val="11"/>
        <rFont val="Times New Roman"/>
        <family val="1"/>
        <charset val="186"/>
      </rPr>
      <t>EUR gadā, bet ne vairāk kā 50% no apliekamā ienākuma (</t>
    </r>
    <r>
      <rPr>
        <b/>
        <sz val="11"/>
        <color rgb="FFFF0000"/>
        <rFont val="Times New Roman"/>
        <family val="1"/>
        <charset val="186"/>
      </rPr>
      <t>3,196.58</t>
    </r>
    <r>
      <rPr>
        <sz val="11"/>
        <rFont val="Times New Roman"/>
        <family val="1"/>
        <charset val="186"/>
      </rPr>
      <t xml:space="preserve"> EUR a year, but not more than 50% of the taxable income)</t>
    </r>
  </si>
  <si>
    <r>
      <t xml:space="preserve">1920 </t>
    </r>
    <r>
      <rPr>
        <sz val="11"/>
        <rFont val="Times New Roman"/>
        <family val="1"/>
        <charset val="186"/>
      </rPr>
      <t>EUR gadā, bet ne vairāk kā 50% no apliekamā ienākuma (</t>
    </r>
    <r>
      <rPr>
        <b/>
        <sz val="11"/>
        <color rgb="FF0070C0"/>
        <rFont val="Times New Roman"/>
        <family val="1"/>
        <charset val="186"/>
      </rPr>
      <t>1920</t>
    </r>
    <r>
      <rPr>
        <sz val="11"/>
        <rFont val="Times New Roman"/>
        <family val="1"/>
        <charset val="186"/>
      </rPr>
      <t xml:space="preserve"> EUR a year, but not more than 50% of the taxable income)</t>
    </r>
  </si>
  <si>
    <r>
      <t xml:space="preserve">1200 </t>
    </r>
    <r>
      <rPr>
        <sz val="11"/>
        <rFont val="Times New Roman"/>
        <family val="1"/>
        <charset val="186"/>
      </rPr>
      <t>EUR gadā, bet ne vairāk kā 50% no apliekamā ienākuma (</t>
    </r>
    <r>
      <rPr>
        <b/>
        <sz val="11"/>
        <color rgb="FF0070C0"/>
        <rFont val="Times New Roman"/>
        <family val="1"/>
        <charset val="186"/>
      </rPr>
      <t>1200</t>
    </r>
    <r>
      <rPr>
        <sz val="11"/>
        <rFont val="Times New Roman"/>
        <family val="1"/>
        <charset val="186"/>
      </rPr>
      <t xml:space="preserve"> EUR a year, but not more than 50% of the taxable income)</t>
    </r>
  </si>
  <si>
    <r>
      <t xml:space="preserve">  -</t>
    </r>
    <r>
      <rPr>
        <sz val="11"/>
        <color rgb="FF000000"/>
        <rFont val="Times New Roman"/>
        <family val="1"/>
        <charset val="186"/>
      </rPr>
      <t xml:space="preserve"> for education, charitable donations and mortgage interest</t>
    </r>
    <r>
      <rPr>
        <i/>
        <sz val="11"/>
        <color rgb="FF000000"/>
        <rFont val="Times New Roman"/>
        <family val="1"/>
        <charset val="186"/>
      </rPr>
      <t>, not exceeding euro and no more % of the annual taxable income;</t>
    </r>
  </si>
  <si>
    <t xml:space="preserve">                    EEK gadā </t>
  </si>
  <si>
    <t xml:space="preserve">       EEK per year</t>
  </si>
  <si>
    <r>
      <t xml:space="preserve">   - brīvprātīgas pensiju iemaksas III pīlārā,</t>
    </r>
    <r>
      <rPr>
        <i/>
        <sz val="11"/>
        <rFont val="Times New Roman"/>
        <family val="1"/>
        <charset val="186"/>
      </rPr>
      <t xml:space="preserve"> nepārsniedz euro un nepārsniedz % no gada ar nodokli apliekamā ienākuma</t>
    </r>
  </si>
  <si>
    <r>
      <t xml:space="preserve">6000 </t>
    </r>
    <r>
      <rPr>
        <sz val="11"/>
        <rFont val="Times New Roman"/>
        <family val="1"/>
        <charset val="186"/>
      </rPr>
      <t>EUR gadā, bet ne vairāk kā 50% no apliekamā ienākuma (</t>
    </r>
    <r>
      <rPr>
        <b/>
        <sz val="11"/>
        <color rgb="FFFF0000"/>
        <rFont val="Times New Roman"/>
        <family val="1"/>
        <charset val="186"/>
      </rPr>
      <t>6000</t>
    </r>
    <r>
      <rPr>
        <sz val="11"/>
        <rFont val="Times New Roman"/>
        <family val="1"/>
        <charset val="186"/>
      </rPr>
      <t xml:space="preserve"> EUR a year, but not more than 50% of the taxable income)</t>
    </r>
  </si>
  <si>
    <r>
      <t xml:space="preserve">    - </t>
    </r>
    <r>
      <rPr>
        <sz val="11"/>
        <color rgb="FF000000"/>
        <rFont val="Times New Roman"/>
        <family val="1"/>
        <charset val="186"/>
      </rPr>
      <t>voluntary pension contributions on III pillar</t>
    </r>
    <r>
      <rPr>
        <i/>
        <sz val="11"/>
        <color rgb="FF000000"/>
        <rFont val="Times New Roman"/>
        <family val="1"/>
        <charset val="186"/>
      </rPr>
      <t>, not more than % of taxable income and no more than euros per year per person</t>
    </r>
  </si>
  <si>
    <t xml:space="preserve">   -obligātās sociālās apdrošināšanas iemaksas (iemaksas obligātajā fondētajā pensijā un ieturētās bezdarba apdrošināšanas prēmijas)</t>
  </si>
  <si>
    <t>?</t>
  </si>
  <si>
    <t>pilnībā atskaitāms (fully deductible)</t>
  </si>
  <si>
    <r>
      <t xml:space="preserve">     -mandatory social security contributions</t>
    </r>
    <r>
      <rPr>
        <i/>
        <sz val="11"/>
        <color rgb="FF000000"/>
        <rFont val="Times New Roman"/>
        <family val="1"/>
        <charset val="186"/>
      </rPr>
      <t xml:space="preserve"> (contributions to a mandatory funded pension and unemployment insurance premiums withheld)</t>
    </r>
  </si>
  <si>
    <t>Valsts sociālās apdrošināšanas obligātās iemaksas (VSAOI)</t>
  </si>
  <si>
    <t xml:space="preserve">   Sociālais nodoklis</t>
  </si>
  <si>
    <t xml:space="preserve">   Social tax </t>
  </si>
  <si>
    <t xml:space="preserve">  Citi sociālie maksājumi</t>
  </si>
  <si>
    <t xml:space="preserve">   Other social security contributions</t>
  </si>
  <si>
    <r>
      <t xml:space="preserve">  Kopējās sociālās apdrošināšanas iemaksas, </t>
    </r>
    <r>
      <rPr>
        <i/>
        <sz val="11"/>
        <color theme="1"/>
        <rFont val="Times New Roman"/>
        <family val="1"/>
        <charset val="186"/>
      </rPr>
      <t>no tām:</t>
    </r>
  </si>
  <si>
    <r>
      <t xml:space="preserve">   Total social security contributions,</t>
    </r>
    <r>
      <rPr>
        <i/>
        <sz val="11"/>
        <color theme="1"/>
        <rFont val="Times New Roman"/>
        <family val="1"/>
        <charset val="186"/>
      </rPr>
      <t xml:space="preserve"> of which:</t>
    </r>
  </si>
  <si>
    <t xml:space="preserve"> (no 01.06.)    </t>
  </si>
  <si>
    <r>
      <t xml:space="preserve">      - </t>
    </r>
    <r>
      <rPr>
        <b/>
        <sz val="11"/>
        <color theme="1"/>
        <rFont val="Times New Roman"/>
        <family val="1"/>
        <charset val="186"/>
      </rPr>
      <t xml:space="preserve">darba devēja likme, </t>
    </r>
    <r>
      <rPr>
        <i/>
        <sz val="11"/>
        <color theme="1"/>
        <rFont val="Times New Roman"/>
        <family val="1"/>
        <charset val="186"/>
      </rPr>
      <t>no tās:</t>
    </r>
  </si>
  <si>
    <r>
      <t xml:space="preserve">      - </t>
    </r>
    <r>
      <rPr>
        <b/>
        <sz val="11"/>
        <color theme="1"/>
        <rFont val="Times New Roman"/>
        <family val="1"/>
        <charset val="186"/>
      </rPr>
      <t>employer rate</t>
    </r>
    <r>
      <rPr>
        <sz val="11"/>
        <color theme="1"/>
        <rFont val="Times New Roman"/>
        <family val="1"/>
        <charset val="186"/>
      </rPr>
      <t xml:space="preserve">, </t>
    </r>
    <r>
      <rPr>
        <i/>
        <sz val="11"/>
        <color theme="1"/>
        <rFont val="Times New Roman"/>
        <family val="1"/>
        <charset val="186"/>
      </rPr>
      <t>of which:</t>
    </r>
  </si>
  <si>
    <t xml:space="preserve">         - pensiju apdrošināšanas fonds (sociālais nodoklis)</t>
  </si>
  <si>
    <t xml:space="preserve">           - pension insurance fund (social tax)</t>
  </si>
  <si>
    <t xml:space="preserve">        - II pīlāra pensiju fonds (sociālais nodoklis)</t>
  </si>
  <si>
    <t xml:space="preserve">          - II pillar pension fund (social tax)</t>
  </si>
  <si>
    <t xml:space="preserve">       - veselības apdrošināšana (sociālais nodoklis)</t>
  </si>
  <si>
    <t xml:space="preserve">          - health insurance (social tax)</t>
  </si>
  <si>
    <r>
      <t xml:space="preserve">      - bezdarba apdrošināšanas maksājums </t>
    </r>
    <r>
      <rPr>
        <i/>
        <sz val="10"/>
        <color rgb="FFE42202"/>
        <rFont val="Times New Roman"/>
        <family val="1"/>
        <charset val="186"/>
      </rPr>
      <t>(NAV soc.nodoklis)</t>
    </r>
  </si>
  <si>
    <t xml:space="preserve">         - unemployment insurance payment (not social tax)</t>
  </si>
  <si>
    <r>
      <t xml:space="preserve">      - darba ņēmēja likme, </t>
    </r>
    <r>
      <rPr>
        <i/>
        <sz val="11"/>
        <color theme="1"/>
        <rFont val="Times New Roman"/>
        <family val="1"/>
        <charset val="186"/>
      </rPr>
      <t>no tās:</t>
    </r>
  </si>
  <si>
    <r>
      <t xml:space="preserve">      - </t>
    </r>
    <r>
      <rPr>
        <b/>
        <sz val="11"/>
        <color theme="1"/>
        <rFont val="Times New Roman"/>
        <family val="1"/>
        <charset val="186"/>
      </rPr>
      <t xml:space="preserve">employee rate, </t>
    </r>
    <r>
      <rPr>
        <i/>
        <sz val="11"/>
        <color theme="1"/>
        <rFont val="Times New Roman"/>
        <family val="1"/>
        <charset val="186"/>
      </rPr>
      <t>of which:</t>
    </r>
  </si>
  <si>
    <r>
      <t xml:space="preserve">      - bezdarba apdrošināšanas maksājums  </t>
    </r>
    <r>
      <rPr>
        <i/>
        <sz val="10"/>
        <color rgb="FFE42202"/>
        <rFont val="Times New Roman"/>
        <family val="1"/>
        <charset val="186"/>
      </rPr>
      <t>(NAV soc.nodoklis)</t>
    </r>
  </si>
  <si>
    <r>
      <t xml:space="preserve">        - iemaksas II pensiju pīlārā </t>
    </r>
    <r>
      <rPr>
        <i/>
        <sz val="10"/>
        <color rgb="FFE42202"/>
        <rFont val="Times New Roman"/>
        <family val="1"/>
        <charset val="186"/>
      </rPr>
      <t xml:space="preserve"> (NAV soc.nodoklis)</t>
    </r>
  </si>
  <si>
    <t xml:space="preserve">          - contributions to II pension pillar (not social tax)</t>
  </si>
  <si>
    <r>
      <rPr>
        <b/>
        <sz val="11"/>
        <color theme="1"/>
        <rFont val="Times New Roman"/>
        <family val="1"/>
        <charset val="186"/>
      </rPr>
      <t>Pašnodarbinātās personas</t>
    </r>
    <r>
      <rPr>
        <sz val="11"/>
        <color theme="1"/>
        <rFont val="Times New Roman"/>
        <family val="1"/>
        <charset val="186"/>
      </rPr>
      <t xml:space="preserve"> VSAOI</t>
    </r>
    <r>
      <rPr>
        <b/>
        <sz val="11"/>
        <color theme="1"/>
        <rFont val="Times New Roman"/>
        <family val="1"/>
        <charset val="186"/>
      </rPr>
      <t xml:space="preserve"> likme</t>
    </r>
  </si>
  <si>
    <t xml:space="preserve">SSC rate for self employed </t>
  </si>
  <si>
    <r>
      <rPr>
        <b/>
        <sz val="11"/>
        <color theme="1"/>
        <rFont val="Times New Roman"/>
        <family val="1"/>
        <charset val="186"/>
      </rPr>
      <t>VSAOI bāze</t>
    </r>
    <r>
      <rPr>
        <sz val="11"/>
        <color theme="1"/>
        <rFont val="Times New Roman"/>
        <family val="1"/>
        <charset val="186"/>
      </rPr>
      <t xml:space="preserve">, </t>
    </r>
    <r>
      <rPr>
        <i/>
        <sz val="11"/>
        <color theme="1"/>
        <rFont val="Times New Roman"/>
        <family val="1"/>
        <charset val="186"/>
      </rPr>
      <t>EUR mēnesī</t>
    </r>
  </si>
  <si>
    <t>Minimum SSC base (monthly)</t>
  </si>
  <si>
    <r>
      <rPr>
        <b/>
        <sz val="11"/>
        <color theme="1"/>
        <rFont val="Times New Roman"/>
        <family val="1"/>
        <charset val="186"/>
      </rPr>
      <t>VSAOI minimālie ienākumi</t>
    </r>
    <r>
      <rPr>
        <sz val="11"/>
        <color theme="1"/>
        <rFont val="Times New Roman"/>
        <family val="1"/>
        <charset val="186"/>
      </rPr>
      <t xml:space="preserve">, </t>
    </r>
    <r>
      <rPr>
        <i/>
        <sz val="11"/>
        <color theme="1"/>
        <rFont val="Times New Roman"/>
        <family val="1"/>
        <charset val="186"/>
      </rPr>
      <t>EUR gadā</t>
    </r>
  </si>
  <si>
    <t xml:space="preserve">                                                      EEK gadā</t>
  </si>
  <si>
    <t xml:space="preserve">                                                            EEK per month</t>
  </si>
  <si>
    <r>
      <rPr>
        <b/>
        <sz val="11"/>
        <color theme="1"/>
        <rFont val="Times New Roman"/>
        <family val="1"/>
        <charset val="186"/>
      </rPr>
      <t>VSAOI minimālais apmērs</t>
    </r>
    <r>
      <rPr>
        <sz val="11"/>
        <color theme="1"/>
        <rFont val="Times New Roman"/>
        <family val="1"/>
        <charset val="186"/>
      </rPr>
      <t>,</t>
    </r>
    <r>
      <rPr>
        <i/>
        <sz val="11"/>
        <color theme="1"/>
        <rFont val="Times New Roman"/>
        <family val="1"/>
        <charset val="186"/>
      </rPr>
      <t xml:space="preserve"> EUR mēnesī</t>
    </r>
  </si>
  <si>
    <r>
      <t xml:space="preserve">Minimum obligation for SSC tax, </t>
    </r>
    <r>
      <rPr>
        <i/>
        <sz val="11"/>
        <rFont val="Times New Roman"/>
        <family val="1"/>
        <charset val="186"/>
      </rPr>
      <t>EUR per month</t>
    </r>
  </si>
  <si>
    <r>
      <rPr>
        <b/>
        <sz val="11"/>
        <color theme="1"/>
        <rFont val="Times New Roman"/>
        <family val="1"/>
        <charset val="186"/>
      </rPr>
      <t>VSAOI maksimālais apmērs</t>
    </r>
    <r>
      <rPr>
        <sz val="11"/>
        <color theme="1"/>
        <rFont val="Times New Roman"/>
        <family val="1"/>
        <charset val="186"/>
      </rPr>
      <t xml:space="preserve">, </t>
    </r>
    <r>
      <rPr>
        <i/>
        <sz val="11"/>
        <color theme="1"/>
        <rFont val="Times New Roman"/>
        <family val="1"/>
        <charset val="186"/>
      </rPr>
      <t>EUR gadā</t>
    </r>
  </si>
  <si>
    <t>Uzņēmumu ienākuma nodoklis (UIN)</t>
  </si>
  <si>
    <t>20%/14%</t>
  </si>
  <si>
    <t>26/74</t>
  </si>
  <si>
    <t>24/76</t>
  </si>
  <si>
    <t>23/77</t>
  </si>
  <si>
    <t>22/78</t>
  </si>
  <si>
    <t>21/79</t>
  </si>
  <si>
    <t>Nodoklis mikrouzņēmējam:</t>
  </si>
  <si>
    <t>20/40</t>
  </si>
  <si>
    <t>Tax for micro entrepreneur:</t>
  </si>
  <si>
    <t xml:space="preserve">     - ienākumi līdz 25 000 EUR gadā</t>
  </si>
  <si>
    <t xml:space="preserve">  -  income up to 25 000 EUR per year</t>
  </si>
  <si>
    <t xml:space="preserve">     - ienākumi pārsniedz EUR 25 000 gadā</t>
  </si>
  <si>
    <t xml:space="preserve">  -  income exceeding 25 000 EUR per year</t>
  </si>
  <si>
    <t>Pievienotās vērtības nodoklis (PVN)</t>
  </si>
  <si>
    <r>
      <rPr>
        <b/>
        <sz val="11"/>
        <color theme="1"/>
        <rFont val="Times New Roman"/>
        <family val="1"/>
        <charset val="186"/>
      </rPr>
      <t>Samazinātās likmes</t>
    </r>
    <r>
      <rPr>
        <sz val="11"/>
        <color theme="1"/>
        <rFont val="Times New Roman"/>
        <family val="1"/>
        <charset val="186"/>
      </rPr>
      <t xml:space="preserve">, </t>
    </r>
    <r>
      <rPr>
        <i/>
        <sz val="11"/>
        <color theme="1"/>
        <rFont val="Times New Roman"/>
        <family val="1"/>
        <charset val="186"/>
      </rPr>
      <t>t.sk.:</t>
    </r>
  </si>
  <si>
    <t>9%/5%</t>
  </si>
  <si>
    <r>
      <t>Reduced rates,</t>
    </r>
    <r>
      <rPr>
        <i/>
        <sz val="11"/>
        <rFont val="Times New Roman"/>
        <family val="1"/>
        <charset val="186"/>
      </rPr>
      <t xml:space="preserve"> including:</t>
    </r>
  </si>
  <si>
    <t xml:space="preserve">      - medicīnas iekārtas un medikamenti</t>
  </si>
  <si>
    <t xml:space="preserve">     - medical devices and pharmaceuticals</t>
  </si>
  <si>
    <t xml:space="preserve">     - medicīnas iekārtas invalīdiem un to remonts</t>
  </si>
  <si>
    <t xml:space="preserve">     - medical devices and technical aid intended for the personal use of disabled persons</t>
  </si>
  <si>
    <t xml:space="preserve">     - grāmatas, ko izmanto kā mācību materiālus un grāmatas </t>
  </si>
  <si>
    <t xml:space="preserve">     - workbooks used as learning material and books</t>
  </si>
  <si>
    <t xml:space="preserve">  - elektroniskām grāmatām un audio grāmatām</t>
  </si>
  <si>
    <r>
      <rPr>
        <b/>
        <sz val="11"/>
        <color rgb="FFFF0000"/>
        <rFont val="Times New Roman"/>
        <family val="1"/>
        <charset val="186"/>
      </rPr>
      <t>9%</t>
    </r>
    <r>
      <rPr>
        <sz val="11"/>
        <rFont val="Times New Roman"/>
        <family val="1"/>
        <charset val="186"/>
      </rPr>
      <t xml:space="preserve">
(01.05.)</t>
    </r>
  </si>
  <si>
    <r>
      <t xml:space="preserve">   </t>
    </r>
    <r>
      <rPr>
        <sz val="9.9"/>
        <rFont val="Times New Roman"/>
        <family val="1"/>
        <charset val="186"/>
      </rPr>
      <t xml:space="preserve">-  </t>
    </r>
    <r>
      <rPr>
        <sz val="11"/>
        <rFont val="Times New Roman"/>
        <family val="1"/>
        <charset val="186"/>
      </rPr>
      <t>electronic books and audio books</t>
    </r>
  </si>
  <si>
    <t xml:space="preserve">     - laikraksti un periodiskie izdevumi (izņemot reklāmas vai personiskos sludinājumus, vai publikācijas, kuru saturs galvenokārt irerotisks vai pornogrāfisks)</t>
  </si>
  <si>
    <r>
      <t>9%/</t>
    </r>
    <r>
      <rPr>
        <b/>
        <sz val="11"/>
        <color rgb="FFFF0000"/>
        <rFont val="Times New Roman"/>
        <family val="1"/>
        <charset val="186"/>
      </rPr>
      <t>5%</t>
    </r>
    <r>
      <rPr>
        <sz val="11"/>
        <rFont val="Times New Roman"/>
        <family val="1"/>
        <charset val="186"/>
      </rPr>
      <t xml:space="preserve"> (1.08)</t>
    </r>
  </si>
  <si>
    <t xml:space="preserve">     - newspapers and periodicals (excluding publications mainly containing advertisements or personal announcements, or publications of content which is mainly erotic or pornographic)</t>
  </si>
  <si>
    <t xml:space="preserve">  - elektroniskām publikācijām (laikrakstiem, periodiskiem izdevumiem)</t>
  </si>
  <si>
    <r>
      <t>9% /</t>
    </r>
    <r>
      <rPr>
        <b/>
        <sz val="11"/>
        <color rgb="FFFF0000"/>
        <rFont val="Times New Roman"/>
        <family val="1"/>
        <charset val="186"/>
      </rPr>
      <t xml:space="preserve">5% </t>
    </r>
    <r>
      <rPr>
        <sz val="11"/>
        <rFont val="Times New Roman"/>
        <family val="1"/>
        <charset val="186"/>
      </rPr>
      <t xml:space="preserve"> (1.08)</t>
    </r>
  </si>
  <si>
    <r>
      <rPr>
        <sz val="9.9"/>
        <rFont val="Times New Roman"/>
        <family val="1"/>
        <charset val="186"/>
      </rPr>
      <t xml:space="preserve">- </t>
    </r>
    <r>
      <rPr>
        <sz val="11"/>
        <rFont val="Times New Roman"/>
        <family val="1"/>
        <charset val="186"/>
      </rPr>
      <t xml:space="preserve">electronic publications (newspapers, periodicals) </t>
    </r>
  </si>
  <si>
    <t xml:space="preserve">     - darbības ar bīstamiem atkritumiem</t>
  </si>
  <si>
    <t xml:space="preserve">    - hazardous waste</t>
  </si>
  <si>
    <t xml:space="preserve">    - apbedīšanas piederumi un pakalpojumi</t>
  </si>
  <si>
    <t xml:space="preserve">    - pašvaldību vai valsts operas, koncerti un izstādes </t>
  </si>
  <si>
    <t xml:space="preserve">    - cinema and sport event tickets</t>
  </si>
  <si>
    <r>
      <rPr>
        <b/>
        <sz val="11"/>
        <color theme="1"/>
        <rFont val="Times New Roman"/>
        <family val="1"/>
        <charset val="186"/>
      </rPr>
      <t xml:space="preserve"> PVN maksātāju reģistrācijas slieksnis </t>
    </r>
    <r>
      <rPr>
        <i/>
        <sz val="11"/>
        <color theme="1"/>
        <rFont val="Times New Roman"/>
        <family val="1"/>
        <charset val="186"/>
      </rPr>
      <t>(darījumu vērtība 12 mēnešiem), EUR</t>
    </r>
  </si>
  <si>
    <r>
      <t xml:space="preserve">VAT payer registration threshold </t>
    </r>
    <r>
      <rPr>
        <i/>
        <sz val="11"/>
        <color theme="1"/>
        <rFont val="Times New Roman"/>
        <family val="1"/>
        <charset val="186"/>
      </rPr>
      <t>(transaction value of 12 months), EUR</t>
    </r>
  </si>
  <si>
    <t xml:space="preserve">                                                                         EEK</t>
  </si>
  <si>
    <t xml:space="preserve">                                                               EEK</t>
  </si>
  <si>
    <t>Nekustamā īpašuma nodoklis (NĪN )</t>
  </si>
  <si>
    <t xml:space="preserve">    - zemei </t>
  </si>
  <si>
    <t>0,1-2,5%</t>
  </si>
  <si>
    <t>0,1-1,0%</t>
  </si>
  <si>
    <t xml:space="preserve">    - land </t>
  </si>
  <si>
    <t>Akcīzes nodoklis (AN )</t>
  </si>
  <si>
    <r>
      <t xml:space="preserve">   </t>
    </r>
    <r>
      <rPr>
        <b/>
        <sz val="11"/>
        <color theme="1"/>
        <rFont val="Times New Roman"/>
        <family val="1"/>
        <charset val="186"/>
      </rPr>
      <t xml:space="preserve"> Unleaded Petrol</t>
    </r>
    <r>
      <rPr>
        <sz val="11"/>
        <color theme="1"/>
        <rFont val="Times New Roman"/>
        <family val="1"/>
        <charset val="186"/>
      </rPr>
      <t xml:space="preserve">, </t>
    </r>
    <r>
      <rPr>
        <i/>
        <sz val="11"/>
        <color theme="1"/>
        <rFont val="Times New Roman"/>
        <family val="1"/>
        <charset val="186"/>
      </rPr>
      <t>EUR per 1000 liters</t>
    </r>
  </si>
  <si>
    <t>(no 01.02.)</t>
  </si>
  <si>
    <t xml:space="preserve">                                       EEK par 1000 litriem</t>
  </si>
  <si>
    <t xml:space="preserve">                                  EEK per 1000 liters</t>
  </si>
  <si>
    <t xml:space="preserve">                                                EEK par 1000 litriem</t>
  </si>
  <si>
    <t xml:space="preserve">                                EEK per 1000 liters</t>
  </si>
  <si>
    <r>
      <t xml:space="preserve">     </t>
    </r>
    <r>
      <rPr>
        <b/>
        <sz val="11"/>
        <color theme="1"/>
        <rFont val="Times New Roman"/>
        <family val="1"/>
        <charset val="186"/>
      </rPr>
      <t>Benzīns ar etilspirtu, abs.sp. 70 - 85%</t>
    </r>
    <r>
      <rPr>
        <sz val="11"/>
        <color theme="1"/>
        <rFont val="Times New Roman"/>
        <family val="1"/>
        <charset val="186"/>
      </rPr>
      <t xml:space="preserve">, </t>
    </r>
    <r>
      <rPr>
        <i/>
        <sz val="11"/>
        <color theme="1"/>
        <rFont val="Times New Roman"/>
        <family val="1"/>
        <charset val="186"/>
      </rPr>
      <t>EUR par 1000 litriem</t>
    </r>
  </si>
  <si>
    <r>
      <rPr>
        <b/>
        <sz val="11"/>
        <color theme="1"/>
        <rFont val="Times New Roman"/>
        <family val="1"/>
        <charset val="186"/>
      </rPr>
      <t>Petrol and ethyl alcohol blend, absol. alcohol content in the final product 70 - 85%</t>
    </r>
    <r>
      <rPr>
        <i/>
        <sz val="11"/>
        <color theme="1"/>
        <rFont val="Times New Roman"/>
        <family val="1"/>
        <charset val="186"/>
      </rPr>
      <t>, EUR per 1000 liters</t>
    </r>
  </si>
  <si>
    <r>
      <t xml:space="preserve">493
</t>
    </r>
    <r>
      <rPr>
        <b/>
        <sz val="11"/>
        <color rgb="FFFF0000"/>
        <rFont val="Times New Roman"/>
        <family val="1"/>
        <charset val="186"/>
      </rPr>
      <t xml:space="preserve">372 </t>
    </r>
  </si>
  <si>
    <r>
      <t xml:space="preserve">399 
</t>
    </r>
    <r>
      <rPr>
        <sz val="9"/>
        <rFont val="Times New Roman"/>
        <family val="1"/>
        <charset val="186"/>
      </rPr>
      <t>(01.05)</t>
    </r>
  </si>
  <si>
    <t>(01.05.)</t>
  </si>
  <si>
    <t xml:space="preserve">                               EEK par 1000 litriem</t>
  </si>
  <si>
    <t xml:space="preserve">                                         EEK per 1000 liters</t>
  </si>
  <si>
    <t xml:space="preserve">                        EEK par 1000 litriem</t>
  </si>
  <si>
    <t xml:space="preserve">                        EEK per 1000 liters</t>
  </si>
  <si>
    <t xml:space="preserve">                               EEK par 1000 kg</t>
  </si>
  <si>
    <t xml:space="preserve">                                                              EEK per 1000 kg</t>
  </si>
  <si>
    <r>
      <rPr>
        <b/>
        <sz val="11"/>
        <color rgb="FFFF0000"/>
        <rFont val="Times New Roman"/>
        <family val="1"/>
        <charset val="186"/>
      </rPr>
      <t>55,0</t>
    </r>
    <r>
      <rPr>
        <b/>
        <sz val="11"/>
        <rFont val="Times New Roman"/>
        <family val="1"/>
        <charset val="186"/>
      </rPr>
      <t xml:space="preserve">
(01.05.)</t>
    </r>
  </si>
  <si>
    <r>
      <t xml:space="preserve">65,01 
</t>
    </r>
    <r>
      <rPr>
        <sz val="9"/>
        <rFont val="Times New Roman"/>
        <family val="1"/>
        <charset val="186"/>
      </rPr>
      <t>(01.05)</t>
    </r>
  </si>
  <si>
    <t xml:space="preserve">                                            EEK par 1000 kg</t>
  </si>
  <si>
    <t xml:space="preserve">                                 EEK per 1000 kg</t>
  </si>
  <si>
    <r>
      <t xml:space="preserve">  Dīzeļdegviela, </t>
    </r>
    <r>
      <rPr>
        <strike/>
        <sz val="11"/>
        <color theme="1"/>
        <rFont val="Times New Roman"/>
        <family val="1"/>
        <charset val="186"/>
      </rPr>
      <t>degvieleļļa un petroleja,</t>
    </r>
    <r>
      <rPr>
        <sz val="11"/>
        <color theme="1"/>
        <rFont val="Times New Roman"/>
        <family val="1"/>
        <charset val="186"/>
      </rPr>
      <t xml:space="preserve"> kuru izmanto kā kurināmo,</t>
    </r>
    <r>
      <rPr>
        <i/>
        <sz val="11"/>
        <color theme="1"/>
        <rFont val="Times New Roman"/>
        <family val="1"/>
        <charset val="186"/>
      </rPr>
      <t xml:space="preserve"> EUR par 1000 litriem</t>
    </r>
  </si>
  <si>
    <r>
      <t xml:space="preserve">399 
</t>
    </r>
    <r>
      <rPr>
        <sz val="8"/>
        <rFont val="Times New Roman"/>
        <family val="1"/>
        <charset val="186"/>
      </rPr>
      <t>(01.05)</t>
    </r>
  </si>
  <si>
    <r>
      <t xml:space="preserve">    </t>
    </r>
    <r>
      <rPr>
        <b/>
        <sz val="11"/>
        <rFont val="Times New Roman"/>
        <family val="1"/>
        <charset val="186"/>
      </rPr>
      <t>Diesel fuel used for heating</t>
    </r>
    <r>
      <rPr>
        <sz val="11"/>
        <rFont val="Times New Roman"/>
        <family val="1"/>
        <charset val="186"/>
      </rPr>
      <t xml:space="preserve">, </t>
    </r>
    <r>
      <rPr>
        <i/>
        <sz val="11"/>
        <rFont val="Times New Roman"/>
        <family val="1"/>
        <charset val="186"/>
      </rPr>
      <t>EUR per 1000 liters</t>
    </r>
  </si>
  <si>
    <t xml:space="preserve">                   EEK par 1000 litriem</t>
  </si>
  <si>
    <t xml:space="preserve"> EEK per 1000 liters</t>
  </si>
  <si>
    <r>
      <t xml:space="preserve">    </t>
    </r>
    <r>
      <rPr>
        <b/>
        <sz val="11"/>
        <color theme="1"/>
        <rFont val="Times New Roman"/>
        <family val="1"/>
        <charset val="186"/>
      </rPr>
      <t>Dīzeļdegviela lauksaimniecibai,</t>
    </r>
    <r>
      <rPr>
        <b/>
        <strike/>
        <sz val="11"/>
        <color theme="1"/>
        <rFont val="Times New Roman"/>
        <family val="1"/>
        <charset val="186"/>
      </rPr>
      <t xml:space="preserve"> dārzniecībai, zivsjsaimniecībai</t>
    </r>
    <r>
      <rPr>
        <strike/>
        <sz val="11"/>
        <color theme="1"/>
        <rFont val="Times New Roman"/>
        <family val="1"/>
        <charset val="186"/>
      </rPr>
      <t xml:space="preserve">, </t>
    </r>
    <r>
      <rPr>
        <i/>
        <sz val="11"/>
        <color theme="1"/>
        <rFont val="Times New Roman"/>
        <family val="1"/>
        <charset val="186"/>
      </rPr>
      <t>EUR par 1000 litriem (profesionālā zvejniecība ir atbrīvota no akc.nod.)</t>
    </r>
  </si>
  <si>
    <r>
      <t xml:space="preserve">133
</t>
    </r>
    <r>
      <rPr>
        <b/>
        <sz val="11"/>
        <color rgb="FFFF0000"/>
        <rFont val="Times New Roman"/>
        <family val="1"/>
        <charset val="186"/>
      </rPr>
      <t xml:space="preserve"> 100</t>
    </r>
  </si>
  <si>
    <r>
      <t>100/</t>
    </r>
    <r>
      <rPr>
        <b/>
        <sz val="11"/>
        <color rgb="FFFF0000"/>
        <rFont val="Times New Roman"/>
        <family val="1"/>
        <charset val="186"/>
      </rPr>
      <t>21</t>
    </r>
    <r>
      <rPr>
        <b/>
        <sz val="11"/>
        <rFont val="Times New Roman"/>
        <family val="1"/>
        <charset val="186"/>
      </rPr>
      <t xml:space="preserve"> </t>
    </r>
    <r>
      <rPr>
        <sz val="9"/>
        <rFont val="Times New Roman"/>
        <family val="1"/>
        <charset val="186"/>
      </rPr>
      <t>(no 01.06.)</t>
    </r>
  </si>
  <si>
    <r>
      <t xml:space="preserve">    </t>
    </r>
    <r>
      <rPr>
        <b/>
        <sz val="11"/>
        <rFont val="Times New Roman"/>
        <family val="1"/>
        <charset val="186"/>
      </rPr>
      <t>Gas oil for agriculture,</t>
    </r>
    <r>
      <rPr>
        <sz val="11"/>
        <rFont val="Times New Roman"/>
        <family val="1"/>
        <charset val="186"/>
      </rPr>
      <t xml:space="preserve"> </t>
    </r>
    <r>
      <rPr>
        <i/>
        <sz val="11"/>
        <rFont val="Times New Roman"/>
        <family val="1"/>
        <charset val="186"/>
      </rPr>
      <t xml:space="preserve">EUR per 1000 liters  (professional fishing is exempted from excise) </t>
    </r>
  </si>
  <si>
    <t xml:space="preserve">                                EEK par 1000 litriem</t>
  </si>
  <si>
    <t>EEK per 1000 liters</t>
  </si>
  <si>
    <r>
      <t xml:space="preserve">    </t>
    </r>
    <r>
      <rPr>
        <b/>
        <sz val="11"/>
        <color theme="1"/>
        <rFont val="Times New Roman"/>
        <family val="1"/>
        <charset val="186"/>
      </rPr>
      <t>Alus</t>
    </r>
    <r>
      <rPr>
        <sz val="11"/>
        <color theme="1"/>
        <rFont val="Times New Roman"/>
        <family val="1"/>
        <charset val="186"/>
      </rPr>
      <t xml:space="preserve">, </t>
    </r>
    <r>
      <rPr>
        <i/>
        <sz val="11"/>
        <color theme="1"/>
        <rFont val="Times New Roman"/>
        <family val="1"/>
        <charset val="186"/>
      </rPr>
      <t>EUR par katru absolūtā spirta tilp. %</t>
    </r>
    <r>
      <rPr>
        <sz val="11"/>
        <color theme="1"/>
        <rFont val="Times New Roman"/>
        <family val="1"/>
        <charset val="186"/>
      </rPr>
      <t>,</t>
    </r>
    <r>
      <rPr>
        <i/>
        <sz val="11"/>
        <color theme="1"/>
        <rFont val="Times New Roman"/>
        <family val="1"/>
        <charset val="186"/>
      </rPr>
      <t xml:space="preserve"> par 100 litriem</t>
    </r>
  </si>
  <si>
    <t xml:space="preserve">               EEK par katru absolūtā spirta tilp. %</t>
  </si>
  <si>
    <t xml:space="preserve">                EEK per each per cent of absolute alcohol by volume</t>
  </si>
  <si>
    <r>
      <t xml:space="preserve">              Minimālā likme, </t>
    </r>
    <r>
      <rPr>
        <i/>
        <sz val="10"/>
        <color theme="1"/>
        <rFont val="Times New Roman"/>
        <family val="1"/>
        <charset val="186"/>
      </rPr>
      <t>EUR par 100 litriem</t>
    </r>
  </si>
  <si>
    <r>
      <t xml:space="preserve">                Minimum rate, </t>
    </r>
    <r>
      <rPr>
        <i/>
        <sz val="10"/>
        <color theme="1"/>
        <rFont val="Times New Roman"/>
        <family val="1"/>
        <charset val="186"/>
      </rPr>
      <t>EUR per 100 liters</t>
    </r>
  </si>
  <si>
    <t xml:space="preserve">                                        EEK par 100 litriem</t>
  </si>
  <si>
    <t xml:space="preserve">                                        EEK per 100 liters</t>
  </si>
  <si>
    <r>
      <t xml:space="preserve">    </t>
    </r>
    <r>
      <rPr>
        <b/>
        <sz val="11"/>
        <color theme="1"/>
        <rFont val="Times New Roman"/>
        <family val="1"/>
        <charset val="186"/>
      </rPr>
      <t>Mazo alus darītāju alus,</t>
    </r>
    <r>
      <rPr>
        <i/>
        <sz val="11"/>
        <color theme="1"/>
        <rFont val="Times New Roman"/>
        <family val="1"/>
        <charset val="186"/>
      </rPr>
      <t xml:space="preserve"> EUR par katru absolūtā spirta tilp. %</t>
    </r>
    <r>
      <rPr>
        <sz val="11"/>
        <color theme="1"/>
        <rFont val="Times New Roman"/>
        <family val="1"/>
        <charset val="186"/>
      </rPr>
      <t xml:space="preserve">, </t>
    </r>
    <r>
      <rPr>
        <i/>
        <sz val="11"/>
        <color theme="1"/>
        <rFont val="Times New Roman"/>
        <family val="1"/>
        <charset val="186"/>
      </rPr>
      <t>par 100 litriem</t>
    </r>
  </si>
  <si>
    <r>
      <t xml:space="preserve">  </t>
    </r>
    <r>
      <rPr>
        <b/>
        <sz val="11"/>
        <color theme="1"/>
        <rFont val="Times New Roman"/>
        <family val="1"/>
        <charset val="186"/>
      </rPr>
      <t xml:space="preserve">  Small brewery beer</t>
    </r>
    <r>
      <rPr>
        <sz val="11"/>
        <color theme="1"/>
        <rFont val="Times New Roman"/>
        <family val="1"/>
        <charset val="186"/>
      </rPr>
      <t xml:space="preserve">, </t>
    </r>
    <r>
      <rPr>
        <i/>
        <sz val="11"/>
        <color theme="1"/>
        <rFont val="Times New Roman"/>
        <family val="1"/>
        <charset val="186"/>
      </rPr>
      <t>EUR per each per cent of absolute alcohol by volume</t>
    </r>
    <r>
      <rPr>
        <sz val="11"/>
        <color theme="1"/>
        <rFont val="Times New Roman"/>
        <family val="1"/>
        <charset val="186"/>
      </rPr>
      <t xml:space="preserve">, </t>
    </r>
    <r>
      <rPr>
        <i/>
        <sz val="11"/>
        <color theme="1"/>
        <rFont val="Times New Roman"/>
        <family val="1"/>
        <charset val="186"/>
      </rPr>
      <t>per 100 litres</t>
    </r>
  </si>
  <si>
    <t xml:space="preserve">                                                 EEK par katru absolūtā spirta tilp. %</t>
  </si>
  <si>
    <t xml:space="preserve">                                         EEk per each liter of absolute alcohol</t>
  </si>
  <si>
    <r>
      <t xml:space="preserve">     </t>
    </r>
    <r>
      <rPr>
        <b/>
        <sz val="11"/>
        <color theme="1"/>
        <rFont val="Times New Roman"/>
        <family val="1"/>
        <charset val="186"/>
      </rPr>
      <t>Vīns un raudzētie dzērieni (līdz 6 absolūtā spirta tilpum%)</t>
    </r>
    <r>
      <rPr>
        <sz val="11"/>
        <color theme="1"/>
        <rFont val="Times New Roman"/>
        <family val="1"/>
        <charset val="186"/>
      </rPr>
      <t>,</t>
    </r>
    <r>
      <rPr>
        <i/>
        <sz val="11"/>
        <color theme="1"/>
        <rFont val="Times New Roman"/>
        <family val="1"/>
        <charset val="186"/>
      </rPr>
      <t xml:space="preserve"> EUR par 1000 litriem</t>
    </r>
  </si>
  <si>
    <r>
      <t xml:space="preserve">    </t>
    </r>
    <r>
      <rPr>
        <b/>
        <sz val="11"/>
        <color theme="1"/>
        <rFont val="Times New Roman"/>
        <family val="1"/>
        <charset val="186"/>
      </rPr>
      <t>Wine and fermented beverages (with an absolute alcohol content up to 6% vol),</t>
    </r>
    <r>
      <rPr>
        <i/>
        <sz val="11"/>
        <color theme="1"/>
        <rFont val="Times New Roman"/>
        <family val="1"/>
        <charset val="186"/>
      </rPr>
      <t xml:space="preserve"> EUR per 100 liters</t>
    </r>
  </si>
  <si>
    <t xml:space="preserve"> (01.07.)</t>
  </si>
  <si>
    <t xml:space="preserve">      EEK par 100 litriem</t>
  </si>
  <si>
    <t xml:space="preserve">                EEK per 100 liters</t>
  </si>
  <si>
    <r>
      <t xml:space="preserve">     </t>
    </r>
    <r>
      <rPr>
        <b/>
        <sz val="11"/>
        <color theme="1"/>
        <rFont val="Times New Roman"/>
        <family val="1"/>
        <charset val="186"/>
      </rPr>
      <t>Vīns un raudzētie dzērieni (virs 6 absolūtā spirta tilpum%)</t>
    </r>
    <r>
      <rPr>
        <sz val="11"/>
        <color theme="1"/>
        <rFont val="Times New Roman"/>
        <family val="1"/>
        <charset val="186"/>
      </rPr>
      <t>,</t>
    </r>
    <r>
      <rPr>
        <i/>
        <sz val="11"/>
        <color theme="1"/>
        <rFont val="Times New Roman"/>
        <family val="1"/>
        <charset val="186"/>
      </rPr>
      <t xml:space="preserve"> EUR par 1000 litriem</t>
    </r>
  </si>
  <si>
    <r>
      <t xml:space="preserve">    </t>
    </r>
    <r>
      <rPr>
        <b/>
        <sz val="11"/>
        <color theme="1"/>
        <rFont val="Times New Roman"/>
        <family val="1"/>
        <charset val="186"/>
      </rPr>
      <t>Wine and fermented beverages (with an absolute alcohol content above 6% vol),</t>
    </r>
    <r>
      <rPr>
        <i/>
        <sz val="11"/>
        <color theme="1"/>
        <rFont val="Times New Roman"/>
        <family val="1"/>
        <charset val="186"/>
      </rPr>
      <t xml:space="preserve"> EUR per 100 liters</t>
    </r>
  </si>
  <si>
    <r>
      <t xml:space="preserve">   </t>
    </r>
    <r>
      <rPr>
        <b/>
        <sz val="11"/>
        <color theme="1"/>
        <rFont val="Times New Roman"/>
        <family val="1"/>
        <charset val="186"/>
      </rPr>
      <t xml:space="preserve"> Starpprodukti</t>
    </r>
    <r>
      <rPr>
        <sz val="11"/>
        <color theme="1"/>
        <rFont val="Times New Roman"/>
        <family val="1"/>
        <charset val="186"/>
      </rPr>
      <t>,</t>
    </r>
    <r>
      <rPr>
        <i/>
        <sz val="11"/>
        <color theme="1"/>
        <rFont val="Times New Roman"/>
        <family val="1"/>
        <charset val="186"/>
      </rPr>
      <t xml:space="preserve"> EUR par 100 litriem </t>
    </r>
  </si>
  <si>
    <r>
      <t xml:space="preserve">     </t>
    </r>
    <r>
      <rPr>
        <b/>
        <sz val="11"/>
        <color theme="1"/>
        <rFont val="Times New Roman"/>
        <family val="1"/>
        <charset val="186"/>
      </rPr>
      <t>Intermediate products</t>
    </r>
    <r>
      <rPr>
        <sz val="11"/>
        <color theme="1"/>
        <rFont val="Times New Roman"/>
        <family val="1"/>
        <charset val="186"/>
      </rPr>
      <t>,</t>
    </r>
    <r>
      <rPr>
        <i/>
        <sz val="11"/>
        <color theme="1"/>
        <rFont val="Times New Roman"/>
        <family val="1"/>
        <charset val="186"/>
      </rPr>
      <t xml:space="preserve"> EUR per 100 liters</t>
    </r>
  </si>
  <si>
    <t xml:space="preserve">                              EEK par 100 litriem</t>
  </si>
  <si>
    <t xml:space="preserve">                                              EEK per 100 liters</t>
  </si>
  <si>
    <t xml:space="preserve">     EEk par 100 litriem absolūtā spirta </t>
  </si>
  <si>
    <t xml:space="preserve">                           EEK per 100 liters of absolute alcohol</t>
  </si>
  <si>
    <t xml:space="preserve">                                         EEK par 1000 gab.</t>
  </si>
  <si>
    <t xml:space="preserve">                                               EEK per 1000 units</t>
  </si>
  <si>
    <r>
      <t xml:space="preserve">   </t>
    </r>
    <r>
      <rPr>
        <b/>
        <sz val="11"/>
        <color theme="1"/>
        <rFont val="Times New Roman"/>
        <family val="1"/>
        <charset val="186"/>
      </rPr>
      <t xml:space="preserve"> Cigāri</t>
    </r>
    <r>
      <rPr>
        <i/>
        <sz val="11"/>
        <color theme="1"/>
        <rFont val="Times New Roman"/>
        <family val="1"/>
        <charset val="186"/>
      </rPr>
      <t>, EUR par 1000 gab.</t>
    </r>
  </si>
  <si>
    <r>
      <t xml:space="preserve">    </t>
    </r>
    <r>
      <rPr>
        <b/>
        <sz val="11"/>
        <color theme="1"/>
        <rFont val="Times New Roman"/>
        <family val="1"/>
        <charset val="186"/>
      </rPr>
      <t>Cigars</t>
    </r>
    <r>
      <rPr>
        <i/>
        <sz val="11"/>
        <color theme="1"/>
        <rFont val="Times New Roman"/>
        <family val="1"/>
        <charset val="186"/>
      </rPr>
      <t>, EUR per 1000 units</t>
    </r>
  </si>
  <si>
    <t xml:space="preserve">                  EEK par 1000 gab.</t>
  </si>
  <si>
    <t xml:space="preserve">+10%  </t>
  </si>
  <si>
    <t xml:space="preserve">                  EEK per 1000 units</t>
  </si>
  <si>
    <t xml:space="preserve">         -  minimālā likme, EUR par 1000 gab.</t>
  </si>
  <si>
    <r>
      <t xml:space="preserve">   </t>
    </r>
    <r>
      <rPr>
        <b/>
        <sz val="11"/>
        <color theme="1"/>
        <rFont val="Times New Roman"/>
        <family val="1"/>
        <charset val="186"/>
      </rPr>
      <t>Cigarillas</t>
    </r>
    <r>
      <rPr>
        <i/>
        <sz val="11"/>
        <color theme="1"/>
        <rFont val="Times New Roman"/>
        <family val="1"/>
        <charset val="186"/>
      </rPr>
      <t>, EUR par 1000 gab.</t>
    </r>
  </si>
  <si>
    <r>
      <t xml:space="preserve">    </t>
    </r>
    <r>
      <rPr>
        <b/>
        <sz val="11"/>
        <color theme="1"/>
        <rFont val="Times New Roman"/>
        <family val="1"/>
        <charset val="186"/>
      </rPr>
      <t>Cigarillos</t>
    </r>
    <r>
      <rPr>
        <i/>
        <sz val="11"/>
        <color theme="1"/>
        <rFont val="Times New Roman"/>
        <family val="1"/>
        <charset val="186"/>
      </rPr>
      <t>, EUR per 1000 units</t>
    </r>
  </si>
  <si>
    <t xml:space="preserve">                        EEK par 1000 gab.</t>
  </si>
  <si>
    <t xml:space="preserve">                         EEK per 1000 units</t>
  </si>
  <si>
    <r>
      <t xml:space="preserve">   </t>
    </r>
    <r>
      <rPr>
        <b/>
        <sz val="11"/>
        <color theme="1"/>
        <rFont val="Times New Roman"/>
        <family val="1"/>
        <charset val="186"/>
      </rPr>
      <t xml:space="preserve"> Smēķējamā tabaka</t>
    </r>
    <r>
      <rPr>
        <i/>
        <sz val="11"/>
        <color theme="1"/>
        <rFont val="Times New Roman"/>
        <family val="1"/>
        <charset val="186"/>
      </rPr>
      <t>, EUR par 1 kg.</t>
    </r>
  </si>
  <si>
    <r>
      <t xml:space="preserve">    </t>
    </r>
    <r>
      <rPr>
        <b/>
        <sz val="11"/>
        <color theme="1"/>
        <rFont val="Times New Roman"/>
        <family val="1"/>
        <charset val="186"/>
      </rPr>
      <t>Smoking tobacco,</t>
    </r>
    <r>
      <rPr>
        <i/>
        <sz val="11"/>
        <color theme="1"/>
        <rFont val="Times New Roman"/>
        <family val="1"/>
        <charset val="186"/>
      </rPr>
      <t xml:space="preserve"> EUR per 1 kg</t>
    </r>
  </si>
  <si>
    <t xml:space="preserve">                                        EEK par 1 kg.</t>
  </si>
  <si>
    <t xml:space="preserve">                                                                EEK per 1 kg.</t>
  </si>
  <si>
    <r>
      <t xml:space="preserve">Cietais tabakas aizstājējs </t>
    </r>
    <r>
      <rPr>
        <sz val="10"/>
        <rFont val="Times New Roman"/>
        <family val="1"/>
        <charset val="186"/>
      </rPr>
      <t>(t.sk. karsējamā tabaka un nikotīna spilventiņi (piem."white snus")),</t>
    </r>
    <r>
      <rPr>
        <i/>
        <sz val="10"/>
        <rFont val="Times New Roman"/>
        <family val="1"/>
        <charset val="186"/>
      </rPr>
      <t xml:space="preserve"> euro par 1 kg</t>
    </r>
  </si>
  <si>
    <r>
      <t xml:space="preserve"> Solid tobacco substitute </t>
    </r>
    <r>
      <rPr>
        <sz val="10"/>
        <rFont val="Times New Roman"/>
        <family val="1"/>
        <charset val="186"/>
      </rPr>
      <t xml:space="preserve">(including heated tobacco and Nicotine pads (such as "white snus")), </t>
    </r>
    <r>
      <rPr>
        <i/>
        <sz val="10"/>
        <rFont val="Times New Roman"/>
        <family val="1"/>
        <charset val="186"/>
      </rPr>
      <t>euro per 1 kg</t>
    </r>
  </si>
  <si>
    <r>
      <t xml:space="preserve">    </t>
    </r>
    <r>
      <rPr>
        <b/>
        <sz val="11"/>
        <color theme="1"/>
        <rFont val="Times New Roman"/>
        <family val="1"/>
        <charset val="186"/>
      </rPr>
      <t xml:space="preserve">  Elektroniskajās smēķēšanas ierīcēs izmantojamais šķidrums un tā sagatavošanas sastāvdaļas,</t>
    </r>
    <r>
      <rPr>
        <i/>
        <sz val="11"/>
        <color theme="1"/>
        <rFont val="Times New Roman"/>
        <family val="1"/>
        <charset val="186"/>
      </rPr>
      <t xml:space="preserve"> EUR par 1 mililitru šķidruma  un 1 miligramu nikotīna</t>
    </r>
  </si>
  <si>
    <r>
      <t xml:space="preserve">-
</t>
    </r>
    <r>
      <rPr>
        <sz val="11"/>
        <color rgb="FF0070C0"/>
        <rFont val="Times New Roman"/>
        <family val="1"/>
        <charset val="186"/>
      </rPr>
      <t>(01.04.)</t>
    </r>
  </si>
  <si>
    <t>Not taxed until 31.12.22</t>
  </si>
  <si>
    <r>
      <t xml:space="preserve">   </t>
    </r>
    <r>
      <rPr>
        <b/>
        <sz val="11"/>
        <color theme="1"/>
        <rFont val="Times New Roman"/>
        <family val="1"/>
        <charset val="186"/>
      </rPr>
      <t>Liquid for use in electronic smoking devices and components for its preparation</t>
    </r>
    <r>
      <rPr>
        <i/>
        <sz val="11"/>
        <color theme="1"/>
        <rFont val="Times New Roman"/>
        <family val="1"/>
        <charset val="186"/>
      </rPr>
      <t>, EUR per 1 millilitre and 1 milligram nicotine</t>
    </r>
  </si>
  <si>
    <r>
      <t xml:space="preserve">      - kā degvielu, </t>
    </r>
    <r>
      <rPr>
        <i/>
        <sz val="11"/>
        <color theme="1"/>
        <rFont val="Times New Roman"/>
        <family val="1"/>
        <charset val="186"/>
      </rPr>
      <t>EUR par 1000 m</t>
    </r>
    <r>
      <rPr>
        <i/>
        <vertAlign val="superscript"/>
        <sz val="11"/>
        <color theme="1"/>
        <rFont val="Times New Roman"/>
        <family val="1"/>
        <charset val="186"/>
      </rPr>
      <t xml:space="preserve">3 </t>
    </r>
  </si>
  <si>
    <r>
      <t xml:space="preserve">47,32
</t>
    </r>
    <r>
      <rPr>
        <b/>
        <sz val="11"/>
        <color rgb="FFFF0000"/>
        <rFont val="Times New Roman"/>
        <family val="1"/>
        <charset val="186"/>
      </rPr>
      <t>40,0</t>
    </r>
    <r>
      <rPr>
        <b/>
        <sz val="8"/>
        <color rgb="FFFF0000"/>
        <rFont val="Times New Roman"/>
        <family val="1"/>
        <charset val="186"/>
      </rPr>
      <t xml:space="preserve"> </t>
    </r>
    <r>
      <rPr>
        <sz val="8"/>
        <rFont val="Times New Roman"/>
        <family val="1"/>
        <charset val="186"/>
      </rPr>
      <t>(01.05.)</t>
    </r>
  </si>
  <si>
    <r>
      <t xml:space="preserve">41,83 
</t>
    </r>
    <r>
      <rPr>
        <sz val="9"/>
        <rFont val="Times New Roman"/>
        <family val="1"/>
        <charset val="186"/>
      </rPr>
      <t>(01.05)</t>
    </r>
  </si>
  <si>
    <r>
      <t xml:space="preserve">     - as propellant, </t>
    </r>
    <r>
      <rPr>
        <i/>
        <sz val="11"/>
        <color theme="1"/>
        <rFont val="Times New Roman"/>
        <family val="1"/>
        <charset val="186"/>
      </rPr>
      <t>EUR per 1000 m</t>
    </r>
    <r>
      <rPr>
        <i/>
        <vertAlign val="superscript"/>
        <sz val="11"/>
        <color theme="1"/>
        <rFont val="Times New Roman"/>
        <family val="1"/>
        <charset val="186"/>
      </rPr>
      <t>3</t>
    </r>
    <r>
      <rPr>
        <i/>
        <sz val="11"/>
        <color theme="1"/>
        <rFont val="Times New Roman"/>
        <family val="1"/>
        <charset val="186"/>
      </rPr>
      <t xml:space="preserve"> </t>
    </r>
  </si>
  <si>
    <r>
      <t xml:space="preserve">     -  kā kurināmo, </t>
    </r>
    <r>
      <rPr>
        <i/>
        <sz val="11"/>
        <color theme="1"/>
        <rFont val="Times New Roman"/>
        <family val="1"/>
        <charset val="186"/>
      </rPr>
      <t>EUR par 1000 m</t>
    </r>
    <r>
      <rPr>
        <i/>
        <vertAlign val="superscript"/>
        <sz val="11"/>
        <color theme="1"/>
        <rFont val="Times New Roman"/>
        <family val="1"/>
        <charset val="186"/>
      </rPr>
      <t xml:space="preserve">3 </t>
    </r>
  </si>
  <si>
    <t>79,14
 40,0</t>
  </si>
  <si>
    <r>
      <t xml:space="preserve">47,81 
</t>
    </r>
    <r>
      <rPr>
        <sz val="9"/>
        <rFont val="Times New Roman"/>
        <family val="1"/>
        <charset val="186"/>
      </rPr>
      <t>(01.05)</t>
    </r>
  </si>
  <si>
    <r>
      <t xml:space="preserve">     - as heating, </t>
    </r>
    <r>
      <rPr>
        <i/>
        <sz val="11"/>
        <color theme="1"/>
        <rFont val="Times New Roman"/>
        <family val="1"/>
        <charset val="186"/>
      </rPr>
      <t>EUR per 1000 m</t>
    </r>
    <r>
      <rPr>
        <i/>
        <vertAlign val="superscript"/>
        <sz val="11"/>
        <color theme="1"/>
        <rFont val="Times New Roman"/>
        <family val="1"/>
        <charset val="186"/>
      </rPr>
      <t xml:space="preserve">3 </t>
    </r>
  </si>
  <si>
    <r>
      <t xml:space="preserve">                              EEK par 1000 m</t>
    </r>
    <r>
      <rPr>
        <i/>
        <vertAlign val="superscript"/>
        <sz val="10"/>
        <color theme="1"/>
        <rFont val="Times New Roman"/>
        <family val="1"/>
        <charset val="186"/>
      </rPr>
      <t>3</t>
    </r>
  </si>
  <si>
    <r>
      <t xml:space="preserve">                           EEK per 1000 m</t>
    </r>
    <r>
      <rPr>
        <i/>
        <vertAlign val="superscript"/>
        <sz val="10"/>
        <color theme="1"/>
        <rFont val="Times New Roman"/>
        <family val="1"/>
        <charset val="186"/>
      </rPr>
      <t>3</t>
    </r>
  </si>
  <si>
    <r>
      <t xml:space="preserve">   - i</t>
    </r>
    <r>
      <rPr>
        <sz val="11"/>
        <color theme="1"/>
        <rFont val="Times New Roman"/>
        <family val="1"/>
        <charset val="186"/>
      </rPr>
      <t xml:space="preserve">zmantošanai energoietilpīgos uzņēmumos, </t>
    </r>
    <r>
      <rPr>
        <i/>
        <sz val="11"/>
        <color theme="1"/>
        <rFont val="Times New Roman"/>
        <family val="1"/>
        <charset val="186"/>
      </rPr>
      <t>EUR par 1000 m3</t>
    </r>
    <r>
      <rPr>
        <sz val="11"/>
        <color theme="1"/>
        <rFont val="Times New Roman"/>
        <family val="1"/>
        <charset val="186"/>
      </rPr>
      <t xml:space="preserve"> </t>
    </r>
  </si>
  <si>
    <r>
      <t xml:space="preserve">  - for a company, which has intensive consumption of natural gas, </t>
    </r>
    <r>
      <rPr>
        <i/>
        <sz val="10"/>
        <color theme="1"/>
        <rFont val="Times New Roman"/>
        <family val="1"/>
        <charset val="186"/>
      </rPr>
      <t>EUR per 1000 m3</t>
    </r>
  </si>
  <si>
    <r>
      <t xml:space="preserve">   </t>
    </r>
    <r>
      <rPr>
        <b/>
        <i/>
        <sz val="11"/>
        <color theme="1"/>
        <rFont val="Times New Roman"/>
        <family val="1"/>
        <charset val="186"/>
      </rPr>
      <t xml:space="preserve"> </t>
    </r>
    <r>
      <rPr>
        <b/>
        <sz val="11"/>
        <color theme="1"/>
        <rFont val="Times New Roman"/>
        <family val="1"/>
        <charset val="186"/>
      </rPr>
      <t>Cietais kurināmais</t>
    </r>
    <r>
      <rPr>
        <sz val="11"/>
        <color theme="1"/>
        <rFont val="Times New Roman"/>
        <family val="1"/>
        <charset val="186"/>
      </rPr>
      <t xml:space="preserve"> (ogles, kokss, degakmens)</t>
    </r>
    <r>
      <rPr>
        <i/>
        <sz val="11"/>
        <color theme="1"/>
        <rFont val="Times New Roman"/>
        <family val="1"/>
        <charset val="186"/>
      </rPr>
      <t>, EUR par gigadžoulu</t>
    </r>
  </si>
  <si>
    <r>
      <t xml:space="preserve">   </t>
    </r>
    <r>
      <rPr>
        <sz val="11"/>
        <color theme="1"/>
        <rFont val="Times New Roman"/>
        <family val="1"/>
        <charset val="186"/>
      </rPr>
      <t xml:space="preserve"> </t>
    </r>
    <r>
      <rPr>
        <b/>
        <sz val="11"/>
        <color theme="1"/>
        <rFont val="Times New Roman"/>
        <family val="1"/>
        <charset val="186"/>
      </rPr>
      <t xml:space="preserve"> Solid fuel</t>
    </r>
    <r>
      <rPr>
        <sz val="11"/>
        <color theme="1"/>
        <rFont val="Times New Roman"/>
        <family val="1"/>
        <charset val="186"/>
      </rPr>
      <t>s (coal, coke, shale oil)</t>
    </r>
    <r>
      <rPr>
        <i/>
        <sz val="11"/>
        <color theme="1"/>
        <rFont val="Times New Roman"/>
        <family val="1"/>
        <charset val="186"/>
      </rPr>
      <t>, EUR per gigajoule</t>
    </r>
  </si>
  <si>
    <r>
      <t xml:space="preserve">    </t>
    </r>
    <r>
      <rPr>
        <b/>
        <sz val="11"/>
        <color theme="1"/>
        <rFont val="Times New Roman"/>
        <family val="1"/>
        <charset val="186"/>
      </rPr>
      <t xml:space="preserve"> Elektrība,</t>
    </r>
    <r>
      <rPr>
        <i/>
        <sz val="11"/>
        <color theme="1"/>
        <rFont val="Times New Roman"/>
        <family val="1"/>
        <charset val="186"/>
      </rPr>
      <t xml:space="preserve"> EUR par MWh</t>
    </r>
  </si>
  <si>
    <r>
      <t xml:space="preserve">4,47
 </t>
    </r>
    <r>
      <rPr>
        <b/>
        <sz val="11"/>
        <color rgb="FFFF0000"/>
        <rFont val="Times New Roman"/>
        <family val="1"/>
        <charset val="186"/>
      </rPr>
      <t>1,0</t>
    </r>
  </si>
  <si>
    <r>
      <t xml:space="preserve">1,45 
</t>
    </r>
    <r>
      <rPr>
        <sz val="9"/>
        <rFont val="Times New Roman"/>
        <family val="1"/>
        <charset val="186"/>
      </rPr>
      <t>(01.05)</t>
    </r>
  </si>
  <si>
    <r>
      <t xml:space="preserve">     </t>
    </r>
    <r>
      <rPr>
        <b/>
        <sz val="11"/>
        <color theme="1"/>
        <rFont val="Times New Roman"/>
        <family val="1"/>
        <charset val="186"/>
      </rPr>
      <t xml:space="preserve">Electricity </t>
    </r>
    <r>
      <rPr>
        <i/>
        <sz val="11"/>
        <color theme="1"/>
        <rFont val="Times New Roman"/>
        <family val="1"/>
        <charset val="186"/>
      </rPr>
      <t>(business and not business),</t>
    </r>
    <r>
      <rPr>
        <b/>
        <i/>
        <sz val="11"/>
        <color theme="1"/>
        <rFont val="Times New Roman"/>
        <family val="1"/>
        <charset val="186"/>
      </rPr>
      <t xml:space="preserve"> </t>
    </r>
    <r>
      <rPr>
        <i/>
        <sz val="11"/>
        <color theme="1"/>
        <rFont val="Times New Roman"/>
        <family val="1"/>
        <charset val="186"/>
      </rPr>
      <t>EUR per MWh</t>
    </r>
  </si>
  <si>
    <t xml:space="preserve">                       EEK par 100 litriem</t>
  </si>
  <si>
    <t xml:space="preserve">                                                                           EEK per 100 liters</t>
  </si>
  <si>
    <r>
      <t xml:space="preserve">      - Uzņēmumiem ar intensīvu elektrības patēriņu, </t>
    </r>
    <r>
      <rPr>
        <i/>
        <sz val="11"/>
        <color theme="1"/>
        <rFont val="Times New Roman"/>
        <family val="1"/>
        <charset val="186"/>
      </rPr>
      <t>EUR par MWh</t>
    </r>
    <r>
      <rPr>
        <i/>
        <vertAlign val="superscript"/>
        <sz val="11"/>
        <color theme="1"/>
        <rFont val="Times New Roman"/>
        <family val="1"/>
        <charset val="186"/>
      </rPr>
      <t xml:space="preserve"> </t>
    </r>
  </si>
  <si>
    <t xml:space="preserve"> - For a company which has intensive consumption of electricity (EUR per MWh)</t>
  </si>
  <si>
    <t>Izložu un azartspēļu nodoklis (IAN )</t>
  </si>
  <si>
    <r>
      <t xml:space="preserve">    - Rulete, </t>
    </r>
    <r>
      <rPr>
        <i/>
        <sz val="11"/>
        <rFont val="Times New Roman"/>
        <family val="1"/>
        <charset val="186"/>
      </rPr>
      <t>gadā par katru galdu</t>
    </r>
  </si>
  <si>
    <t>1278.23 ( per month)</t>
  </si>
  <si>
    <r>
      <t xml:space="preserve">1406 </t>
    </r>
    <r>
      <rPr>
        <sz val="10"/>
        <color rgb="FFFF0000"/>
        <rFont val="Aptos Narrow"/>
        <family val="2"/>
        <charset val="186"/>
        <scheme val="minor"/>
      </rPr>
      <t>(per month)</t>
    </r>
  </si>
  <si>
    <r>
      <t xml:space="preserve">  - Roulette, </t>
    </r>
    <r>
      <rPr>
        <i/>
        <sz val="11"/>
        <color theme="1"/>
        <rFont val="Times New Roman"/>
        <family val="1"/>
        <charset val="186"/>
      </rPr>
      <t>per year for each table</t>
    </r>
  </si>
  <si>
    <r>
      <t xml:space="preserve">    - Kāršu un kauliņu spēles, </t>
    </r>
    <r>
      <rPr>
        <i/>
        <sz val="11"/>
        <color theme="1"/>
        <rFont val="Times New Roman"/>
        <family val="1"/>
        <charset val="186"/>
      </rPr>
      <t xml:space="preserve">gadā </t>
    </r>
  </si>
  <si>
    <t>5% GGR (per month)</t>
  </si>
  <si>
    <r>
      <t xml:space="preserve">6% GGR </t>
    </r>
    <r>
      <rPr>
        <sz val="10"/>
        <color rgb="FFFF0000"/>
        <rFont val="Aptos Narrow"/>
        <family val="2"/>
        <charset val="186"/>
        <scheme val="minor"/>
      </rPr>
      <t>(per month)</t>
    </r>
  </si>
  <si>
    <r>
      <t xml:space="preserve">  - Cards and dice games, </t>
    </r>
    <r>
      <rPr>
        <i/>
        <sz val="11"/>
        <color theme="1"/>
        <rFont val="Times New Roman"/>
        <family val="1"/>
        <charset val="186"/>
      </rPr>
      <t xml:space="preserve">per year </t>
    </r>
  </si>
  <si>
    <r>
      <t xml:space="preserve">    - Videospēles un mehāniskie automāti, </t>
    </r>
    <r>
      <rPr>
        <i/>
        <sz val="11"/>
        <color theme="1"/>
        <rFont val="Times New Roman"/>
        <family val="1"/>
        <charset val="186"/>
      </rPr>
      <t>gadā par katra automāta katru spēles vietu</t>
    </r>
  </si>
  <si>
    <r>
      <rPr>
        <b/>
        <sz val="11"/>
        <color rgb="FF0070C0"/>
        <rFont val="Aptos Narrow"/>
        <family val="2"/>
        <charset val="186"/>
        <scheme val="minor"/>
      </rPr>
      <t>300 euros</t>
    </r>
    <r>
      <rPr>
        <b/>
        <sz val="11"/>
        <rFont val="Aptos Narrow"/>
        <family val="2"/>
        <charset val="186"/>
        <scheme val="minor"/>
      </rPr>
      <t xml:space="preserve"> </t>
    </r>
    <r>
      <rPr>
        <sz val="11"/>
        <rFont val="Aptos Narrow"/>
        <family val="2"/>
        <charset val="186"/>
        <scheme val="minor"/>
      </rPr>
      <t xml:space="preserve">per gaming machine used for organising a game of chance and </t>
    </r>
    <r>
      <rPr>
        <b/>
        <sz val="11"/>
        <color rgb="FF0070C0"/>
        <rFont val="Aptos Narrow"/>
        <family val="2"/>
        <charset val="186"/>
        <scheme val="minor"/>
      </rPr>
      <t>10 per cent</t>
    </r>
    <r>
      <rPr>
        <sz val="11"/>
        <color rgb="FF0070C0"/>
        <rFont val="Aptos Narrow"/>
        <family val="2"/>
        <charset val="186"/>
        <scheme val="minor"/>
      </rPr>
      <t xml:space="preserve"> </t>
    </r>
    <r>
      <rPr>
        <sz val="11"/>
        <rFont val="Aptos Narrow"/>
        <family val="2"/>
        <charset val="186"/>
        <scheme val="minor"/>
      </rPr>
      <t>of the total bets made on the gaming operator’s gaming machines of games of chance, less the winnings; (per month)</t>
    </r>
  </si>
  <si>
    <r>
      <t xml:space="preserve">  - Video games and mechanic slot machines, </t>
    </r>
    <r>
      <rPr>
        <i/>
        <sz val="11"/>
        <color theme="1"/>
        <rFont val="Times New Roman"/>
        <family val="1"/>
        <charset val="186"/>
      </rPr>
      <t>per year for each games machine site</t>
    </r>
  </si>
  <si>
    <t>5% GGR</t>
  </si>
  <si>
    <r>
      <t xml:space="preserve">  - Totalizator and betting, </t>
    </r>
    <r>
      <rPr>
        <i/>
        <sz val="11"/>
        <color theme="1"/>
        <rFont val="Times New Roman"/>
        <family val="1"/>
        <charset val="186"/>
      </rPr>
      <t>% of income from the organization revenue</t>
    </r>
  </si>
  <si>
    <r>
      <t xml:space="preserve">   - Azartspēles izmantojot telekomunikācijas, </t>
    </r>
    <r>
      <rPr>
        <i/>
        <sz val="11"/>
        <color theme="1"/>
        <rFont val="Times New Roman"/>
        <family val="1"/>
        <charset val="186"/>
      </rPr>
      <t>% no organizēšanas ieņēmumiem</t>
    </r>
  </si>
  <si>
    <r>
      <t xml:space="preserve">  - Gambling using telecommunications, </t>
    </r>
    <r>
      <rPr>
        <i/>
        <sz val="11"/>
        <color theme="1"/>
        <rFont val="Times New Roman"/>
        <family val="1"/>
        <charset val="186"/>
      </rPr>
      <t>% of income from the organization</t>
    </r>
  </si>
  <si>
    <t xml:space="preserve">       -  Izložu nodoklis par loterijām un momentloterijām,% no biļešu pārdošanas</t>
  </si>
  <si>
    <r>
      <t xml:space="preserve">   - Lotteries tax on lotteries and moment lotteries, </t>
    </r>
    <r>
      <rPr>
        <i/>
        <sz val="11"/>
        <color theme="1"/>
        <rFont val="Times New Roman"/>
        <family val="1"/>
        <charset val="186"/>
      </rPr>
      <t>% of ticket sales</t>
    </r>
  </si>
  <si>
    <r>
      <t xml:space="preserve">Ģimenes valsts pabalsti </t>
    </r>
    <r>
      <rPr>
        <b/>
        <sz val="14"/>
        <color rgb="FF0070C0"/>
        <rFont val="Times New Roman"/>
        <family val="1"/>
        <charset val="186"/>
      </rPr>
      <t>IGAUNIJĀ</t>
    </r>
  </si>
  <si>
    <r>
      <t xml:space="preserve">State Family Benefits in </t>
    </r>
    <r>
      <rPr>
        <b/>
        <sz val="14"/>
        <color rgb="FF0070C0"/>
        <rFont val="Times New Roman"/>
        <family val="1"/>
        <charset val="186"/>
      </rPr>
      <t>ESTONIA</t>
    </r>
  </si>
  <si>
    <t xml:space="preserve">      - par 3.bērnu un katru nākamo bērnu</t>
  </si>
  <si>
    <t xml:space="preserve">       - for the third child  and subsequent children</t>
  </si>
  <si>
    <r>
      <t xml:space="preserve">Papildus piemaksas pie ģimenes valsts pabalsta, </t>
    </r>
    <r>
      <rPr>
        <i/>
        <sz val="12"/>
        <color theme="1"/>
        <rFont val="Times New Roman"/>
        <family val="1"/>
        <charset val="186"/>
      </rPr>
      <t xml:space="preserve">EUR mēnesī  </t>
    </r>
  </si>
  <si>
    <t xml:space="preserve">  Vecāku pabalsts ģimenēm:</t>
  </si>
  <si>
    <t xml:space="preserve">   Parent's allowance for families:</t>
  </si>
  <si>
    <t xml:space="preserve">      - ar no 3 līdz 6 bērniem</t>
  </si>
  <si>
    <t xml:space="preserve">      - with 3 to 6 children</t>
  </si>
  <si>
    <t xml:space="preserve">      - ar 7 un vairāk bērniem</t>
  </si>
  <si>
    <t xml:space="preserve">      -  with seven or more children </t>
  </si>
  <si>
    <r>
      <t xml:space="preserve">   </t>
    </r>
    <r>
      <rPr>
        <b/>
        <sz val="11"/>
        <color theme="1"/>
        <rFont val="Times New Roman"/>
        <family val="1"/>
        <charset val="186"/>
      </rPr>
      <t xml:space="preserve"> Pabalsts mājsaimniecībām,</t>
    </r>
    <r>
      <rPr>
        <sz val="11"/>
        <color theme="1"/>
        <rFont val="Times New Roman"/>
        <family val="1"/>
        <charset val="186"/>
      </rPr>
      <t xml:space="preserve"> ja ienākumi ģimenes locekļiem nepārsniedz Statistikas biroja noteikto relatīvo nabadzības slieksni,</t>
    </r>
    <r>
      <rPr>
        <i/>
        <sz val="11"/>
        <color theme="1"/>
        <rFont val="Times New Roman"/>
        <family val="1"/>
        <charset val="186"/>
      </rPr>
      <t xml:space="preserve"> EUR mēnesī</t>
    </r>
    <r>
      <rPr>
        <sz val="11"/>
        <color theme="1"/>
        <rFont val="Times New Roman"/>
        <family val="1"/>
        <charset val="186"/>
      </rPr>
      <t>:</t>
    </r>
  </si>
  <si>
    <r>
      <rPr>
        <b/>
        <sz val="10"/>
        <rFont val="Times New Roman"/>
        <family val="1"/>
        <charset val="186"/>
      </rPr>
      <t>394,00</t>
    </r>
    <r>
      <rPr>
        <sz val="10"/>
        <rFont val="Times New Roman"/>
        <family val="1"/>
        <charset val="186"/>
      </rPr>
      <t xml:space="preserve"> - 1.ģim. loceklim
</t>
    </r>
    <r>
      <rPr>
        <b/>
        <sz val="10"/>
        <rFont val="Times New Roman"/>
        <family val="1"/>
        <charset val="186"/>
      </rPr>
      <t>197,00</t>
    </r>
    <r>
      <rPr>
        <sz val="10"/>
        <rFont val="Times New Roman"/>
        <family val="1"/>
        <charset val="186"/>
      </rPr>
      <t xml:space="preserve"> - pārējiem (vismaz 14 g.v.)
</t>
    </r>
    <r>
      <rPr>
        <b/>
        <sz val="10"/>
        <rFont val="Times New Roman"/>
        <family val="1"/>
        <charset val="186"/>
      </rPr>
      <t>118,2</t>
    </r>
    <r>
      <rPr>
        <sz val="10"/>
        <rFont val="Times New Roman"/>
        <family val="1"/>
        <charset val="186"/>
      </rPr>
      <t xml:space="preserve"> - jaunākajiem.</t>
    </r>
  </si>
  <si>
    <r>
      <t xml:space="preserve">In 2018, the subsistence level for a person living alone or </t>
    </r>
    <r>
      <rPr>
        <u/>
        <sz val="10"/>
        <rFont val="Times New Roman"/>
        <family val="1"/>
        <charset val="186"/>
      </rPr>
      <t>for the first member</t>
    </r>
    <r>
      <rPr>
        <sz val="10"/>
        <rFont val="Times New Roman"/>
        <family val="1"/>
        <charset val="186"/>
      </rPr>
      <t xml:space="preserve"> of a family is </t>
    </r>
    <r>
      <rPr>
        <b/>
        <sz val="10"/>
        <color rgb="FF0070C0"/>
        <rFont val="Times New Roman"/>
        <family val="1"/>
        <charset val="186"/>
      </rPr>
      <t>140 euros</t>
    </r>
    <r>
      <rPr>
        <sz val="10"/>
        <color rgb="FF0070C0"/>
        <rFont val="Times New Roman"/>
        <family val="1"/>
        <charset val="186"/>
      </rPr>
      <t xml:space="preserve"> </t>
    </r>
    <r>
      <rPr>
        <sz val="10"/>
        <rFont val="Times New Roman"/>
        <family val="1"/>
        <charset val="186"/>
      </rPr>
      <t xml:space="preserve">per month. The subsistence level </t>
    </r>
    <r>
      <rPr>
        <u/>
        <sz val="10"/>
        <rFont val="Times New Roman"/>
        <family val="1"/>
        <charset val="186"/>
      </rPr>
      <t>for each under-age family member</t>
    </r>
    <r>
      <rPr>
        <sz val="10"/>
        <rFont val="Times New Roman"/>
        <family val="1"/>
        <charset val="186"/>
      </rPr>
      <t xml:space="preserve"> is also</t>
    </r>
    <r>
      <rPr>
        <b/>
        <sz val="10"/>
        <rFont val="Times New Roman"/>
        <family val="1"/>
        <charset val="186"/>
      </rPr>
      <t xml:space="preserve"> </t>
    </r>
    <r>
      <rPr>
        <b/>
        <sz val="10"/>
        <color rgb="FF0070C0"/>
        <rFont val="Times New Roman"/>
        <family val="1"/>
        <charset val="186"/>
      </rPr>
      <t xml:space="preserve">168 euros </t>
    </r>
    <r>
      <rPr>
        <sz val="10"/>
        <rFont val="Times New Roman"/>
        <family val="1"/>
        <charset val="186"/>
      </rPr>
      <t xml:space="preserve">per month. The subsistence level </t>
    </r>
    <r>
      <rPr>
        <u/>
        <sz val="10"/>
        <rFont val="Times New Roman"/>
        <family val="1"/>
        <charset val="186"/>
      </rPr>
      <t>for each following full-age family member</t>
    </r>
    <r>
      <rPr>
        <sz val="10"/>
        <rFont val="Times New Roman"/>
        <family val="1"/>
        <charset val="186"/>
      </rPr>
      <t xml:space="preserve"> is </t>
    </r>
    <r>
      <rPr>
        <b/>
        <sz val="10"/>
        <color rgb="FF0070C0"/>
        <rFont val="Times New Roman"/>
        <family val="1"/>
        <charset val="186"/>
      </rPr>
      <t>112 euros</t>
    </r>
    <r>
      <rPr>
        <sz val="10"/>
        <color rgb="FF0070C0"/>
        <rFont val="Times New Roman"/>
        <family val="1"/>
        <charset val="186"/>
      </rPr>
      <t xml:space="preserve"> </t>
    </r>
    <r>
      <rPr>
        <sz val="10"/>
        <rFont val="Times New Roman"/>
        <family val="1"/>
        <charset val="186"/>
      </rPr>
      <t>per month.</t>
    </r>
  </si>
  <si>
    <r>
      <t xml:space="preserve">The subsistence level for a person living alone or </t>
    </r>
    <r>
      <rPr>
        <u/>
        <sz val="10"/>
        <rFont val="Times New Roman"/>
        <family val="1"/>
        <charset val="186"/>
      </rPr>
      <t>for the first member</t>
    </r>
    <r>
      <rPr>
        <sz val="10"/>
        <rFont val="Times New Roman"/>
        <family val="1"/>
        <charset val="186"/>
      </rPr>
      <t xml:space="preserve"> of a family is </t>
    </r>
    <r>
      <rPr>
        <b/>
        <sz val="10"/>
        <color rgb="FFFF0000"/>
        <rFont val="Times New Roman"/>
        <family val="1"/>
        <charset val="186"/>
      </rPr>
      <t>150 euros</t>
    </r>
    <r>
      <rPr>
        <sz val="10"/>
        <color rgb="FFFF0000"/>
        <rFont val="Times New Roman"/>
        <family val="1"/>
        <charset val="186"/>
      </rPr>
      <t xml:space="preserve"> </t>
    </r>
    <r>
      <rPr>
        <sz val="10"/>
        <rFont val="Times New Roman"/>
        <family val="1"/>
        <charset val="186"/>
      </rPr>
      <t>per month. The subsistence level</t>
    </r>
    <r>
      <rPr>
        <u/>
        <sz val="10"/>
        <rFont val="Times New Roman"/>
        <family val="1"/>
        <charset val="186"/>
      </rPr>
      <t xml:space="preserve"> for each under-age family member</t>
    </r>
    <r>
      <rPr>
        <sz val="10"/>
        <rFont val="Times New Roman"/>
        <family val="1"/>
        <charset val="186"/>
      </rPr>
      <t xml:space="preserve"> is also </t>
    </r>
    <r>
      <rPr>
        <b/>
        <sz val="10"/>
        <color rgb="FFFF0000"/>
        <rFont val="Times New Roman"/>
        <family val="1"/>
        <charset val="186"/>
      </rPr>
      <t>180 euros</t>
    </r>
    <r>
      <rPr>
        <sz val="10"/>
        <rFont val="Times New Roman"/>
        <family val="1"/>
        <charset val="186"/>
      </rPr>
      <t xml:space="preserve"> per month. The subsistence level for </t>
    </r>
    <r>
      <rPr>
        <u/>
        <sz val="10"/>
        <rFont val="Times New Roman"/>
        <family val="1"/>
        <charset val="186"/>
      </rPr>
      <t>each following full-age family member</t>
    </r>
    <r>
      <rPr>
        <sz val="10"/>
        <rFont val="Times New Roman"/>
        <family val="1"/>
        <charset val="186"/>
      </rPr>
      <t xml:space="preserve"> is </t>
    </r>
    <r>
      <rPr>
        <b/>
        <sz val="10"/>
        <color rgb="FFFF0000"/>
        <rFont val="Times New Roman"/>
        <family val="1"/>
        <charset val="186"/>
      </rPr>
      <t>120 euros</t>
    </r>
    <r>
      <rPr>
        <sz val="10"/>
        <rFont val="Times New Roman"/>
        <family val="1"/>
        <charset val="186"/>
      </rPr>
      <t xml:space="preserve"> per month.</t>
    </r>
  </si>
  <si>
    <r>
      <t xml:space="preserve">Starting from June 2022 - the subsistence level for a person living alone or </t>
    </r>
    <r>
      <rPr>
        <u/>
        <sz val="10"/>
        <rFont val="Times New Roman"/>
        <family val="1"/>
        <charset val="186"/>
      </rPr>
      <t>for the first member</t>
    </r>
    <r>
      <rPr>
        <sz val="10"/>
        <rFont val="Times New Roman"/>
        <family val="1"/>
        <charset val="186"/>
      </rPr>
      <t xml:space="preserve"> of a family is </t>
    </r>
    <r>
      <rPr>
        <b/>
        <sz val="10"/>
        <color rgb="FFFF0000"/>
        <rFont val="Times New Roman"/>
        <family val="1"/>
        <charset val="186"/>
      </rPr>
      <t>200 euros</t>
    </r>
    <r>
      <rPr>
        <b/>
        <sz val="10"/>
        <rFont val="Times New Roman"/>
        <family val="1"/>
        <charset val="186"/>
      </rPr>
      <t xml:space="preserve"> </t>
    </r>
    <r>
      <rPr>
        <sz val="10"/>
        <rFont val="Times New Roman"/>
        <family val="1"/>
        <charset val="186"/>
      </rPr>
      <t xml:space="preserve">per month. The subsistence level </t>
    </r>
    <r>
      <rPr>
        <u/>
        <sz val="10"/>
        <rFont val="Times New Roman"/>
        <family val="1"/>
        <charset val="186"/>
      </rPr>
      <t>for each under-age family member</t>
    </r>
    <r>
      <rPr>
        <sz val="10"/>
        <rFont val="Times New Roman"/>
        <family val="1"/>
        <charset val="186"/>
      </rPr>
      <t xml:space="preserve"> is also </t>
    </r>
    <r>
      <rPr>
        <b/>
        <sz val="10"/>
        <color rgb="FFFF0000"/>
        <rFont val="Times New Roman"/>
        <family val="1"/>
        <charset val="186"/>
      </rPr>
      <t>240 euros</t>
    </r>
    <r>
      <rPr>
        <sz val="10"/>
        <rFont val="Times New Roman"/>
        <family val="1"/>
        <charset val="186"/>
      </rPr>
      <t xml:space="preserve"> per month. The subsistence level</t>
    </r>
    <r>
      <rPr>
        <u/>
        <sz val="10"/>
        <rFont val="Times New Roman"/>
        <family val="1"/>
        <charset val="186"/>
      </rPr>
      <t xml:space="preserve"> for each following full-age family member</t>
    </r>
    <r>
      <rPr>
        <sz val="10"/>
        <rFont val="Times New Roman"/>
        <family val="1"/>
        <charset val="186"/>
      </rPr>
      <t xml:space="preserve"> is </t>
    </r>
    <r>
      <rPr>
        <b/>
        <sz val="10"/>
        <color rgb="FFFF0000"/>
        <rFont val="Times New Roman"/>
        <family val="1"/>
        <charset val="186"/>
      </rPr>
      <t>160 euros</t>
    </r>
    <r>
      <rPr>
        <sz val="10"/>
        <rFont val="Times New Roman"/>
        <family val="1"/>
        <charset val="186"/>
      </rPr>
      <t xml:space="preserve"> per month.</t>
    </r>
  </si>
  <si>
    <r>
      <rPr>
        <b/>
        <sz val="11"/>
        <color theme="1"/>
        <rFont val="Times New Roman"/>
        <family val="1"/>
        <charset val="186"/>
      </rPr>
      <t>Household allowance</t>
    </r>
    <r>
      <rPr>
        <sz val="11"/>
        <color theme="1"/>
        <rFont val="Times New Roman"/>
        <family val="1"/>
        <charset val="186"/>
      </rPr>
      <t>, if the family members income does not exceed the relative poverty treshold set by the Statistical Office, EUR per month</t>
    </r>
  </si>
  <si>
    <t xml:space="preserve">      - par 1 bērnu</t>
  </si>
  <si>
    <t xml:space="preserve"> - for 1 child</t>
  </si>
  <si>
    <t xml:space="preserve">      - par 2 un vairāk bērniem</t>
  </si>
  <si>
    <t xml:space="preserve"> - for 2 children and more</t>
  </si>
  <si>
    <r>
      <t xml:space="preserve">Nodokļu likmes </t>
    </r>
    <r>
      <rPr>
        <b/>
        <sz val="14"/>
        <color rgb="FF00B050"/>
        <rFont val="Times New Roman"/>
        <family val="1"/>
        <charset val="186"/>
      </rPr>
      <t>LIETUVĀ</t>
    </r>
  </si>
  <si>
    <t>1 EUR = LTL</t>
  </si>
  <si>
    <r>
      <t>Tax Rates in</t>
    </r>
    <r>
      <rPr>
        <b/>
        <sz val="14"/>
        <color rgb="FF00B050"/>
        <rFont val="Times New Roman"/>
        <family val="1"/>
        <charset val="186"/>
      </rPr>
      <t xml:space="preserve"> LITHUANIA</t>
    </r>
  </si>
  <si>
    <t>(no 01.10.)</t>
  </si>
  <si>
    <t xml:space="preserve">                              LTL mēnesī</t>
  </si>
  <si>
    <t xml:space="preserve">                                 LTL per month</t>
  </si>
  <si>
    <t xml:space="preserve">        </t>
  </si>
  <si>
    <r>
      <rPr>
        <b/>
        <sz val="10"/>
        <rFont val="Times New Roman"/>
        <family val="1"/>
        <charset val="186"/>
      </rPr>
      <t>Augstāka progresīvā IIN likme</t>
    </r>
    <r>
      <rPr>
        <sz val="10"/>
        <rFont val="Times New Roman"/>
        <family val="1"/>
        <charset val="186"/>
      </rPr>
      <t xml:space="preserve"> 
Ienākumiem virs VSAOI griestiem:
  120 vidējā alga 2019.gadā (136 344 EUR)
  84 VA 2020. gadā (104 278 EUR)
  60 VA 2021.gadā (81 162 EUR) 
  60 VA2022.g. (90 246 EUR)
  60 VA 2023.g. (101 094 EUR)</t>
    </r>
  </si>
  <si>
    <r>
      <t xml:space="preserve"> </t>
    </r>
    <r>
      <rPr>
        <b/>
        <sz val="10"/>
        <rFont val="Times New Roman"/>
        <family val="1"/>
        <charset val="186"/>
      </rPr>
      <t>Higher max progressive PIT rate.</t>
    </r>
    <r>
      <rPr>
        <sz val="10"/>
        <rFont val="Times New Roman"/>
        <family val="1"/>
        <charset val="186"/>
      </rPr>
      <t xml:space="preserve">
Income above SSC ceiling:
  120 average wages (AW) in 2019  (136 344 EUR)
  84 AW in 2020 (104 278 EUR)  
  60 AW in 2021 (81 162 EUR) 
  60 AW in 2022 (90 246 EUR)
  60 AW in 2023 (101 094 EUR)</t>
    </r>
  </si>
  <si>
    <t>Likme pašnodarbinātajam</t>
  </si>
  <si>
    <t>27% / 15%</t>
  </si>
  <si>
    <t xml:space="preserve">24% /15% </t>
  </si>
  <si>
    <t>5-15 %</t>
  </si>
  <si>
    <t>5-15%</t>
  </si>
  <si>
    <t>Tax rate for self employed</t>
  </si>
  <si>
    <t xml:space="preserve">                                                LTL mēnesī</t>
  </si>
  <si>
    <t xml:space="preserve">                                         LTL per month</t>
  </si>
  <si>
    <r>
      <t>DNM = DNM</t>
    </r>
    <r>
      <rPr>
        <i/>
        <vertAlign val="subscript"/>
        <sz val="10"/>
        <color theme="1"/>
        <rFont val="Times New Roman"/>
        <family val="1"/>
        <charset val="186"/>
      </rPr>
      <t>min</t>
    </r>
    <r>
      <rPr>
        <i/>
        <sz val="10"/>
        <color theme="1"/>
        <rFont val="Times New Roman"/>
        <family val="1"/>
        <charset val="186"/>
      </rPr>
      <t>-0,2 x (Gada ienākums – AI</t>
    </r>
    <r>
      <rPr>
        <i/>
        <vertAlign val="subscript"/>
        <sz val="10"/>
        <color theme="1"/>
        <rFont val="Times New Roman"/>
        <family val="1"/>
        <charset val="186"/>
      </rPr>
      <t>min</t>
    </r>
    <r>
      <rPr>
        <i/>
        <sz val="10"/>
        <color theme="1"/>
        <rFont val="Times New Roman"/>
        <family val="1"/>
        <charset val="186"/>
      </rPr>
      <t>)</t>
    </r>
  </si>
  <si>
    <r>
      <t>DNM = DNM</t>
    </r>
    <r>
      <rPr>
        <i/>
        <vertAlign val="subscript"/>
        <sz val="10"/>
        <color theme="1"/>
        <rFont val="Times New Roman"/>
        <family val="1"/>
        <charset val="186"/>
      </rPr>
      <t>min</t>
    </r>
    <r>
      <rPr>
        <i/>
        <sz val="10"/>
        <color theme="1"/>
        <rFont val="Times New Roman"/>
        <family val="1"/>
        <charset val="186"/>
      </rPr>
      <t>-0,26 x (Gada ienākums – AI</t>
    </r>
    <r>
      <rPr>
        <i/>
        <vertAlign val="subscript"/>
        <sz val="10"/>
        <color theme="1"/>
        <rFont val="Times New Roman"/>
        <family val="1"/>
        <charset val="186"/>
      </rPr>
      <t>min</t>
    </r>
    <r>
      <rPr>
        <i/>
        <sz val="10"/>
        <color theme="1"/>
        <rFont val="Times New Roman"/>
        <family val="1"/>
        <charset val="186"/>
      </rPr>
      <t>)</t>
    </r>
  </si>
  <si>
    <r>
      <t>DNM = DNMmin-</t>
    </r>
    <r>
      <rPr>
        <b/>
        <sz val="11"/>
        <color rgb="FFFF0000"/>
        <rFont val="Times New Roman"/>
        <family val="1"/>
        <charset val="186"/>
      </rPr>
      <t>0,15</t>
    </r>
    <r>
      <rPr>
        <sz val="11"/>
        <rFont val="Times New Roman"/>
        <family val="1"/>
        <charset val="186"/>
      </rPr>
      <t xml:space="preserve"> x (Gada ienākums – AImin)</t>
    </r>
  </si>
  <si>
    <r>
      <t>DNM = DNMmin-</t>
    </r>
    <r>
      <rPr>
        <b/>
        <sz val="11"/>
        <color rgb="FFFF0000"/>
        <rFont val="Times New Roman"/>
        <family val="1"/>
        <charset val="186"/>
      </rPr>
      <t>0,19</t>
    </r>
    <r>
      <rPr>
        <sz val="11"/>
        <color rgb="FFFF0000"/>
        <rFont val="Times New Roman"/>
        <family val="1"/>
        <charset val="186"/>
      </rPr>
      <t xml:space="preserve"> </t>
    </r>
    <r>
      <rPr>
        <sz val="11"/>
        <rFont val="Times New Roman"/>
        <family val="1"/>
        <charset val="186"/>
      </rPr>
      <t>x (Gada ienākums – AImin)</t>
    </r>
  </si>
  <si>
    <r>
      <t>DNM = DNMmin-</t>
    </r>
    <r>
      <rPr>
        <b/>
        <sz val="11"/>
        <color rgb="FFFF0000"/>
        <rFont val="Times New Roman"/>
        <family val="1"/>
        <charset val="186"/>
      </rPr>
      <t>0,18</t>
    </r>
    <r>
      <rPr>
        <sz val="11"/>
        <rFont val="Times New Roman"/>
        <family val="1"/>
        <charset val="186"/>
      </rPr>
      <t xml:space="preserve"> x (Gada ienākums – AImin)</t>
    </r>
  </si>
  <si>
    <t>1. Annual non-taxable amount=annual taxable income, if annual taxable income ≤12*min.monthly wage; 2 . If 12*min. monthly wage &lt;annual taxable income≤20 448 EUR, then
annual non-taxabe amount=6480-0,34*(annual taxable income-12*min.monthly wage). 3. If annual taxable income&gt;20 448 EUR, then 
 annual non-taxabe amount=4800-0,18 (annual taxable income-12*642).</t>
  </si>
  <si>
    <t>1. Annual non-taxable amount=annual taxable income, if annual taxable income ≤12*min.monthly wage; 2 . If 12*min. monthly wage &lt;annual taxable income≤23 112 EUR, then
annual non-taxabe amount=7500-0,42*(annual taxable income-12*min.monthly wage). 3. If annual taxable income&gt;23 112 EUR, then 
 annual non-taxabe amount=4800-0,18 (annual taxable income-12*642).</t>
  </si>
  <si>
    <t xml:space="preserve">1. Annual non-taxable amount=annual taxable income, if annual taxable income ≤12*min. monthly wage;
2. If 12*min. monthly wage &lt;annual taxable income≤26 004 EUR, then
annual non-taxable amount=8 964-0,5*(annual taxable income-12*min. monthly wage). 
3. If annual taxable income&gt;26 004 EUR, then 
annual non-taxable amount=4 800-0,18 (annual taxable income-12*642).
</t>
  </si>
  <si>
    <t xml:space="preserve"> -</t>
  </si>
  <si>
    <r>
      <rPr>
        <b/>
        <sz val="11"/>
        <color theme="1"/>
        <rFont val="Times New Roman"/>
        <family val="1"/>
        <charset val="186"/>
      </rPr>
      <t>Atvieglojums par bērniem</t>
    </r>
    <r>
      <rPr>
        <sz val="11"/>
        <color theme="1"/>
        <rFont val="Times New Roman"/>
        <family val="1"/>
        <charset val="186"/>
      </rPr>
      <t xml:space="preserve">, </t>
    </r>
    <r>
      <rPr>
        <i/>
        <sz val="11"/>
        <color theme="1"/>
        <rFont val="Times New Roman"/>
        <family val="1"/>
        <charset val="186"/>
      </rPr>
      <t>EUR mēnesī</t>
    </r>
  </si>
  <si>
    <r>
      <t xml:space="preserve">first three </t>
    </r>
    <r>
      <rPr>
        <b/>
        <sz val="11"/>
        <rFont val="Times New Roman"/>
        <family val="1"/>
        <charset val="186"/>
      </rPr>
      <t>44,9</t>
    </r>
  </si>
  <si>
    <r>
      <t xml:space="preserve">first three </t>
    </r>
    <r>
      <rPr>
        <b/>
        <sz val="11"/>
        <rFont val="Times New Roman"/>
        <family val="1"/>
        <charset val="186"/>
      </rPr>
      <t xml:space="preserve">44,9     </t>
    </r>
  </si>
  <si>
    <r>
      <t xml:space="preserve">first </t>
    </r>
    <r>
      <rPr>
        <b/>
        <sz val="11"/>
        <color rgb="FFFF0000"/>
        <rFont val="Times New Roman"/>
        <family val="1"/>
        <charset val="186"/>
      </rPr>
      <t>28,96</t>
    </r>
  </si>
  <si>
    <r>
      <t xml:space="preserve">first </t>
    </r>
    <r>
      <rPr>
        <b/>
        <sz val="11"/>
        <rFont val="Times New Roman"/>
        <family val="1"/>
        <charset val="186"/>
      </rPr>
      <t>28,96</t>
    </r>
  </si>
  <si>
    <r>
      <rPr>
        <b/>
        <sz val="11"/>
        <color theme="1"/>
        <rFont val="Times New Roman"/>
        <family val="1"/>
        <charset val="186"/>
      </rPr>
      <t>Allowance for children,</t>
    </r>
    <r>
      <rPr>
        <sz val="11"/>
        <color theme="1"/>
        <rFont val="Times New Roman"/>
        <family val="1"/>
        <charset val="186"/>
      </rPr>
      <t xml:space="preserve"> </t>
    </r>
    <r>
      <rPr>
        <i/>
        <sz val="11"/>
        <color theme="1"/>
        <rFont val="Times New Roman"/>
        <family val="1"/>
        <charset val="186"/>
      </rPr>
      <t>EUR per month</t>
    </r>
  </si>
  <si>
    <r>
      <t xml:space="preserve"> next </t>
    </r>
    <r>
      <rPr>
        <b/>
        <sz val="11"/>
        <color theme="1"/>
        <rFont val="Times New Roman"/>
        <family val="1"/>
        <charset val="186"/>
      </rPr>
      <t>14,48</t>
    </r>
  </si>
  <si>
    <r>
      <t xml:space="preserve"> next</t>
    </r>
    <r>
      <rPr>
        <b/>
        <sz val="11"/>
        <color rgb="FFFF0000"/>
        <rFont val="Times New Roman"/>
        <family val="1"/>
        <charset val="186"/>
      </rPr>
      <t xml:space="preserve"> 57,92</t>
    </r>
  </si>
  <si>
    <r>
      <t xml:space="preserve"> next </t>
    </r>
    <r>
      <rPr>
        <b/>
        <sz val="11"/>
        <color theme="1"/>
        <rFont val="Times New Roman"/>
        <family val="1"/>
        <charset val="186"/>
      </rPr>
      <t>57,92</t>
    </r>
  </si>
  <si>
    <r>
      <t xml:space="preserve">Pabalsts personām ar invaliditāti </t>
    </r>
    <r>
      <rPr>
        <sz val="11"/>
        <color theme="1"/>
        <rFont val="Times New Roman"/>
        <family val="1"/>
        <charset val="186"/>
      </rPr>
      <t>ir fiksēts un nav atkarīgs no personas ienākumu līmeņa.</t>
    </r>
  </si>
  <si>
    <r>
      <t xml:space="preserve"> Allowance for disabled individuals</t>
    </r>
    <r>
      <rPr>
        <sz val="11"/>
        <color theme="1"/>
        <rFont val="Times New Roman"/>
        <family val="1"/>
        <charset val="186"/>
      </rPr>
      <t xml:space="preserve"> are fixed and do not depend on the income level of individual.</t>
    </r>
  </si>
  <si>
    <t>   - neliela invaliditāte</t>
  </si>
  <si>
    <t xml:space="preserve">  -   minor disability </t>
  </si>
  <si>
    <t>   - maksimālā invaliditāte</t>
  </si>
  <si>
    <t xml:space="preserve">  -  maximum disability</t>
  </si>
  <si>
    <r>
      <rPr>
        <b/>
        <sz val="11"/>
        <color theme="1"/>
        <rFont val="Times New Roman"/>
        <family val="1"/>
        <charset val="186"/>
      </rPr>
      <t>Neapliekamais minimums noteiktām iedzīvotāju kategorijām</t>
    </r>
    <r>
      <rPr>
        <sz val="11"/>
        <color theme="1"/>
        <rFont val="Times New Roman"/>
        <family val="1"/>
        <charset val="186"/>
      </rPr>
      <t>:</t>
    </r>
  </si>
  <si>
    <t>Non-taxable minimum for certain categories of residents:</t>
  </si>
  <si>
    <r>
      <t xml:space="preserve">     - </t>
    </r>
    <r>
      <rPr>
        <b/>
        <i/>
        <sz val="11"/>
        <color theme="1"/>
        <rFont val="Times New Roman"/>
        <family val="1"/>
        <charset val="186"/>
      </rPr>
      <t>personām,</t>
    </r>
    <r>
      <rPr>
        <i/>
        <sz val="11"/>
        <color theme="1"/>
        <rFont val="Times New Roman"/>
        <family val="1"/>
        <charset val="186"/>
      </rPr>
      <t xml:space="preserve"> kuru darba spējas ir novērtētas 0-25% apmērā, vai personas vecuma pensijas grupā, kurām </t>
    </r>
    <r>
      <rPr>
        <b/>
        <i/>
        <sz val="11"/>
        <color theme="1"/>
        <rFont val="Times New Roman"/>
        <family val="1"/>
        <charset val="186"/>
      </rPr>
      <t>ir</t>
    </r>
    <r>
      <rPr>
        <i/>
        <sz val="11"/>
        <color theme="1"/>
        <rFont val="Times New Roman"/>
        <family val="1"/>
        <charset val="186"/>
      </rPr>
      <t xml:space="preserve"> </t>
    </r>
    <r>
      <rPr>
        <b/>
        <i/>
        <sz val="11"/>
        <color theme="1"/>
        <rFont val="Times New Roman"/>
        <family val="1"/>
        <charset val="186"/>
      </rPr>
      <t>augstas speciālās vajadzības</t>
    </r>
    <r>
      <rPr>
        <i/>
        <sz val="11"/>
        <color theme="1"/>
        <rFont val="Times New Roman"/>
        <family val="1"/>
        <charset val="186"/>
      </rPr>
      <t>, EUR mēnesī;</t>
    </r>
  </si>
  <si>
    <r>
      <t xml:space="preserve">      -  </t>
    </r>
    <r>
      <rPr>
        <b/>
        <i/>
        <sz val="11"/>
        <color rgb="FF000000"/>
        <rFont val="Times New Roman"/>
        <family val="1"/>
        <charset val="186"/>
      </rPr>
      <t>person whose work capacity has been</t>
    </r>
    <r>
      <rPr>
        <i/>
        <sz val="11"/>
        <color rgb="FF000000"/>
        <rFont val="Times New Roman"/>
        <family val="1"/>
        <charset val="186"/>
      </rPr>
      <t xml:space="preserve">rated at 0-25% or person in the old age retirement group rated as </t>
    </r>
    <r>
      <rPr>
        <b/>
        <i/>
        <sz val="11"/>
        <color rgb="FF000000"/>
        <rFont val="Times New Roman"/>
        <family val="1"/>
        <charset val="186"/>
      </rPr>
      <t>having high-level special needs</t>
    </r>
    <r>
      <rPr>
        <i/>
        <sz val="11"/>
        <color rgb="FF000000"/>
        <rFont val="Times New Roman"/>
        <family val="1"/>
        <charset val="186"/>
      </rPr>
      <t>, EUR per month</t>
    </r>
  </si>
  <si>
    <t xml:space="preserve">                                                     LTL mēnesī</t>
  </si>
  <si>
    <t xml:space="preserve">                                                           LTL per month</t>
  </si>
  <si>
    <r>
      <t xml:space="preserve">     - </t>
    </r>
    <r>
      <rPr>
        <b/>
        <i/>
        <sz val="11"/>
        <color theme="1"/>
        <rFont val="Times New Roman"/>
        <family val="1"/>
        <charset val="186"/>
      </rPr>
      <t>personām,</t>
    </r>
    <r>
      <rPr>
        <i/>
        <sz val="11"/>
        <color theme="1"/>
        <rFont val="Times New Roman"/>
        <family val="1"/>
        <charset val="186"/>
      </rPr>
      <t xml:space="preserve"> kuru darba spējas ir novērtētas 30-40% apmērā, vai personām vecuma pensijas grupā, kurām </t>
    </r>
    <r>
      <rPr>
        <b/>
        <i/>
        <sz val="11"/>
        <color theme="1"/>
        <rFont val="Times New Roman"/>
        <family val="1"/>
        <charset val="186"/>
      </rPr>
      <t>ir vidējas speciālās vajadzības</t>
    </r>
    <r>
      <rPr>
        <i/>
        <sz val="11"/>
        <color theme="1"/>
        <rFont val="Times New Roman"/>
        <family val="1"/>
        <charset val="186"/>
      </rPr>
      <t>, EUR mēnesī</t>
    </r>
  </si>
  <si>
    <r>
      <t xml:space="preserve">     - </t>
    </r>
    <r>
      <rPr>
        <b/>
        <i/>
        <sz val="11"/>
        <color rgb="FF000000"/>
        <rFont val="Times New Roman"/>
        <family val="1"/>
        <charset val="186"/>
      </rPr>
      <t>person whose work capacity has been</t>
    </r>
    <r>
      <rPr>
        <i/>
        <sz val="11"/>
        <color rgb="FF000000"/>
        <rFont val="Times New Roman"/>
        <family val="1"/>
        <charset val="186"/>
      </rPr>
      <t xml:space="preserve"> rated at 30-40% or person in the old age retirement group rated as</t>
    </r>
    <r>
      <rPr>
        <b/>
        <i/>
        <sz val="11"/>
        <color rgb="FF000000"/>
        <rFont val="Times New Roman"/>
        <family val="1"/>
        <charset val="186"/>
      </rPr>
      <t xml:space="preserve"> having medium-level special needs</t>
    </r>
    <r>
      <rPr>
        <i/>
        <sz val="11"/>
        <color rgb="FF000000"/>
        <rFont val="Times New Roman"/>
        <family val="1"/>
        <charset val="186"/>
      </rPr>
      <t>, EUR per month</t>
    </r>
  </si>
  <si>
    <t xml:space="preserve">                                                                 LTL per month</t>
  </si>
  <si>
    <r>
      <t xml:space="preserve">     -</t>
    </r>
    <r>
      <rPr>
        <b/>
        <i/>
        <sz val="11"/>
        <color theme="1"/>
        <rFont val="Times New Roman"/>
        <family val="1"/>
        <charset val="186"/>
      </rPr>
      <t xml:space="preserve"> lauksaimniecības darbiniekiem</t>
    </r>
    <r>
      <rPr>
        <i/>
        <sz val="11"/>
        <color theme="1"/>
        <rFont val="Times New Roman"/>
        <family val="1"/>
        <charset val="186"/>
      </rPr>
      <t xml:space="preserve"> saimniecībās, kuru gada ienākumi no lauksaimniecîbas produktu pārdošanas veido vairāk kā 50% no to kopējiem ienākumiem, kā arī to lauksaimnieku nodarbinātie, kuru saimniecības ir reģistrētas likumos noteiktajā kārtībā, EUR mēnesī</t>
    </r>
  </si>
  <si>
    <r>
      <t xml:space="preserve">     - </t>
    </r>
    <r>
      <rPr>
        <sz val="11"/>
        <color rgb="FF000000"/>
        <rFont val="Times New Roman"/>
        <family val="1"/>
        <charset val="186"/>
      </rPr>
      <t xml:space="preserve">eemployees of agricultural entities where the annual income from the sale of agricultural products of such entities form more than 50% of their total income, and also for those employed by farmers whose farms are registered in accordance with the procedure prescribed by the laws, </t>
    </r>
    <r>
      <rPr>
        <i/>
        <sz val="11"/>
        <color rgb="FF000000"/>
        <rFont val="Times New Roman"/>
        <family val="1"/>
        <charset val="186"/>
      </rPr>
      <t>EUR per month</t>
    </r>
  </si>
  <si>
    <t xml:space="preserve">                                                                     LTL mēnesī</t>
  </si>
  <si>
    <t xml:space="preserve">                                                                                 LTL per month</t>
  </si>
  <si>
    <r>
      <t xml:space="preserve">    - par izglītību, </t>
    </r>
    <r>
      <rPr>
        <i/>
        <sz val="11"/>
        <rFont val="Times New Roman"/>
        <family val="1"/>
        <charset val="186"/>
      </rPr>
      <t xml:space="preserve">% no gada apliekamā ienākuma; </t>
    </r>
  </si>
  <si>
    <r>
      <t xml:space="preserve">  -</t>
    </r>
    <r>
      <rPr>
        <sz val="11"/>
        <color rgb="FF000000"/>
        <rFont val="Times New Roman"/>
        <family val="1"/>
        <charset val="186"/>
      </rPr>
      <t xml:space="preserve"> for education,</t>
    </r>
    <r>
      <rPr>
        <i/>
        <sz val="11"/>
        <color rgb="FF000000"/>
        <rFont val="Times New Roman"/>
        <family val="1"/>
        <charset val="186"/>
      </rPr>
      <t xml:space="preserve"> % of the annual taxable income;</t>
    </r>
  </si>
  <si>
    <r>
      <t xml:space="preserve">    -  veiktās iemaksas 3.līmeņa pensiju fondos, </t>
    </r>
    <r>
      <rPr>
        <i/>
        <sz val="11"/>
        <rFont val="Times New Roman"/>
        <family val="1"/>
        <charset val="186"/>
      </rPr>
      <t xml:space="preserve">% no gada apliekamā ienākuma (ieskaitot visus attaisnotos izdevumus) </t>
    </r>
  </si>
  <si>
    <r>
      <rPr>
        <b/>
        <sz val="8"/>
        <color rgb="FFFF0000"/>
        <rFont val="Times New Roman"/>
        <family val="1"/>
        <charset val="186"/>
      </rPr>
      <t>2000</t>
    </r>
    <r>
      <rPr>
        <sz val="8"/>
        <color theme="1"/>
        <rFont val="Times New Roman"/>
        <family val="1"/>
        <charset val="186"/>
      </rPr>
      <t xml:space="preserve"> EUR gadā, bet ne vairāk kā 25% no apliekamā ienākuma (25%, but only up to </t>
    </r>
    <r>
      <rPr>
        <b/>
        <sz val="8"/>
        <color rgb="FFFF0000"/>
        <rFont val="Times New Roman"/>
        <family val="1"/>
        <charset val="186"/>
      </rPr>
      <t>2000</t>
    </r>
    <r>
      <rPr>
        <sz val="8"/>
        <color theme="1"/>
        <rFont val="Times New Roman"/>
        <family val="1"/>
        <charset val="186"/>
      </rPr>
      <t xml:space="preserve"> euros per year)</t>
    </r>
  </si>
  <si>
    <r>
      <rPr>
        <b/>
        <sz val="9"/>
        <color rgb="FFFF0000"/>
        <rFont val="Times New Roman"/>
        <family val="1"/>
        <charset val="186"/>
      </rPr>
      <t>1500</t>
    </r>
    <r>
      <rPr>
        <sz val="9"/>
        <color theme="1"/>
        <rFont val="Times New Roman"/>
        <family val="1"/>
        <charset val="186"/>
      </rPr>
      <t xml:space="preserve"> EUR gadā, bet ne vairāk kā 25% no apliekamā ienākuma
(25%, but only up to </t>
    </r>
    <r>
      <rPr>
        <b/>
        <sz val="9"/>
        <color rgb="FFFF0000"/>
        <rFont val="Times New Roman"/>
        <family val="1"/>
        <charset val="186"/>
      </rPr>
      <t>1500</t>
    </r>
    <r>
      <rPr>
        <sz val="9"/>
        <color theme="1"/>
        <rFont val="Times New Roman"/>
        <family val="1"/>
        <charset val="186"/>
      </rPr>
      <t xml:space="preserve"> per year) </t>
    </r>
  </si>
  <si>
    <r>
      <t xml:space="preserve">    - </t>
    </r>
    <r>
      <rPr>
        <sz val="11"/>
        <color rgb="FF000000"/>
        <rFont val="Times New Roman"/>
        <family val="1"/>
        <charset val="186"/>
      </rPr>
      <t>contributions to 3rd pillar pensions funds,</t>
    </r>
    <r>
      <rPr>
        <i/>
        <sz val="11"/>
        <color rgb="FF000000"/>
        <rFont val="Times New Roman"/>
        <family val="1"/>
        <charset val="186"/>
      </rPr>
      <t xml:space="preserve"> no more % of the annual taxable income (including all eligible expences) </t>
    </r>
  </si>
  <si>
    <r>
      <t xml:space="preserve">    - apdrošināšanas prēmiju maksājumi, </t>
    </r>
    <r>
      <rPr>
        <i/>
        <sz val="11"/>
        <rFont val="Times New Roman"/>
        <family val="1"/>
        <charset val="186"/>
      </rPr>
      <t xml:space="preserve">% no gada apliekamā ienākuma </t>
    </r>
  </si>
  <si>
    <r>
      <t xml:space="preserve">    - </t>
    </r>
    <r>
      <rPr>
        <sz val="11"/>
        <color rgb="FF000000"/>
        <rFont val="Times New Roman"/>
        <family val="1"/>
        <charset val="186"/>
      </rPr>
      <t>insurance premium payments,</t>
    </r>
    <r>
      <rPr>
        <i/>
        <sz val="11"/>
        <color rgb="FF000000"/>
        <rFont val="Times New Roman"/>
        <family val="1"/>
        <charset val="186"/>
      </rPr>
      <t xml:space="preserve"> % of the annual taxable income </t>
    </r>
  </si>
  <si>
    <r>
      <t xml:space="preserve">    - veiktās iemaksas 2. līmeņa pensiju fondos, kas pārsniedz 3 procentus no bruto darba samaksas,  </t>
    </r>
    <r>
      <rPr>
        <i/>
        <sz val="11"/>
        <rFont val="Times New Roman"/>
        <family val="1"/>
        <charset val="186"/>
      </rPr>
      <t xml:space="preserve">% no gada apliekamā ienākuma (ieskaitot visus attaisnotos izdevumus) </t>
    </r>
  </si>
  <si>
    <r>
      <t>-</t>
    </r>
    <r>
      <rPr>
        <sz val="11"/>
        <color rgb="FF000000"/>
        <rFont val="Times New Roman"/>
        <family val="1"/>
        <charset val="186"/>
      </rPr>
      <t>contributions to 2 nd pillar pension funds exceeding 3 per cent of gross wage</t>
    </r>
    <r>
      <rPr>
        <i/>
        <sz val="11"/>
        <color rgb="FF000000"/>
        <rFont val="Times New Roman"/>
        <family val="1"/>
        <charset val="186"/>
      </rPr>
      <t>, no more % of the annual taxable income (including all eligible expences)</t>
    </r>
  </si>
  <si>
    <r>
      <t xml:space="preserve">    - izdevumi par ēkas apdari un jebkura veida remontu (izņemot daudzdzīvokļu māju renovāciju), auto remonts, bērnu aprūpes pakalpojumi bērniem līdz 18 gadiem</t>
    </r>
    <r>
      <rPr>
        <i/>
        <sz val="11"/>
        <rFont val="Times New Roman"/>
        <family val="1"/>
        <charset val="186"/>
      </rPr>
      <t xml:space="preserve"> </t>
    </r>
  </si>
  <si>
    <r>
      <rPr>
        <b/>
        <sz val="9"/>
        <color rgb="FFFF0000"/>
        <rFont val="Times New Roman"/>
        <family val="1"/>
        <charset val="186"/>
      </rPr>
      <t>2000</t>
    </r>
    <r>
      <rPr>
        <sz val="9"/>
        <color rgb="FFFF0000"/>
        <rFont val="Times New Roman"/>
        <family val="1"/>
        <charset val="186"/>
      </rPr>
      <t xml:space="preserve"> </t>
    </r>
    <r>
      <rPr>
        <sz val="9"/>
        <rFont val="Times New Roman"/>
        <family val="1"/>
        <charset val="186"/>
      </rPr>
      <t>EUR gadā, bet ne vairāk kā 25% no apliekamā ienākuma 
 (25%, but only up to</t>
    </r>
    <r>
      <rPr>
        <b/>
        <sz val="9"/>
        <color rgb="FFFF0000"/>
        <rFont val="Times New Roman"/>
        <family val="1"/>
        <charset val="186"/>
      </rPr>
      <t xml:space="preserve"> 2000</t>
    </r>
    <r>
      <rPr>
        <sz val="9"/>
        <rFont val="Times New Roman"/>
        <family val="1"/>
        <charset val="186"/>
      </rPr>
      <t xml:space="preserve"> per year)</t>
    </r>
  </si>
  <si>
    <r>
      <t xml:space="preserve">    - </t>
    </r>
    <r>
      <rPr>
        <sz val="11"/>
        <color rgb="FF000000"/>
        <rFont val="Times New Roman"/>
        <family val="1"/>
        <charset val="186"/>
      </rPr>
      <t>Expenses for building finish and any type of repair (except apartment building renovation), car repair, childcare services for children up to 18 years</t>
    </r>
    <r>
      <rPr>
        <i/>
        <sz val="11"/>
        <color rgb="FF000000"/>
        <rFont val="Times New Roman"/>
        <family val="1"/>
        <charset val="186"/>
      </rPr>
      <t xml:space="preserve"> </t>
    </r>
  </si>
  <si>
    <r>
      <t xml:space="preserve">    - procenti, kas samaksāti par vienu kredītu viena mājokļa iegādei (ieskaitot visas attaisnotās izmaksas), </t>
    </r>
    <r>
      <rPr>
        <i/>
        <sz val="11"/>
        <rFont val="Times New Roman"/>
        <family val="1"/>
        <charset val="186"/>
      </rPr>
      <t>% no gada apliekamā ienākuma</t>
    </r>
  </si>
  <si>
    <r>
      <t xml:space="preserve">     - </t>
    </r>
    <r>
      <rPr>
        <sz val="11"/>
        <color rgb="FF000000"/>
        <rFont val="Times New Roman"/>
        <family val="1"/>
        <charset val="186"/>
      </rPr>
      <t>interest paid on one credit for the acquisition of one dwelling (including all eligible expences)</t>
    </r>
    <r>
      <rPr>
        <i/>
        <sz val="11"/>
        <color rgb="FF000000"/>
        <rFont val="Times New Roman"/>
        <family val="1"/>
        <charset val="186"/>
      </rPr>
      <t xml:space="preserve">, % of the annual taxable income </t>
    </r>
  </si>
  <si>
    <t>Compulsory Social Security Contributions (SSC)</t>
  </si>
  <si>
    <t xml:space="preserve">  Kopējās sociālās apdrošināšanas iemaksas, no tām:</t>
  </si>
  <si>
    <t xml:space="preserve"> Total social security contribution, of which:</t>
  </si>
  <si>
    <t xml:space="preserve"> Citi sociālie maksājumi</t>
  </si>
  <si>
    <t xml:space="preserve"> Other social security contributions</t>
  </si>
  <si>
    <r>
      <t xml:space="preserve">        - iemaksas Garantijas fondā </t>
    </r>
    <r>
      <rPr>
        <i/>
        <sz val="10"/>
        <color rgb="FFE42202"/>
        <rFont val="Times New Roman"/>
        <family val="1"/>
        <charset val="186"/>
      </rPr>
      <t>(DD maksājums)</t>
    </r>
  </si>
  <si>
    <t xml:space="preserve">     - contribution to Guarantee fund (employer pays)</t>
  </si>
  <si>
    <r>
      <t xml:space="preserve">       - </t>
    </r>
    <r>
      <rPr>
        <i/>
        <sz val="10"/>
        <color theme="1"/>
        <rFont val="Times New Roman"/>
        <family val="1"/>
        <charset val="186"/>
      </rPr>
      <t xml:space="preserve">iemaksas Ilgtermiņa darba pabalstu fondā </t>
    </r>
    <r>
      <rPr>
        <i/>
        <sz val="10"/>
        <color rgb="FFE42202"/>
        <rFont val="Times New Roman"/>
        <family val="1"/>
        <charset val="186"/>
      </rPr>
      <t>(DD maksājums)</t>
    </r>
  </si>
  <si>
    <t xml:space="preserve">     - contribution to Long-term work benefit fund (employer pays)</t>
  </si>
  <si>
    <t xml:space="preserve">  Social tax </t>
  </si>
  <si>
    <t xml:space="preserve">         - pensiju apdrošināšana</t>
  </si>
  <si>
    <t xml:space="preserve">           - pension insurance </t>
  </si>
  <si>
    <r>
      <t xml:space="preserve">        - </t>
    </r>
    <r>
      <rPr>
        <i/>
        <sz val="10"/>
        <color theme="1"/>
        <rFont val="Times New Roman"/>
        <family val="1"/>
        <charset val="186"/>
      </rPr>
      <t>slimību un maternitātes apdrošināšana</t>
    </r>
  </si>
  <si>
    <r>
      <t xml:space="preserve">          -</t>
    </r>
    <r>
      <rPr>
        <i/>
        <sz val="10"/>
        <color rgb="FFFF0000"/>
        <rFont val="Times New Roman"/>
        <family val="1"/>
        <charset val="186"/>
      </rPr>
      <t xml:space="preserve"> </t>
    </r>
    <r>
      <rPr>
        <i/>
        <sz val="10"/>
        <color theme="1"/>
        <rFont val="Times New Roman"/>
        <family val="1"/>
        <charset val="186"/>
      </rPr>
      <t>illnesses and maternity leave insurance</t>
    </r>
  </si>
  <si>
    <t xml:space="preserve">       - veselības apdrošināšana </t>
  </si>
  <si>
    <t xml:space="preserve">          - health insurance </t>
  </si>
  <si>
    <t xml:space="preserve">       - bezdarba apdrošināšana</t>
  </si>
  <si>
    <t xml:space="preserve">         - unemployment insurance </t>
  </si>
  <si>
    <t xml:space="preserve">       - nelaimes gadījumu darbā un arodslimību apdrošināšana</t>
  </si>
  <si>
    <t xml:space="preserve">        - occupational accidents and diseases insurance</t>
  </si>
  <si>
    <t xml:space="preserve">                         - I kategorija </t>
  </si>
  <si>
    <t xml:space="preserve">                      - Category I</t>
  </si>
  <si>
    <t xml:space="preserve">                         - II kategorija </t>
  </si>
  <si>
    <t xml:space="preserve">                      - Category II</t>
  </si>
  <si>
    <t xml:space="preserve">                         - III kategorija </t>
  </si>
  <si>
    <t xml:space="preserve">                      - Category III</t>
  </si>
  <si>
    <t xml:space="preserve">                         - IV kategorija </t>
  </si>
  <si>
    <t xml:space="preserve">                      - Category IV</t>
  </si>
  <si>
    <t xml:space="preserve">          - pension insurance</t>
  </si>
  <si>
    <t xml:space="preserve">         - illnesses and maternity leave insurance</t>
  </si>
  <si>
    <t xml:space="preserve">         - health insurance</t>
  </si>
  <si>
    <r>
      <rPr>
        <b/>
        <sz val="11"/>
        <color theme="1"/>
        <rFont val="Times New Roman"/>
        <family val="1"/>
        <charset val="186"/>
      </rPr>
      <t>Iemaksas II pensiju līmenī</t>
    </r>
    <r>
      <rPr>
        <sz val="11"/>
        <color theme="1"/>
        <rFont val="Times New Roman"/>
        <family val="1"/>
        <charset val="186"/>
      </rPr>
      <t xml:space="preserve"> (nav soc. nodoklis, DŅ maksājums)</t>
    </r>
  </si>
  <si>
    <t>2+1+1 or 2+0+0</t>
  </si>
  <si>
    <t>2+2+2 or 2+0+0</t>
  </si>
  <si>
    <t>3+1,5 or 1,8+0,3</t>
  </si>
  <si>
    <t>3+1,5 or 2,1+0,6</t>
  </si>
  <si>
    <t>3+1,5 or 2,4+0,9</t>
  </si>
  <si>
    <t>3+1,5 or 2,7+1,2</t>
  </si>
  <si>
    <t>3+1,5</t>
  </si>
  <si>
    <r>
      <rPr>
        <b/>
        <sz val="10"/>
        <color theme="1"/>
        <rFont val="Times New Roman"/>
        <family val="1"/>
        <charset val="186"/>
      </rPr>
      <t xml:space="preserve">Contributions to II pension pillar </t>
    </r>
    <r>
      <rPr>
        <i/>
        <sz val="10"/>
        <color theme="1"/>
        <rFont val="Times New Roman"/>
        <family val="1"/>
        <charset val="186"/>
      </rPr>
      <t>(not social tax, employee payment)</t>
    </r>
  </si>
  <si>
    <r>
      <t>SSC tax rate for self employed,</t>
    </r>
    <r>
      <rPr>
        <sz val="11"/>
        <rFont val="Times New Roman"/>
        <family val="1"/>
        <charset val="186"/>
      </rPr>
      <t>%</t>
    </r>
  </si>
  <si>
    <t>VSAOI min. bāze pašnodarbinātai personai</t>
  </si>
  <si>
    <t>annual net income</t>
  </si>
  <si>
    <t>50 % of annual net income</t>
  </si>
  <si>
    <t>90 % of annual net income</t>
  </si>
  <si>
    <t xml:space="preserve">Minimum SSC base for self employed </t>
  </si>
  <si>
    <r>
      <t xml:space="preserve">SSC cap (maximum ceiling), </t>
    </r>
    <r>
      <rPr>
        <i/>
        <sz val="11"/>
        <rFont val="Times New Roman"/>
        <family val="1"/>
        <charset val="186"/>
      </rPr>
      <t>EUR per year</t>
    </r>
  </si>
  <si>
    <r>
      <rPr>
        <b/>
        <sz val="11"/>
        <color theme="1"/>
        <rFont val="Times New Roman"/>
        <family val="1"/>
        <charset val="186"/>
      </rPr>
      <t>VSAOI maksimālais apmērs pašnodarbinātai personai</t>
    </r>
    <r>
      <rPr>
        <sz val="11"/>
        <color theme="1"/>
        <rFont val="Times New Roman"/>
        <family val="1"/>
        <charset val="186"/>
      </rPr>
      <t xml:space="preserve">, </t>
    </r>
    <r>
      <rPr>
        <i/>
        <sz val="11"/>
        <color theme="1"/>
        <rFont val="Times New Roman"/>
        <family val="1"/>
        <charset val="186"/>
      </rPr>
      <t>EUR gadā</t>
    </r>
  </si>
  <si>
    <r>
      <t xml:space="preserve">SSC cap (maximum ceiling for self-employed), </t>
    </r>
    <r>
      <rPr>
        <i/>
        <sz val="11"/>
        <rFont val="Times New Roman"/>
        <family val="1"/>
        <charset val="186"/>
      </rPr>
      <t>EUR per year</t>
    </r>
  </si>
  <si>
    <r>
      <t xml:space="preserve">3. Solidaritātes iemaksas </t>
    </r>
    <r>
      <rPr>
        <sz val="12"/>
        <color theme="1"/>
        <rFont val="Times New Roman"/>
        <family val="1"/>
        <charset val="186"/>
      </rPr>
      <t>kredītiestādēm</t>
    </r>
  </si>
  <si>
    <t>4. Uzņēmumu ienākuma nodoklis (UIN)</t>
  </si>
  <si>
    <t>Samazinātā likme</t>
  </si>
  <si>
    <t>Reduced rate</t>
  </si>
  <si>
    <r>
      <t xml:space="preserve">   - ja ienākumi nepārsniedz,  </t>
    </r>
    <r>
      <rPr>
        <i/>
        <sz val="11"/>
        <color theme="1"/>
        <rFont val="Times New Roman"/>
        <family val="1"/>
        <charset val="186"/>
      </rPr>
      <t>EUR taksācijas periodā</t>
    </r>
    <r>
      <rPr>
        <sz val="11"/>
        <color theme="1"/>
        <rFont val="Times New Roman"/>
        <family val="1"/>
        <charset val="186"/>
      </rPr>
      <t xml:space="preserve"> (gadā)</t>
    </r>
  </si>
  <si>
    <r>
      <t xml:space="preserve">  - if income during the tax period does not exceed, </t>
    </r>
    <r>
      <rPr>
        <i/>
        <sz val="11"/>
        <rFont val="Times New Roman"/>
        <family val="1"/>
        <charset val="186"/>
      </rPr>
      <t>EUR per year</t>
    </r>
  </si>
  <si>
    <t xml:space="preserve">                                                 LTL taksācijas gadā</t>
  </si>
  <si>
    <t xml:space="preserve">                                                                                  LTL per year</t>
  </si>
  <si>
    <r>
      <t xml:space="preserve">Nodokļu brīvdienas liela mēroga projektiem, </t>
    </r>
    <r>
      <rPr>
        <sz val="10"/>
        <color theme="1"/>
        <rFont val="Times New Roman"/>
        <family val="1"/>
        <charset val="186"/>
      </rPr>
      <t>kas iegūst valsts nozīmes statusu:</t>
    </r>
  </si>
  <si>
    <r>
      <rPr>
        <b/>
        <sz val="10"/>
        <color theme="1"/>
        <rFont val="Times New Roman"/>
        <family val="1"/>
        <charset val="186"/>
      </rPr>
      <t>Tax holidays for large scale projects</t>
    </r>
    <r>
      <rPr>
        <sz val="10"/>
        <color theme="1"/>
        <rFont val="Times New Roman"/>
        <family val="1"/>
        <charset val="186"/>
      </rPr>
      <t xml:space="preserve"> acquiring the status of national significance:</t>
    </r>
  </si>
  <si>
    <t xml:space="preserve">     1) ja ieguldījumi veikti 2021. - 2025.gadā</t>
  </si>
  <si>
    <t xml:space="preserve"> 20 mln. EUR (30 mln. EUR in Vilnius)</t>
  </si>
  <si>
    <t xml:space="preserve"> 1) in respect of investments made in 2021-2025</t>
  </si>
  <si>
    <t xml:space="preserve">        - vismaz, miljoni EUR (Vilņā)</t>
  </si>
  <si>
    <t xml:space="preserve">        - at least, million EUR</t>
  </si>
  <si>
    <t xml:space="preserve">        - radot jaunas darba vietas, vismaz </t>
  </si>
  <si>
    <t>150 (200 in Vilnius)</t>
  </si>
  <si>
    <t xml:space="preserve">        - creating new jobs, at least  </t>
  </si>
  <si>
    <t xml:space="preserve">     2) ja ieņēmumi gūti no ražošanas, datu apstrādes, interneta servera turēšanas vai līdzīgām darbībām</t>
  </si>
  <si>
    <t xml:space="preserve">  2) if revenue is derived from manufacturing or, data processing or internet server hosting or similar activities</t>
  </si>
  <si>
    <t>5. Pievienotās vērtības nodoklis (PVN)</t>
  </si>
  <si>
    <t>5/9%</t>
  </si>
  <si>
    <r>
      <rPr>
        <b/>
        <sz val="11"/>
        <color rgb="FFFF0000"/>
        <rFont val="Times New Roman"/>
        <family val="1"/>
        <charset val="186"/>
      </rPr>
      <t>0</t>
    </r>
    <r>
      <rPr>
        <b/>
        <sz val="11"/>
        <color theme="1"/>
        <rFont val="Times New Roman"/>
        <family val="1"/>
        <charset val="186"/>
      </rPr>
      <t>/5/9%</t>
    </r>
  </si>
  <si>
    <t>0/5/9%</t>
  </si>
  <si>
    <t xml:space="preserve">      - valsts kompensējamie recepšu medikamenti</t>
  </si>
  <si>
    <t xml:space="preserve">    - compensated medical devices and pharmaceuticals</t>
  </si>
  <si>
    <t xml:space="preserve">    - nekompensējamās recepšu zāles (ja kopējā vērtība ir lielāka par EUR 300 - 2017.gadā; visas cenu kategorijas - kopš 2018.gada)</t>
  </si>
  <si>
    <t xml:space="preserve">    - non-compensated prescription medicines (the value of outer packaging is more than EUR 300 - in 2017; all categories of price - since 2018)</t>
  </si>
  <si>
    <t xml:space="preserve">     - grāmatas un neperiodiskās informatīvās publikācijas</t>
  </si>
  <si>
    <t xml:space="preserve">    - books and non-periodical informational publications</t>
  </si>
  <si>
    <t xml:space="preserve">    - e-grāmatas, elektroniskās neperiodiskās informatīvās publikācijas</t>
  </si>
  <si>
    <t xml:space="preserve">    - e-books, electronic non - periodical publications</t>
  </si>
  <si>
    <t xml:space="preserve">    - laikraksti, žurnāli un periodiskie izdevumi (izņemot erotiska, vardarbīga rakstura vai publikāciju, kas neatbilst profesionālajām ētikas prasībām)</t>
  </si>
  <si>
    <t> 19/21%</t>
  </si>
  <si>
    <t xml:space="preserve">    - newspapers, magazines and periodical publication (except for those of erotic, violent nature or publications that do not comply with professional ethical  requirements)</t>
  </si>
  <si>
    <r>
      <t xml:space="preserve">  -</t>
    </r>
    <r>
      <rPr>
        <b/>
        <sz val="11"/>
        <color theme="1"/>
        <rFont val="Times New Roman"/>
        <family val="1"/>
        <charset val="186"/>
      </rPr>
      <t xml:space="preserve"> elektroniskām publikācijām - </t>
    </r>
    <r>
      <rPr>
        <sz val="11"/>
        <color theme="1"/>
        <rFont val="Times New Roman"/>
        <family val="1"/>
        <charset val="186"/>
      </rPr>
      <t>laikraksti, žurnāli un periodiskie izdevumi (izņemot erotiska, vardarbīga rakstura vai publikāciju, kas neatbilst profesionālajām ētikas prasībām)</t>
    </r>
  </si>
  <si>
    <r>
      <t xml:space="preserve">     - </t>
    </r>
    <r>
      <rPr>
        <b/>
        <sz val="11"/>
        <rFont val="Times New Roman"/>
        <family val="1"/>
        <charset val="186"/>
      </rPr>
      <t>e-periodical publications</t>
    </r>
    <r>
      <rPr>
        <sz val="11"/>
        <rFont val="Times New Roman"/>
        <family val="1"/>
        <charset val="186"/>
      </rPr>
      <t xml:space="preserve"> - newspapers, magazines and periodical publication (except for those of erotic, violent nature or publications that do not comply with professional ethical  requirements)</t>
    </r>
  </si>
  <si>
    <t xml:space="preserve">    - accommodation services</t>
  </si>
  <si>
    <t xml:space="preserve">    - apkure un karstā ūdens piegāde iedzīvotājiem</t>
  </si>
  <si>
    <t xml:space="preserve">    - heating and hot water supply for inhabitants </t>
  </si>
  <si>
    <t>(līdz 31.05)</t>
  </si>
  <si>
    <t>(no 01.06.)</t>
  </si>
  <si>
    <t xml:space="preserve">    - sabiedriskais transports</t>
  </si>
  <si>
    <t xml:space="preserve">    - public transport</t>
  </si>
  <si>
    <t xml:space="preserve">    - malkas un koksnes izstrādājumi apkurei, piegādāti vietējiem enerģijas patērētājiem</t>
  </si>
  <si>
    <t xml:space="preserve">    - firewood and wood products for heating, supplied for domestic energy consumers</t>
  </si>
  <si>
    <t xml:space="preserve">    - ēdināšanas pakalpojumi un līdzņemšanas pārtika, ko nodrošina restorāni, kafejnīcas un tamlīdzīgi ēdināšanas uzņēmumi (izņemot alkoholiskos dzērienus un ar alkoholiskajiem dzērieniem saistītus pakalpojumus vai pakalpojumu daļas)</t>
  </si>
  <si>
    <r>
      <rPr>
        <b/>
        <sz val="11"/>
        <color rgb="FFE42202"/>
        <rFont val="Times New Roman"/>
        <family val="1"/>
        <charset val="186"/>
      </rPr>
      <t xml:space="preserve">9%
</t>
    </r>
    <r>
      <rPr>
        <sz val="8"/>
        <rFont val="Times New Roman"/>
        <family val="1"/>
        <charset val="186"/>
      </rPr>
      <t>(from 01.07)</t>
    </r>
  </si>
  <si>
    <r>
      <t xml:space="preserve">9%
</t>
    </r>
    <r>
      <rPr>
        <sz val="9"/>
        <rFont val="Times New Roman"/>
        <family val="1"/>
        <charset val="186"/>
      </rPr>
      <t>(till 31.12)</t>
    </r>
  </si>
  <si>
    <t xml:space="preserve">   - catering services and take-away food provided by restaurants, cafeterias and similar catering establishments (except alcoholic beverages and services or parts of services related to alcoholic beverages) </t>
  </si>
  <si>
    <t xml:space="preserve">    - visu veidu mākslas un kultūras iestāžu, mākslas un kultūras pasākumu, sporta pasākumu, sporta klubu apmeklējums;</t>
  </si>
  <si>
    <t xml:space="preserve">   - attendance at all types of artistic and cultural institutions, artistic and cultural events, sports events, sports clubs and other services similar to those provided by sports clubs</t>
  </si>
  <si>
    <t xml:space="preserve">    - izpildītāju, tostarp aktieru, dziedātāju, mūziķu, diriģentu, dejotāju vai citu personu, kas spēlē, dzied, lasa, citē vai citādi izpilda literāros, mākslas, folkloras vai cirka numurus, sniegtajiem darbības pakalpojumiem;</t>
  </si>
  <si>
    <r>
      <t xml:space="preserve">9%
</t>
    </r>
    <r>
      <rPr>
        <sz val="8"/>
        <rFont val="Times New Roman"/>
        <family val="1"/>
        <charset val="186"/>
      </rPr>
      <t>(till 30.06)</t>
    </r>
  </si>
  <si>
    <t xml:space="preserve">  - performance services provided by performers, including actors, singers, musicians, conductors, dancers or other persons who play, sing, read, recite or otherwise perform literary, artistic, folklore or circus numbers</t>
  </si>
  <si>
    <t xml:space="preserve">     - COVID 19 vakcīnas un COVID 19 in vitro diagnostikas medicīnas ierīces</t>
  </si>
  <si>
    <t xml:space="preserve">   -  COVID 19 vaccines and COVID 19 in vitro diagnostic medical devices </t>
  </si>
  <si>
    <t xml:space="preserve">    - zīdaiņu specializētie pārtikas produkti</t>
  </si>
  <si>
    <t xml:space="preserve">    - specialized food products for infants</t>
  </si>
  <si>
    <t xml:space="preserve">    - zobārstniecība</t>
  </si>
  <si>
    <t xml:space="preserve">    - dentistry</t>
  </si>
  <si>
    <t xml:space="preserve">    - organiskā pārtika un gaļa </t>
  </si>
  <si>
    <t xml:space="preserve">    - organic food and meat </t>
  </si>
  <si>
    <t xml:space="preserve">    - zivis</t>
  </si>
  <si>
    <t xml:space="preserve">    - fish</t>
  </si>
  <si>
    <t xml:space="preserve">    - lauksaimnieku pakalpojumi</t>
  </si>
  <si>
    <t xml:space="preserve">    - farmer services</t>
  </si>
  <si>
    <t xml:space="preserve">     - ieejas maksa kultūras, sporta un mākslas pasākumos</t>
  </si>
  <si>
    <t xml:space="preserve">    - tickets for cultural, sport and artistic events</t>
  </si>
  <si>
    <t xml:space="preserve">    - autoratlīdzības</t>
  </si>
  <si>
    <t xml:space="preserve">    - royalty</t>
  </si>
  <si>
    <t xml:space="preserve">    - dzīvojamo māju būvniecība, remonts un siltināšana</t>
  </si>
  <si>
    <t xml:space="preserve">    - residential house building, repair and insulation</t>
  </si>
  <si>
    <r>
      <rPr>
        <b/>
        <sz val="11"/>
        <color theme="1"/>
        <rFont val="Times New Roman"/>
        <family val="1"/>
        <charset val="186"/>
      </rPr>
      <t xml:space="preserve"> PVN maksātāju reģistrācijas slieksnis, </t>
    </r>
    <r>
      <rPr>
        <i/>
        <sz val="11"/>
        <color theme="1"/>
        <rFont val="Times New Roman"/>
        <family val="1"/>
        <charset val="186"/>
      </rPr>
      <t>EUR</t>
    </r>
  </si>
  <si>
    <r>
      <rPr>
        <b/>
        <sz val="11"/>
        <color theme="1"/>
        <rFont val="Times New Roman"/>
        <family val="1"/>
        <charset val="186"/>
      </rPr>
      <t xml:space="preserve">VAT payer registration threshold, </t>
    </r>
    <r>
      <rPr>
        <i/>
        <sz val="11"/>
        <color theme="1"/>
        <rFont val="Times New Roman"/>
        <family val="1"/>
        <charset val="186"/>
      </rPr>
      <t>EUR</t>
    </r>
  </si>
  <si>
    <t xml:space="preserve">                                                                         LTL</t>
  </si>
  <si>
    <t xml:space="preserve">                                                               LTL</t>
  </si>
  <si>
    <t>6. Nekustamā īpašuma nodoklis (NĪN )</t>
  </si>
  <si>
    <t>0,01-4%</t>
  </si>
  <si>
    <t>0,01 -4%</t>
  </si>
  <si>
    <t xml:space="preserve">   - nekustamajam īpašumam (juridiskām personām un fiziskām personām piederošiem saimnieciski ekonomiskiem mērķiem)</t>
  </si>
  <si>
    <t>0,3-1%</t>
  </si>
  <si>
    <t>0,3 -3%</t>
  </si>
  <si>
    <t>0,3-3%</t>
  </si>
  <si>
    <t>0,5-3%</t>
  </si>
  <si>
    <t xml:space="preserve">    - real estate (for legal entities and owned by natural persons for commercial economic purposes)</t>
  </si>
  <si>
    <t xml:space="preserve">   - fiziskām personām piederošam nekustamam īpašumam nekomerciālos nolūkos (mājokļi, garāžas, saimniecības u.c.), ja  apliekamā vērtība:</t>
  </si>
  <si>
    <t xml:space="preserve">    - real estate owned by natural persons for non-commercial economic purposes (including dwellings, garages, farms and etc.), </t>
  </si>
  <si>
    <r>
      <t xml:space="preserve"> -  ja apliekamā vērtība </t>
    </r>
    <r>
      <rPr>
        <sz val="11"/>
        <color rgb="FFFF0000"/>
        <rFont val="Times New Roman"/>
        <family val="1"/>
        <charset val="186"/>
      </rPr>
      <t xml:space="preserve">no 150 000 </t>
    </r>
    <r>
      <rPr>
        <sz val="11"/>
        <rFont val="Times New Roman"/>
        <family val="1"/>
        <charset val="186"/>
      </rPr>
      <t xml:space="preserve">(no 2015. - 2019.g. no 220 000) līdz 300 000 euro 
 (no 2015.- 2017.g, jā pārsniedza 220 000 euro; no 2012.-2014.gadam, ja pārsniedza ~ 290 000 euro) 
- </t>
    </r>
    <r>
      <rPr>
        <b/>
        <u/>
        <sz val="11"/>
        <rFont val="Times New Roman"/>
        <family val="1"/>
        <charset val="186"/>
      </rPr>
      <t>ģimenēm ar 3 vai vairāk bērniem</t>
    </r>
    <r>
      <rPr>
        <sz val="11"/>
        <rFont val="Times New Roman"/>
        <family val="1"/>
        <charset val="186"/>
      </rPr>
      <t xml:space="preserve"> vai bērnu ar invaliditāti - no</t>
    </r>
    <r>
      <rPr>
        <sz val="11"/>
        <color rgb="FFFF0000"/>
        <rFont val="Times New Roman"/>
        <family val="1"/>
        <charset val="186"/>
      </rPr>
      <t xml:space="preserve"> 200 000 - 390 000 euro (</t>
    </r>
    <r>
      <rPr>
        <sz val="11"/>
        <color theme="1"/>
        <rFont val="Times New Roman"/>
        <family val="1"/>
        <charset val="186"/>
      </rPr>
      <t xml:space="preserve"> 2015. - 2019.g, ja pārsniedza 286 000 euro).</t>
    </r>
  </si>
  <si>
    <r>
      <t xml:space="preserve"> - if taxable value of the real estate is from 150,000 to 300,000 </t>
    </r>
    <r>
      <rPr>
        <i/>
        <sz val="11"/>
        <color theme="1"/>
        <rFont val="Times New Roman"/>
        <family val="1"/>
        <charset val="186"/>
      </rPr>
      <t>euro</t>
    </r>
    <r>
      <rPr>
        <sz val="11"/>
        <color theme="1"/>
        <rFont val="Times New Roman"/>
        <family val="1"/>
        <charset val="186"/>
      </rPr>
      <t xml:space="preserve"> (from 220,000 in 2015- 2019) (2015-2017 if over 220,000; 2012-2014 if over ~ 290,000)
(for taxpayers with 3 or more children or disabled child - from 200,000 to 390,000 </t>
    </r>
    <r>
      <rPr>
        <i/>
        <sz val="11"/>
        <color theme="1"/>
        <rFont val="Times New Roman"/>
        <family val="1"/>
        <charset val="186"/>
      </rPr>
      <t xml:space="preserve">euro </t>
    </r>
    <r>
      <rPr>
        <sz val="11"/>
        <color theme="1"/>
        <rFont val="Times New Roman"/>
        <family val="1"/>
        <charset val="186"/>
      </rPr>
      <t>(from 286,000 in 2015- 2019)</t>
    </r>
  </si>
  <si>
    <r>
      <t xml:space="preserve">  -  ja apliekamā vērtība no </t>
    </r>
    <r>
      <rPr>
        <sz val="11"/>
        <color rgb="FFFF0000"/>
        <rFont val="Times New Roman"/>
        <family val="1"/>
        <charset val="186"/>
      </rPr>
      <t xml:space="preserve">300 000 </t>
    </r>
    <r>
      <rPr>
        <sz val="11"/>
        <color theme="1"/>
        <rFont val="Times New Roman"/>
        <family val="1"/>
        <charset val="186"/>
      </rPr>
      <t>līdz</t>
    </r>
    <r>
      <rPr>
        <sz val="11"/>
        <color rgb="FFFF0000"/>
        <rFont val="Times New Roman"/>
        <family val="1"/>
        <charset val="186"/>
      </rPr>
      <t xml:space="preserve"> 500 000</t>
    </r>
    <r>
      <rPr>
        <sz val="11"/>
        <color theme="1"/>
        <rFont val="Times New Roman"/>
        <family val="1"/>
        <charset val="186"/>
      </rPr>
      <t xml:space="preserve"> </t>
    </r>
    <r>
      <rPr>
        <i/>
        <sz val="11"/>
        <color theme="1"/>
        <rFont val="Times New Roman"/>
        <family val="1"/>
        <charset val="186"/>
      </rPr>
      <t xml:space="preserve">euro </t>
    </r>
    <r>
      <rPr>
        <sz val="11"/>
        <color theme="1"/>
        <rFont val="Times New Roman"/>
        <family val="1"/>
        <charset val="186"/>
      </rPr>
      <t>(</t>
    </r>
    <r>
      <rPr>
        <b/>
        <u/>
        <sz val="11"/>
        <color theme="1"/>
        <rFont val="Times New Roman"/>
        <family val="1"/>
        <charset val="186"/>
      </rPr>
      <t>ģimenēm ar 3 vai vairāk bērniem</t>
    </r>
    <r>
      <rPr>
        <sz val="11"/>
        <color theme="1"/>
        <rFont val="Times New Roman"/>
        <family val="1"/>
        <charset val="186"/>
      </rPr>
      <t xml:space="preserve"> vai bērnu ar invaliditāti - no </t>
    </r>
    <r>
      <rPr>
        <sz val="11"/>
        <color rgb="FFFF0000"/>
        <rFont val="Times New Roman"/>
        <family val="1"/>
        <charset val="186"/>
      </rPr>
      <t>390 000</t>
    </r>
    <r>
      <rPr>
        <sz val="11"/>
        <color theme="1"/>
        <rFont val="Times New Roman"/>
        <family val="1"/>
        <charset val="186"/>
      </rPr>
      <t xml:space="preserve"> līdz </t>
    </r>
    <r>
      <rPr>
        <sz val="11"/>
        <color rgb="FFFF0000"/>
        <rFont val="Times New Roman"/>
        <family val="1"/>
        <charset val="186"/>
      </rPr>
      <t xml:space="preserve">650 000 </t>
    </r>
    <r>
      <rPr>
        <i/>
        <sz val="11"/>
        <color theme="1"/>
        <rFont val="Times New Roman"/>
        <family val="1"/>
        <charset val="186"/>
      </rPr>
      <t>euro</t>
    </r>
    <r>
      <rPr>
        <sz val="11"/>
        <color theme="1"/>
        <rFont val="Times New Roman"/>
        <family val="1"/>
        <charset val="186"/>
      </rPr>
      <t>)</t>
    </r>
  </si>
  <si>
    <r>
      <t xml:space="preserve"> - if taxable value of the real estate is from 300,000 to 500,000 </t>
    </r>
    <r>
      <rPr>
        <i/>
        <sz val="11"/>
        <color theme="1"/>
        <rFont val="Times New Roman"/>
        <family val="1"/>
        <charset val="186"/>
      </rPr>
      <t xml:space="preserve">euro </t>
    </r>
    <r>
      <rPr>
        <sz val="11"/>
        <color theme="1"/>
        <rFont val="Times New Roman"/>
        <family val="1"/>
        <charset val="186"/>
      </rPr>
      <t>(for taxpayers with 3 or more children or disabled child - from 390,000 to 650,000</t>
    </r>
    <r>
      <rPr>
        <i/>
        <sz val="11"/>
        <color theme="1"/>
        <rFont val="Times New Roman"/>
        <family val="1"/>
        <charset val="186"/>
      </rPr>
      <t xml:space="preserve"> </t>
    </r>
    <r>
      <rPr>
        <sz val="11"/>
        <color theme="1"/>
        <rFont val="Times New Roman"/>
        <family val="1"/>
        <charset val="186"/>
      </rPr>
      <t>euro</t>
    </r>
    <r>
      <rPr>
        <i/>
        <sz val="11"/>
        <color theme="1"/>
        <rFont val="Times New Roman"/>
        <family val="1"/>
        <charset val="186"/>
      </rPr>
      <t xml:space="preserve">) </t>
    </r>
  </si>
  <si>
    <r>
      <t xml:space="preserve">    -  ja tā apliekamā vērtība pārsniedz</t>
    </r>
    <r>
      <rPr>
        <sz val="11"/>
        <color rgb="FFFF0000"/>
        <rFont val="Times New Roman"/>
        <family val="1"/>
        <charset val="186"/>
      </rPr>
      <t xml:space="preserve"> 500 000</t>
    </r>
    <r>
      <rPr>
        <sz val="11"/>
        <color theme="1"/>
        <rFont val="Times New Roman"/>
        <family val="1"/>
        <charset val="186"/>
      </rPr>
      <t xml:space="preserve"> </t>
    </r>
    <r>
      <rPr>
        <i/>
        <sz val="11"/>
        <color theme="1"/>
        <rFont val="Times New Roman"/>
        <family val="1"/>
        <charset val="186"/>
      </rPr>
      <t xml:space="preserve">euro </t>
    </r>
    <r>
      <rPr>
        <sz val="11"/>
        <color theme="1"/>
        <rFont val="Times New Roman"/>
        <family val="1"/>
        <charset val="186"/>
      </rPr>
      <t>(</t>
    </r>
    <r>
      <rPr>
        <b/>
        <u/>
        <sz val="11"/>
        <color theme="1"/>
        <rFont val="Times New Roman"/>
        <family val="1"/>
        <charset val="186"/>
      </rPr>
      <t>ģimenēm ar 3 vai vairāk bērniem</t>
    </r>
    <r>
      <rPr>
        <sz val="11"/>
        <color theme="1"/>
        <rFont val="Times New Roman"/>
        <family val="1"/>
        <charset val="186"/>
      </rPr>
      <t xml:space="preserve"> vai bērnu ar invaliditāti -pārsniedz </t>
    </r>
    <r>
      <rPr>
        <sz val="11"/>
        <color rgb="FFFF0000"/>
        <rFont val="Times New Roman"/>
        <family val="1"/>
        <charset val="186"/>
      </rPr>
      <t>650 000</t>
    </r>
    <r>
      <rPr>
        <i/>
        <sz val="11"/>
        <color theme="1"/>
        <rFont val="Times New Roman"/>
        <family val="1"/>
        <charset val="186"/>
      </rPr>
      <t xml:space="preserve"> euro</t>
    </r>
    <r>
      <rPr>
        <sz val="11"/>
        <color theme="1"/>
        <rFont val="Times New Roman"/>
        <family val="1"/>
        <charset val="186"/>
      </rPr>
      <t>)</t>
    </r>
  </si>
  <si>
    <r>
      <t xml:space="preserve">  - if taxable value of the real estate exceeds EUR 500 000 (for taxpayers with 3 or more children or disabled child - exceeding 650,000 </t>
    </r>
    <r>
      <rPr>
        <i/>
        <sz val="11"/>
        <color theme="1"/>
        <rFont val="Times New Roman"/>
        <family val="1"/>
        <charset val="186"/>
      </rPr>
      <t>euro</t>
    </r>
    <r>
      <rPr>
        <sz val="11"/>
        <color theme="1"/>
        <rFont val="Times New Roman"/>
        <family val="1"/>
        <charset val="186"/>
      </rPr>
      <t xml:space="preserve">). </t>
    </r>
  </si>
  <si>
    <t>7. Akcīzes nodoklis (AN )</t>
  </si>
  <si>
    <t xml:space="preserve">                                       LTL par 1000 litriem</t>
  </si>
  <si>
    <t xml:space="preserve">                                  LTL per 1000 liters</t>
  </si>
  <si>
    <t xml:space="preserve">                                                LTL par 1000 litriem</t>
  </si>
  <si>
    <t xml:space="preserve">                                LTL per 1000 liters</t>
  </si>
  <si>
    <t xml:space="preserve">    - 15% no bezsvina benzīna likmes</t>
  </si>
  <si>
    <t xml:space="preserve">    - 15% from unleaded petroil rate</t>
  </si>
  <si>
    <t xml:space="preserve">    - 30% no bezsvina benzīna likmes</t>
  </si>
  <si>
    <t xml:space="preserve">    - 30% from unleaded petroil rate</t>
  </si>
  <si>
    <t xml:space="preserve">                               LTL par 1000 litriem</t>
  </si>
  <si>
    <t xml:space="preserve">                                         LTL per 1000 liters</t>
  </si>
  <si>
    <t xml:space="preserve">                        LTL par 1000 litriem</t>
  </si>
  <si>
    <t xml:space="preserve">                        LTL per 1000 liters</t>
  </si>
  <si>
    <t xml:space="preserve">                               LTL par 1000 kg</t>
  </si>
  <si>
    <t xml:space="preserve">                                                              LTL per 1000 kg</t>
  </si>
  <si>
    <r>
      <rPr>
        <b/>
        <sz val="11"/>
        <color rgb="FFFF0000"/>
        <rFont val="Times New Roman"/>
        <family val="1"/>
        <charset val="186"/>
      </rPr>
      <t>304,1</t>
    </r>
    <r>
      <rPr>
        <sz val="11"/>
        <color rgb="FFFF0000"/>
        <rFont val="Times New Roman"/>
        <family val="1"/>
        <charset val="186"/>
      </rPr>
      <t xml:space="preserve">                    </t>
    </r>
    <r>
      <rPr>
        <b/>
        <sz val="11"/>
        <color rgb="FFFF0000"/>
        <rFont val="Times New Roman"/>
        <family val="1"/>
        <charset val="186"/>
      </rPr>
      <t>13</t>
    </r>
    <r>
      <rPr>
        <sz val="11"/>
        <color rgb="FFFF0000"/>
        <rFont val="Times New Roman"/>
        <family val="1"/>
        <charset val="186"/>
      </rPr>
      <t xml:space="preserve"> </t>
    </r>
    <r>
      <rPr>
        <sz val="8"/>
        <color rgb="FFFF0000"/>
        <rFont val="Times New Roman"/>
        <family val="1"/>
        <charset val="186"/>
      </rPr>
      <t>(no 01.03)</t>
    </r>
  </si>
  <si>
    <t xml:space="preserve">                                            LTL par 1000 kg</t>
  </si>
  <si>
    <t xml:space="preserve">                                 LTL per 1000 kg</t>
  </si>
  <si>
    <r>
      <t xml:space="preserve">    </t>
    </r>
    <r>
      <rPr>
        <b/>
        <sz val="11"/>
        <color theme="1"/>
        <rFont val="Times New Roman"/>
        <family val="1"/>
        <charset val="186"/>
      </rPr>
      <t>Dīzeļdegviela, kuru izmanto kā kurināmo</t>
    </r>
    <r>
      <rPr>
        <sz val="11"/>
        <color theme="1"/>
        <rFont val="Times New Roman"/>
        <family val="1"/>
        <charset val="186"/>
      </rPr>
      <t xml:space="preserve">, </t>
    </r>
    <r>
      <rPr>
        <i/>
        <sz val="11"/>
        <color theme="1"/>
        <rFont val="Times New Roman"/>
        <family val="1"/>
        <charset val="186"/>
      </rPr>
      <t>EUR par 1000 litriem</t>
    </r>
  </si>
  <si>
    <t xml:space="preserve">                   LTL par 1000 litriem</t>
  </si>
  <si>
    <t xml:space="preserve"> LTL per 1000 liters</t>
  </si>
  <si>
    <r>
      <t xml:space="preserve">    </t>
    </r>
    <r>
      <rPr>
        <b/>
        <sz val="11"/>
        <color theme="1"/>
        <rFont val="Times New Roman"/>
        <family val="1"/>
        <charset val="186"/>
      </rPr>
      <t>Dīzeļdegviela lauksaimniecības vajadzībām un komerciālajai zvejai</t>
    </r>
    <r>
      <rPr>
        <sz val="11"/>
        <color theme="1"/>
        <rFont val="Times New Roman"/>
        <family val="1"/>
        <charset val="186"/>
      </rPr>
      <t xml:space="preserve">, </t>
    </r>
    <r>
      <rPr>
        <i/>
        <sz val="11"/>
        <color theme="1"/>
        <rFont val="Times New Roman"/>
        <family val="1"/>
        <charset val="186"/>
      </rPr>
      <t>EUR par 1000 litriem</t>
    </r>
  </si>
  <si>
    <r>
      <t xml:space="preserve">    </t>
    </r>
    <r>
      <rPr>
        <b/>
        <sz val="11"/>
        <color theme="1"/>
        <rFont val="Times New Roman"/>
        <family val="1"/>
        <charset val="186"/>
      </rPr>
      <t>Gas oil for agricultural uses and commercial fishery,</t>
    </r>
    <r>
      <rPr>
        <sz val="11"/>
        <color theme="1"/>
        <rFont val="Times New Roman"/>
        <family val="1"/>
        <charset val="186"/>
      </rPr>
      <t xml:space="preserve"> </t>
    </r>
    <r>
      <rPr>
        <i/>
        <sz val="11"/>
        <color theme="1"/>
        <rFont val="Times New Roman"/>
        <family val="1"/>
        <charset val="186"/>
      </rPr>
      <t>EUR per 1000 liters</t>
    </r>
  </si>
  <si>
    <r>
      <t xml:space="preserve">    </t>
    </r>
    <r>
      <rPr>
        <b/>
        <sz val="11"/>
        <rFont val="Times New Roman"/>
        <family val="1"/>
        <charset val="186"/>
      </rPr>
      <t>Beer</t>
    </r>
    <r>
      <rPr>
        <sz val="11"/>
        <rFont val="Times New Roman"/>
        <family val="1"/>
        <charset val="186"/>
      </rPr>
      <t xml:space="preserve">, </t>
    </r>
    <r>
      <rPr>
        <i/>
        <sz val="11"/>
        <rFont val="Times New Roman"/>
        <family val="1"/>
        <charset val="186"/>
      </rPr>
      <t>EUR per each per cent of absolute alcohol by volume, per 100 litres</t>
    </r>
  </si>
  <si>
    <t xml:space="preserve">               LTL par katru spirta absolūtā tilp. %</t>
  </si>
  <si>
    <t xml:space="preserve">                LT L per each per cent of absolute alcohol </t>
  </si>
  <si>
    <r>
      <rPr>
        <b/>
        <sz val="11"/>
        <color theme="1"/>
        <rFont val="Times New Roman"/>
        <family val="1"/>
        <charset val="186"/>
      </rPr>
      <t xml:space="preserve">   Mazo alus darītāju alus</t>
    </r>
    <r>
      <rPr>
        <sz val="11"/>
        <color theme="1"/>
        <rFont val="Times New Roman"/>
        <family val="1"/>
        <charset val="186"/>
      </rPr>
      <t xml:space="preserve">, </t>
    </r>
    <r>
      <rPr>
        <i/>
        <sz val="11"/>
        <color theme="1"/>
        <rFont val="Times New Roman"/>
        <family val="1"/>
        <charset val="186"/>
      </rPr>
      <t>EUR par katru absolūtā spirta tilp. %, par 100 litriem</t>
    </r>
  </si>
  <si>
    <r>
      <t xml:space="preserve">   </t>
    </r>
    <r>
      <rPr>
        <b/>
        <sz val="11"/>
        <rFont val="Times New Roman"/>
        <family val="1"/>
        <charset val="186"/>
      </rPr>
      <t xml:space="preserve">Independent small brewery beer, </t>
    </r>
    <r>
      <rPr>
        <i/>
        <sz val="11"/>
        <rFont val="Times New Roman"/>
        <family val="1"/>
        <charset val="186"/>
      </rPr>
      <t>EUR per each per cent of absolute alcohol by volume, per 100 litres</t>
    </r>
  </si>
  <si>
    <t xml:space="preserve">                LT Lper 1% of factual alcohol content</t>
  </si>
  <si>
    <r>
      <t xml:space="preserve">     </t>
    </r>
    <r>
      <rPr>
        <b/>
        <sz val="11"/>
        <color theme="1"/>
        <rFont val="Times New Roman"/>
        <family val="1"/>
        <charset val="186"/>
      </rPr>
      <t>Vīns un raudzētie dzērieni (līdz 8,5 absolūtā spirta tilpum%)</t>
    </r>
    <r>
      <rPr>
        <sz val="11"/>
        <color theme="1"/>
        <rFont val="Times New Roman"/>
        <family val="1"/>
        <charset val="186"/>
      </rPr>
      <t>,</t>
    </r>
    <r>
      <rPr>
        <i/>
        <sz val="11"/>
        <color theme="1"/>
        <rFont val="Times New Roman"/>
        <family val="1"/>
        <charset val="186"/>
      </rPr>
      <t xml:space="preserve"> EUR par 1000 litriem</t>
    </r>
  </si>
  <si>
    <r>
      <t xml:space="preserve">    </t>
    </r>
    <r>
      <rPr>
        <b/>
        <sz val="11"/>
        <color theme="1"/>
        <rFont val="Times New Roman"/>
        <family val="1"/>
        <charset val="186"/>
      </rPr>
      <t>Wine and fermented beverages (with an absolute alcohol content up to 8,5% vol),</t>
    </r>
    <r>
      <rPr>
        <i/>
        <sz val="11"/>
        <color theme="1"/>
        <rFont val="Times New Roman"/>
        <family val="1"/>
        <charset val="186"/>
      </rPr>
      <t xml:space="preserve"> EUR per 100 liters</t>
    </r>
  </si>
  <si>
    <t xml:space="preserve">      LTL par 100 litriem</t>
  </si>
  <si>
    <t xml:space="preserve">                LTL per 100 liters</t>
  </si>
  <si>
    <r>
      <t xml:space="preserve">     </t>
    </r>
    <r>
      <rPr>
        <b/>
        <sz val="11"/>
        <color theme="1"/>
        <rFont val="Times New Roman"/>
        <family val="1"/>
        <charset val="186"/>
      </rPr>
      <t>Vīns un raudzētie dzērieni (virs 8,5 absolūtā spirta tilpum%)</t>
    </r>
    <r>
      <rPr>
        <sz val="11"/>
        <color theme="1"/>
        <rFont val="Times New Roman"/>
        <family val="1"/>
        <charset val="186"/>
      </rPr>
      <t>,</t>
    </r>
    <r>
      <rPr>
        <i/>
        <sz val="11"/>
        <color theme="1"/>
        <rFont val="Times New Roman"/>
        <family val="1"/>
        <charset val="186"/>
      </rPr>
      <t xml:space="preserve"> EUR par 1000 litriem</t>
    </r>
  </si>
  <si>
    <r>
      <t xml:space="preserve">    </t>
    </r>
    <r>
      <rPr>
        <b/>
        <sz val="11"/>
        <color theme="1"/>
        <rFont val="Times New Roman"/>
        <family val="1"/>
        <charset val="186"/>
      </rPr>
      <t>Wine and fermented beverages (with an absolute alcohol content above 8,5% vol),</t>
    </r>
    <r>
      <rPr>
        <i/>
        <sz val="11"/>
        <color theme="1"/>
        <rFont val="Times New Roman"/>
        <family val="1"/>
        <charset val="186"/>
      </rPr>
      <t xml:space="preserve"> EUR per 100 liters</t>
    </r>
  </si>
  <si>
    <r>
      <t xml:space="preserve">   </t>
    </r>
    <r>
      <rPr>
        <b/>
        <sz val="11"/>
        <color theme="1"/>
        <rFont val="Times New Roman"/>
        <family val="1"/>
        <charset val="186"/>
      </rPr>
      <t xml:space="preserve"> Starpprodukti (līdz 15 absolūtā spirta tilp.%)</t>
    </r>
    <r>
      <rPr>
        <sz val="11"/>
        <color theme="1"/>
        <rFont val="Times New Roman"/>
        <family val="1"/>
        <charset val="186"/>
      </rPr>
      <t>,</t>
    </r>
    <r>
      <rPr>
        <i/>
        <sz val="11"/>
        <color theme="1"/>
        <rFont val="Times New Roman"/>
        <family val="1"/>
        <charset val="186"/>
      </rPr>
      <t xml:space="preserve"> EUR par 100 litriem </t>
    </r>
  </si>
  <si>
    <r>
      <t xml:space="preserve">     </t>
    </r>
    <r>
      <rPr>
        <b/>
        <sz val="11"/>
        <color theme="1"/>
        <rFont val="Times New Roman"/>
        <family val="1"/>
        <charset val="186"/>
      </rPr>
      <t>Intermediate products (with an absolute alcohol content up to 15% vol.)</t>
    </r>
    <r>
      <rPr>
        <sz val="11"/>
        <color theme="1"/>
        <rFont val="Times New Roman"/>
        <family val="1"/>
        <charset val="186"/>
      </rPr>
      <t>,</t>
    </r>
    <r>
      <rPr>
        <i/>
        <sz val="11"/>
        <color theme="1"/>
        <rFont val="Times New Roman"/>
        <family val="1"/>
        <charset val="186"/>
      </rPr>
      <t xml:space="preserve"> EUR per 100 liters</t>
    </r>
  </si>
  <si>
    <t xml:space="preserve">                              LTL par 100 litriem</t>
  </si>
  <si>
    <t xml:space="preserve">                                              LTL per 100 liters</t>
  </si>
  <si>
    <r>
      <t xml:space="preserve">   </t>
    </r>
    <r>
      <rPr>
        <b/>
        <sz val="11"/>
        <color theme="1"/>
        <rFont val="Times New Roman"/>
        <family val="1"/>
        <charset val="186"/>
      </rPr>
      <t xml:space="preserve"> Starpprodukti (no 15 līdz 22 absolūtā spirta tilp.%)</t>
    </r>
    <r>
      <rPr>
        <sz val="11"/>
        <color theme="1"/>
        <rFont val="Times New Roman"/>
        <family val="1"/>
        <charset val="186"/>
      </rPr>
      <t>,</t>
    </r>
    <r>
      <rPr>
        <i/>
        <sz val="11"/>
        <color theme="1"/>
        <rFont val="Times New Roman"/>
        <family val="1"/>
        <charset val="186"/>
      </rPr>
      <t xml:space="preserve"> EUR par 100 litriem </t>
    </r>
  </si>
  <si>
    <r>
      <t xml:space="preserve">     </t>
    </r>
    <r>
      <rPr>
        <b/>
        <sz val="11"/>
        <color theme="1"/>
        <rFont val="Times New Roman"/>
        <family val="1"/>
        <charset val="186"/>
      </rPr>
      <t>Intermediate products (with ab absolute alcohol from 15 to 22 % vol.)</t>
    </r>
    <r>
      <rPr>
        <sz val="11"/>
        <color theme="1"/>
        <rFont val="Times New Roman"/>
        <family val="1"/>
        <charset val="186"/>
      </rPr>
      <t>,</t>
    </r>
    <r>
      <rPr>
        <i/>
        <sz val="11"/>
        <color theme="1"/>
        <rFont val="Times New Roman"/>
        <family val="1"/>
        <charset val="186"/>
      </rPr>
      <t xml:space="preserve"> EUR per 100 liters</t>
    </r>
  </si>
  <si>
    <t xml:space="preserve">     LTL par 100 litriem absolūtā spirta </t>
  </si>
  <si>
    <t xml:space="preserve">                           LTL per 100 liters of absolute alcohol</t>
  </si>
  <si>
    <t xml:space="preserve">                                         LTL par 1000 gab.</t>
  </si>
  <si>
    <t xml:space="preserve">                                               LTL per 1000 units</t>
  </si>
  <si>
    <r>
      <t xml:space="preserve">   </t>
    </r>
    <r>
      <rPr>
        <b/>
        <sz val="11"/>
        <rFont val="Times New Roman"/>
        <family val="1"/>
        <charset val="186"/>
      </rPr>
      <t xml:space="preserve"> Cigāri un cigarillas,</t>
    </r>
    <r>
      <rPr>
        <i/>
        <sz val="11"/>
        <rFont val="Times New Roman"/>
        <family val="1"/>
        <charset val="186"/>
      </rPr>
      <t>, EUR par 1 kg</t>
    </r>
  </si>
  <si>
    <r>
      <t xml:space="preserve">    </t>
    </r>
    <r>
      <rPr>
        <b/>
        <sz val="11"/>
        <rFont val="Times New Roman"/>
        <family val="1"/>
        <charset val="186"/>
      </rPr>
      <t>Cigars and cigarillos,</t>
    </r>
    <r>
      <rPr>
        <i/>
        <sz val="11"/>
        <rFont val="Times New Roman"/>
        <family val="1"/>
        <charset val="186"/>
      </rPr>
      <t xml:space="preserve"> EUR per 1 kg</t>
    </r>
  </si>
  <si>
    <t xml:space="preserve">                  LTL par 1 kg</t>
  </si>
  <si>
    <t xml:space="preserve">                  LTL per 1 kg</t>
  </si>
  <si>
    <r>
      <t xml:space="preserve">    </t>
    </r>
    <r>
      <rPr>
        <b/>
        <sz val="11"/>
        <rFont val="Times New Roman"/>
        <family val="1"/>
        <charset val="186"/>
      </rPr>
      <t>Smoking tobacco,</t>
    </r>
    <r>
      <rPr>
        <i/>
        <sz val="11"/>
        <rFont val="Times New Roman"/>
        <family val="1"/>
        <charset val="186"/>
      </rPr>
      <t xml:space="preserve"> EUR per 1 kg</t>
    </r>
  </si>
  <si>
    <t xml:space="preserve">                                        LTL par 1 kg.</t>
  </si>
  <si>
    <t xml:space="preserve">                                                                LTL per 1 kg.</t>
  </si>
  <si>
    <r>
      <t xml:space="preserve">    </t>
    </r>
    <r>
      <rPr>
        <b/>
        <sz val="11"/>
        <rFont val="Times New Roman"/>
        <family val="1"/>
        <charset val="186"/>
      </rPr>
      <t xml:space="preserve">  Elektroniskajās smēķēšanas ierīcēs izmantojamais šķidrums un tā sagatavošanas sastāvdaļas,</t>
    </r>
    <r>
      <rPr>
        <i/>
        <sz val="11"/>
        <rFont val="Times New Roman"/>
        <family val="1"/>
        <charset val="186"/>
      </rPr>
      <t xml:space="preserve"> EUR par 1 mililitru šķidruma  (ar vai bez nikotīna)</t>
    </r>
  </si>
  <si>
    <r>
      <t xml:space="preserve">   </t>
    </r>
    <r>
      <rPr>
        <b/>
        <sz val="11"/>
        <rFont val="Times New Roman"/>
        <family val="1"/>
        <charset val="186"/>
      </rPr>
      <t xml:space="preserve">  Liquid for use in electronic smoking devices and components for its preparation</t>
    </r>
    <r>
      <rPr>
        <i/>
        <sz val="11"/>
        <rFont val="Times New Roman"/>
        <family val="1"/>
        <charset val="186"/>
      </rPr>
      <t>, EUR per 1 millilitre of liquid (with nicotine or without it)</t>
    </r>
  </si>
  <si>
    <r>
      <t xml:space="preserve">   </t>
    </r>
    <r>
      <rPr>
        <b/>
        <sz val="11"/>
        <color theme="1"/>
        <rFont val="Times New Roman"/>
        <family val="1"/>
        <charset val="186"/>
      </rPr>
      <t xml:space="preserve"> Karsējamās tabakas produkti</t>
    </r>
    <r>
      <rPr>
        <i/>
        <sz val="11"/>
        <color theme="1"/>
        <rFont val="Times New Roman"/>
        <family val="1"/>
        <charset val="186"/>
      </rPr>
      <t>, EUR par 1000 gab (līdz 2021.g. par 1 kg)</t>
    </r>
  </si>
  <si>
    <r>
      <rPr>
        <b/>
        <sz val="11"/>
        <color theme="1"/>
        <rFont val="Times New Roman"/>
        <family val="1"/>
        <charset val="186"/>
      </rPr>
      <t xml:space="preserve">    Heated tobacco products</t>
    </r>
    <r>
      <rPr>
        <i/>
        <sz val="11"/>
        <color theme="1"/>
        <rFont val="Times New Roman"/>
        <family val="1"/>
        <charset val="186"/>
      </rPr>
      <t>, EUR per 1000 units (till 2021 per 1 kg)</t>
    </r>
  </si>
  <si>
    <r>
      <t xml:space="preserve">   Neapstrādāta tabaka, </t>
    </r>
    <r>
      <rPr>
        <i/>
        <sz val="11"/>
        <color theme="1"/>
        <rFont val="Times New Roman"/>
        <family val="1"/>
        <charset val="186"/>
      </rPr>
      <t>EUR par 1 kg</t>
    </r>
  </si>
  <si>
    <r>
      <rPr>
        <b/>
        <sz val="11"/>
        <color rgb="FFFF0000"/>
        <rFont val="Times New Roman"/>
        <family val="1"/>
        <charset val="186"/>
      </rPr>
      <t xml:space="preserve">68,60 </t>
    </r>
    <r>
      <rPr>
        <sz val="11"/>
        <color theme="1"/>
        <rFont val="Times New Roman"/>
        <family val="1"/>
        <charset val="186"/>
      </rPr>
      <t xml:space="preserve">     </t>
    </r>
    <r>
      <rPr>
        <sz val="8"/>
        <color theme="1"/>
        <rFont val="Times New Roman"/>
        <family val="1"/>
        <charset val="186"/>
      </rPr>
      <t>(no 01.11.)</t>
    </r>
    <r>
      <rPr>
        <sz val="11"/>
        <color theme="1"/>
        <rFont val="Times New Roman"/>
        <family val="1"/>
        <charset val="186"/>
      </rPr>
      <t xml:space="preserve">  </t>
    </r>
  </si>
  <si>
    <r>
      <t xml:space="preserve">78,50              </t>
    </r>
    <r>
      <rPr>
        <sz val="8"/>
        <rFont val="Times New Roman"/>
        <family val="1"/>
        <charset val="186"/>
      </rPr>
      <t>(no 01.03.)</t>
    </r>
  </si>
  <si>
    <r>
      <rPr>
        <b/>
        <sz val="11"/>
        <color rgb="FFFF0000"/>
        <rFont val="Times New Roman"/>
        <family val="1"/>
        <charset val="186"/>
      </rPr>
      <t xml:space="preserve">90,00    </t>
    </r>
    <r>
      <rPr>
        <b/>
        <sz val="11"/>
        <rFont val="Times New Roman"/>
        <family val="1"/>
        <charset val="186"/>
      </rPr>
      <t xml:space="preserve">    </t>
    </r>
    <r>
      <rPr>
        <sz val="8"/>
        <rFont val="Times New Roman"/>
        <family val="1"/>
        <charset val="186"/>
      </rPr>
      <t>(no 01.03)</t>
    </r>
  </si>
  <si>
    <r>
      <rPr>
        <b/>
        <sz val="11"/>
        <color theme="1"/>
        <rFont val="Times New Roman"/>
        <family val="1"/>
        <charset val="186"/>
      </rPr>
      <t xml:space="preserve">     Raw tobacco</t>
    </r>
    <r>
      <rPr>
        <sz val="11"/>
        <color theme="1"/>
        <rFont val="Times New Roman"/>
        <family val="1"/>
        <charset val="186"/>
      </rPr>
      <t xml:space="preserve">, </t>
    </r>
    <r>
      <rPr>
        <i/>
        <sz val="11"/>
        <color theme="1"/>
        <rFont val="Times New Roman"/>
        <family val="1"/>
        <charset val="186"/>
      </rPr>
      <t>EUR per 1 kg</t>
    </r>
  </si>
  <si>
    <r>
      <t xml:space="preserve">   </t>
    </r>
    <r>
      <rPr>
        <b/>
        <sz val="11"/>
        <color theme="1"/>
        <rFont val="Times New Roman"/>
        <family val="1"/>
        <charset val="186"/>
      </rPr>
      <t xml:space="preserve"> Dabasgāze,</t>
    </r>
    <r>
      <rPr>
        <i/>
        <sz val="11"/>
        <color theme="1"/>
        <rFont val="Times New Roman"/>
        <family val="1"/>
        <charset val="186"/>
      </rPr>
      <t xml:space="preserve"> kuru izmanto:</t>
    </r>
  </si>
  <si>
    <r>
      <t xml:space="preserve">           -kā kurināmo iedzīvotājiem, </t>
    </r>
    <r>
      <rPr>
        <i/>
        <sz val="11"/>
        <color theme="1"/>
        <rFont val="Times New Roman"/>
        <family val="1"/>
        <charset val="186"/>
      </rPr>
      <t>EUR par MWh</t>
    </r>
  </si>
  <si>
    <r>
      <t xml:space="preserve">           -</t>
    </r>
    <r>
      <rPr>
        <sz val="11"/>
        <color theme="1"/>
        <rFont val="Times New Roman"/>
        <family val="1"/>
        <charset val="186"/>
      </rPr>
      <t xml:space="preserve"> as heating for non bussiness,</t>
    </r>
    <r>
      <rPr>
        <i/>
        <sz val="11"/>
        <color theme="1"/>
        <rFont val="Times New Roman"/>
        <family val="1"/>
        <charset val="186"/>
      </rPr>
      <t xml:space="preserve"> EUR per MWh</t>
    </r>
  </si>
  <si>
    <r>
      <t xml:space="preserve">           - kā kurināmo uzņēmumiem, </t>
    </r>
    <r>
      <rPr>
        <i/>
        <sz val="11"/>
        <color theme="1"/>
        <rFont val="Times New Roman"/>
        <family val="1"/>
        <charset val="186"/>
      </rPr>
      <t>EUR par MWh</t>
    </r>
  </si>
  <si>
    <r>
      <t xml:space="preserve">            -</t>
    </r>
    <r>
      <rPr>
        <sz val="11"/>
        <color theme="1"/>
        <rFont val="Times New Roman"/>
        <family val="1"/>
        <charset val="186"/>
      </rPr>
      <t xml:space="preserve"> as heating for bussiness,</t>
    </r>
    <r>
      <rPr>
        <i/>
        <sz val="11"/>
        <color theme="1"/>
        <rFont val="Times New Roman"/>
        <family val="1"/>
        <charset val="186"/>
      </rPr>
      <t xml:space="preserve"> EUR per MWh</t>
    </r>
  </si>
  <si>
    <r>
      <t xml:space="preserve">          -  kā degvielu, </t>
    </r>
    <r>
      <rPr>
        <i/>
        <sz val="11"/>
        <color theme="1"/>
        <rFont val="Times New Roman"/>
        <family val="1"/>
        <charset val="186"/>
      </rPr>
      <t>EUR par MWh</t>
    </r>
    <r>
      <rPr>
        <i/>
        <vertAlign val="superscript"/>
        <sz val="11"/>
        <color theme="1"/>
        <rFont val="Times New Roman"/>
        <family val="1"/>
        <charset val="186"/>
      </rPr>
      <t xml:space="preserve"> </t>
    </r>
  </si>
  <si>
    <r>
      <t xml:space="preserve">            - as propellant, </t>
    </r>
    <r>
      <rPr>
        <i/>
        <sz val="11"/>
        <color theme="1"/>
        <rFont val="Times New Roman"/>
        <family val="1"/>
        <charset val="186"/>
      </rPr>
      <t>EUR per MWh</t>
    </r>
  </si>
  <si>
    <t xml:space="preserve">                                                         LTL par MWh</t>
  </si>
  <si>
    <t xml:space="preserve">                                   LTL per MWh</t>
  </si>
  <si>
    <r>
      <t xml:space="preserve">   </t>
    </r>
    <r>
      <rPr>
        <b/>
        <sz val="11"/>
        <color theme="1"/>
        <rFont val="Times New Roman"/>
        <family val="1"/>
        <charset val="186"/>
      </rPr>
      <t>Kokss,</t>
    </r>
    <r>
      <rPr>
        <sz val="11"/>
        <color theme="1"/>
        <rFont val="Times New Roman"/>
        <family val="1"/>
        <charset val="186"/>
      </rPr>
      <t xml:space="preserve"> </t>
    </r>
    <r>
      <rPr>
        <i/>
        <sz val="11"/>
        <color theme="1"/>
        <rFont val="Times New Roman"/>
        <family val="1"/>
        <charset val="186"/>
      </rPr>
      <t>ko piegādā:</t>
    </r>
  </si>
  <si>
    <r>
      <t xml:space="preserve">    </t>
    </r>
    <r>
      <rPr>
        <b/>
        <sz val="11"/>
        <color theme="1"/>
        <rFont val="Times New Roman"/>
        <family val="1"/>
        <charset val="186"/>
      </rPr>
      <t xml:space="preserve">Coal </t>
    </r>
    <r>
      <rPr>
        <i/>
        <sz val="11"/>
        <color theme="1"/>
        <rFont val="Times New Roman"/>
        <family val="1"/>
        <charset val="186"/>
      </rPr>
      <t>for using:</t>
    </r>
  </si>
  <si>
    <r>
      <t xml:space="preserve">           - iedzīvotājiem, </t>
    </r>
    <r>
      <rPr>
        <i/>
        <sz val="11"/>
        <color theme="1"/>
        <rFont val="Times New Roman"/>
        <family val="1"/>
        <charset val="186"/>
      </rPr>
      <t>EUR par 1000 kg (t)</t>
    </r>
  </si>
  <si>
    <r>
      <t xml:space="preserve">          -</t>
    </r>
    <r>
      <rPr>
        <sz val="11"/>
        <color theme="1"/>
        <rFont val="Times New Roman"/>
        <family val="1"/>
        <charset val="186"/>
      </rPr>
      <t xml:space="preserve"> non bussiness,</t>
    </r>
    <r>
      <rPr>
        <i/>
        <sz val="11"/>
        <color theme="1"/>
        <rFont val="Times New Roman"/>
        <family val="1"/>
        <charset val="186"/>
      </rPr>
      <t xml:space="preserve"> EUR per 1000 kg (t)</t>
    </r>
  </si>
  <si>
    <r>
      <t xml:space="preserve">           - uzņēmumiem, </t>
    </r>
    <r>
      <rPr>
        <i/>
        <sz val="11"/>
        <color theme="1"/>
        <rFont val="Times New Roman"/>
        <family val="1"/>
        <charset val="186"/>
      </rPr>
      <t>EUR par 1000 kg (t)</t>
    </r>
  </si>
  <si>
    <r>
      <t xml:space="preserve">          -</t>
    </r>
    <r>
      <rPr>
        <sz val="11"/>
        <color theme="1"/>
        <rFont val="Times New Roman"/>
        <family val="1"/>
        <charset val="186"/>
      </rPr>
      <t xml:space="preserve"> bussiness,</t>
    </r>
    <r>
      <rPr>
        <i/>
        <sz val="11"/>
        <color theme="1"/>
        <rFont val="Times New Roman"/>
        <family val="1"/>
        <charset val="186"/>
      </rPr>
      <t xml:space="preserve"> EUR per 1000 kg (t)</t>
    </r>
  </si>
  <si>
    <r>
      <t xml:space="preserve">    </t>
    </r>
    <r>
      <rPr>
        <b/>
        <sz val="11"/>
        <color theme="1"/>
        <rFont val="Times New Roman"/>
        <family val="1"/>
        <charset val="186"/>
      </rPr>
      <t>Ogles,</t>
    </r>
    <r>
      <rPr>
        <i/>
        <sz val="11"/>
        <color theme="1"/>
        <rFont val="Times New Roman"/>
        <family val="1"/>
        <charset val="186"/>
      </rPr>
      <t xml:space="preserve"> ko piegādā:</t>
    </r>
  </si>
  <si>
    <r>
      <t xml:space="preserve">    </t>
    </r>
    <r>
      <rPr>
        <b/>
        <sz val="11"/>
        <color theme="1"/>
        <rFont val="Times New Roman"/>
        <family val="1"/>
        <charset val="186"/>
      </rPr>
      <t xml:space="preserve">Coke </t>
    </r>
    <r>
      <rPr>
        <i/>
        <sz val="11"/>
        <color theme="1"/>
        <rFont val="Times New Roman"/>
        <family val="1"/>
        <charset val="186"/>
      </rPr>
      <t>for using:</t>
    </r>
  </si>
  <si>
    <r>
      <t xml:space="preserve">    </t>
    </r>
    <r>
      <rPr>
        <b/>
        <sz val="11"/>
        <color theme="1"/>
        <rFont val="Times New Roman"/>
        <family val="1"/>
        <charset val="186"/>
      </rPr>
      <t xml:space="preserve"> Elektrība, </t>
    </r>
    <r>
      <rPr>
        <i/>
        <sz val="11"/>
        <color theme="1"/>
        <rFont val="Times New Roman"/>
        <family val="1"/>
        <charset val="186"/>
      </rPr>
      <t>kuru piegādā:</t>
    </r>
  </si>
  <si>
    <r>
      <t xml:space="preserve">     </t>
    </r>
    <r>
      <rPr>
        <b/>
        <sz val="11"/>
        <color theme="1"/>
        <rFont val="Times New Roman"/>
        <family val="1"/>
        <charset val="186"/>
      </rPr>
      <t xml:space="preserve">Electricity </t>
    </r>
    <r>
      <rPr>
        <sz val="11"/>
        <color theme="1"/>
        <rFont val="Times New Roman"/>
        <family val="1"/>
        <charset val="186"/>
      </rPr>
      <t>for using:</t>
    </r>
  </si>
  <si>
    <r>
      <t xml:space="preserve">           - iedzīvotājiem, </t>
    </r>
    <r>
      <rPr>
        <i/>
        <sz val="11"/>
        <color theme="1"/>
        <rFont val="Times New Roman"/>
        <family val="1"/>
        <charset val="186"/>
      </rPr>
      <t>EUR par MWh</t>
    </r>
  </si>
  <si>
    <r>
      <t xml:space="preserve">           - non bussiness, </t>
    </r>
    <r>
      <rPr>
        <i/>
        <sz val="11"/>
        <color theme="1"/>
        <rFont val="Times New Roman"/>
        <family val="1"/>
        <charset val="186"/>
      </rPr>
      <t>EUR per MWh</t>
    </r>
  </si>
  <si>
    <t xml:space="preserve">                                     LTL par 100 litriem</t>
  </si>
  <si>
    <t xml:space="preserve">                                     LTL per MWh</t>
  </si>
  <si>
    <r>
      <t xml:space="preserve">           - uzņēmumiem, </t>
    </r>
    <r>
      <rPr>
        <i/>
        <sz val="11"/>
        <color theme="1"/>
        <rFont val="Times New Roman"/>
        <family val="1"/>
        <charset val="186"/>
      </rPr>
      <t>EUR par MWh</t>
    </r>
  </si>
  <si>
    <r>
      <t xml:space="preserve">           - bussines, </t>
    </r>
    <r>
      <rPr>
        <i/>
        <sz val="11"/>
        <color theme="1"/>
        <rFont val="Times New Roman"/>
        <family val="1"/>
        <charset val="186"/>
      </rPr>
      <t>EUR per MWh</t>
    </r>
  </si>
  <si>
    <t xml:space="preserve">                                    LTL par 100 litriem</t>
  </si>
  <si>
    <r>
      <t xml:space="preserve">                             </t>
    </r>
    <r>
      <rPr>
        <i/>
        <sz val="10"/>
        <color theme="1"/>
        <rFont val="Times New Roman"/>
        <family val="1"/>
        <charset val="186"/>
      </rPr>
      <t xml:space="preserve"> LTL per MWh</t>
    </r>
  </si>
  <si>
    <t>8. Izložu un azartspēļu nodoklis (IAN )</t>
  </si>
  <si>
    <t>Nav datu</t>
  </si>
  <si>
    <r>
      <t xml:space="preserve">    - Rulete, </t>
    </r>
    <r>
      <rPr>
        <i/>
        <sz val="11"/>
        <rFont val="Times New Roman"/>
        <family val="1"/>
        <charset val="186"/>
      </rPr>
      <t>gadā par katru galdu</t>
    </r>
    <r>
      <rPr>
        <sz val="11"/>
        <rFont val="Times New Roman"/>
        <family val="1"/>
        <charset val="186"/>
      </rPr>
      <t xml:space="preserve"> </t>
    </r>
    <r>
      <rPr>
        <i/>
        <sz val="11"/>
        <rFont val="Times New Roman"/>
        <family val="1"/>
        <charset val="186"/>
      </rPr>
      <t>līdz 01.07.2022, pēc % no organizēšanas ienākumiem</t>
    </r>
  </si>
  <si>
    <t>20856 (1738 per month)</t>
  </si>
  <si>
    <t>27600 (2300 per month)</t>
  </si>
  <si>
    <r>
      <t xml:space="preserve">  - Roulette,</t>
    </r>
    <r>
      <rPr>
        <i/>
        <sz val="11"/>
        <rFont val="Times New Roman"/>
        <family val="1"/>
        <charset val="186"/>
      </rPr>
      <t xml:space="preserve"> per year for each table till 2022-07-01, from 2022-07-01 - % of income from the organization</t>
    </r>
  </si>
  <si>
    <r>
      <t xml:space="preserve">    - Kāršu un kauliņu spēles,</t>
    </r>
    <r>
      <rPr>
        <i/>
        <sz val="11"/>
        <color theme="1"/>
        <rFont val="Times New Roman"/>
        <family val="1"/>
        <charset val="186"/>
      </rPr>
      <t xml:space="preserve"> gadā līdz 01.07.2022., pēc % no organizēšanas ienākumiem</t>
    </r>
  </si>
  <si>
    <t>20857 (1738 per month per table)</t>
  </si>
  <si>
    <t>27601 (2300 per month)</t>
  </si>
  <si>
    <r>
      <t xml:space="preserve">  - Cards and dice games, </t>
    </r>
    <r>
      <rPr>
        <i/>
        <sz val="11"/>
        <rFont val="Times New Roman"/>
        <family val="1"/>
        <charset val="186"/>
      </rPr>
      <t xml:space="preserve">per year till 2022-07-01, from 2022-07-01 - % of income from the organization </t>
    </r>
  </si>
  <si>
    <r>
      <t xml:space="preserve">    - Videospēles un mehāniskie automāti,</t>
    </r>
    <r>
      <rPr>
        <i/>
        <sz val="11"/>
        <color theme="1"/>
        <rFont val="Times New Roman"/>
        <family val="1"/>
        <charset val="186"/>
      </rPr>
      <t xml:space="preserve"> gadā par katra automāta katru spēles vietu</t>
    </r>
    <r>
      <rPr>
        <sz val="11"/>
        <color theme="1"/>
        <rFont val="Times New Roman"/>
        <family val="1"/>
        <charset val="186"/>
      </rPr>
      <t xml:space="preserve"> </t>
    </r>
    <r>
      <rPr>
        <i/>
        <sz val="11"/>
        <color theme="1"/>
        <rFont val="Times New Roman"/>
        <family val="1"/>
        <charset val="186"/>
      </rPr>
      <t>līdz 01.07.2022., pēc % no organizēšanas ienākumiem</t>
    </r>
  </si>
  <si>
    <t xml:space="preserve">  2 784 (A category)
1 044 (B categary)</t>
  </si>
  <si>
    <t>3120 (A category)
1560 (B category)</t>
  </si>
  <si>
    <r>
      <t xml:space="preserve">  - Video games and mechanic slot machines, </t>
    </r>
    <r>
      <rPr>
        <i/>
        <sz val="11"/>
        <rFont val="Times New Roman"/>
        <family val="1"/>
        <charset val="186"/>
      </rPr>
      <t>per year for each games machine site  till 2022-07-01, from 2022-07-01 - % of income from the organization</t>
    </r>
  </si>
  <si>
    <r>
      <t xml:space="preserve">   - Totalizators un derības,</t>
    </r>
    <r>
      <rPr>
        <i/>
        <sz val="11"/>
        <color theme="1"/>
        <rFont val="Times New Roman"/>
        <family val="1"/>
        <charset val="186"/>
      </rPr>
      <t xml:space="preserve"> % no organizēšanas ieņēmumiem</t>
    </r>
  </si>
  <si>
    <r>
      <t xml:space="preserve">  - Totalizator and betting, </t>
    </r>
    <r>
      <rPr>
        <i/>
        <sz val="11"/>
        <color theme="1"/>
        <rFont val="Times New Roman"/>
        <family val="1"/>
        <charset val="186"/>
      </rPr>
      <t>% of income from the organization</t>
    </r>
  </si>
  <si>
    <r>
      <t xml:space="preserve">   - Bingo, </t>
    </r>
    <r>
      <rPr>
        <i/>
        <sz val="11"/>
        <color theme="1"/>
        <rFont val="Times New Roman"/>
        <family val="1"/>
        <charset val="186"/>
      </rPr>
      <t>% no organizēšanas ieņēmumiem</t>
    </r>
  </si>
  <si>
    <r>
      <t xml:space="preserve">  - Bingo, </t>
    </r>
    <r>
      <rPr>
        <i/>
        <sz val="11"/>
        <color theme="1"/>
        <rFont val="Times New Roman"/>
        <family val="1"/>
        <charset val="186"/>
      </rPr>
      <t>% of income from the organization</t>
    </r>
  </si>
  <si>
    <r>
      <rPr>
        <i/>
        <sz val="11"/>
        <color theme="1"/>
        <rFont val="Times New Roman"/>
        <family val="1"/>
        <charset val="186"/>
      </rPr>
      <t xml:space="preserve">  - Gambling using telecommunications,</t>
    </r>
    <r>
      <rPr>
        <sz val="11"/>
        <color theme="1"/>
        <rFont val="Times New Roman"/>
        <family val="1"/>
        <charset val="186"/>
      </rPr>
      <t xml:space="preserve"> % of income from the organization</t>
    </r>
  </si>
  <si>
    <r>
      <t xml:space="preserve">       - Izložu nodoklis par loterijām un momentloterijām,</t>
    </r>
    <r>
      <rPr>
        <i/>
        <sz val="11"/>
        <color theme="1"/>
        <rFont val="Times New Roman"/>
        <family val="1"/>
        <charset val="186"/>
      </rPr>
      <t>% no biļešu pārdošanas</t>
    </r>
  </si>
  <si>
    <r>
      <t xml:space="preserve">      - Lotteries tax on lotteries and moment lotteries</t>
    </r>
    <r>
      <rPr>
        <i/>
        <sz val="11"/>
        <color theme="1"/>
        <rFont val="Times New Roman"/>
        <family val="1"/>
        <charset val="186"/>
      </rPr>
      <t>, % of ticket sales</t>
    </r>
  </si>
  <si>
    <r>
      <t xml:space="preserve">Ģimenes valsts pabalsti </t>
    </r>
    <r>
      <rPr>
        <b/>
        <sz val="14"/>
        <color rgb="FF00B050"/>
        <rFont val="Times New Roman"/>
        <family val="1"/>
        <charset val="186"/>
      </rPr>
      <t>LIETUVĀ</t>
    </r>
  </si>
  <si>
    <r>
      <t xml:space="preserve">State Family Benefits in </t>
    </r>
    <r>
      <rPr>
        <b/>
        <sz val="14"/>
        <color rgb="FF00B050"/>
        <rFont val="Times New Roman"/>
        <family val="1"/>
        <charset val="186"/>
      </rPr>
      <t>LITHUANIA</t>
    </r>
  </si>
  <si>
    <t>73,5/80,5 from 1 June 2022</t>
  </si>
  <si>
    <r>
      <t xml:space="preserve">Ja </t>
    </r>
    <r>
      <rPr>
        <b/>
        <sz val="11"/>
        <color theme="1"/>
        <rFont val="Times New Roman"/>
        <family val="1"/>
        <charset val="186"/>
      </rPr>
      <t>mēneša ienākumi uz ģimenes locekli</t>
    </r>
    <r>
      <rPr>
        <sz val="11"/>
        <color theme="1"/>
        <rFont val="Times New Roman"/>
        <family val="1"/>
        <charset val="186"/>
      </rPr>
      <t xml:space="preserve"> ir mazāki par 1,5 (2 reizes sākot no 2020.gada) no valsts garantētā ienākuma (no 2017.gada ģimenēm ar 3 vai vairāk bērniem maksā pabalstu bez ienākumu pārbaudes), </t>
    </r>
    <r>
      <rPr>
        <i/>
        <sz val="11"/>
        <color theme="1"/>
        <rFont val="Times New Roman"/>
        <family val="1"/>
        <charset val="186"/>
      </rPr>
      <t>mēneša ienākumi uz vienu ģimenes locekli, euro</t>
    </r>
  </si>
  <si>
    <t>258/294 from 1 June 2022</t>
  </si>
  <si>
    <r>
      <t xml:space="preserve">If the average monthly income per one family member does not exceed 1.5 times (2 times starting from 2020) of the state guaranteed income (from 2017 families with 3 or more children are payed without checking their income), </t>
    </r>
    <r>
      <rPr>
        <i/>
        <sz val="11"/>
        <color theme="1"/>
        <rFont val="Times New Roman"/>
        <family val="1"/>
        <charset val="186"/>
      </rPr>
      <t>monthly income per family member, euro</t>
    </r>
  </si>
  <si>
    <t xml:space="preserve">      - par bērnu no 0-2 gadiem;</t>
  </si>
  <si>
    <t>43,26/47,38 from 1 June 2022</t>
  </si>
  <si>
    <t xml:space="preserve">      - for child from birth to 2 years;</t>
  </si>
  <si>
    <t xml:space="preserve">      - par bērnu no 2-7 gadiem (līdz 18 gadiem lielās ģimenēs) līdz 2017.g., pēc 2017.g. par visiem bērniem no 2 līdz 18 gadiem</t>
  </si>
  <si>
    <t xml:space="preserve">     - for child from 2 to 7 years (till 18 years for large families) till 2017, starting from 2017 for all children from 2 to 18 years</t>
  </si>
  <si>
    <t>Lietuva</t>
  </si>
  <si>
    <t>Likumdošana:</t>
  </si>
  <si>
    <t>http://www3.lrs.lt/</t>
  </si>
  <si>
    <t>Finanšu ministrijas informācija:</t>
  </si>
  <si>
    <t>http://www.finmin.lt</t>
  </si>
  <si>
    <t>Ieņēmumu dienesta informācija:</t>
  </si>
  <si>
    <t>https://www.vmi.lt/index.jsp?lang=en</t>
  </si>
  <si>
    <t>Statistika:</t>
  </si>
  <si>
    <t>http://db1.stat.gov.lt</t>
  </si>
  <si>
    <t>Oficial Social Security website</t>
  </si>
  <si>
    <t>http://www.ssa.gov/policy/docs/progdesc/ssptw/2014-2015/europe/ssptw14europe.pdf</t>
  </si>
  <si>
    <t xml:space="preserve">KPMG </t>
  </si>
  <si>
    <t>https://www.kpmg.com/LV/lv/IssuesAndInsights/ArticlesPublications/Publicationseries/nodoklu-publikacijas/Documents/LT-Tax-Card-Eng-2015.pdf</t>
  </si>
  <si>
    <t>Diferencētā neapliekamā minimuma apraksts:</t>
  </si>
  <si>
    <t>https://www.emta.ee/eng/private-client/declaration-income/amount-tax-free-income-beginning-1-january-2018</t>
  </si>
  <si>
    <r>
      <rPr>
        <b/>
        <sz val="11"/>
        <rFont val="Arial"/>
        <family val="2"/>
        <charset val="186"/>
      </rPr>
      <t>Nodokļu Ieņēmumi kopbudžetā Baltijas valstīs</t>
    </r>
    <r>
      <rPr>
        <sz val="11"/>
        <rFont val="Arial"/>
        <family val="2"/>
        <charset val="186"/>
      </rPr>
      <t xml:space="preserve">, </t>
    </r>
    <r>
      <rPr>
        <i/>
        <sz val="11"/>
        <rFont val="Arial"/>
        <family val="2"/>
        <charset val="186"/>
      </rPr>
      <t>milj.euro (Taxes on production and import+Current taxes on income, wealth + Net social contributions + Capital tax - D995)</t>
    </r>
  </si>
  <si>
    <r>
      <rPr>
        <b/>
        <sz val="11"/>
        <rFont val="Arial"/>
        <family val="2"/>
        <charset val="186"/>
      </rPr>
      <t>Tax revenue in the Baltic states</t>
    </r>
    <r>
      <rPr>
        <sz val="11"/>
        <rFont val="Arial"/>
        <family val="2"/>
        <charset val="186"/>
      </rPr>
      <t>, mln euro  (Taxes on production and import+Current taxes on income, wealth + Net social contributions + Capital tax - D995)</t>
    </r>
  </si>
  <si>
    <t>Kods</t>
  </si>
  <si>
    <t>Nodokļa veids</t>
  </si>
  <si>
    <t>Valsts</t>
  </si>
  <si>
    <t>2024 forecast</t>
  </si>
  <si>
    <t>2025 forecast</t>
  </si>
  <si>
    <t>2026 forecast</t>
  </si>
  <si>
    <t>2027 forecast</t>
  </si>
  <si>
    <t>2028 forecast</t>
  </si>
  <si>
    <t xml:space="preserve">D2_D5_D91_D61_M_D611V_D612_M_M_D613V_D614_M_D995   </t>
  </si>
  <si>
    <r>
      <t xml:space="preserve">Total receipts from taxes and </t>
    </r>
    <r>
      <rPr>
        <u/>
        <sz val="7"/>
        <rFont val="Arial"/>
        <family val="2"/>
        <charset val="186"/>
      </rPr>
      <t>compulsory</t>
    </r>
    <r>
      <rPr>
        <sz val="7"/>
        <rFont val="Arial"/>
        <family val="2"/>
        <charset val="186"/>
      </rPr>
      <t xml:space="preserve"> social contributions after deduction of amounts assessed but unlikely to be collected </t>
    </r>
  </si>
  <si>
    <r>
      <t>Kopā nodokļu un obligāto sociālo iemaksu ieņēmumi,</t>
    </r>
    <r>
      <rPr>
        <sz val="9"/>
        <color rgb="FFFF0000"/>
        <rFont val="Arial"/>
        <family val="2"/>
        <charset val="186"/>
      </rPr>
      <t xml:space="preserve"> t.sk.muitas nodoklis (ES budžetā)</t>
    </r>
  </si>
  <si>
    <t>Igaunija</t>
  </si>
  <si>
    <t>Latvija</t>
  </si>
  <si>
    <t>D211</t>
  </si>
  <si>
    <t>Value added type taxes (VAT)</t>
  </si>
  <si>
    <t>Pievienotās vērtības nodoklis</t>
  </si>
  <si>
    <t xml:space="preserve"> D51A_C1 </t>
  </si>
  <si>
    <t>Taxes on individual or household income including holding gains</t>
  </si>
  <si>
    <t>Iedzīvotāju ienākuma nodoklis</t>
  </si>
  <si>
    <t>D61</t>
  </si>
  <si>
    <t>Net social contributions</t>
  </si>
  <si>
    <t>Sociālās iemaksas (bez fondētām iemaksām)</t>
  </si>
  <si>
    <t>D2122C       +            D214A</t>
  </si>
  <si>
    <t>Excise duties      +                                              Excise duties and consumption taxes</t>
  </si>
  <si>
    <t>Akcīzes nodoklis</t>
  </si>
  <si>
    <t>D51B_C2</t>
  </si>
  <si>
    <t>Taxes on the income or profits of corporations including holding gains</t>
  </si>
  <si>
    <t>Uzņēmuma ienākumu nodoklis</t>
  </si>
  <si>
    <t>D29A</t>
  </si>
  <si>
    <t>Taxes on land, buildings and other structures</t>
  </si>
  <si>
    <t>Nekustamā īpašuma nodoklis</t>
  </si>
  <si>
    <r>
      <rPr>
        <b/>
        <sz val="8"/>
        <rFont val="Arial"/>
        <family val="2"/>
        <charset val="186"/>
      </rPr>
      <t xml:space="preserve">Source: </t>
    </r>
    <r>
      <rPr>
        <sz val="8"/>
        <rFont val="Arial"/>
        <family val="2"/>
        <charset val="186"/>
      </rPr>
      <t xml:space="preserve">Eurostat, </t>
    </r>
    <r>
      <rPr>
        <i/>
        <sz val="8"/>
        <rFont val="Arial"/>
        <family val="2"/>
        <charset val="186"/>
      </rPr>
      <t>Main national accounts tax aggregates [gov_10a_taxag]</t>
    </r>
  </si>
  <si>
    <t>LV GDP</t>
  </si>
  <si>
    <t>EE GDP</t>
  </si>
  <si>
    <t>LT GDP</t>
  </si>
  <si>
    <r>
      <rPr>
        <b/>
        <sz val="11"/>
        <rFont val="Arial"/>
        <family val="2"/>
        <charset val="186"/>
      </rPr>
      <t>Nodokļu ieņēmumi kopbudžetā Baltijas valstīs</t>
    </r>
    <r>
      <rPr>
        <sz val="11"/>
        <rFont val="Arial"/>
        <family val="2"/>
        <charset val="186"/>
      </rPr>
      <t xml:space="preserve">, </t>
    </r>
    <r>
      <rPr>
        <i/>
        <sz val="11"/>
        <rFont val="Arial"/>
        <family val="2"/>
        <charset val="186"/>
      </rPr>
      <t>% no IK</t>
    </r>
    <r>
      <rPr>
        <sz val="11"/>
        <rFont val="Arial"/>
        <family val="2"/>
        <charset val="186"/>
      </rPr>
      <t>P (T</t>
    </r>
    <r>
      <rPr>
        <i/>
        <sz val="11"/>
        <rFont val="Arial"/>
        <family val="2"/>
        <charset val="186"/>
      </rPr>
      <t>axes on production and import+Current taxes on income, wealth + Net social contributions + Capital tax - D995)</t>
    </r>
  </si>
  <si>
    <r>
      <rPr>
        <b/>
        <sz val="11"/>
        <rFont val="Arial"/>
        <family val="2"/>
        <charset val="186"/>
      </rPr>
      <t>Tax revenue in the Baltic states</t>
    </r>
    <r>
      <rPr>
        <sz val="11"/>
        <rFont val="Arial"/>
        <family val="2"/>
        <charset val="186"/>
      </rPr>
      <t>, % no GDP (Taxes on production and import+Current taxes on income, wealth + Net social contributions + Capital tax - D995)</t>
    </r>
  </si>
  <si>
    <r>
      <t>Total receipts from taxes and</t>
    </r>
    <r>
      <rPr>
        <u/>
        <sz val="7"/>
        <rFont val="Arial"/>
        <family val="2"/>
        <charset val="186"/>
      </rPr>
      <t xml:space="preserve"> compulsory social contributions</t>
    </r>
    <r>
      <rPr>
        <sz val="7"/>
        <rFont val="Arial"/>
        <family val="2"/>
        <charset val="186"/>
      </rPr>
      <t xml:space="preserve"> after deduction of amounts assessed but unlikely to be collected </t>
    </r>
  </si>
  <si>
    <t>Kopā nodokļu un obligāto sociālo iemaksu ieņēmumi budžetā, t.sk.muitas nodoklis (ES budžetā)</t>
  </si>
  <si>
    <t>Sociālās iemaksas (bez fondētām iemakām)</t>
  </si>
  <si>
    <t>LATVIA</t>
  </si>
  <si>
    <t>LITHUANIA</t>
  </si>
  <si>
    <t>ESTONIA</t>
  </si>
  <si>
    <t>PIT rates</t>
  </si>
  <si>
    <t xml:space="preserve">     -rate 1</t>
  </si>
  <si>
    <t xml:space="preserve">     - rate 2</t>
  </si>
  <si>
    <t xml:space="preserve">     - rate 3</t>
  </si>
  <si>
    <t xml:space="preserve">    - treshold 1, EUR per year</t>
  </si>
  <si>
    <t xml:space="preserve">    - threshold 2, EUR per year</t>
  </si>
  <si>
    <t>NMmin1, EUR per month</t>
  </si>
  <si>
    <t>NMmax1, EUR per month</t>
  </si>
  <si>
    <t>Salary max1, EUR per month</t>
  </si>
  <si>
    <t>Salary min1, EUR per month</t>
  </si>
  <si>
    <t>Coefficient1</t>
  </si>
  <si>
    <t>NMmin2, EUR per month</t>
  </si>
  <si>
    <t>NMmax2, EUR per month</t>
  </si>
  <si>
    <t>Salary max2, EUR per month</t>
  </si>
  <si>
    <t>Salary min2, EUR per month</t>
  </si>
  <si>
    <t>Coefficient2</t>
  </si>
  <si>
    <t>Employer's social tax rate</t>
  </si>
  <si>
    <t>Emploee's social tax rate</t>
  </si>
  <si>
    <t>Voluntary contributions to the II pillar (employee payment)</t>
  </si>
  <si>
    <t>of wich HIC rate</t>
  </si>
  <si>
    <t>Employer's tax rate</t>
  </si>
  <si>
    <t>Emploee's tax rate</t>
  </si>
  <si>
    <t>Health tax</t>
  </si>
  <si>
    <r>
      <t xml:space="preserve">SSC "ceiling" of euro per </t>
    </r>
    <r>
      <rPr>
        <sz val="10"/>
        <color rgb="FFC00000"/>
        <rFont val="Arial"/>
        <family val="2"/>
        <charset val="186"/>
      </rPr>
      <t>month</t>
    </r>
  </si>
  <si>
    <t>Minimum income "floor" per month</t>
  </si>
  <si>
    <t>Allowances for dependents, EUR per month</t>
  </si>
  <si>
    <t>154
254</t>
  </si>
  <si>
    <r>
      <t xml:space="preserve">* </t>
    </r>
    <r>
      <rPr>
        <b/>
        <i/>
        <sz val="11"/>
        <color rgb="FF00B050"/>
        <rFont val="Arial"/>
        <family val="2"/>
        <charset val="186"/>
      </rPr>
      <t>In Lithuania (2024)</t>
    </r>
    <r>
      <rPr>
        <i/>
        <sz val="11"/>
        <rFont val="Arial"/>
        <family val="2"/>
        <charset val="186"/>
      </rPr>
      <t xml:space="preserve">: the total approved rate of state social insurance contributions for accidents at work and occupational diseases is 0,16%, but it differs depending on the tariff group to which the company is assigned according to the occupational safety and health indicators : Category I - 0.14%, Category II - 0.46%, Category III - 0.7%, Category IV - 1.4%. According to this the total employer rate is </t>
    </r>
    <r>
      <rPr>
        <b/>
        <i/>
        <sz val="11"/>
        <color rgb="FF00B050"/>
        <rFont val="Arial"/>
        <family val="2"/>
        <charset val="186"/>
      </rPr>
      <t>1,77%</t>
    </r>
    <r>
      <rPr>
        <i/>
        <sz val="11"/>
        <rFont val="Arial"/>
        <family val="2"/>
        <charset val="186"/>
      </rPr>
      <t>, when it is assigned to the Category I</t>
    </r>
  </si>
  <si>
    <r>
      <rPr>
        <b/>
        <sz val="11"/>
        <color rgb="FF00B050"/>
        <rFont val="Arial"/>
        <family val="2"/>
        <charset val="186"/>
      </rPr>
      <t>LT</t>
    </r>
    <r>
      <rPr>
        <b/>
        <sz val="11"/>
        <rFont val="Arial"/>
        <family val="2"/>
        <charset val="186"/>
      </rPr>
      <t xml:space="preserve"> DD maksā starpībai līdz min.soc. objektam (840 eiro 2023.g.) minimālo sociālo nodokli (gan DD, gan DŅ daļu). 
</t>
    </r>
    <r>
      <rPr>
        <sz val="11"/>
        <rFont val="Arial"/>
        <family val="2"/>
        <charset val="186"/>
      </rPr>
      <t xml:space="preserve">Piemēram, ja </t>
    </r>
    <r>
      <rPr>
        <b/>
        <sz val="11"/>
        <rFont val="Arial"/>
        <family val="2"/>
        <charset val="186"/>
      </rPr>
      <t>bruto alga ir 500 euro</t>
    </r>
    <r>
      <rPr>
        <sz val="11"/>
        <rFont val="Arial"/>
        <family val="2"/>
        <charset val="186"/>
      </rPr>
      <t xml:space="preserve">, kas ir mazāka nekā min. soc. iemaksu objekts 840 eiro, tad </t>
    </r>
    <r>
      <rPr>
        <b/>
        <sz val="11"/>
        <rFont val="Arial"/>
        <family val="2"/>
        <charset val="186"/>
      </rPr>
      <t xml:space="preserve">DD maksā papildus par starpību 340 eiro (840 - 500) DD un DŅ soc likmju kopsummu (21,27%). </t>
    </r>
    <r>
      <rPr>
        <sz val="11"/>
        <rFont val="Arial"/>
        <family val="2"/>
        <charset val="186"/>
      </rPr>
      <t xml:space="preserve">
500 * 1,77% = 8,85; </t>
    </r>
    <r>
      <rPr>
        <sz val="11"/>
        <color rgb="FFFF0000"/>
        <rFont val="Arial"/>
        <family val="2"/>
        <charset val="186"/>
      </rPr>
      <t xml:space="preserve"> </t>
    </r>
    <r>
      <rPr>
        <b/>
        <sz val="11"/>
        <color rgb="FFFF0000"/>
        <rFont val="Arial"/>
        <family val="2"/>
        <charset val="186"/>
      </rPr>
      <t>340 * 21,27% (1,77 +19,5%) = 72,32</t>
    </r>
    <r>
      <rPr>
        <sz val="11"/>
        <rFont val="Arial"/>
        <family val="2"/>
        <charset val="186"/>
      </rPr>
      <t xml:space="preserve">; KOPĀ DD soc nod ir </t>
    </r>
    <r>
      <rPr>
        <b/>
        <sz val="11"/>
        <rFont val="Arial"/>
        <family val="2"/>
        <charset val="186"/>
      </rPr>
      <t>81,17 euro</t>
    </r>
  </si>
  <si>
    <r>
      <rPr>
        <b/>
        <sz val="11"/>
        <color rgb="FF00B050"/>
        <rFont val="Arial"/>
        <family val="2"/>
        <charset val="186"/>
      </rPr>
      <t>LT</t>
    </r>
    <r>
      <rPr>
        <sz val="11"/>
        <rFont val="Arial"/>
        <family val="2"/>
        <charset val="186"/>
      </rPr>
      <t xml:space="preserve"> </t>
    </r>
    <r>
      <rPr>
        <b/>
        <sz val="11"/>
        <rFont val="Arial"/>
        <family val="2"/>
        <charset val="186"/>
      </rPr>
      <t>DD</t>
    </r>
    <r>
      <rPr>
        <sz val="11"/>
        <rFont val="Arial"/>
        <family val="2"/>
        <charset val="186"/>
      </rPr>
      <t xml:space="preserve"> sociālo nodokli maksā no visas algas, </t>
    </r>
    <r>
      <rPr>
        <b/>
        <sz val="11"/>
        <rFont val="Arial"/>
        <family val="2"/>
        <charset val="186"/>
      </rPr>
      <t>DD daļai neņem vērā sociālos "griestus"</t>
    </r>
  </si>
  <si>
    <r>
      <rPr>
        <b/>
        <sz val="11"/>
        <color rgb="FF00B050"/>
        <rFont val="Arial"/>
        <family val="2"/>
        <charset val="186"/>
      </rPr>
      <t>LT</t>
    </r>
    <r>
      <rPr>
        <b/>
        <sz val="11"/>
        <rFont val="Arial"/>
        <family val="2"/>
        <charset val="186"/>
      </rPr>
      <t xml:space="preserve"> DŅ</t>
    </r>
    <r>
      <rPr>
        <sz val="11"/>
        <rFont val="Arial"/>
        <family val="2"/>
        <charset val="186"/>
      </rPr>
      <t xml:space="preserve"> </t>
    </r>
    <r>
      <rPr>
        <b/>
        <sz val="11"/>
        <rFont val="Arial"/>
        <family val="2"/>
        <charset val="186"/>
      </rPr>
      <t xml:space="preserve">virs SOC "griestiem" </t>
    </r>
    <r>
      <rPr>
        <sz val="11"/>
        <rFont val="Arial"/>
        <family val="2"/>
        <charset val="186"/>
      </rPr>
      <t>piemēro sociālā nodokļa likmi</t>
    </r>
    <r>
      <rPr>
        <b/>
        <sz val="11"/>
        <rFont val="Arial"/>
        <family val="2"/>
        <charset val="186"/>
      </rPr>
      <t xml:space="preserve"> 6,98%</t>
    </r>
    <r>
      <rPr>
        <sz val="11"/>
        <rFont val="Arial"/>
        <family val="2"/>
        <charset val="186"/>
      </rPr>
      <t>, līdz SOC "griestiem" maksā 19,5%</t>
    </r>
  </si>
  <si>
    <r>
      <rPr>
        <b/>
        <sz val="10"/>
        <color rgb="FF00CC66"/>
        <rFont val="Arial"/>
        <family val="2"/>
        <charset val="186"/>
      </rPr>
      <t>LT</t>
    </r>
    <r>
      <rPr>
        <sz val="10"/>
        <rFont val="Arial"/>
        <family val="2"/>
        <charset val="186"/>
      </rPr>
      <t xml:space="preserve"> as of 2022: non-taxable amount formula becomes two-fold. The maximum applicable non-taxable amount increases from 400 to 460 euros, and the coefficient is changed. The new formula is applied up to 1 704 EUR per moth before tax. For those earning more than 1 704 EUR per month, the 2021 formula of non-taxable amount applies, freezing the application of non-taxable amount at EUR 2864.</t>
    </r>
  </si>
  <si>
    <r>
      <rPr>
        <b/>
        <sz val="10"/>
        <color rgb="FF00CC66"/>
        <rFont val="Arial"/>
        <family val="2"/>
        <charset val="186"/>
      </rPr>
      <t>LT</t>
    </r>
    <r>
      <rPr>
        <sz val="10"/>
        <rFont val="Arial"/>
        <family val="2"/>
        <charset val="186"/>
      </rPr>
      <t xml:space="preserve"> no 2022. gada dif. NM piemēro divejādi. Maksimālā piemērojamā ar nodokli neapliekamā summa palielinās no 400 līdz 460 eiro, un koeficients tiek mainīts. 2022.g. jaunā formula tiek piemērota līdz bruto ienākumiem 1 704 EUR apmērā. Tiem, kas pelna vairāk nekā 1704 EUR mēnesī, tiek piemērota 2021. gada NM formula līdz 2864 EUR.</t>
    </r>
  </si>
  <si>
    <r>
      <rPr>
        <b/>
        <sz val="14"/>
        <rFont val="Arial"/>
        <family val="2"/>
        <charset val="186"/>
      </rPr>
      <t xml:space="preserve">Gross salary, </t>
    </r>
    <r>
      <rPr>
        <i/>
        <sz val="14"/>
        <rFont val="Arial"/>
        <family val="2"/>
        <charset val="186"/>
      </rPr>
      <t>EUR per month</t>
    </r>
  </si>
  <si>
    <t>Number of children</t>
  </si>
  <si>
    <t>Latvia</t>
  </si>
  <si>
    <t xml:space="preserve">Lithuania </t>
  </si>
  <si>
    <t>Estonia</t>
  </si>
  <si>
    <t>Gross salary</t>
  </si>
  <si>
    <t>Social security contributions</t>
  </si>
  <si>
    <t xml:space="preserve">        Employer's payment</t>
  </si>
  <si>
    <t xml:space="preserve">            -  employer's SSC</t>
  </si>
  <si>
    <t xml:space="preserve">            -  health insurance</t>
  </si>
  <si>
    <t xml:space="preserve">            -  solidarity tax (for pensions)</t>
  </si>
  <si>
    <t xml:space="preserve">        Employee's payment</t>
  </si>
  <si>
    <t xml:space="preserve">            -  employee's SSC</t>
  </si>
  <si>
    <t xml:space="preserve">Personal income tax </t>
  </si>
  <si>
    <t xml:space="preserve">       Non-taxable minimum </t>
  </si>
  <si>
    <t xml:space="preserve">       Allowance for child</t>
  </si>
  <si>
    <t xml:space="preserve">       First rate</t>
  </si>
  <si>
    <t xml:space="preserve">       Second rate</t>
  </si>
  <si>
    <t xml:space="preserve">       Third rate</t>
  </si>
  <si>
    <t>Total taxes</t>
  </si>
  <si>
    <t>Employer's total costs</t>
  </si>
  <si>
    <t>Net salary</t>
  </si>
  <si>
    <t xml:space="preserve">Tax wedge </t>
  </si>
  <si>
    <r>
      <rPr>
        <b/>
        <sz val="13"/>
        <color rgb="FFFF0000"/>
        <rFont val="Times New Roman"/>
        <family val="1"/>
        <charset val="186"/>
      </rPr>
      <t>The tax calculation is designed as in the annual income declaration.</t>
    </r>
    <r>
      <rPr>
        <sz val="13"/>
        <rFont val="Times New Roman"/>
        <family val="1"/>
        <charset val="186"/>
      </rPr>
      <t xml:space="preserve"> The c</t>
    </r>
    <r>
      <rPr>
        <sz val="12"/>
        <rFont val="Times New Roman"/>
        <family val="1"/>
        <charset val="186"/>
      </rPr>
      <t>alculation is designed with monthly data (salary, allowance for dependents) for easier understanding.</t>
    </r>
  </si>
  <si>
    <r>
      <t xml:space="preserve">In the tax wedge calculation the </t>
    </r>
    <r>
      <rPr>
        <u/>
        <sz val="12"/>
        <rFont val="Times New Roman"/>
        <family val="1"/>
        <charset val="186"/>
      </rPr>
      <t xml:space="preserve">cash benefits are not included </t>
    </r>
    <r>
      <rPr>
        <sz val="12"/>
        <rFont val="Times New Roman"/>
        <family val="1"/>
        <charset val="186"/>
      </rPr>
      <t>(State family benefit and additional premiums to the state family benefit).</t>
    </r>
  </si>
  <si>
    <r>
      <t>In</t>
    </r>
    <r>
      <rPr>
        <b/>
        <sz val="12"/>
        <color rgb="FF00B050"/>
        <rFont val="Times New Roman"/>
        <family val="1"/>
        <charset val="186"/>
      </rPr>
      <t xml:space="preserve"> Lithuania</t>
    </r>
    <r>
      <rPr>
        <sz val="12"/>
        <rFont val="Times New Roman"/>
        <family val="1"/>
        <charset val="186"/>
      </rPr>
      <t xml:space="preserve">, the employee makes a voluntary contribution to the pension </t>
    </r>
    <r>
      <rPr>
        <b/>
        <sz val="12"/>
        <rFont val="Times New Roman"/>
        <family val="1"/>
        <charset val="186"/>
      </rPr>
      <t>2nd pillar of 3% in 2023 and 2024</t>
    </r>
    <r>
      <rPr>
        <sz val="12"/>
        <rFont val="Times New Roman"/>
        <family val="1"/>
        <charset val="186"/>
      </rPr>
      <t>, which</t>
    </r>
    <r>
      <rPr>
        <u/>
        <sz val="12"/>
        <rFont val="Times New Roman"/>
        <family val="1"/>
        <charset val="186"/>
      </rPr>
      <t xml:space="preserve"> is not included </t>
    </r>
    <r>
      <rPr>
        <sz val="12"/>
        <rFont val="Times New Roman"/>
        <family val="1"/>
        <charset val="186"/>
      </rPr>
      <t>in the calculation.</t>
    </r>
  </si>
  <si>
    <t xml:space="preserve"> ----&gt; to calculate the net salary, perhaps it should be included, as still a big share of the employees contribute to the 2nd pillar</t>
  </si>
  <si>
    <r>
      <rPr>
        <b/>
        <sz val="12"/>
        <color rgb="FF00B050"/>
        <rFont val="Times New Roman"/>
        <family val="1"/>
        <charset val="186"/>
      </rPr>
      <t>Lithuanian</t>
    </r>
    <r>
      <rPr>
        <sz val="12"/>
        <rFont val="Times New Roman"/>
        <family val="1"/>
        <charset val="186"/>
      </rPr>
      <t xml:space="preserve"> calculations</t>
    </r>
    <r>
      <rPr>
        <u/>
        <sz val="12"/>
        <rFont val="Times New Roman"/>
        <family val="1"/>
        <charset val="186"/>
      </rPr>
      <t xml:space="preserve"> include</t>
    </r>
    <r>
      <rPr>
        <sz val="12"/>
        <rFont val="Times New Roman"/>
        <family val="1"/>
        <charset val="186"/>
      </rPr>
      <t xml:space="preserve"> the minimum social contributions (the object is the minimum wage - 924 euro per month </t>
    </r>
    <r>
      <rPr>
        <i/>
        <sz val="12"/>
        <rFont val="Times New Roman"/>
        <family val="1"/>
        <charset val="186"/>
      </rPr>
      <t>(in 2024 - 924*21,27%=96,54 euro; in 2023 - 840*21,27%=178,67 euro)</t>
    </r>
    <r>
      <rPr>
        <sz val="12"/>
        <rFont val="Times New Roman"/>
        <family val="1"/>
        <charset val="186"/>
      </rPr>
      <t>)</t>
    </r>
  </si>
  <si>
    <r>
      <rPr>
        <b/>
        <sz val="12"/>
        <color rgb="FFFF0000"/>
        <rFont val="Times New Roman"/>
        <family val="1"/>
        <charset val="186"/>
      </rPr>
      <t xml:space="preserve">Latvian </t>
    </r>
    <r>
      <rPr>
        <sz val="12"/>
        <rFont val="Times New Roman"/>
        <family val="1"/>
        <charset val="186"/>
      </rPr>
      <t xml:space="preserve">calculations </t>
    </r>
    <r>
      <rPr>
        <u/>
        <sz val="12"/>
        <rFont val="Times New Roman"/>
        <family val="1"/>
        <charset val="186"/>
      </rPr>
      <t xml:space="preserve">include </t>
    </r>
    <r>
      <rPr>
        <sz val="12"/>
        <rFont val="Times New Roman"/>
        <family val="1"/>
        <charset val="186"/>
      </rPr>
      <t>the minimum social contributions (the object is the minimum wage - in 2025 740 euro per month (740*34,09% = 252,27 euro) or 740euro * 3 per quarter. In 2024 700 euro per month, in 2026 780 euro per month.</t>
    </r>
  </si>
  <si>
    <r>
      <rPr>
        <b/>
        <sz val="12"/>
        <color rgb="FF0070C0"/>
        <rFont val="Times New Roman"/>
        <family val="1"/>
        <charset val="186"/>
      </rPr>
      <t xml:space="preserve">Estonian </t>
    </r>
    <r>
      <rPr>
        <sz val="12"/>
        <rFont val="Times New Roman"/>
        <family val="1"/>
        <charset val="186"/>
      </rPr>
      <t xml:space="preserve">calculations </t>
    </r>
    <r>
      <rPr>
        <u/>
        <sz val="12"/>
        <rFont val="Times New Roman"/>
        <family val="1"/>
        <charset val="186"/>
      </rPr>
      <t>include</t>
    </r>
    <r>
      <rPr>
        <sz val="12"/>
        <rFont val="Times New Roman"/>
        <family val="1"/>
        <charset val="186"/>
      </rPr>
      <t xml:space="preserve"> the minimum social contributions (in 2024 the object is the minimum wage of 2023 - 725 euro per month (</t>
    </r>
    <r>
      <rPr>
        <i/>
        <sz val="12"/>
        <rFont val="Times New Roman"/>
        <family val="1"/>
        <charset val="186"/>
      </rPr>
      <t xml:space="preserve">725*33%=239,25 euro). </t>
    </r>
    <r>
      <rPr>
        <sz val="12"/>
        <rFont val="Times New Roman"/>
        <family val="1"/>
        <charset val="186"/>
      </rPr>
      <t>In 2023 the object was 654 euro per month</t>
    </r>
    <r>
      <rPr>
        <i/>
        <sz val="12"/>
        <rFont val="Times New Roman"/>
        <family val="1"/>
        <charset val="186"/>
      </rPr>
      <t xml:space="preserve"> (654*33% = 215,82 euro).</t>
    </r>
  </si>
  <si>
    <t>Algu kalkulatori  / wage calculators</t>
  </si>
  <si>
    <t>https://www.tax.lt/skaiciuokles/atlyginimo_ir_mokesciu_skaiciuokle</t>
  </si>
  <si>
    <t>Atlyginimų palyginimo skaičiuoklė 2022 (auditum.lt)</t>
  </si>
  <si>
    <t>http://palk.crew.ee/2018/kalkulaator.html</t>
  </si>
  <si>
    <t>https://blog.swedbank.lv/riki-kalkulatori/darba-algas-kalkulators</t>
  </si>
  <si>
    <t>Latvia 2024</t>
  </si>
  <si>
    <t>Latvia 2025</t>
  </si>
  <si>
    <t>Latvia 2026</t>
  </si>
  <si>
    <t>Lithuania 2024</t>
  </si>
  <si>
    <t>Lithuania 2025</t>
  </si>
  <si>
    <t>Lithuania 2026</t>
  </si>
  <si>
    <t>Estonia 2024</t>
  </si>
  <si>
    <t>Estonia 2025</t>
  </si>
  <si>
    <t>Estonia 2026</t>
  </si>
  <si>
    <t>Gross wage</t>
  </si>
  <si>
    <t>Employer's social tax</t>
  </si>
  <si>
    <t>Emploee's social tax</t>
  </si>
  <si>
    <t>Total tax</t>
  </si>
  <si>
    <t>Net wage</t>
  </si>
  <si>
    <t>* EE - ir ņemts vērā atvieglojums par apgādībā esošu personu sākot no otrā bērna. IIN atmaksu saņem nākamajā gadā, iesniedzot gada ienākumu deklarāciju.</t>
  </si>
  <si>
    <r>
      <rPr>
        <sz val="10"/>
        <rFont val="Arial"/>
        <family val="2"/>
        <charset val="186"/>
      </rPr>
      <t xml:space="preserve">In </t>
    </r>
    <r>
      <rPr>
        <sz val="10"/>
        <color rgb="FF0070C0"/>
        <rFont val="Arial"/>
        <family val="2"/>
        <charset val="186"/>
      </rPr>
      <t>Estonia</t>
    </r>
    <r>
      <rPr>
        <b/>
        <sz val="10"/>
        <color rgb="FF0070C0"/>
        <rFont val="Arial"/>
        <family val="2"/>
        <charset val="186"/>
      </rPr>
      <t xml:space="preserve">, </t>
    </r>
    <r>
      <rPr>
        <sz val="10"/>
        <rFont val="Arial"/>
        <family val="2"/>
        <charset val="186"/>
      </rPr>
      <t>in calculation is include the allowance for the second and any subsequent children.The extra non-taxable allowance receive on the basis of the annual tax return of a natural person.</t>
    </r>
  </si>
  <si>
    <r>
      <rPr>
        <b/>
        <sz val="12"/>
        <color rgb="FF00B050"/>
        <rFont val="Arial"/>
        <family val="2"/>
        <charset val="186"/>
      </rPr>
      <t>Lietuvā</t>
    </r>
    <r>
      <rPr>
        <sz val="12"/>
        <color theme="1"/>
        <rFont val="Arial"/>
        <family val="2"/>
        <charset val="186"/>
      </rPr>
      <t xml:space="preserve"> 2019.gadā starp darba devējiem un Lietuvas valdību noslēgta vienošanās, ka nodokļu samazinājums tiek kompensēts ar bruto ienākuma palielinājumu visiem darba ņēmējiem par 1,289 reizēm, kā rezultātā palielināsies darba ņēmēja ienākums, ko tas saņem pēc nodokļu nomaksas jeb “uz rokas”. Piemēram, bruto algu 1164 euro palielināja uz 1500 euro</t>
    </r>
  </si>
  <si>
    <r>
      <rPr>
        <b/>
        <sz val="12"/>
        <color rgb="FF00B050"/>
        <rFont val="Arial"/>
        <family val="2"/>
        <charset val="186"/>
      </rPr>
      <t>In Lithuania</t>
    </r>
    <r>
      <rPr>
        <sz val="12"/>
        <rFont val="Arial"/>
        <family val="2"/>
        <charset val="186"/>
      </rPr>
      <t xml:space="preserve">,  in 2019 an agreement has been reached between employers and Lithuanian government that the tax reduction is compensated by increased gross salary (1,289 times) for all employees. Thus, the employee's gross salary has increased by 1,289 times in 2019. For example, a gross salary 1,164 euro in 2018 increased to 1,500 </t>
    </r>
    <r>
      <rPr>
        <i/>
        <sz val="12"/>
        <rFont val="Arial"/>
        <family val="2"/>
        <charset val="186"/>
      </rPr>
      <t>euro</t>
    </r>
    <r>
      <rPr>
        <sz val="12"/>
        <rFont val="Arial"/>
        <family val="2"/>
        <charset val="186"/>
      </rPr>
      <t xml:space="preserve"> in 2019.</t>
    </r>
  </si>
  <si>
    <r>
      <t>Sources</t>
    </r>
    <r>
      <rPr>
        <i/>
        <sz val="8"/>
        <color rgb="FF595959"/>
        <rFont val="Verdana"/>
        <family val="2"/>
        <charset val="186"/>
      </rPr>
      <t>: Ministry of finance calculations without dependents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</si>
</sst>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_-* #,##0_-;\-* #,##0_-;_-* &quot;-&quot;??_-;_-@_-"/>
    <numFmt numFmtId="167" formatCode="#,##0.000"/>
    <numFmt numFmtId="168" formatCode="#,##0.0000"/>
    <numFmt numFmtId="169" formatCode="#,##0.0"/>
    <numFmt numFmtId="170" formatCode="0.000"/>
    <numFmt numFmtId="171" formatCode="_-* #,##0.0_-;\-* #,##0.0_-;_-* &quot;-&quot;??_-;_-@_-"/>
    <numFmt numFmtId="172" formatCode="0.0000"/>
  </numFmts>
  <fonts count="224">
    <font>
      <sz val="12"/>
      <color theme="1"/>
      <name val="Times New Roman"/>
      <family val="2"/>
      <charset val="186"/>
    </font>
    <font>
      <sz val="11"/>
      <color theme="1"/>
      <name val="Aptos Narrow"/>
      <family val="2"/>
      <charset val="186"/>
      <scheme val="minor"/>
    </font>
    <font>
      <sz val="11"/>
      <color rgb="FFFF0000"/>
      <name val="Aptos Narrow"/>
      <family val="2"/>
      <charset val="186"/>
      <scheme val="minor"/>
    </font>
    <font>
      <b/>
      <sz val="11"/>
      <color theme="1"/>
      <name val="Aptos Narrow"/>
      <family val="2"/>
      <charset val="186"/>
      <scheme val="minor"/>
    </font>
    <font>
      <sz val="8"/>
      <name val="BaltTimesRoman"/>
      <charset val="186"/>
    </font>
    <font>
      <b/>
      <sz val="14"/>
      <color theme="1"/>
      <name val="Times New Roman"/>
      <family val="1"/>
      <charset val="186"/>
    </font>
    <font>
      <b/>
      <sz val="14"/>
      <color rgb="FFFF0000"/>
      <name val="Times New Roman"/>
      <family val="1"/>
      <charset val="186"/>
    </font>
    <font>
      <sz val="12"/>
      <color theme="1"/>
      <name val="Times New Roman"/>
      <family val="1"/>
      <charset val="186"/>
    </font>
    <font>
      <sz val="12"/>
      <color theme="1"/>
      <name val="Times New Roman"/>
      <family val="2"/>
      <charset val="186"/>
    </font>
    <font>
      <sz val="8"/>
      <color theme="1"/>
      <name val="Times New Roman"/>
      <family val="1"/>
      <charset val="186"/>
    </font>
    <font>
      <b/>
      <i/>
      <sz val="11"/>
      <color rgb="FFFF0000"/>
      <name val="Times New Roman"/>
      <family val="1"/>
      <charset val="186"/>
    </font>
    <font>
      <b/>
      <sz val="12"/>
      <color theme="0"/>
      <name val="Times New Roman"/>
      <family val="1"/>
      <charset val="186"/>
    </font>
    <font>
      <b/>
      <sz val="12"/>
      <color theme="1"/>
      <name val="Times New Roman"/>
      <family val="1"/>
      <charset val="186"/>
    </font>
    <font>
      <i/>
      <sz val="12"/>
      <color theme="1"/>
      <name val="Times New Roman"/>
      <family val="1"/>
      <charset val="186"/>
    </font>
    <font>
      <b/>
      <sz val="12"/>
      <color rgb="FFFF0000"/>
      <name val="Times New Roman"/>
      <family val="1"/>
      <charset val="186"/>
    </font>
    <font>
      <b/>
      <sz val="12"/>
      <name val="Times New Roman"/>
      <family val="1"/>
      <charset val="186"/>
    </font>
    <font>
      <i/>
      <sz val="10"/>
      <color theme="1"/>
      <name val="Times New Roman"/>
      <family val="1"/>
      <charset val="186"/>
    </font>
    <font>
      <i/>
      <sz val="10"/>
      <color rgb="FFFF0000"/>
      <name val="Times New Roman"/>
      <family val="1"/>
      <charset val="186"/>
    </font>
    <font>
      <sz val="10"/>
      <color rgb="FFFF0000"/>
      <name val="Times New Roman"/>
      <family val="1"/>
      <charset val="186"/>
    </font>
    <font>
      <sz val="10"/>
      <color theme="1"/>
      <name val="Times New Roman"/>
      <family val="1"/>
      <charset val="186"/>
    </font>
    <font>
      <b/>
      <sz val="11"/>
      <color theme="1"/>
      <name val="Times New Roman"/>
      <family val="1"/>
      <charset val="186"/>
    </font>
    <font>
      <b/>
      <sz val="11"/>
      <color rgb="FF0070C0"/>
      <name val="Times New Roman"/>
      <family val="1"/>
      <charset val="186"/>
    </font>
    <font>
      <b/>
      <sz val="11"/>
      <color rgb="FFFF0000"/>
      <name val="Times New Roman"/>
      <family val="1"/>
      <charset val="186"/>
    </font>
    <font>
      <b/>
      <sz val="11"/>
      <name val="Times New Roman"/>
      <family val="1"/>
      <charset val="186"/>
    </font>
    <font>
      <sz val="11"/>
      <color theme="1"/>
      <name val="Times New Roman"/>
      <family val="1"/>
      <charset val="186"/>
    </font>
    <font>
      <sz val="11"/>
      <name val="Times New Roman"/>
      <family val="1"/>
      <charset val="186"/>
    </font>
    <font>
      <sz val="10"/>
      <name val="Times New Roman"/>
      <family val="1"/>
      <charset val="186"/>
    </font>
    <font>
      <sz val="10"/>
      <color rgb="FFE42202"/>
      <name val="Times New Roman"/>
      <family val="1"/>
      <charset val="186"/>
    </font>
    <font>
      <i/>
      <sz val="10"/>
      <name val="Times New Roman"/>
      <family val="1"/>
      <charset val="186"/>
    </font>
    <font>
      <i/>
      <sz val="11"/>
      <color theme="1"/>
      <name val="Times New Roman"/>
      <family val="1"/>
      <charset val="186"/>
    </font>
    <font>
      <sz val="11"/>
      <color rgb="FFFF0000"/>
      <name val="Times New Roman"/>
      <family val="1"/>
      <charset val="186"/>
    </font>
    <font>
      <b/>
      <sz val="10"/>
      <color rgb="FFFF0000"/>
      <name val="Times New Roman"/>
      <family val="1"/>
      <charset val="186"/>
    </font>
    <font>
      <b/>
      <sz val="10"/>
      <name val="Times New Roman"/>
      <family val="1"/>
      <charset val="186"/>
    </font>
    <font>
      <i/>
      <sz val="11"/>
      <color rgb="FF0070C0"/>
      <name val="Times New Roman"/>
      <family val="1"/>
      <charset val="186"/>
    </font>
    <font>
      <i/>
      <sz val="10"/>
      <color rgb="FF000000"/>
      <name val="Times New Roman"/>
      <family val="1"/>
      <charset val="186"/>
    </font>
    <font>
      <i/>
      <vertAlign val="subscript"/>
      <sz val="10"/>
      <color rgb="FF000000"/>
      <name val="Times New Roman"/>
      <family val="1"/>
      <charset val="186"/>
    </font>
    <font>
      <b/>
      <sz val="10"/>
      <color theme="1"/>
      <name val="Times New Roman"/>
      <family val="1"/>
      <charset val="186"/>
    </font>
    <font>
      <i/>
      <sz val="10"/>
      <color rgb="FF0070C0"/>
      <name val="Times New Roman"/>
      <family val="1"/>
      <charset val="186"/>
    </font>
    <font>
      <i/>
      <vertAlign val="subscript"/>
      <sz val="10"/>
      <name val="Times New Roman"/>
      <family val="1"/>
      <charset val="186"/>
    </font>
    <font>
      <b/>
      <sz val="11"/>
      <color rgb="FF000000"/>
      <name val="Times New Roman"/>
      <family val="1"/>
      <charset val="186"/>
    </font>
    <font>
      <i/>
      <sz val="11"/>
      <color rgb="FF000000"/>
      <name val="Times New Roman"/>
      <family val="1"/>
      <charset val="186"/>
    </font>
    <font>
      <i/>
      <sz val="11"/>
      <color rgb="FFFF0000"/>
      <name val="Times New Roman"/>
      <family val="1"/>
      <charset val="186"/>
    </font>
    <font>
      <sz val="11"/>
      <color rgb="FF222222"/>
      <name val="Times New Roman"/>
      <family val="1"/>
      <charset val="186"/>
    </font>
    <font>
      <i/>
      <sz val="11"/>
      <color rgb="FF222222"/>
      <name val="Times New Roman"/>
      <family val="1"/>
      <charset val="186"/>
    </font>
    <font>
      <sz val="10"/>
      <color rgb="FF222222"/>
      <name val="Times New Roman"/>
      <family val="1"/>
      <charset val="186"/>
    </font>
    <font>
      <i/>
      <sz val="10"/>
      <color rgb="FF222222"/>
      <name val="Times New Roman"/>
      <family val="1"/>
      <charset val="186"/>
    </font>
    <font>
      <sz val="11"/>
      <color theme="1"/>
      <name val="Aptos Narrow"/>
      <family val="2"/>
      <scheme val="minor"/>
    </font>
    <font>
      <b/>
      <sz val="11"/>
      <color rgb="FF222222"/>
      <name val="Times New Roman"/>
      <family val="1"/>
      <charset val="186"/>
    </font>
    <font>
      <i/>
      <sz val="11"/>
      <name val="Times New Roman"/>
      <family val="1"/>
      <charset val="186"/>
    </font>
    <font>
      <b/>
      <sz val="10"/>
      <color rgb="FF0070C0"/>
      <name val="Times New Roman"/>
      <family val="1"/>
      <charset val="186"/>
    </font>
    <font>
      <sz val="10"/>
      <color rgb="FF000000"/>
      <name val="Times New Roman"/>
      <family val="1"/>
      <charset val="186"/>
    </font>
    <font>
      <b/>
      <u/>
      <sz val="10"/>
      <color theme="1"/>
      <name val="Times New Roman"/>
      <family val="1"/>
      <charset val="186"/>
    </font>
    <font>
      <i/>
      <sz val="11"/>
      <color theme="1"/>
      <name val="Aptos Narrow"/>
      <family val="2"/>
      <charset val="186"/>
      <scheme val="minor"/>
    </font>
    <font>
      <i/>
      <u/>
      <sz val="11"/>
      <name val="Times New Roman"/>
      <family val="1"/>
      <charset val="186"/>
    </font>
    <font>
      <b/>
      <i/>
      <sz val="11"/>
      <name val="Times New Roman"/>
      <family val="1"/>
      <charset val="186"/>
    </font>
    <font>
      <sz val="11"/>
      <color theme="1"/>
      <name val="Calibri"/>
      <family val="2"/>
      <charset val="186"/>
    </font>
    <font>
      <b/>
      <i/>
      <sz val="10"/>
      <color rgb="FFFF0000"/>
      <name val="Times New Roman"/>
      <family val="1"/>
      <charset val="186"/>
    </font>
    <font>
      <b/>
      <i/>
      <sz val="10"/>
      <color theme="1"/>
      <name val="Times New Roman"/>
      <family val="1"/>
      <charset val="186"/>
    </font>
    <font>
      <b/>
      <sz val="11"/>
      <color rgb="FF00B0F0"/>
      <name val="Times New Roman"/>
      <family val="1"/>
      <charset val="186"/>
    </font>
    <font>
      <sz val="8"/>
      <name val="Times New Roman"/>
      <family val="1"/>
      <charset val="186"/>
    </font>
    <font>
      <b/>
      <sz val="8"/>
      <color theme="1"/>
      <name val="Times New Roman"/>
      <family val="1"/>
      <charset val="186"/>
    </font>
    <font>
      <b/>
      <sz val="8"/>
      <color rgb="FFFF0000"/>
      <name val="Times New Roman"/>
      <family val="1"/>
      <charset val="186"/>
    </font>
    <font>
      <b/>
      <sz val="8"/>
      <name val="Times New Roman"/>
      <family val="1"/>
      <charset val="186"/>
    </font>
    <font>
      <sz val="9"/>
      <color theme="4"/>
      <name val="Times New Roman"/>
      <family val="1"/>
      <charset val="186"/>
    </font>
    <font>
      <b/>
      <sz val="11"/>
      <color theme="3" tint="0.39997558519241921"/>
      <name val="Times New Roman"/>
      <family val="1"/>
      <charset val="186"/>
    </font>
    <font>
      <b/>
      <sz val="11"/>
      <color theme="4"/>
      <name val="Times New Roman"/>
      <family val="1"/>
      <charset val="186"/>
    </font>
    <font>
      <sz val="8"/>
      <color rgb="FFFF0000"/>
      <name val="Times New Roman"/>
      <family val="1"/>
      <charset val="186"/>
    </font>
    <font>
      <sz val="11"/>
      <color rgb="FF0070C0"/>
      <name val="Times New Roman"/>
      <family val="1"/>
      <charset val="186"/>
    </font>
    <font>
      <b/>
      <sz val="11"/>
      <color rgb="FFDB705B"/>
      <name val="Times New Roman"/>
      <family val="1"/>
      <charset val="186"/>
    </font>
    <font>
      <sz val="8"/>
      <color rgb="FF0070C0"/>
      <name val="Times New Roman"/>
      <family val="1"/>
      <charset val="186"/>
    </font>
    <font>
      <sz val="11"/>
      <color theme="1" tint="0.249977111117893"/>
      <name val="Times New Roman"/>
      <family val="1"/>
      <charset val="186"/>
    </font>
    <font>
      <sz val="8"/>
      <color theme="1" tint="0.249977111117893"/>
      <name val="Times New Roman"/>
      <family val="1"/>
      <charset val="186"/>
    </font>
    <font>
      <sz val="8"/>
      <color rgb="FF00B050"/>
      <name val="Times New Roman"/>
      <family val="1"/>
      <charset val="186"/>
    </font>
    <font>
      <b/>
      <sz val="12"/>
      <color rgb="FF0070C0"/>
      <name val="Times New Roman"/>
      <family val="1"/>
      <charset val="186"/>
    </font>
    <font>
      <sz val="9"/>
      <name val="Times New Roman"/>
      <family val="1"/>
      <charset val="186"/>
    </font>
    <font>
      <i/>
      <sz val="8"/>
      <color theme="1"/>
      <name val="Times New Roman"/>
      <family val="1"/>
      <charset val="186"/>
    </font>
    <font>
      <b/>
      <i/>
      <sz val="11"/>
      <color theme="1"/>
      <name val="Times New Roman"/>
      <family val="1"/>
      <charset val="186"/>
    </font>
    <font>
      <b/>
      <i/>
      <sz val="10"/>
      <name val="Times New Roman"/>
      <family val="1"/>
      <charset val="186"/>
    </font>
    <font>
      <i/>
      <sz val="8"/>
      <name val="Times New Roman"/>
      <family val="1"/>
      <charset val="186"/>
    </font>
    <font>
      <i/>
      <vertAlign val="superscript"/>
      <sz val="11"/>
      <color theme="1"/>
      <name val="Times New Roman"/>
      <family val="1"/>
      <charset val="186"/>
    </font>
    <font>
      <i/>
      <vertAlign val="superscript"/>
      <sz val="10"/>
      <color theme="1"/>
      <name val="Times New Roman"/>
      <family val="1"/>
      <charset val="186"/>
    </font>
    <font>
      <sz val="9"/>
      <color rgb="FF222222"/>
      <name val="Times New Roman"/>
      <family val="1"/>
      <charset val="186"/>
    </font>
    <font>
      <i/>
      <sz val="9"/>
      <color rgb="FF222222"/>
      <name val="Times New Roman"/>
      <family val="1"/>
      <charset val="186"/>
    </font>
    <font>
      <sz val="12"/>
      <name val="Times New Roman"/>
      <family val="1"/>
      <charset val="186"/>
    </font>
    <font>
      <u/>
      <sz val="12"/>
      <color theme="10"/>
      <name val="Times New Roman"/>
      <family val="2"/>
      <charset val="186"/>
    </font>
    <font>
      <b/>
      <sz val="9"/>
      <color indexed="81"/>
      <name val="Tahoma"/>
      <family val="2"/>
      <charset val="186"/>
    </font>
    <font>
      <sz val="9"/>
      <color indexed="81"/>
      <name val="Tahoma"/>
      <family val="2"/>
      <charset val="186"/>
    </font>
    <font>
      <u/>
      <sz val="9"/>
      <color indexed="81"/>
      <name val="Tahoma"/>
      <family val="2"/>
      <charset val="186"/>
    </font>
    <font>
      <b/>
      <sz val="14"/>
      <color rgb="FF0070C0"/>
      <name val="Times New Roman"/>
      <family val="1"/>
      <charset val="186"/>
    </font>
    <font>
      <sz val="14"/>
      <color theme="1"/>
      <name val="Times New Roman"/>
      <family val="1"/>
      <charset val="186"/>
    </font>
    <font>
      <b/>
      <i/>
      <sz val="11"/>
      <color rgb="FF0070C0"/>
      <name val="Times New Roman"/>
      <family val="1"/>
      <charset val="186"/>
    </font>
    <font>
      <b/>
      <sz val="11"/>
      <color theme="0"/>
      <name val="Times New Roman"/>
      <family val="1"/>
      <charset val="186"/>
    </font>
    <font>
      <sz val="11"/>
      <color rgb="FF000000"/>
      <name val="Times New Roman"/>
      <family val="1"/>
      <charset val="186"/>
    </font>
    <font>
      <sz val="12"/>
      <name val="Aptos Narrow"/>
      <family val="2"/>
      <charset val="238"/>
      <scheme val="minor"/>
    </font>
    <font>
      <b/>
      <sz val="8"/>
      <color rgb="FF0070C0"/>
      <name val="Times New Roman"/>
      <family val="1"/>
      <charset val="186"/>
    </font>
    <font>
      <i/>
      <sz val="10"/>
      <color rgb="FFE42202"/>
      <name val="Times New Roman"/>
      <family val="1"/>
      <charset val="186"/>
    </font>
    <font>
      <i/>
      <sz val="8"/>
      <color rgb="FFFF0000"/>
      <name val="Times New Roman"/>
      <family val="1"/>
      <charset val="186"/>
    </font>
    <font>
      <i/>
      <sz val="8"/>
      <color rgb="FF0070C0"/>
      <name val="Times New Roman"/>
      <family val="1"/>
      <charset val="186"/>
    </font>
    <font>
      <b/>
      <i/>
      <sz val="8"/>
      <color rgb="FFFF0000"/>
      <name val="Times New Roman"/>
      <family val="1"/>
      <charset val="186"/>
    </font>
    <font>
      <sz val="10"/>
      <color rgb="FF0070C0"/>
      <name val="Times New Roman"/>
      <family val="1"/>
      <charset val="186"/>
    </font>
    <font>
      <i/>
      <sz val="11"/>
      <color theme="1"/>
      <name val="Aptos Narrow"/>
      <family val="2"/>
      <scheme val="minor"/>
    </font>
    <font>
      <sz val="11"/>
      <name val="Calibri"/>
      <family val="2"/>
      <charset val="186"/>
    </font>
    <font>
      <sz val="9.9"/>
      <name val="Times New Roman"/>
      <family val="1"/>
      <charset val="186"/>
    </font>
    <font>
      <sz val="11"/>
      <color theme="0" tint="-0.499984740745262"/>
      <name val="Times New Roman"/>
      <family val="1"/>
      <charset val="186"/>
    </font>
    <font>
      <sz val="11"/>
      <color theme="0" tint="-0.34998626667073579"/>
      <name val="Times New Roman"/>
      <family val="1"/>
      <charset val="186"/>
    </font>
    <font>
      <sz val="12"/>
      <color rgb="FFFF0000"/>
      <name val="Times New Roman"/>
      <family val="1"/>
      <charset val="186"/>
    </font>
    <font>
      <sz val="12"/>
      <color theme="5" tint="-0.249977111117893"/>
      <name val="Times New Roman"/>
      <family val="1"/>
      <charset val="186"/>
    </font>
    <font>
      <sz val="11"/>
      <color theme="5" tint="-0.249977111117893"/>
      <name val="Times New Roman"/>
      <family val="1"/>
      <charset val="186"/>
    </font>
    <font>
      <b/>
      <sz val="8"/>
      <color rgb="FF002060"/>
      <name val="Times New Roman"/>
      <family val="1"/>
      <charset val="186"/>
    </font>
    <font>
      <strike/>
      <sz val="11"/>
      <color theme="1"/>
      <name val="Times New Roman"/>
      <family val="1"/>
      <charset val="186"/>
    </font>
    <font>
      <b/>
      <strike/>
      <sz val="11"/>
      <color theme="1"/>
      <name val="Times New Roman"/>
      <family val="1"/>
      <charset val="186"/>
    </font>
    <font>
      <sz val="11"/>
      <color rgb="FF0070C0"/>
      <name val="Aptos Narrow"/>
      <family val="2"/>
      <charset val="186"/>
      <scheme val="minor"/>
    </font>
    <font>
      <sz val="11"/>
      <name val="Aptos Narrow"/>
      <family val="2"/>
      <charset val="186"/>
      <scheme val="minor"/>
    </font>
    <font>
      <sz val="10"/>
      <color rgb="FFFF0000"/>
      <name val="Aptos Narrow"/>
      <family val="2"/>
      <charset val="186"/>
      <scheme val="minor"/>
    </font>
    <font>
      <b/>
      <sz val="11"/>
      <color rgb="FF0070C0"/>
      <name val="Aptos Narrow"/>
      <family val="2"/>
      <charset val="186"/>
      <scheme val="minor"/>
    </font>
    <font>
      <b/>
      <sz val="11"/>
      <name val="Aptos Narrow"/>
      <family val="2"/>
      <charset val="186"/>
      <scheme val="minor"/>
    </font>
    <font>
      <u/>
      <sz val="10"/>
      <name val="Times New Roman"/>
      <family val="1"/>
      <charset val="186"/>
    </font>
    <font>
      <b/>
      <u/>
      <sz val="9"/>
      <color indexed="81"/>
      <name val="Tahoma"/>
      <family val="2"/>
      <charset val="186"/>
    </font>
    <font>
      <b/>
      <sz val="9"/>
      <color indexed="81"/>
      <name val="Segoe UI"/>
      <family val="2"/>
      <charset val="186"/>
    </font>
    <font>
      <sz val="9"/>
      <color indexed="81"/>
      <name val="Segoe UI"/>
      <family val="2"/>
      <charset val="186"/>
    </font>
    <font>
      <i/>
      <sz val="9"/>
      <color indexed="81"/>
      <name val="Tahoma"/>
      <family val="2"/>
      <charset val="186"/>
    </font>
    <font>
      <sz val="9"/>
      <color indexed="81"/>
      <name val="Tahoma"/>
      <charset val="1"/>
    </font>
    <font>
      <b/>
      <sz val="14"/>
      <color rgb="FF00B050"/>
      <name val="Times New Roman"/>
      <family val="1"/>
      <charset val="186"/>
    </font>
    <font>
      <b/>
      <i/>
      <sz val="11"/>
      <color rgb="FF00B050"/>
      <name val="Times New Roman"/>
      <family val="1"/>
      <charset val="186"/>
    </font>
    <font>
      <b/>
      <sz val="12"/>
      <color rgb="FFE42202"/>
      <name val="Times New Roman"/>
      <family val="1"/>
      <charset val="186"/>
    </font>
    <font>
      <b/>
      <sz val="8"/>
      <color theme="0"/>
      <name val="Times New Roman"/>
      <family val="1"/>
      <charset val="186"/>
    </font>
    <font>
      <sz val="9"/>
      <color theme="1"/>
      <name val="Times New Roman"/>
      <family val="1"/>
      <charset val="186"/>
    </font>
    <font>
      <i/>
      <vertAlign val="subscript"/>
      <sz val="10"/>
      <color theme="1"/>
      <name val="Times New Roman"/>
      <family val="1"/>
      <charset val="186"/>
    </font>
    <font>
      <b/>
      <i/>
      <sz val="11"/>
      <color rgb="FF000000"/>
      <name val="Times New Roman"/>
      <family val="1"/>
      <charset val="186"/>
    </font>
    <font>
      <b/>
      <sz val="9"/>
      <color rgb="FFFF0000"/>
      <name val="Times New Roman"/>
      <family val="1"/>
      <charset val="186"/>
    </font>
    <font>
      <sz val="9"/>
      <color rgb="FFFF0000"/>
      <name val="Times New Roman"/>
      <family val="1"/>
      <charset val="186"/>
    </font>
    <font>
      <b/>
      <sz val="10"/>
      <color rgb="FFE42202"/>
      <name val="Times New Roman"/>
      <family val="1"/>
      <charset val="186"/>
    </font>
    <font>
      <i/>
      <sz val="9"/>
      <color theme="1"/>
      <name val="Times New Roman"/>
      <family val="1"/>
      <charset val="186"/>
    </font>
    <font>
      <b/>
      <sz val="9"/>
      <color theme="1"/>
      <name val="Times New Roman"/>
      <family val="1"/>
      <charset val="186"/>
    </font>
    <font>
      <i/>
      <sz val="9"/>
      <color rgb="FF0070C0"/>
      <name val="Times New Roman"/>
      <family val="1"/>
      <charset val="186"/>
    </font>
    <font>
      <i/>
      <sz val="9"/>
      <name val="Times New Roman"/>
      <family val="1"/>
      <charset val="186"/>
    </font>
    <font>
      <i/>
      <sz val="9"/>
      <color rgb="FFFF0000"/>
      <name val="Times New Roman"/>
      <family val="1"/>
      <charset val="186"/>
    </font>
    <font>
      <b/>
      <i/>
      <sz val="8"/>
      <color theme="1"/>
      <name val="Times New Roman"/>
      <family val="1"/>
      <charset val="186"/>
    </font>
    <font>
      <b/>
      <sz val="8"/>
      <color theme="1"/>
      <name val="Arial"/>
      <family val="2"/>
      <charset val="186"/>
    </font>
    <font>
      <b/>
      <sz val="9"/>
      <color theme="1"/>
      <name val="Arial"/>
      <family val="2"/>
      <charset val="186"/>
    </font>
    <font>
      <b/>
      <sz val="11"/>
      <color rgb="FFE42202"/>
      <name val="Times New Roman"/>
      <family val="1"/>
      <charset val="186"/>
    </font>
    <font>
      <b/>
      <sz val="8"/>
      <color rgb="FFDB705B"/>
      <name val="Times New Roman"/>
      <family val="1"/>
      <charset val="186"/>
    </font>
    <font>
      <sz val="8"/>
      <color theme="0" tint="-0.499984740745262"/>
      <name val="Times New Roman"/>
      <family val="1"/>
      <charset val="186"/>
    </font>
    <font>
      <b/>
      <u/>
      <sz val="11"/>
      <name val="Times New Roman"/>
      <family val="1"/>
      <charset val="186"/>
    </font>
    <font>
      <b/>
      <u/>
      <sz val="11"/>
      <color theme="1"/>
      <name val="Times New Roman"/>
      <family val="1"/>
      <charset val="186"/>
    </font>
    <font>
      <b/>
      <sz val="10"/>
      <color rgb="FF00B050"/>
      <name val="Arial"/>
      <family val="2"/>
      <charset val="186"/>
    </font>
    <font>
      <b/>
      <sz val="9"/>
      <color rgb="FF00B050"/>
      <name val="Arial"/>
      <family val="2"/>
      <charset val="186"/>
    </font>
    <font>
      <sz val="9"/>
      <color theme="1"/>
      <name val="Arial"/>
      <family val="2"/>
      <charset val="186"/>
    </font>
    <font>
      <b/>
      <i/>
      <sz val="9"/>
      <color theme="1"/>
      <name val="Arial"/>
      <family val="2"/>
      <charset val="186"/>
    </font>
    <font>
      <sz val="11"/>
      <name val="Arial"/>
      <family val="2"/>
      <charset val="186"/>
    </font>
    <font>
      <b/>
      <sz val="11"/>
      <name val="Arial"/>
      <family val="2"/>
      <charset val="186"/>
    </font>
    <font>
      <i/>
      <sz val="11"/>
      <name val="Arial"/>
      <family val="2"/>
      <charset val="186"/>
    </font>
    <font>
      <b/>
      <sz val="10"/>
      <color theme="0"/>
      <name val="Arial"/>
      <family val="2"/>
      <charset val="186"/>
    </font>
    <font>
      <sz val="8"/>
      <name val="Arial"/>
      <family val="2"/>
      <charset val="186"/>
    </font>
    <font>
      <sz val="7"/>
      <name val="Arial"/>
      <family val="2"/>
      <charset val="186"/>
    </font>
    <font>
      <u/>
      <sz val="7"/>
      <name val="Arial"/>
      <family val="2"/>
      <charset val="186"/>
    </font>
    <font>
      <sz val="9"/>
      <name val="Arial"/>
      <family val="2"/>
      <charset val="186"/>
    </font>
    <font>
      <sz val="9"/>
      <color rgb="FFFF0000"/>
      <name val="Arial"/>
      <family val="2"/>
      <charset val="186"/>
    </font>
    <font>
      <sz val="10"/>
      <name val="Arial"/>
      <family val="2"/>
      <charset val="186"/>
    </font>
    <font>
      <b/>
      <sz val="8"/>
      <name val="Arial"/>
      <family val="2"/>
      <charset val="186"/>
    </font>
    <font>
      <i/>
      <sz val="8"/>
      <name val="Arial"/>
      <family val="2"/>
      <charset val="186"/>
    </font>
    <font>
      <i/>
      <sz val="10"/>
      <color rgb="FFFF0000"/>
      <name val="Arial"/>
      <family val="2"/>
      <charset val="186"/>
    </font>
    <font>
      <sz val="10"/>
      <color rgb="FFFF0000"/>
      <name val="Arial"/>
      <family val="2"/>
      <charset val="186"/>
    </font>
    <font>
      <sz val="10"/>
      <color rgb="FF00B0F0"/>
      <name val="Arial"/>
      <family val="2"/>
      <charset val="186"/>
    </font>
    <font>
      <sz val="10"/>
      <color rgb="FF0070C0"/>
      <name val="Arial"/>
      <family val="2"/>
      <charset val="186"/>
    </font>
    <font>
      <i/>
      <sz val="10"/>
      <name val="Arial"/>
      <family val="2"/>
      <charset val="186"/>
    </font>
    <font>
      <i/>
      <sz val="9"/>
      <color rgb="FF0070C0"/>
      <name val="Arial"/>
      <family val="2"/>
      <charset val="186"/>
    </font>
    <font>
      <i/>
      <sz val="9"/>
      <color theme="8" tint="-0.249977111117893"/>
      <name val="Arial"/>
      <family val="2"/>
      <charset val="186"/>
    </font>
    <font>
      <i/>
      <sz val="9"/>
      <color rgb="FFFF0000"/>
      <name val="Arial"/>
      <family val="2"/>
      <charset val="186"/>
    </font>
    <font>
      <sz val="10"/>
      <color rgb="FFC00000"/>
      <name val="Arial"/>
      <family val="2"/>
      <charset val="186"/>
    </font>
    <font>
      <b/>
      <i/>
      <sz val="11"/>
      <color rgb="FF00B050"/>
      <name val="Arial"/>
      <family val="2"/>
      <charset val="186"/>
    </font>
    <font>
      <b/>
      <sz val="11"/>
      <color rgb="FF00B050"/>
      <name val="Arial"/>
      <family val="2"/>
      <charset val="186"/>
    </font>
    <font>
      <sz val="11"/>
      <color rgb="FFFF0000"/>
      <name val="Arial"/>
      <family val="2"/>
      <charset val="186"/>
    </font>
    <font>
      <b/>
      <sz val="11"/>
      <color rgb="FFFF0000"/>
      <name val="Arial"/>
      <family val="2"/>
      <charset val="186"/>
    </font>
    <font>
      <b/>
      <sz val="10"/>
      <color rgb="FF00CC66"/>
      <name val="Arial"/>
      <family val="2"/>
      <charset val="186"/>
    </font>
    <font>
      <sz val="14"/>
      <name val="Arial"/>
      <family val="2"/>
      <charset val="186"/>
    </font>
    <font>
      <b/>
      <sz val="14"/>
      <name val="Arial"/>
      <family val="2"/>
      <charset val="186"/>
    </font>
    <font>
      <i/>
      <sz val="14"/>
      <name val="Arial"/>
      <family val="2"/>
      <charset val="186"/>
    </font>
    <font>
      <b/>
      <sz val="14"/>
      <color rgb="FFFF0000"/>
      <name val="Arial"/>
      <family val="2"/>
      <charset val="186"/>
    </font>
    <font>
      <b/>
      <sz val="9"/>
      <color rgb="FFFF0000"/>
      <name val="Arial"/>
      <family val="2"/>
      <charset val="186"/>
    </font>
    <font>
      <b/>
      <u/>
      <sz val="9"/>
      <color rgb="FF0070C0"/>
      <name val="Arial"/>
      <family val="2"/>
      <charset val="186"/>
    </font>
    <font>
      <b/>
      <sz val="9"/>
      <color theme="5" tint="-0.249977111117893"/>
      <name val="Arial"/>
      <family val="2"/>
      <charset val="186"/>
    </font>
    <font>
      <b/>
      <sz val="11"/>
      <color theme="0"/>
      <name val="Arial"/>
      <family val="2"/>
      <charset val="186"/>
    </font>
    <font>
      <b/>
      <i/>
      <sz val="9"/>
      <color rgb="FFC00000"/>
      <name val="Arial"/>
      <family val="2"/>
      <charset val="186"/>
    </font>
    <font>
      <b/>
      <i/>
      <sz val="9"/>
      <color rgb="FF00B050"/>
      <name val="Arial"/>
      <family val="2"/>
      <charset val="186"/>
    </font>
    <font>
      <b/>
      <i/>
      <sz val="9"/>
      <color rgb="FF002060"/>
      <name val="Arial"/>
      <family val="2"/>
      <charset val="186"/>
    </font>
    <font>
      <b/>
      <i/>
      <sz val="11"/>
      <name val="Arial"/>
      <family val="2"/>
      <charset val="186"/>
    </font>
    <font>
      <i/>
      <sz val="9"/>
      <color rgb="FF00B050"/>
      <name val="Arial"/>
      <family val="2"/>
      <charset val="186"/>
    </font>
    <font>
      <i/>
      <sz val="9"/>
      <color rgb="FF002060"/>
      <name val="Arial"/>
      <family val="2"/>
      <charset val="186"/>
    </font>
    <font>
      <sz val="10"/>
      <color rgb="FF002060"/>
      <name val="Arial"/>
      <family val="2"/>
      <charset val="186"/>
    </font>
    <font>
      <i/>
      <sz val="9"/>
      <color rgb="FFC00000"/>
      <name val="Arial"/>
      <family val="2"/>
      <charset val="186"/>
    </font>
    <font>
      <i/>
      <sz val="10"/>
      <color rgb="FF002060"/>
      <name val="Arial"/>
      <family val="2"/>
      <charset val="186"/>
    </font>
    <font>
      <sz val="10"/>
      <color rgb="FF00B050"/>
      <name val="Arial"/>
      <family val="2"/>
      <charset val="186"/>
    </font>
    <font>
      <b/>
      <i/>
      <sz val="10"/>
      <name val="Arial"/>
      <family val="2"/>
      <charset val="186"/>
    </font>
    <font>
      <b/>
      <sz val="14"/>
      <color rgb="FFC00000"/>
      <name val="Arial"/>
      <family val="2"/>
      <charset val="186"/>
    </font>
    <font>
      <b/>
      <sz val="14"/>
      <color rgb="FF00B050"/>
      <name val="Arial"/>
      <family val="2"/>
      <charset val="186"/>
    </font>
    <font>
      <b/>
      <sz val="14"/>
      <color rgb="FF002060"/>
      <name val="Arial"/>
      <family val="2"/>
      <charset val="186"/>
    </font>
    <font>
      <b/>
      <sz val="13"/>
      <color rgb="FFFF0000"/>
      <name val="Times New Roman"/>
      <family val="1"/>
      <charset val="186"/>
    </font>
    <font>
      <sz val="13"/>
      <name val="Times New Roman"/>
      <family val="1"/>
      <charset val="186"/>
    </font>
    <font>
      <b/>
      <sz val="14"/>
      <color theme="1"/>
      <name val="Arial"/>
      <family val="2"/>
      <charset val="186"/>
    </font>
    <font>
      <b/>
      <sz val="11"/>
      <color rgb="FF002060"/>
      <name val="Arial"/>
      <family val="2"/>
      <charset val="186"/>
    </font>
    <font>
      <u/>
      <sz val="12"/>
      <name val="Times New Roman"/>
      <family val="1"/>
      <charset val="186"/>
    </font>
    <font>
      <b/>
      <sz val="12"/>
      <color rgb="FF00B050"/>
      <name val="Times New Roman"/>
      <family val="1"/>
      <charset val="186"/>
    </font>
    <font>
      <b/>
      <sz val="11"/>
      <color rgb="FFC00000"/>
      <name val="Arial"/>
      <family val="2"/>
      <charset val="186"/>
    </font>
    <font>
      <i/>
      <sz val="12"/>
      <name val="Times New Roman"/>
      <family val="1"/>
      <charset val="186"/>
    </font>
    <font>
      <b/>
      <sz val="10"/>
      <name val="Arial"/>
      <family val="2"/>
      <charset val="186"/>
    </font>
    <font>
      <sz val="9"/>
      <color rgb="FF00B050"/>
      <name val="Arial"/>
      <family val="2"/>
      <charset val="186"/>
    </font>
    <font>
      <sz val="9"/>
      <color rgb="FF002060"/>
      <name val="Arial"/>
      <family val="2"/>
      <charset val="186"/>
    </font>
    <font>
      <u/>
      <sz val="11"/>
      <color theme="10"/>
      <name val="Aptos Narrow"/>
      <family val="2"/>
      <scheme val="minor"/>
    </font>
    <font>
      <u/>
      <sz val="11"/>
      <color theme="10"/>
      <name val="Arial"/>
      <family val="2"/>
      <charset val="186"/>
    </font>
    <font>
      <sz val="11"/>
      <color rgb="FF002060"/>
      <name val="Arial"/>
      <family val="2"/>
      <charset val="186"/>
    </font>
    <font>
      <sz val="11"/>
      <color theme="1"/>
      <name val="Arial"/>
      <family val="2"/>
      <charset val="186"/>
    </font>
    <font>
      <b/>
      <sz val="9"/>
      <color rgb="FF002060"/>
      <name val="Arial"/>
      <family val="2"/>
      <charset val="186"/>
    </font>
    <font>
      <b/>
      <sz val="12"/>
      <color rgb="FF002060"/>
      <name val="Arial"/>
      <family val="2"/>
      <charset val="186"/>
    </font>
    <font>
      <b/>
      <sz val="9"/>
      <name val="Arial"/>
      <family val="2"/>
      <charset val="186"/>
    </font>
    <font>
      <sz val="12"/>
      <name val="Arial"/>
      <family val="2"/>
      <charset val="186"/>
    </font>
    <font>
      <b/>
      <sz val="10"/>
      <color rgb="FF0070C0"/>
      <name val="Arial"/>
      <family val="2"/>
      <charset val="186"/>
    </font>
    <font>
      <sz val="12"/>
      <color theme="1"/>
      <name val="Arial"/>
      <family val="2"/>
      <charset val="186"/>
    </font>
    <font>
      <b/>
      <sz val="12"/>
      <color rgb="FF00B050"/>
      <name val="Arial"/>
      <family val="2"/>
      <charset val="186"/>
    </font>
    <font>
      <i/>
      <sz val="12"/>
      <name val="Arial"/>
      <family val="2"/>
      <charset val="186"/>
    </font>
    <font>
      <b/>
      <i/>
      <sz val="8"/>
      <color rgb="FF595959"/>
      <name val="Verdana"/>
      <family val="2"/>
      <charset val="186"/>
    </font>
    <font>
      <i/>
      <sz val="8"/>
      <color rgb="FF595959"/>
      <name val="Verdana"/>
      <family val="2"/>
      <charset val="186"/>
    </font>
    <font>
      <b/>
      <sz val="9"/>
      <color indexed="81"/>
      <name val="Tahoma"/>
      <charset val="1"/>
    </font>
    <font>
      <b/>
      <sz val="12"/>
      <color indexed="81"/>
      <name val="Tahoma"/>
      <family val="2"/>
      <charset val="186"/>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C8D8A4"/>
        <bgColor indexed="64"/>
      </patternFill>
    </fill>
    <fill>
      <patternFill patternType="solid">
        <fgColor rgb="FFC9E7A7"/>
        <bgColor indexed="64"/>
      </patternFill>
    </fill>
    <fill>
      <patternFill patternType="solid">
        <fgColor rgb="FFDB705B"/>
        <bgColor indexed="64"/>
      </patternFill>
    </fill>
    <fill>
      <patternFill patternType="solid">
        <fgColor rgb="FFADDB7B"/>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2"/>
        <bgColor indexed="64"/>
      </patternFill>
    </fill>
    <fill>
      <patternFill patternType="solid">
        <fgColor theme="9" tint="0.79998168889431442"/>
        <bgColor indexed="64"/>
      </patternFill>
    </fill>
  </fills>
  <borders count="348">
    <border>
      <left/>
      <right/>
      <top/>
      <bottom/>
      <diagonal/>
    </border>
    <border>
      <left style="thin">
        <color auto="1"/>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indexed="64"/>
      </right>
      <top style="thin">
        <color indexed="64"/>
      </top>
      <bottom/>
      <diagonal/>
    </border>
    <border>
      <left style="thin">
        <color auto="1"/>
      </left>
      <right style="thin">
        <color auto="1"/>
      </right>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auto="1"/>
      </bottom>
      <diagonal/>
    </border>
    <border>
      <left style="thin">
        <color indexed="64"/>
      </left>
      <right style="thin">
        <color auto="1"/>
      </right>
      <top/>
      <bottom style="thin">
        <color auto="1"/>
      </bottom>
      <diagonal/>
    </border>
    <border>
      <left style="thin">
        <color auto="1"/>
      </left>
      <right style="thin">
        <color auto="1"/>
      </right>
      <top/>
      <bottom style="thin">
        <color theme="0" tint="-0.499984740745262"/>
      </bottom>
      <diagonal/>
    </border>
    <border>
      <left style="thin">
        <color indexed="64"/>
      </left>
      <right style="thin">
        <color indexed="64"/>
      </right>
      <top style="thin">
        <color auto="1"/>
      </top>
      <bottom style="thin">
        <color theme="0" tint="-0.499984740745262"/>
      </bottom>
      <diagonal/>
    </border>
    <border>
      <left style="thin">
        <color auto="1"/>
      </left>
      <right style="thin">
        <color auto="1"/>
      </right>
      <top style="thin">
        <color theme="0" tint="-0.499984740745262"/>
      </top>
      <bottom/>
      <diagonal/>
    </border>
    <border>
      <left style="thin">
        <color auto="1"/>
      </left>
      <right style="thin">
        <color auto="1"/>
      </right>
      <top style="thin">
        <color theme="0" tint="-0.499984740745262"/>
      </top>
      <bottom style="thin">
        <color auto="1"/>
      </bottom>
      <diagonal/>
    </border>
    <border>
      <left style="thin">
        <color auto="1"/>
      </left>
      <right style="thin">
        <color auto="1"/>
      </right>
      <top style="thin">
        <color theme="0" tint="-0.34998626667073579"/>
      </top>
      <bottom/>
      <diagonal/>
    </border>
    <border>
      <left style="thin">
        <color indexed="64"/>
      </left>
      <right style="thin">
        <color indexed="64"/>
      </right>
      <top style="thin">
        <color indexed="64"/>
      </top>
      <bottom style="thin">
        <color theme="0" tint="-0.34998626667073579"/>
      </bottom>
      <diagonal/>
    </border>
    <border>
      <left style="thin">
        <color auto="1"/>
      </left>
      <right style="thin">
        <color auto="1"/>
      </right>
      <top/>
      <bottom style="thin">
        <color rgb="FF7F7F7F"/>
      </bottom>
      <diagonal/>
    </border>
    <border>
      <left style="thin">
        <color auto="1"/>
      </left>
      <right style="thin">
        <color auto="1"/>
      </right>
      <top style="thin">
        <color theme="0" tint="-0.34998626667073579"/>
      </top>
      <bottom style="thin">
        <color theme="0" tint="-0.499984740745262"/>
      </bottom>
      <diagonal/>
    </border>
    <border>
      <left style="thin">
        <color auto="1"/>
      </left>
      <right style="thin">
        <color auto="1"/>
      </right>
      <top style="thin">
        <color rgb="FF7F7F7F"/>
      </top>
      <bottom style="thin">
        <color rgb="FF7F7F7F"/>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rgb="FF7F7F7F"/>
      </top>
      <bottom style="thin">
        <color theme="0" tint="-0.499984740745262"/>
      </bottom>
      <diagonal/>
    </border>
    <border>
      <left style="thin">
        <color auto="1"/>
      </left>
      <right/>
      <top style="thin">
        <color theme="0" tint="-0.34998626667073579"/>
      </top>
      <bottom/>
      <diagonal/>
    </border>
    <border>
      <left/>
      <right/>
      <top style="thin">
        <color theme="0" tint="-0.34998626667073579"/>
      </top>
      <bottom/>
      <diagonal/>
    </border>
    <border>
      <left/>
      <right style="thin">
        <color auto="1"/>
      </right>
      <top style="thin">
        <color theme="0" tint="-0.34998626667073579"/>
      </top>
      <bottom/>
      <diagonal/>
    </border>
    <border>
      <left style="thin">
        <color indexed="64"/>
      </left>
      <right/>
      <top/>
      <bottom/>
      <diagonal/>
    </border>
    <border>
      <left/>
      <right style="thin">
        <color auto="1"/>
      </right>
      <top/>
      <bottom/>
      <diagonal/>
    </border>
    <border>
      <left style="thin">
        <color auto="1"/>
      </left>
      <right style="thin">
        <color indexed="64"/>
      </right>
      <top style="thin">
        <color theme="0" tint="-0.24994659260841701"/>
      </top>
      <bottom style="thin">
        <color theme="0" tint="-0.24994659260841701"/>
      </bottom>
      <diagonal/>
    </border>
    <border>
      <left style="thin">
        <color auto="1"/>
      </left>
      <right style="thin">
        <color indexed="64"/>
      </right>
      <top style="thin">
        <color theme="0" tint="-0.24994659260841701"/>
      </top>
      <bottom/>
      <diagonal/>
    </border>
    <border>
      <left style="thin">
        <color auto="1"/>
      </left>
      <right/>
      <top/>
      <bottom style="thin">
        <color theme="0" tint="-0.34998626667073579"/>
      </bottom>
      <diagonal/>
    </border>
    <border>
      <left/>
      <right/>
      <top/>
      <bottom style="thin">
        <color theme="0" tint="-0.34998626667073579"/>
      </bottom>
      <diagonal/>
    </border>
    <border>
      <left/>
      <right style="thin">
        <color auto="1"/>
      </right>
      <top/>
      <bottom style="thin">
        <color theme="0" tint="-0.34998626667073579"/>
      </bottom>
      <diagonal/>
    </border>
    <border>
      <left style="thin">
        <color auto="1"/>
      </left>
      <right style="thin">
        <color auto="1"/>
      </right>
      <top style="thin">
        <color theme="0" tint="-0.24994659260841701"/>
      </top>
      <bottom style="medium">
        <color auto="1"/>
      </bottom>
      <diagonal/>
    </border>
    <border>
      <left style="thin">
        <color auto="1"/>
      </left>
      <right style="thin">
        <color auto="1"/>
      </right>
      <top style="thin">
        <color theme="0" tint="-0.14996795556505021"/>
      </top>
      <bottom style="medium">
        <color auto="1"/>
      </bottom>
      <diagonal/>
    </border>
    <border>
      <left style="thin">
        <color indexed="64"/>
      </left>
      <right/>
      <top/>
      <bottom style="medium">
        <color indexed="64"/>
      </bottom>
      <diagonal/>
    </border>
    <border>
      <left/>
      <right/>
      <top/>
      <bottom style="medium">
        <color auto="1"/>
      </bottom>
      <diagonal/>
    </border>
    <border>
      <left/>
      <right style="thin">
        <color indexed="64"/>
      </right>
      <top/>
      <bottom style="medium">
        <color indexed="64"/>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theme="0" tint="-0.34998626667073579"/>
      </bottom>
      <diagonal/>
    </border>
    <border>
      <left style="thin">
        <color auto="1"/>
      </left>
      <right style="thin">
        <color auto="1"/>
      </right>
      <top/>
      <bottom style="thin">
        <color theme="0" tint="-0.24994659260841701"/>
      </bottom>
      <diagonal/>
    </border>
    <border>
      <left style="thin">
        <color auto="1"/>
      </left>
      <right/>
      <top style="thin">
        <color theme="0" tint="-0.499984740745262"/>
      </top>
      <bottom style="thin">
        <color theme="0"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auto="1"/>
      </left>
      <right style="thin">
        <color auto="1"/>
      </right>
      <top style="thin">
        <color theme="0" tint="-0.499984740745262"/>
      </top>
      <bottom style="thin">
        <color theme="0" tint="-0.34998626667073579"/>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bottom style="thin">
        <color theme="0" tint="-0.14996795556505021"/>
      </bottom>
      <diagonal/>
    </border>
    <border>
      <left style="thin">
        <color auto="1"/>
      </left>
      <right style="thin">
        <color auto="1"/>
      </right>
      <top style="thin">
        <color theme="0" tint="-0.14996795556505021"/>
      </top>
      <bottom style="thin">
        <color indexed="64"/>
      </bottom>
      <diagonal/>
    </border>
    <border>
      <left style="thin">
        <color auto="1"/>
      </left>
      <right style="thin">
        <color auto="1"/>
      </right>
      <top style="thin">
        <color auto="1"/>
      </top>
      <bottom style="thin">
        <color theme="0" tint="-4.9989318521683403E-2"/>
      </bottom>
      <diagonal/>
    </border>
    <border>
      <left style="thin">
        <color auto="1"/>
      </left>
      <right style="thin">
        <color auto="1"/>
      </right>
      <top style="thin">
        <color theme="0" tint="-4.9989318521683403E-2"/>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top/>
      <bottom style="thin">
        <color auto="1"/>
      </bottom>
      <diagonal/>
    </border>
    <border>
      <left/>
      <right style="thin">
        <color indexed="64"/>
      </right>
      <top/>
      <bottom style="thin">
        <color indexed="64"/>
      </bottom>
      <diagonal/>
    </border>
    <border>
      <left style="thin">
        <color theme="0" tint="-0.34998626667073579"/>
      </left>
      <right style="thin">
        <color auto="1"/>
      </right>
      <top style="thin">
        <color theme="0" tint="-0.34998626667073579"/>
      </top>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indexed="64"/>
      </left>
      <right style="thin">
        <color indexed="64"/>
      </right>
      <top style="thin">
        <color theme="0" tint="-0.249977111117893"/>
      </top>
      <bottom style="thin">
        <color indexed="64"/>
      </bottom>
      <diagonal/>
    </border>
    <border>
      <left style="thin">
        <color indexed="64"/>
      </left>
      <right style="thin">
        <color auto="1"/>
      </right>
      <top style="thin">
        <color auto="1"/>
      </top>
      <bottom style="thin">
        <color theme="0" tint="-0.24994659260841701"/>
      </bottom>
      <diagonal/>
    </border>
    <border>
      <left style="thin">
        <color indexed="64"/>
      </left>
      <right style="thin">
        <color auto="1"/>
      </right>
      <top style="thin">
        <color theme="0" tint="-0.24994659260841701"/>
      </top>
      <bottom style="thin">
        <color auto="1"/>
      </bottom>
      <diagonal/>
    </border>
    <border>
      <left style="thin">
        <color theme="1" tint="0.499984740745262"/>
      </left>
      <right style="thin">
        <color indexed="64"/>
      </right>
      <top style="thin">
        <color theme="1" tint="0.499984740745262"/>
      </top>
      <bottom style="thin">
        <color theme="1" tint="0.499984740745262"/>
      </bottom>
      <diagonal/>
    </border>
    <border>
      <left/>
      <right style="thin">
        <color auto="1"/>
      </right>
      <top style="thin">
        <color theme="0" tint="-0.34998626667073579"/>
      </top>
      <bottom style="thin">
        <color theme="1" tint="0.499984740745262"/>
      </bottom>
      <diagonal/>
    </border>
    <border>
      <left style="thin">
        <color auto="1"/>
      </left>
      <right style="thin">
        <color auto="1"/>
      </right>
      <top style="thin">
        <color theme="0" tint="-0.34998626667073579"/>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auto="1"/>
      </left>
      <right style="thin">
        <color auto="1"/>
      </right>
      <top/>
      <bottom style="thin">
        <color theme="1" tint="0.499984740745262"/>
      </bottom>
      <diagonal/>
    </border>
    <border>
      <left/>
      <right/>
      <top/>
      <bottom style="thin">
        <color theme="1" tint="0.499984740745262"/>
      </bottom>
      <diagonal/>
    </border>
    <border>
      <left/>
      <right style="thin">
        <color auto="1"/>
      </right>
      <top/>
      <bottom style="thin">
        <color theme="1" tint="0.499984740745262"/>
      </bottom>
      <diagonal/>
    </border>
    <border>
      <left style="thin">
        <color auto="1"/>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auto="1"/>
      </left>
      <right style="thin">
        <color auto="1"/>
      </right>
      <top style="thin">
        <color auto="1"/>
      </top>
      <bottom style="thin">
        <color theme="0" tint="-0.14996795556505021"/>
      </bottom>
      <diagonal/>
    </border>
    <border>
      <left style="thin">
        <color auto="1"/>
      </left>
      <right style="thin">
        <color auto="1"/>
      </right>
      <top style="thin">
        <color theme="0" tint="-0.14996795556505021"/>
      </top>
      <bottom style="thin">
        <color theme="0" tint="-0.149967955565050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theme="0" tint="-0.34998626667073579"/>
      </bottom>
      <diagonal/>
    </border>
    <border>
      <left/>
      <right style="thin">
        <color indexed="64"/>
      </right>
      <top style="thin">
        <color indexed="64"/>
      </top>
      <bottom style="thin">
        <color theme="0" tint="-0.34998626667073579"/>
      </bottom>
      <diagonal/>
    </border>
    <border>
      <left style="medium">
        <color indexed="64"/>
      </left>
      <right style="thin">
        <color indexed="64"/>
      </right>
      <top style="medium">
        <color indexed="64"/>
      </top>
      <bottom/>
      <diagonal/>
    </border>
    <border>
      <left style="thin">
        <color indexed="64"/>
      </left>
      <right style="thin">
        <color theme="0"/>
      </right>
      <top style="medium">
        <color indexed="64"/>
      </top>
      <bottom/>
      <diagonal/>
    </border>
    <border>
      <left style="thin">
        <color theme="0"/>
      </left>
      <right style="thin">
        <color theme="0"/>
      </right>
      <top style="medium">
        <color auto="1"/>
      </top>
      <bottom/>
      <diagonal/>
    </border>
    <border>
      <left style="thin">
        <color theme="0"/>
      </left>
      <right/>
      <top style="medium">
        <color indexed="64"/>
      </top>
      <bottom/>
      <diagonal/>
    </border>
    <border>
      <left style="thin">
        <color theme="0"/>
      </left>
      <right style="medium">
        <color auto="1"/>
      </right>
      <top style="medium">
        <color auto="1"/>
      </top>
      <bottom/>
      <diagonal/>
    </border>
    <border>
      <left style="thin">
        <color auto="1"/>
      </left>
      <right style="thin">
        <color auto="1"/>
      </right>
      <top style="medium">
        <color indexed="64"/>
      </top>
      <bottom/>
      <diagonal/>
    </border>
    <border>
      <left/>
      <right style="thin">
        <color auto="1"/>
      </right>
      <top style="medium">
        <color auto="1"/>
      </top>
      <bottom/>
      <diagonal/>
    </border>
    <border>
      <left/>
      <right style="medium">
        <color indexed="64"/>
      </right>
      <top style="medium">
        <color indexed="64"/>
      </top>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right style="thin">
        <color indexed="64"/>
      </right>
      <top style="medium">
        <color indexed="64"/>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theme="0" tint="-0.499984740745262"/>
      </bottom>
      <diagonal/>
    </border>
    <border>
      <left/>
      <right style="thin">
        <color indexed="64"/>
      </right>
      <top/>
      <bottom style="thin">
        <color theme="0" tint="-0.499984740745262"/>
      </bottom>
      <diagonal/>
    </border>
    <border>
      <left/>
      <right style="medium">
        <color auto="1"/>
      </right>
      <top/>
      <bottom style="thin">
        <color theme="0" tint="-0.499984740745262"/>
      </bottom>
      <diagonal/>
    </border>
    <border>
      <left style="medium">
        <color auto="1"/>
      </left>
      <right style="thin">
        <color auto="1"/>
      </right>
      <top style="thin">
        <color auto="1"/>
      </top>
      <bottom/>
      <diagonal/>
    </border>
    <border>
      <left/>
      <right style="medium">
        <color auto="1"/>
      </right>
      <top style="thin">
        <color indexed="64"/>
      </top>
      <bottom/>
      <diagonal/>
    </border>
    <border>
      <left style="medium">
        <color auto="1"/>
      </left>
      <right style="thin">
        <color auto="1"/>
      </right>
      <top style="thin">
        <color theme="0" tint="-0.34998626667073579"/>
      </top>
      <bottom/>
      <diagonal/>
    </border>
    <border>
      <left/>
      <right style="medium">
        <color auto="1"/>
      </right>
      <top style="thin">
        <color theme="0" tint="-0.34998626667073579"/>
      </top>
      <bottom/>
      <diagonal/>
    </border>
    <border>
      <left style="medium">
        <color auto="1"/>
      </left>
      <right style="thin">
        <color auto="1"/>
      </right>
      <top style="thin">
        <color auto="1"/>
      </top>
      <bottom style="thin">
        <color theme="0" tint="-0.34998626667073579"/>
      </bottom>
      <diagonal/>
    </border>
    <border>
      <left/>
      <right style="medium">
        <color auto="1"/>
      </right>
      <top style="thin">
        <color auto="1"/>
      </top>
      <bottom style="thin">
        <color theme="0" tint="-0.34998626667073579"/>
      </bottom>
      <diagonal/>
    </border>
    <border>
      <left style="medium">
        <color auto="1"/>
      </left>
      <right style="thin">
        <color auto="1"/>
      </right>
      <top style="thin">
        <color theme="0" tint="-0.34998626667073579"/>
      </top>
      <bottom style="thin">
        <color theme="0" tint="-0.499984740745262"/>
      </bottom>
      <diagonal/>
    </border>
    <border>
      <left/>
      <right style="thin">
        <color auto="1"/>
      </right>
      <top style="thin">
        <color theme="0" tint="-0.34998626667073579"/>
      </top>
      <bottom style="thin">
        <color theme="0" tint="-0.499984740745262"/>
      </bottom>
      <diagonal/>
    </border>
    <border>
      <left/>
      <right style="medium">
        <color auto="1"/>
      </right>
      <top style="thin">
        <color theme="0" tint="-0.34998626667073579"/>
      </top>
      <bottom style="thin">
        <color theme="0" tint="-0.499984740745262"/>
      </bottom>
      <diagonal/>
    </border>
    <border>
      <left style="medium">
        <color auto="1"/>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right style="medium">
        <color auto="1"/>
      </right>
      <top style="thin">
        <color theme="0" tint="-0.499984740745262"/>
      </top>
      <bottom style="thin">
        <color theme="0" tint="-0.499984740745262"/>
      </bottom>
      <diagonal/>
    </border>
    <border>
      <left style="medium">
        <color auto="1"/>
      </left>
      <right style="thin">
        <color auto="1"/>
      </right>
      <top style="thin">
        <color theme="0" tint="-0.499984740745262"/>
      </top>
      <bottom style="thin">
        <color auto="1"/>
      </bottom>
      <diagonal/>
    </border>
    <border>
      <left style="thin">
        <color auto="1"/>
      </left>
      <right/>
      <top style="thin">
        <color theme="0" tint="-0.499984740745262"/>
      </top>
      <bottom style="thin">
        <color auto="1"/>
      </bottom>
      <diagonal/>
    </border>
    <border>
      <left/>
      <right/>
      <top style="thin">
        <color theme="0" tint="-0.499984740745262"/>
      </top>
      <bottom style="thin">
        <color auto="1"/>
      </bottom>
      <diagonal/>
    </border>
    <border>
      <left/>
      <right style="thin">
        <color auto="1"/>
      </right>
      <top style="thin">
        <color theme="0" tint="-0.499984740745262"/>
      </top>
      <bottom style="thin">
        <color auto="1"/>
      </bottom>
      <diagonal/>
    </border>
    <border>
      <left/>
      <right style="medium">
        <color auto="1"/>
      </right>
      <top style="thin">
        <color theme="0" tint="-0.499984740745262"/>
      </top>
      <bottom style="thin">
        <color auto="1"/>
      </bottom>
      <diagonal/>
    </border>
    <border>
      <left style="medium">
        <color auto="1"/>
      </left>
      <right style="thin">
        <color auto="1"/>
      </right>
      <top style="thin">
        <color auto="1"/>
      </top>
      <bottom style="thin">
        <color theme="0" tint="-0.499984740745262"/>
      </bottom>
      <diagonal/>
    </border>
    <border>
      <left/>
      <right style="thin">
        <color indexed="64"/>
      </right>
      <top style="thin">
        <color auto="1"/>
      </top>
      <bottom style="thin">
        <color theme="0" tint="-0.499984740745262"/>
      </bottom>
      <diagonal/>
    </border>
    <border>
      <left/>
      <right style="medium">
        <color indexed="64"/>
      </right>
      <top style="thin">
        <color auto="1"/>
      </top>
      <bottom style="thin">
        <color theme="0" tint="-0.499984740745262"/>
      </bottom>
      <diagonal/>
    </border>
    <border>
      <left style="medium">
        <color auto="1"/>
      </left>
      <right style="thin">
        <color auto="1"/>
      </right>
      <top/>
      <bottom/>
      <diagonal/>
    </border>
    <border>
      <left/>
      <right style="medium">
        <color indexed="64"/>
      </right>
      <top/>
      <bottom/>
      <diagonal/>
    </border>
    <border>
      <left style="thin">
        <color auto="1"/>
      </left>
      <right/>
      <top style="thin">
        <color auto="1"/>
      </top>
      <bottom style="thin">
        <color theme="0" tint="-0.499984740745262"/>
      </bottom>
      <diagonal/>
    </border>
    <border>
      <left/>
      <right/>
      <top style="thin">
        <color auto="1"/>
      </top>
      <bottom style="thin">
        <color theme="0" tint="-0.499984740745262"/>
      </bottom>
      <diagonal/>
    </border>
    <border>
      <left/>
      <right/>
      <top style="thin">
        <color theme="0" tint="-0.499984740745262"/>
      </top>
      <bottom style="thin">
        <color theme="0" tint="-0.499984740745262"/>
      </bottom>
      <diagonal/>
    </border>
    <border>
      <left/>
      <right style="medium">
        <color auto="1"/>
      </right>
      <top style="thin">
        <color theme="0" tint="-0.34998626667073579"/>
      </top>
      <bottom style="thin">
        <color auto="1"/>
      </bottom>
      <diagonal/>
    </border>
    <border>
      <left style="thin">
        <color auto="1"/>
      </left>
      <right/>
      <top style="thin">
        <color theme="0" tint="-0.499984740745262"/>
      </top>
      <bottom/>
      <diagonal/>
    </border>
    <border>
      <left/>
      <right/>
      <top style="thin">
        <color theme="0" tint="-0.499984740745262"/>
      </top>
      <bottom/>
      <diagonal/>
    </border>
    <border>
      <left/>
      <right style="thin">
        <color auto="1"/>
      </right>
      <top style="thin">
        <color theme="0" tint="-0.499984740745262"/>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right style="thin">
        <color indexed="64"/>
      </right>
      <top style="medium">
        <color indexed="64"/>
      </top>
      <bottom style="thin">
        <color theme="0" tint="-0.499984740745262"/>
      </bottom>
      <diagonal/>
    </border>
    <border>
      <left/>
      <right style="medium">
        <color auto="1"/>
      </right>
      <top style="medium">
        <color indexed="64"/>
      </top>
      <bottom style="thin">
        <color theme="0" tint="-0.499984740745262"/>
      </bottom>
      <diagonal/>
    </border>
    <border>
      <left style="medium">
        <color auto="1"/>
      </left>
      <right style="thin">
        <color auto="1"/>
      </right>
      <top style="thin">
        <color theme="0" tint="-0.499984740745262"/>
      </top>
      <bottom/>
      <diagonal/>
    </border>
    <border>
      <left/>
      <right style="medium">
        <color auto="1"/>
      </right>
      <top style="thin">
        <color theme="0" tint="-0.499984740745262"/>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bottom style="thin">
        <color theme="0" tint="-0.34998626667073579"/>
      </bottom>
      <diagonal/>
    </border>
    <border>
      <left style="medium">
        <color auto="1"/>
      </left>
      <right style="thin">
        <color auto="1"/>
      </right>
      <top style="thin">
        <color theme="0" tint="-0.24994659260841701"/>
      </top>
      <bottom style="thin">
        <color theme="0" tint="-0.34998626667073579"/>
      </bottom>
      <diagonal/>
    </border>
    <border>
      <left style="thin">
        <color auto="1"/>
      </left>
      <right style="thin">
        <color auto="1"/>
      </right>
      <top style="thin">
        <color theme="0" tint="-0.24994659260841701"/>
      </top>
      <bottom style="thin">
        <color theme="0" tint="-0.34998626667073579"/>
      </bottom>
      <diagonal/>
    </border>
    <border>
      <left/>
      <right style="thin">
        <color indexed="64"/>
      </right>
      <top style="thin">
        <color theme="0" tint="-0.24994659260841701"/>
      </top>
      <bottom style="thin">
        <color theme="0" tint="-0.34998626667073579"/>
      </bottom>
      <diagonal/>
    </border>
    <border>
      <left/>
      <right style="medium">
        <color auto="1"/>
      </right>
      <top style="thin">
        <color theme="0" tint="-0.24994659260841701"/>
      </top>
      <bottom style="thin">
        <color theme="0" tint="-0.34998626667073579"/>
      </bottom>
      <diagonal/>
    </border>
    <border>
      <left/>
      <right style="medium">
        <color auto="1"/>
      </right>
      <top style="thin">
        <color theme="0" tint="-0.34998626667073579"/>
      </top>
      <bottom style="thin">
        <color theme="0" tint="-0.34998626667073579"/>
      </bottom>
      <diagonal/>
    </border>
    <border>
      <left style="medium">
        <color auto="1"/>
      </left>
      <right style="thin">
        <color auto="1"/>
      </right>
      <top style="thin">
        <color theme="0" tint="-0.34998626667073579"/>
      </top>
      <bottom style="thin">
        <color theme="0" tint="-0.34998626667073579"/>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499984740745262"/>
      </top>
      <bottom style="medium">
        <color auto="1"/>
      </bottom>
      <diagonal/>
    </border>
    <border>
      <left style="thin">
        <color auto="1"/>
      </left>
      <right style="thin">
        <color auto="1"/>
      </right>
      <top style="thin">
        <color theme="0" tint="-0.499984740745262"/>
      </top>
      <bottom style="medium">
        <color auto="1"/>
      </bottom>
      <diagonal/>
    </border>
    <border>
      <left/>
      <right style="thin">
        <color auto="1"/>
      </right>
      <top style="thin">
        <color theme="0" tint="-0.499984740745262"/>
      </top>
      <bottom style="medium">
        <color auto="1"/>
      </bottom>
      <diagonal/>
    </border>
    <border>
      <left/>
      <right/>
      <top style="thin">
        <color theme="0" tint="-0.499984740745262"/>
      </top>
      <bottom style="medium">
        <color auto="1"/>
      </bottom>
      <diagonal/>
    </border>
    <border>
      <left/>
      <right style="thin">
        <color auto="1"/>
      </right>
      <top style="medium">
        <color auto="1"/>
      </top>
      <bottom style="medium">
        <color auto="1"/>
      </bottom>
      <diagonal/>
    </border>
    <border>
      <left/>
      <right style="medium">
        <color auto="1"/>
      </right>
      <top/>
      <bottom style="thin">
        <color theme="0" tint="-0.34998626667073579"/>
      </bottom>
      <diagonal/>
    </border>
    <border>
      <left style="thin">
        <color indexed="64"/>
      </left>
      <right/>
      <top style="medium">
        <color indexed="64"/>
      </top>
      <bottom style="thin">
        <color indexed="64"/>
      </bottom>
      <diagonal/>
    </border>
    <border>
      <left style="medium">
        <color auto="1"/>
      </left>
      <right style="thin">
        <color auto="1"/>
      </right>
      <top style="thin">
        <color theme="0" tint="-0.34998626667073579"/>
      </top>
      <bottom style="thin">
        <color auto="1"/>
      </bottom>
      <diagonal/>
    </border>
    <border>
      <left/>
      <right style="thin">
        <color indexed="64"/>
      </right>
      <top style="thin">
        <color theme="0" tint="-0.34998626667073579"/>
      </top>
      <bottom style="thin">
        <color indexed="64"/>
      </bottom>
      <diagonal/>
    </border>
    <border>
      <left style="thin">
        <color auto="1"/>
      </left>
      <right/>
      <top style="thin">
        <color theme="0" tint="-0.34998626667073579"/>
      </top>
      <bottom style="thin">
        <color theme="0" tint="-0.499984740745262"/>
      </bottom>
      <diagonal/>
    </border>
    <border>
      <left/>
      <right style="medium">
        <color auto="1"/>
      </right>
      <top style="thin">
        <color auto="1"/>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style="thin">
        <color theme="0" tint="-0.24994659260841701"/>
      </bottom>
      <diagonal/>
    </border>
    <border>
      <left/>
      <right/>
      <top/>
      <bottom style="thin">
        <color theme="0" tint="-0.24994659260841701"/>
      </bottom>
      <diagonal/>
    </border>
    <border>
      <left style="thin">
        <color auto="1"/>
      </left>
      <right/>
      <top/>
      <bottom style="thin">
        <color theme="0" tint="-0.24994659260841701"/>
      </bottom>
      <diagonal/>
    </border>
    <border>
      <left/>
      <right style="medium">
        <color indexed="64"/>
      </right>
      <top/>
      <bottom style="thin">
        <color theme="0" tint="-0.24994659260841701"/>
      </bottom>
      <diagonal/>
    </border>
    <border>
      <left style="thin">
        <color auto="1"/>
      </left>
      <right/>
      <top/>
      <bottom style="thin">
        <color theme="0" tint="-0.499984740745262"/>
      </bottom>
      <diagonal/>
    </border>
    <border>
      <left/>
      <right/>
      <top style="thin">
        <color auto="1"/>
      </top>
      <bottom style="thin">
        <color auto="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thin">
        <color indexed="64"/>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auto="1"/>
      </left>
      <right style="thin">
        <color auto="1"/>
      </right>
      <top style="thin">
        <color auto="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right style="medium">
        <color auto="1"/>
      </right>
      <top style="thin">
        <color theme="0" tint="-0.24994659260841701"/>
      </top>
      <bottom style="thin">
        <color theme="0" tint="-0.24994659260841701"/>
      </bottom>
      <diagonal/>
    </border>
    <border>
      <left style="medium">
        <color auto="1"/>
      </left>
      <right style="thin">
        <color auto="1"/>
      </right>
      <top style="thin">
        <color theme="0" tint="-0.24994659260841701"/>
      </top>
      <bottom style="thin">
        <color theme="0" tint="-0.24994659260841701"/>
      </bottom>
      <diagonal/>
    </border>
    <border>
      <left/>
      <right style="thin">
        <color auto="1"/>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style="thin">
        <color auto="1"/>
      </right>
      <top style="thin">
        <color theme="0" tint="-0.24994659260841701"/>
      </top>
      <bottom style="medium">
        <color indexed="64"/>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auto="1"/>
      </right>
      <top style="thin">
        <color theme="0" tint="-0.24994659260841701"/>
      </top>
      <bottom style="medium">
        <color auto="1"/>
      </bottom>
      <diagonal/>
    </border>
    <border>
      <left/>
      <right style="medium">
        <color auto="1"/>
      </right>
      <top style="thin">
        <color theme="0" tint="-0.24994659260841701"/>
      </top>
      <bottom style="medium">
        <color auto="1"/>
      </bottom>
      <diagonal/>
    </border>
    <border>
      <left/>
      <right/>
      <top style="medium">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thin">
        <color auto="1"/>
      </left>
      <right/>
      <top style="medium">
        <color auto="1"/>
      </top>
      <bottom style="thin">
        <color theme="0" tint="-0.34998626667073579"/>
      </bottom>
      <diagonal/>
    </border>
    <border>
      <left style="medium">
        <color auto="1"/>
      </left>
      <right style="thin">
        <color auto="1"/>
      </right>
      <top style="thin">
        <color theme="0" tint="-0.34998626667073579"/>
      </top>
      <bottom style="thin">
        <color theme="1" tint="0.499984740745262"/>
      </bottom>
      <diagonal/>
    </border>
    <border>
      <left style="thin">
        <color auto="1"/>
      </left>
      <right style="thin">
        <color auto="1"/>
      </right>
      <top style="thin">
        <color theme="0" tint="-0.499984740745262"/>
      </top>
      <bottom style="thin">
        <color theme="1" tint="0.499984740745262"/>
      </bottom>
      <diagonal/>
    </border>
    <border>
      <left/>
      <right style="medium">
        <color auto="1"/>
      </right>
      <top style="thin">
        <color theme="0" tint="-0.34998626667073579"/>
      </top>
      <bottom style="thin">
        <color theme="1" tint="0.499984740745262"/>
      </bottom>
      <diagonal/>
    </border>
    <border>
      <left style="medium">
        <color auto="1"/>
      </left>
      <right style="thin">
        <color auto="1"/>
      </right>
      <top/>
      <bottom style="thin">
        <color theme="1" tint="0.499984740745262"/>
      </bottom>
      <diagonal/>
    </border>
    <border>
      <left style="thin">
        <color indexed="64"/>
      </left>
      <right/>
      <top style="thin">
        <color theme="1" tint="0.499984740745262"/>
      </top>
      <bottom/>
      <diagonal/>
    </border>
    <border>
      <left/>
      <right/>
      <top style="thin">
        <color theme="1" tint="0.499984740745262"/>
      </top>
      <bottom/>
      <diagonal/>
    </border>
    <border>
      <left/>
      <right style="medium">
        <color auto="1"/>
      </right>
      <top/>
      <bottom style="thin">
        <color theme="1" tint="0.499984740745262"/>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top style="medium">
        <color auto="1"/>
      </top>
      <bottom style="medium">
        <color auto="1"/>
      </bottom>
      <diagonal/>
    </border>
    <border>
      <left style="thin">
        <color theme="0"/>
      </left>
      <right style="medium">
        <color auto="1"/>
      </right>
      <top style="medium">
        <color auto="1"/>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auto="1"/>
      </right>
      <top style="thin">
        <color theme="0" tint="-0.34998626667073579"/>
      </top>
      <bottom style="thin">
        <color theme="0" tint="-0.34998626667073579"/>
      </bottom>
      <diagonal/>
    </border>
    <border>
      <left/>
      <right/>
      <top/>
      <bottom style="thin">
        <color auto="1"/>
      </bottom>
      <diagonal/>
    </border>
    <border>
      <left style="thin">
        <color indexed="64"/>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bottom style="thin">
        <color theme="0" tint="-0.499984740745262"/>
      </bottom>
      <diagonal/>
    </border>
    <border>
      <left style="thin">
        <color auto="1"/>
      </left>
      <right style="thin">
        <color auto="1"/>
      </right>
      <top style="thin">
        <color theme="0" tint="-0.14996795556505021"/>
      </top>
      <bottom/>
      <diagonal/>
    </border>
    <border>
      <left/>
      <right/>
      <top style="thin">
        <color auto="1"/>
      </top>
      <bottom/>
      <diagonal/>
    </border>
    <border>
      <left style="thin">
        <color indexed="64"/>
      </left>
      <right style="medium">
        <color indexed="64"/>
      </right>
      <top style="thin">
        <color auto="1"/>
      </top>
      <bottom style="thin">
        <color theme="0" tint="-0.34998626667073579"/>
      </bottom>
      <diagonal/>
    </border>
    <border>
      <left style="thin">
        <color indexed="64"/>
      </left>
      <right style="medium">
        <color auto="1"/>
      </right>
      <top style="thin">
        <color theme="0" tint="-0.34998626667073579"/>
      </top>
      <bottom/>
      <diagonal/>
    </border>
    <border>
      <left style="thin">
        <color indexed="64"/>
      </left>
      <right style="medium">
        <color indexed="64"/>
      </right>
      <top style="thin">
        <color auto="1"/>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thin">
        <color indexed="64"/>
      </left>
      <right style="medium">
        <color auto="1"/>
      </right>
      <top style="thin">
        <color theme="0" tint="-0.499984740745262"/>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style="thin">
        <color theme="0" tint="-0.24994659260841701"/>
      </bottom>
      <diagonal/>
    </border>
    <border>
      <left/>
      <right style="thin">
        <color auto="1"/>
      </right>
      <top style="thin">
        <color auto="1"/>
      </top>
      <bottom style="thin">
        <color theme="0" tint="-0.24994659260841701"/>
      </bottom>
      <diagonal/>
    </border>
    <border>
      <left/>
      <right/>
      <top style="thin">
        <color indexed="64"/>
      </top>
      <bottom style="thin">
        <color theme="0" tint="-0.24994659260841701"/>
      </bottom>
      <diagonal/>
    </border>
    <border>
      <left style="thin">
        <color indexed="64"/>
      </left>
      <right style="medium">
        <color auto="1"/>
      </right>
      <top style="thin">
        <color auto="1"/>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right style="thin">
        <color auto="1"/>
      </right>
      <top style="thin">
        <color theme="0" tint="-0.24994659260841701"/>
      </top>
      <bottom style="thin">
        <color auto="1"/>
      </bottom>
      <diagonal/>
    </border>
    <border>
      <left/>
      <right/>
      <top style="thin">
        <color theme="0" tint="-0.24994659260841701"/>
      </top>
      <bottom style="thin">
        <color auto="1"/>
      </bottom>
      <diagonal/>
    </border>
    <border>
      <left style="thin">
        <color indexed="64"/>
      </left>
      <right style="medium">
        <color auto="1"/>
      </right>
      <top style="thin">
        <color theme="0" tint="-0.24994659260841701"/>
      </top>
      <bottom style="thin">
        <color auto="1"/>
      </bottom>
      <diagonal/>
    </border>
    <border>
      <left style="thin">
        <color indexed="64"/>
      </left>
      <right style="medium">
        <color auto="1"/>
      </right>
      <top style="thin">
        <color theme="0" tint="-0.499984740745262"/>
      </top>
      <bottom/>
      <diagonal/>
    </border>
    <border>
      <left style="thin">
        <color auto="1"/>
      </left>
      <right style="thin">
        <color theme="1" tint="0.499984740745262"/>
      </right>
      <top style="medium">
        <color auto="1"/>
      </top>
      <bottom style="medium">
        <color auto="1"/>
      </bottom>
      <diagonal/>
    </border>
    <border>
      <left style="thin">
        <color theme="1" tint="0.499984740745262"/>
      </left>
      <right style="thin">
        <color indexed="64"/>
      </right>
      <top style="medium">
        <color auto="1"/>
      </top>
      <bottom style="medium">
        <color auto="1"/>
      </bottom>
      <diagonal/>
    </border>
    <border>
      <left/>
      <right/>
      <top style="medium">
        <color auto="1"/>
      </top>
      <bottom style="medium">
        <color auto="1"/>
      </bottom>
      <diagonal/>
    </border>
    <border>
      <left style="thin">
        <color indexed="64"/>
      </left>
      <right/>
      <top style="medium">
        <color auto="1"/>
      </top>
      <bottom style="thin">
        <color theme="0" tint="-0.499984740745262"/>
      </bottom>
      <diagonal/>
    </border>
    <border>
      <left/>
      <right/>
      <top style="medium">
        <color auto="1"/>
      </top>
      <bottom style="thin">
        <color theme="0" tint="-0.499984740745262"/>
      </bottom>
      <diagonal/>
    </border>
    <border>
      <left/>
      <right/>
      <top/>
      <bottom style="thin">
        <color theme="0" tint="-0.499984740745262"/>
      </bottom>
      <diagonal/>
    </border>
    <border>
      <left style="thin">
        <color theme="0" tint="-0.24994659260841701"/>
      </left>
      <right/>
      <top style="thin">
        <color indexed="64"/>
      </top>
      <bottom style="thin">
        <color indexed="64"/>
      </bottom>
      <diagonal/>
    </border>
    <border>
      <left style="thin">
        <color auto="1"/>
      </left>
      <right style="medium">
        <color auto="1"/>
      </right>
      <top style="thin">
        <color auto="1"/>
      </top>
      <bottom style="thin">
        <color indexed="64"/>
      </bottom>
      <diagonal/>
    </border>
    <border>
      <left style="thin">
        <color theme="0" tint="-0.24994659260841701"/>
      </left>
      <right/>
      <top style="thin">
        <color auto="1"/>
      </top>
      <bottom/>
      <diagonal/>
    </border>
    <border>
      <left style="thin">
        <color theme="0" tint="-0.24994659260841701"/>
      </left>
      <right/>
      <top/>
      <bottom/>
      <diagonal/>
    </border>
    <border>
      <left style="thin">
        <color auto="1"/>
      </left>
      <right style="medium">
        <color theme="1" tint="0.499984740745262"/>
      </right>
      <top/>
      <bottom/>
      <diagonal/>
    </border>
    <border>
      <left style="thin">
        <color theme="0" tint="-0.24994659260841701"/>
      </left>
      <right/>
      <top style="thin">
        <color theme="0" tint="-0.499984740745262"/>
      </top>
      <bottom/>
      <diagonal/>
    </border>
    <border>
      <left style="thin">
        <color auto="1"/>
      </left>
      <right style="medium">
        <color theme="1" tint="0.499984740745262"/>
      </right>
      <top style="thin">
        <color theme="0" tint="-0.499984740745262"/>
      </top>
      <bottom/>
      <diagonal/>
    </border>
    <border>
      <left style="thin">
        <color auto="1"/>
      </left>
      <right style="medium">
        <color theme="1" tint="0.499984740745262"/>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medium">
        <color theme="1" tint="0.499984740745262"/>
      </right>
      <top/>
      <bottom style="medium">
        <color indexed="64"/>
      </bottom>
      <diagonal/>
    </border>
    <border>
      <left style="thin">
        <color indexed="64"/>
      </left>
      <right style="medium">
        <color auto="1"/>
      </right>
      <top style="medium">
        <color indexed="64"/>
      </top>
      <bottom style="thin">
        <color theme="0" tint="-0.499984740745262"/>
      </bottom>
      <diagonal/>
    </border>
    <border>
      <left style="medium">
        <color indexed="64"/>
      </left>
      <right style="thin">
        <color theme="1"/>
      </right>
      <top style="thin">
        <color theme="0" tint="-0.34998626667073579"/>
      </top>
      <bottom/>
      <diagonal/>
    </border>
    <border>
      <left style="thin">
        <color theme="1"/>
      </left>
      <right style="thin">
        <color theme="1"/>
      </right>
      <top style="thin">
        <color theme="0" tint="-0.34998626667073579"/>
      </top>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thin">
        <color theme="1"/>
      </right>
      <top style="thin">
        <color indexed="64"/>
      </top>
      <bottom style="thin">
        <color theme="0" tint="-0.499984740745262"/>
      </bottom>
      <diagonal/>
    </border>
    <border>
      <left style="medium">
        <color indexed="64"/>
      </left>
      <right style="thin">
        <color theme="1"/>
      </right>
      <top/>
      <bottom style="thin">
        <color theme="0" tint="-0.34998626667073579"/>
      </bottom>
      <diagonal/>
    </border>
    <border>
      <left style="thin">
        <color theme="1"/>
      </left>
      <right style="thin">
        <color theme="1"/>
      </right>
      <top/>
      <bottom style="thin">
        <color theme="0" tint="-0.34998626667073579"/>
      </bottom>
      <diagonal/>
    </border>
    <border>
      <left style="thin">
        <color theme="1"/>
      </left>
      <right/>
      <top/>
      <bottom style="thin">
        <color theme="0" tint="-0.34998626667073579"/>
      </bottom>
      <diagonal/>
    </border>
    <border>
      <left style="thin">
        <color indexed="64"/>
      </left>
      <right style="medium">
        <color auto="1"/>
      </right>
      <top/>
      <bottom style="thin">
        <color theme="0" tint="-0.34998626667073579"/>
      </bottom>
      <diagonal/>
    </border>
    <border>
      <left style="thin">
        <color auto="1"/>
      </left>
      <right/>
      <top style="thin">
        <color theme="0" tint="-0.34998626667073579"/>
      </top>
      <bottom style="thin">
        <color auto="1"/>
      </bottom>
      <diagonal/>
    </border>
    <border>
      <left/>
      <right style="thin">
        <color auto="1"/>
      </right>
      <top style="thin">
        <color indexed="64"/>
      </top>
      <bottom style="medium">
        <color indexed="64"/>
      </bottom>
      <diagonal/>
    </border>
    <border>
      <left/>
      <right/>
      <top style="thin">
        <color indexed="64"/>
      </top>
      <bottom style="medium">
        <color auto="1"/>
      </bottom>
      <diagonal/>
    </border>
    <border>
      <left style="thin">
        <color indexed="64"/>
      </left>
      <right style="medium">
        <color indexed="64"/>
      </right>
      <top style="thin">
        <color auto="1"/>
      </top>
      <bottom style="medium">
        <color indexed="64"/>
      </bottom>
      <diagonal/>
    </border>
    <border>
      <left/>
      <right/>
      <top style="medium">
        <color indexed="64"/>
      </top>
      <bottom style="thin">
        <color auto="1"/>
      </bottom>
      <diagonal/>
    </border>
    <border>
      <left style="thin">
        <color indexed="64"/>
      </left>
      <right style="medium">
        <color auto="1"/>
      </right>
      <top style="medium">
        <color auto="1"/>
      </top>
      <bottom style="thin">
        <color auto="1"/>
      </bottom>
      <diagonal/>
    </border>
    <border>
      <left/>
      <right/>
      <top style="thin">
        <color theme="0" tint="-0.34998626667073579"/>
      </top>
      <bottom style="thin">
        <color auto="1"/>
      </bottom>
      <diagonal/>
    </border>
    <border>
      <left style="thin">
        <color indexed="64"/>
      </left>
      <right style="medium">
        <color indexed="64"/>
      </right>
      <top style="thin">
        <color theme="0" tint="-0.34998626667073579"/>
      </top>
      <bottom style="thin">
        <color auto="1"/>
      </bottom>
      <diagonal/>
    </border>
    <border>
      <left/>
      <right/>
      <top style="thin">
        <color auto="1"/>
      </top>
      <bottom style="thin">
        <color theme="0" tint="-0.34998626667073579"/>
      </bottom>
      <diagonal/>
    </border>
    <border>
      <left style="thin">
        <color auto="1"/>
      </left>
      <right/>
      <top style="thin">
        <color theme="0" tint="-0.499984740745262"/>
      </top>
      <bottom style="medium">
        <color auto="1"/>
      </bottom>
      <diagonal/>
    </border>
    <border>
      <left style="thin">
        <color indexed="64"/>
      </left>
      <right style="medium">
        <color indexed="64"/>
      </right>
      <top style="thin">
        <color theme="0" tint="-0.499984740745262"/>
      </top>
      <bottom style="medium">
        <color indexed="64"/>
      </bottom>
      <diagonal/>
    </border>
    <border>
      <left style="thin">
        <color theme="0" tint="-0.24994659260841701"/>
      </left>
      <right style="thin">
        <color theme="0" tint="-0.24994659260841701"/>
      </right>
      <top style="medium">
        <color indexed="64"/>
      </top>
      <bottom style="thin">
        <color indexed="64"/>
      </bottom>
      <diagonal/>
    </border>
    <border>
      <left/>
      <right style="thin">
        <color theme="0" tint="-0.24994659260841701"/>
      </right>
      <top style="medium">
        <color indexed="64"/>
      </top>
      <bottom style="thin">
        <color indexed="64"/>
      </bottom>
      <diagonal/>
    </border>
    <border>
      <left style="thin">
        <color theme="0" tint="-0.24994659260841701"/>
      </left>
      <right/>
      <top style="medium">
        <color indexed="64"/>
      </top>
      <bottom style="thin">
        <color indexed="64"/>
      </bottom>
      <diagonal/>
    </border>
    <border>
      <left style="thin">
        <color indexed="64"/>
      </left>
      <right style="medium">
        <color indexed="64"/>
      </right>
      <top/>
      <bottom style="thin">
        <color theme="0" tint="-0.24994659260841701"/>
      </bottom>
      <diagonal/>
    </border>
    <border>
      <left style="thin">
        <color indexed="64"/>
      </left>
      <right style="medium">
        <color auto="1"/>
      </right>
      <top style="thin">
        <color theme="0" tint="-0.24994659260841701"/>
      </top>
      <bottom style="medium">
        <color auto="1"/>
      </bottom>
      <diagonal/>
    </border>
    <border>
      <left/>
      <right style="thin">
        <color auto="1"/>
      </right>
      <top style="medium">
        <color auto="1"/>
      </top>
      <bottom style="thin">
        <color theme="0" tint="-0.34998626667073579"/>
      </bottom>
      <diagonal/>
    </border>
    <border>
      <left/>
      <right/>
      <top style="medium">
        <color auto="1"/>
      </top>
      <bottom style="thin">
        <color theme="0" tint="-0.34998626667073579"/>
      </bottom>
      <diagonal/>
    </border>
    <border>
      <left style="thin">
        <color indexed="64"/>
      </left>
      <right style="medium">
        <color auto="1"/>
      </right>
      <top style="medium">
        <color auto="1"/>
      </top>
      <bottom style="thin">
        <color theme="0" tint="-0.34998626667073579"/>
      </bottom>
      <diagonal/>
    </border>
    <border>
      <left style="medium">
        <color auto="1"/>
      </left>
      <right style="thin">
        <color auto="1"/>
      </right>
      <top style="thin">
        <color theme="0" tint="-0.34998626667073579"/>
      </top>
      <bottom style="medium">
        <color auto="1"/>
      </bottom>
      <diagonal/>
    </border>
    <border>
      <left style="thin">
        <color auto="1"/>
      </left>
      <right style="thin">
        <color auto="1"/>
      </right>
      <top style="thin">
        <color theme="0" tint="-0.34998626667073579"/>
      </top>
      <bottom style="medium">
        <color auto="1"/>
      </bottom>
      <diagonal/>
    </border>
    <border>
      <left style="thin">
        <color indexed="64"/>
      </left>
      <right style="medium">
        <color auto="1"/>
      </right>
      <top style="thin">
        <color theme="0" tint="-0.34998626667073579"/>
      </top>
      <bottom style="medium">
        <color auto="1"/>
      </bottom>
      <diagonal/>
    </border>
    <border>
      <left style="thin">
        <color indexed="8"/>
      </left>
      <right style="thin">
        <color theme="0"/>
      </right>
      <top style="thin">
        <color indexed="8"/>
      </top>
      <bottom style="thin">
        <color indexed="64"/>
      </bottom>
      <diagonal/>
    </border>
    <border>
      <left style="thin">
        <color theme="0"/>
      </left>
      <right style="thin">
        <color theme="0"/>
      </right>
      <top style="thin">
        <color indexed="8"/>
      </top>
      <bottom style="thin">
        <color indexed="64"/>
      </bottom>
      <diagonal/>
    </border>
    <border>
      <left style="thin">
        <color theme="0"/>
      </left>
      <right style="thin">
        <color theme="0"/>
      </right>
      <top style="thin">
        <color indexed="8"/>
      </top>
      <bottom/>
      <diagonal/>
    </border>
    <border>
      <left style="thin">
        <color theme="0"/>
      </left>
      <right style="thin">
        <color theme="0"/>
      </right>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8"/>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theme="0" tint="-0.34998626667073579"/>
      </right>
      <top style="thin">
        <color theme="0" tint="-0.34998626667073579"/>
      </top>
      <bottom style="thin">
        <color theme="0" tint="-0.34998626667073579"/>
      </bottom>
      <diagonal/>
    </border>
    <border>
      <left style="thin">
        <color indexed="64"/>
      </left>
      <right style="thin">
        <color indexed="8"/>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64"/>
      </bottom>
      <diagonal/>
    </border>
    <border>
      <left style="thin">
        <color indexed="8"/>
      </left>
      <right style="thin">
        <color theme="0" tint="-0.34998626667073579"/>
      </right>
      <top style="thin">
        <color theme="0" tint="-0.34998626667073579"/>
      </top>
      <bottom style="thin">
        <color indexed="8"/>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8"/>
      </left>
      <right style="thin">
        <color indexed="8"/>
      </right>
      <top/>
      <bottom style="thin">
        <color indexed="64"/>
      </bottom>
      <diagonal/>
    </border>
    <border>
      <left style="thin">
        <color indexed="8"/>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top/>
      <bottom style="thin">
        <color indexed="64"/>
      </bottom>
      <diagonal/>
    </border>
    <border>
      <left style="thin">
        <color indexed="64"/>
      </left>
      <right/>
      <top style="thin">
        <color theme="0" tint="-0.34998626667073579"/>
      </top>
      <bottom style="thin">
        <color indexed="64"/>
      </bottom>
      <diagonal/>
    </border>
    <border>
      <left style="thin">
        <color indexed="64"/>
      </left>
      <right style="thin">
        <color indexed="8"/>
      </right>
      <top style="thin">
        <color indexed="8"/>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style="thin">
        <color theme="0" tint="-0.34998626667073579"/>
      </right>
      <top style="thin">
        <color indexed="8"/>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8"/>
      </top>
      <bottom style="thin">
        <color theme="0" tint="-0.34998626667073579"/>
      </bottom>
      <diagonal/>
    </border>
    <border>
      <left style="thin">
        <color theme="0" tint="-0.34998626667073579"/>
      </left>
      <right style="thin">
        <color theme="0" tint="-0.34998626667073579"/>
      </right>
      <top style="thin">
        <color indexed="8"/>
      </top>
      <bottom style="thin">
        <color theme="0" tint="-0.34998626667073579"/>
      </bottom>
      <diagonal/>
    </border>
    <border>
      <left style="thin">
        <color indexed="64"/>
      </left>
      <right/>
      <top style="thin">
        <color theme="0" tint="-0.34998626667073579"/>
      </top>
      <bottom style="thin">
        <color indexed="8"/>
      </bottom>
      <diagonal/>
    </border>
    <border>
      <left style="thin">
        <color theme="0" tint="-0.34998626667073579"/>
      </left>
      <right style="thin">
        <color theme="0" tint="-0.34998626667073579"/>
      </right>
      <top style="thin">
        <color theme="0" tint="-0.34998626667073579"/>
      </top>
      <bottom style="thin">
        <color indexed="8"/>
      </bottom>
      <diagonal/>
    </border>
    <border>
      <left style="thin">
        <color theme="0" tint="-0.34998626667073579"/>
      </left>
      <right style="medium">
        <color indexed="8"/>
      </right>
      <top/>
      <bottom/>
      <diagonal/>
    </border>
    <border>
      <left style="medium">
        <color indexed="8"/>
      </left>
      <right/>
      <top/>
      <bottom/>
      <diagonal/>
    </border>
    <border>
      <left style="thin">
        <color indexed="8"/>
      </left>
      <right style="thin">
        <color theme="0"/>
      </right>
      <top style="thin">
        <color indexed="8"/>
      </top>
      <bottom style="thin">
        <color indexed="64"/>
      </bottom>
      <diagonal/>
    </border>
    <border>
      <left style="thin">
        <color theme="0"/>
      </left>
      <right style="thin">
        <color theme="0"/>
      </right>
      <top style="thin">
        <color indexed="8"/>
      </top>
      <bottom style="thin">
        <color indexed="64"/>
      </bottom>
      <diagonal/>
    </border>
    <border>
      <left style="thin">
        <color theme="0"/>
      </left>
      <right style="thin">
        <color theme="0"/>
      </right>
      <top style="thin">
        <color indexed="8"/>
      </top>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8"/>
      </left>
      <right style="thin">
        <color theme="0" tint="-0.34998626667073579"/>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diagonal/>
    </border>
    <border>
      <left style="medium">
        <color indexed="64"/>
      </left>
      <right style="medium">
        <color indexed="64"/>
      </right>
      <top/>
      <bottom/>
      <diagonal/>
    </border>
    <border>
      <left style="thin">
        <color auto="1"/>
      </left>
      <right style="medium">
        <color auto="1"/>
      </right>
      <top style="thin">
        <color theme="0"/>
      </top>
      <bottom/>
      <diagonal/>
    </border>
    <border>
      <left style="thin">
        <color auto="1"/>
      </left>
      <right style="thin">
        <color auto="1"/>
      </right>
      <top style="thin">
        <color auto="1"/>
      </top>
      <bottom/>
      <diagonal/>
    </border>
    <border>
      <left/>
      <right style="thin">
        <color indexed="64"/>
      </right>
      <top style="thin">
        <color theme="0"/>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medium">
        <color auto="1"/>
      </top>
      <bottom style="thin">
        <color indexed="64"/>
      </bottom>
      <diagonal/>
    </border>
    <border>
      <left/>
      <right/>
      <top style="thin">
        <color indexed="64"/>
      </top>
      <bottom/>
      <diagonal/>
    </border>
    <border>
      <left style="thin">
        <color indexed="64"/>
      </left>
      <right style="thin">
        <color theme="0"/>
      </right>
      <top style="thin">
        <color indexed="64"/>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style="thin">
        <color auto="1"/>
      </right>
      <top style="thin">
        <color theme="0" tint="-0.34998626667073579"/>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29">
    <xf numFmtId="0" fontId="0" fillId="0" borderId="0"/>
    <xf numFmtId="43" fontId="8" fillId="0" borderId="0" applyFon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8" fillId="0" borderId="0"/>
    <xf numFmtId="0" fontId="46" fillId="0" borderId="0"/>
    <xf numFmtId="43" fontId="46" fillId="0" borderId="0" applyFont="0" applyFill="0" applyBorder="0" applyAlignment="0" applyProtection="0"/>
    <xf numFmtId="9" fontId="46" fillId="0" borderId="0" applyFont="0" applyFill="0" applyBorder="0" applyAlignment="0" applyProtection="0"/>
    <xf numFmtId="0" fontId="8" fillId="0" borderId="0"/>
    <xf numFmtId="0" fontId="1" fillId="0" borderId="0"/>
    <xf numFmtId="0" fontId="1" fillId="0" borderId="0"/>
    <xf numFmtId="0" fontId="84" fillId="0" borderId="0" applyNumberForma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8" fillId="0" borderId="0"/>
    <xf numFmtId="0" fontId="149" fillId="0" borderId="0"/>
    <xf numFmtId="0" fontId="149" fillId="0" borderId="0"/>
    <xf numFmtId="9" fontId="8" fillId="0" borderId="0" applyFont="0" applyFill="0" applyBorder="0" applyAlignment="0" applyProtection="0"/>
    <xf numFmtId="0" fontId="149" fillId="0" borderId="0"/>
    <xf numFmtId="9" fontId="149" fillId="0" borderId="0" applyFont="0" applyFill="0" applyBorder="0" applyAlignment="0" applyProtection="0"/>
    <xf numFmtId="0" fontId="8" fillId="0" borderId="0"/>
    <xf numFmtId="0" fontId="208" fillId="0" borderId="0" applyNumberFormat="0" applyFill="0" applyBorder="0" applyAlignment="0" applyProtection="0"/>
    <xf numFmtId="0" fontId="46" fillId="0" borderId="0"/>
    <xf numFmtId="0" fontId="1" fillId="0" borderId="0"/>
  </cellStyleXfs>
  <cellXfs count="4865">
    <xf numFmtId="0" fontId="0" fillId="0" borderId="0" xfId="0"/>
    <xf numFmtId="0" fontId="5" fillId="2" borderId="0" xfId="3" applyFont="1" applyFill="1"/>
    <xf numFmtId="0" fontId="7" fillId="2" borderId="0" xfId="3" applyFont="1" applyFill="1"/>
    <xf numFmtId="1" fontId="7" fillId="2" borderId="0" xfId="0" applyNumberFormat="1" applyFont="1" applyFill="1"/>
    <xf numFmtId="0" fontId="7" fillId="2" borderId="0" xfId="0" applyFont="1" applyFill="1"/>
    <xf numFmtId="2" fontId="7" fillId="2" borderId="0" xfId="0" applyNumberFormat="1" applyFont="1" applyFill="1"/>
    <xf numFmtId="0" fontId="9" fillId="0" borderId="0" xfId="0" applyFont="1"/>
    <xf numFmtId="0" fontId="10" fillId="2" borderId="0" xfId="0" applyFont="1" applyFill="1"/>
    <xf numFmtId="0" fontId="5" fillId="2" borderId="0" xfId="0" applyFont="1" applyFill="1"/>
    <xf numFmtId="0" fontId="11" fillId="3" borderId="1" xfId="3" applyFont="1" applyFill="1" applyBorder="1" applyAlignment="1">
      <alignment horizontal="left" vertical="top" wrapText="1"/>
    </xf>
    <xf numFmtId="0" fontId="11" fillId="3" borderId="2" xfId="3" applyFont="1" applyFill="1" applyBorder="1" applyAlignment="1">
      <alignment horizontal="center"/>
    </xf>
    <xf numFmtId="0" fontId="11" fillId="3" borderId="2" xfId="0" applyFont="1" applyFill="1" applyBorder="1" applyAlignment="1">
      <alignment horizontal="center"/>
    </xf>
    <xf numFmtId="0" fontId="11" fillId="3" borderId="3" xfId="0" applyFont="1" applyFill="1" applyBorder="1" applyAlignment="1">
      <alignment horizontal="center"/>
    </xf>
    <xf numFmtId="0" fontId="11" fillId="3" borderId="4" xfId="0" applyFont="1" applyFill="1" applyBorder="1" applyAlignment="1">
      <alignment horizontal="left" vertical="top" wrapText="1"/>
    </xf>
    <xf numFmtId="0" fontId="12" fillId="4" borderId="5" xfId="3" applyFont="1" applyFill="1" applyBorder="1" applyAlignment="1">
      <alignment horizontal="left"/>
    </xf>
    <xf numFmtId="2" fontId="12" fillId="4" borderId="5" xfId="4" applyNumberFormat="1" applyFont="1" applyFill="1" applyBorder="1" applyAlignment="1">
      <alignment horizontal="center"/>
    </xf>
    <xf numFmtId="2" fontId="14" fillId="4" borderId="5" xfId="2" applyNumberFormat="1" applyFont="1" applyFill="1" applyBorder="1" applyAlignment="1">
      <alignment horizontal="center"/>
    </xf>
    <xf numFmtId="2" fontId="12" fillId="4" borderId="5" xfId="2" applyNumberFormat="1" applyFont="1" applyFill="1" applyBorder="1" applyAlignment="1">
      <alignment horizontal="center"/>
    </xf>
    <xf numFmtId="164" fontId="14" fillId="4" borderId="5" xfId="2" applyNumberFormat="1" applyFont="1" applyFill="1" applyBorder="1" applyAlignment="1">
      <alignment horizontal="center"/>
    </xf>
    <xf numFmtId="164" fontId="12" fillId="4" borderId="5" xfId="2" applyNumberFormat="1" applyFont="1" applyFill="1" applyBorder="1" applyAlignment="1">
      <alignment horizontal="center"/>
    </xf>
    <xf numFmtId="1" fontId="14" fillId="4" borderId="5" xfId="2" applyNumberFormat="1" applyFont="1" applyFill="1" applyBorder="1" applyAlignment="1">
      <alignment horizontal="center"/>
    </xf>
    <xf numFmtId="1" fontId="15" fillId="4" borderId="5" xfId="2" applyNumberFormat="1" applyFont="1" applyFill="1" applyBorder="1" applyAlignment="1">
      <alignment horizontal="center"/>
    </xf>
    <xf numFmtId="0" fontId="15" fillId="4" borderId="5" xfId="0" applyFont="1" applyFill="1" applyBorder="1" applyAlignment="1">
      <alignment horizontal="center"/>
    </xf>
    <xf numFmtId="0" fontId="14" fillId="4" borderId="5" xfId="0" applyFont="1" applyFill="1" applyBorder="1" applyAlignment="1">
      <alignment horizontal="center"/>
    </xf>
    <xf numFmtId="0" fontId="12" fillId="4" borderId="5" xfId="0" applyFont="1" applyFill="1" applyBorder="1" applyAlignment="1">
      <alignment horizontal="left"/>
    </xf>
    <xf numFmtId="0" fontId="16" fillId="4" borderId="5" xfId="3" applyFont="1" applyFill="1" applyBorder="1" applyAlignment="1">
      <alignment horizontal="left"/>
    </xf>
    <xf numFmtId="1" fontId="16" fillId="4" borderId="5" xfId="4" applyNumberFormat="1" applyFont="1" applyFill="1" applyBorder="1" applyAlignment="1">
      <alignment horizontal="center"/>
    </xf>
    <xf numFmtId="1" fontId="17" fillId="4" borderId="5" xfId="2" applyNumberFormat="1" applyFont="1" applyFill="1" applyBorder="1" applyAlignment="1">
      <alignment horizontal="center"/>
    </xf>
    <xf numFmtId="1" fontId="16" fillId="4" borderId="5" xfId="2" applyNumberFormat="1" applyFont="1" applyFill="1" applyBorder="1" applyAlignment="1">
      <alignment horizontal="center"/>
    </xf>
    <xf numFmtId="1" fontId="18" fillId="4" borderId="5" xfId="2" applyNumberFormat="1" applyFont="1" applyFill="1" applyBorder="1" applyAlignment="1">
      <alignment horizontal="center"/>
    </xf>
    <xf numFmtId="0" fontId="16" fillId="4" borderId="5" xfId="0" applyFont="1" applyFill="1" applyBorder="1" applyAlignment="1">
      <alignment horizontal="left"/>
    </xf>
    <xf numFmtId="0" fontId="19" fillId="2" borderId="0" xfId="0" applyFont="1" applyFill="1"/>
    <xf numFmtId="1" fontId="12" fillId="4" borderId="5" xfId="4" applyNumberFormat="1" applyFont="1" applyFill="1" applyBorder="1" applyAlignment="1">
      <alignment horizontal="center"/>
    </xf>
    <xf numFmtId="1" fontId="12" fillId="4" borderId="5" xfId="2" applyNumberFormat="1" applyFont="1" applyFill="1" applyBorder="1" applyAlignment="1">
      <alignment horizontal="center"/>
    </xf>
    <xf numFmtId="0" fontId="20" fillId="2" borderId="6" xfId="3" applyFont="1" applyFill="1" applyBorder="1"/>
    <xf numFmtId="0" fontId="24" fillId="2" borderId="6" xfId="0" applyFont="1" applyFill="1" applyBorder="1"/>
    <xf numFmtId="0" fontId="25" fillId="2" borderId="6" xfId="0" applyFont="1" applyFill="1" applyBorder="1"/>
    <xf numFmtId="0" fontId="24" fillId="2" borderId="6" xfId="0" applyFont="1" applyFill="1" applyBorder="1" applyAlignment="1">
      <alignment horizontal="center"/>
    </xf>
    <xf numFmtId="0" fontId="20" fillId="2" borderId="6" xfId="0" applyFont="1" applyFill="1" applyBorder="1" applyAlignment="1">
      <alignment horizontal="left"/>
    </xf>
    <xf numFmtId="0" fontId="24" fillId="2" borderId="0" xfId="0" applyFont="1" applyFill="1"/>
    <xf numFmtId="0" fontId="19" fillId="2" borderId="8" xfId="3" applyFont="1" applyFill="1" applyBorder="1"/>
    <xf numFmtId="9" fontId="22" fillId="2" borderId="8" xfId="0" applyNumberFormat="1" applyFont="1" applyFill="1" applyBorder="1" applyAlignment="1">
      <alignment horizontal="center"/>
    </xf>
    <xf numFmtId="9" fontId="23" fillId="2" borderId="8" xfId="0" applyNumberFormat="1" applyFont="1" applyFill="1" applyBorder="1" applyAlignment="1">
      <alignment horizontal="center"/>
    </xf>
    <xf numFmtId="0" fontId="19" fillId="2" borderId="8" xfId="0" applyFont="1" applyFill="1" applyBorder="1" applyAlignment="1">
      <alignment horizontal="left" indent="2"/>
    </xf>
    <xf numFmtId="0" fontId="26" fillId="2" borderId="9" xfId="3" applyFont="1" applyFill="1" applyBorder="1" applyAlignment="1">
      <alignment wrapText="1"/>
    </xf>
    <xf numFmtId="9" fontId="22" fillId="2" borderId="9" xfId="0" applyNumberFormat="1" applyFont="1" applyFill="1" applyBorder="1" applyAlignment="1">
      <alignment horizontal="center"/>
    </xf>
    <xf numFmtId="9" fontId="23" fillId="2" borderId="9" xfId="0" applyNumberFormat="1" applyFont="1" applyFill="1" applyBorder="1" applyAlignment="1">
      <alignment horizontal="center"/>
    </xf>
    <xf numFmtId="0" fontId="26" fillId="2" borderId="9" xfId="0" applyFont="1" applyFill="1" applyBorder="1" applyAlignment="1">
      <alignment horizontal="left" wrapText="1" indent="2"/>
    </xf>
    <xf numFmtId="0" fontId="26" fillId="2" borderId="10" xfId="3" applyFont="1" applyFill="1" applyBorder="1" applyAlignment="1">
      <alignment wrapText="1"/>
    </xf>
    <xf numFmtId="165" fontId="22" fillId="2" borderId="10" xfId="0" applyNumberFormat="1" applyFont="1" applyFill="1" applyBorder="1" applyAlignment="1">
      <alignment horizontal="center"/>
    </xf>
    <xf numFmtId="165" fontId="23" fillId="2" borderId="10" xfId="0" applyNumberFormat="1" applyFont="1" applyFill="1" applyBorder="1" applyAlignment="1">
      <alignment horizontal="center"/>
    </xf>
    <xf numFmtId="165" fontId="21" fillId="2" borderId="10" xfId="0" applyNumberFormat="1" applyFont="1" applyFill="1" applyBorder="1" applyAlignment="1">
      <alignment horizontal="center"/>
    </xf>
    <xf numFmtId="9" fontId="22" fillId="2" borderId="10" xfId="0" applyNumberFormat="1" applyFont="1" applyFill="1" applyBorder="1" applyAlignment="1">
      <alignment horizontal="center"/>
    </xf>
    <xf numFmtId="9" fontId="23" fillId="2" borderId="10" xfId="0" applyNumberFormat="1" applyFont="1" applyFill="1" applyBorder="1" applyAlignment="1">
      <alignment horizontal="center"/>
    </xf>
    <xf numFmtId="0" fontId="26" fillId="2" borderId="10" xfId="0" applyFont="1" applyFill="1" applyBorder="1" applyAlignment="1">
      <alignment horizontal="left" wrapText="1" indent="2"/>
    </xf>
    <xf numFmtId="0" fontId="20" fillId="2" borderId="12" xfId="3" applyFont="1" applyFill="1" applyBorder="1"/>
    <xf numFmtId="0" fontId="24" fillId="2" borderId="12" xfId="3" quotePrefix="1" applyFont="1" applyFill="1" applyBorder="1" applyAlignment="1">
      <alignment horizontal="center"/>
    </xf>
    <xf numFmtId="0" fontId="24" fillId="2" borderId="12" xfId="0" quotePrefix="1" applyFont="1" applyFill="1" applyBorder="1" applyAlignment="1">
      <alignment horizontal="center"/>
    </xf>
    <xf numFmtId="9" fontId="22" fillId="2" borderId="12" xfId="0" applyNumberFormat="1" applyFont="1" applyFill="1" applyBorder="1" applyAlignment="1">
      <alignment horizontal="center"/>
    </xf>
    <xf numFmtId="9" fontId="20" fillId="2" borderId="12" xfId="0" applyNumberFormat="1" applyFont="1" applyFill="1" applyBorder="1" applyAlignment="1">
      <alignment horizontal="center"/>
    </xf>
    <xf numFmtId="9" fontId="23" fillId="2" borderId="12" xfId="0" applyNumberFormat="1" applyFont="1" applyFill="1" applyBorder="1" applyAlignment="1">
      <alignment horizontal="center"/>
    </xf>
    <xf numFmtId="165" fontId="22" fillId="2" borderId="12" xfId="0" applyNumberFormat="1" applyFont="1" applyFill="1" applyBorder="1" applyAlignment="1">
      <alignment horizontal="center"/>
    </xf>
    <xf numFmtId="165" fontId="23" fillId="2" borderId="12" xfId="0" applyNumberFormat="1" applyFont="1" applyFill="1" applyBorder="1" applyAlignment="1">
      <alignment horizontal="center"/>
    </xf>
    <xf numFmtId="0" fontId="20" fillId="2" borderId="12" xfId="0" applyFont="1" applyFill="1" applyBorder="1"/>
    <xf numFmtId="0" fontId="20" fillId="2" borderId="14" xfId="3" applyFont="1" applyFill="1" applyBorder="1"/>
    <xf numFmtId="0" fontId="24" fillId="2" borderId="14" xfId="3" quotePrefix="1" applyFont="1" applyFill="1" applyBorder="1" applyAlignment="1">
      <alignment horizontal="center"/>
    </xf>
    <xf numFmtId="0" fontId="24" fillId="2" borderId="14" xfId="0" quotePrefix="1" applyFont="1" applyFill="1" applyBorder="1" applyAlignment="1">
      <alignment horizontal="center"/>
    </xf>
    <xf numFmtId="9" fontId="22" fillId="2" borderId="14" xfId="0" applyNumberFormat="1" applyFont="1" applyFill="1" applyBorder="1" applyAlignment="1">
      <alignment horizontal="center"/>
    </xf>
    <xf numFmtId="9" fontId="20" fillId="2" borderId="14" xfId="0" applyNumberFormat="1" applyFont="1" applyFill="1" applyBorder="1" applyAlignment="1">
      <alignment horizontal="center"/>
    </xf>
    <xf numFmtId="9" fontId="23" fillId="2" borderId="14" xfId="0" applyNumberFormat="1" applyFont="1" applyFill="1" applyBorder="1" applyAlignment="1">
      <alignment horizontal="center"/>
    </xf>
    <xf numFmtId="165" fontId="22" fillId="2" borderId="14" xfId="0" applyNumberFormat="1" applyFont="1" applyFill="1" applyBorder="1" applyAlignment="1">
      <alignment horizontal="center"/>
    </xf>
    <xf numFmtId="165" fontId="23" fillId="2" borderId="14" xfId="0" applyNumberFormat="1" applyFont="1" applyFill="1" applyBorder="1" applyAlignment="1">
      <alignment horizontal="center"/>
    </xf>
    <xf numFmtId="0" fontId="20" fillId="2" borderId="14" xfId="0" applyFont="1" applyFill="1" applyBorder="1"/>
    <xf numFmtId="166" fontId="24" fillId="2" borderId="0" xfId="1" applyNumberFormat="1" applyFont="1" applyFill="1"/>
    <xf numFmtId="0" fontId="24" fillId="5" borderId="7" xfId="3" applyFont="1" applyFill="1" applyBorder="1" applyAlignment="1">
      <alignment horizontal="left" vertical="top"/>
    </xf>
    <xf numFmtId="2" fontId="20" fillId="5" borderId="7" xfId="3" applyNumberFormat="1" applyFont="1" applyFill="1" applyBorder="1" applyAlignment="1">
      <alignment horizontal="center" vertical="center" wrapText="1"/>
    </xf>
    <xf numFmtId="2" fontId="20" fillId="5" borderId="7" xfId="0" applyNumberFormat="1" applyFont="1" applyFill="1" applyBorder="1" applyAlignment="1">
      <alignment horizontal="center" vertical="center" wrapText="1"/>
    </xf>
    <xf numFmtId="2" fontId="22" fillId="5" borderId="7" xfId="0" applyNumberFormat="1" applyFont="1" applyFill="1" applyBorder="1" applyAlignment="1">
      <alignment horizontal="center" vertical="center" wrapText="1"/>
    </xf>
    <xf numFmtId="1" fontId="22" fillId="5" borderId="7" xfId="0" applyNumberFormat="1" applyFont="1" applyFill="1" applyBorder="1" applyAlignment="1">
      <alignment horizontal="center" vertical="center"/>
    </xf>
    <xf numFmtId="1" fontId="23" fillId="5" borderId="7" xfId="0" applyNumberFormat="1" applyFont="1" applyFill="1" applyBorder="1" applyAlignment="1">
      <alignment horizontal="center" vertical="center"/>
    </xf>
    <xf numFmtId="1" fontId="25" fillId="5" borderId="7" xfId="0" applyNumberFormat="1" applyFont="1" applyFill="1" applyBorder="1" applyAlignment="1">
      <alignment horizontal="center" vertical="center" wrapText="1"/>
    </xf>
    <xf numFmtId="0" fontId="25" fillId="5" borderId="7" xfId="0" applyFont="1" applyFill="1" applyBorder="1" applyAlignment="1">
      <alignment horizontal="center" vertical="center"/>
    </xf>
    <xf numFmtId="0" fontId="22" fillId="5" borderId="7" xfId="0" applyFont="1" applyFill="1" applyBorder="1" applyAlignment="1">
      <alignment horizontal="center" vertical="center"/>
    </xf>
    <xf numFmtId="0" fontId="24" fillId="5" borderId="7" xfId="0" applyFont="1" applyFill="1" applyBorder="1" applyAlignment="1">
      <alignment vertical="top"/>
    </xf>
    <xf numFmtId="0" fontId="24" fillId="5" borderId="6" xfId="3" applyFont="1" applyFill="1" applyBorder="1" applyAlignment="1">
      <alignment horizontal="left" vertical="top"/>
    </xf>
    <xf numFmtId="2" fontId="20" fillId="5" borderId="6" xfId="3" applyNumberFormat="1" applyFont="1" applyFill="1" applyBorder="1" applyAlignment="1">
      <alignment horizontal="center" vertical="center" wrapText="1"/>
    </xf>
    <xf numFmtId="2" fontId="20" fillId="5" borderId="6" xfId="0" applyNumberFormat="1" applyFont="1" applyFill="1" applyBorder="1" applyAlignment="1">
      <alignment horizontal="center" vertical="center" wrapText="1"/>
    </xf>
    <xf numFmtId="2" fontId="22" fillId="5" borderId="6" xfId="0" applyNumberFormat="1" applyFont="1" applyFill="1" applyBorder="1" applyAlignment="1">
      <alignment horizontal="center" vertical="center" wrapText="1"/>
    </xf>
    <xf numFmtId="0" fontId="9" fillId="5" borderId="6" xfId="0" applyFont="1" applyFill="1" applyBorder="1" applyAlignment="1">
      <alignment horizontal="center" vertical="center" wrapText="1"/>
    </xf>
    <xf numFmtId="1" fontId="22" fillId="5" borderId="6" xfId="0" applyNumberFormat="1" applyFont="1" applyFill="1" applyBorder="1" applyAlignment="1">
      <alignment horizontal="center" vertical="center"/>
    </xf>
    <xf numFmtId="1" fontId="23" fillId="5" borderId="6" xfId="0" applyNumberFormat="1" applyFont="1" applyFill="1" applyBorder="1" applyAlignment="1">
      <alignment horizontal="center" vertical="center"/>
    </xf>
    <xf numFmtId="1" fontId="30" fillId="5" borderId="6" xfId="0" applyNumberFormat="1" applyFont="1" applyFill="1" applyBorder="1" applyAlignment="1">
      <alignment horizontal="center" vertical="center" wrapText="1"/>
    </xf>
    <xf numFmtId="0" fontId="24" fillId="5" borderId="6" xfId="0" applyFont="1" applyFill="1" applyBorder="1" applyAlignment="1">
      <alignment vertical="center"/>
    </xf>
    <xf numFmtId="0" fontId="24" fillId="5" borderId="6" xfId="0" applyFont="1" applyFill="1" applyBorder="1" applyAlignment="1">
      <alignment horizontal="center" vertical="center"/>
    </xf>
    <xf numFmtId="0" fontId="24" fillId="5" borderId="6" xfId="0" applyFont="1" applyFill="1" applyBorder="1" applyAlignment="1">
      <alignment vertical="top"/>
    </xf>
    <xf numFmtId="2" fontId="21" fillId="5" borderId="6" xfId="0" applyNumberFormat="1" applyFont="1" applyFill="1" applyBorder="1" applyAlignment="1">
      <alignment horizontal="center" vertical="center" wrapText="1"/>
    </xf>
    <xf numFmtId="0" fontId="16" fillId="5" borderId="16" xfId="3" applyFont="1" applyFill="1" applyBorder="1" applyAlignment="1">
      <alignment horizontal="left" vertical="center"/>
    </xf>
    <xf numFmtId="1" fontId="16" fillId="5" borderId="16" xfId="3" applyNumberFormat="1" applyFont="1" applyFill="1" applyBorder="1" applyAlignment="1">
      <alignment horizontal="center" vertical="center" wrapText="1"/>
    </xf>
    <xf numFmtId="1" fontId="16" fillId="5" borderId="16" xfId="0" applyNumberFormat="1" applyFont="1" applyFill="1" applyBorder="1" applyAlignment="1">
      <alignment horizontal="center" vertical="center" wrapText="1"/>
    </xf>
    <xf numFmtId="1" fontId="17" fillId="5" borderId="16" xfId="0" applyNumberFormat="1" applyFont="1" applyFill="1" applyBorder="1" applyAlignment="1">
      <alignment horizontal="center" vertical="center" wrapText="1"/>
    </xf>
    <xf numFmtId="0" fontId="17" fillId="5" borderId="16" xfId="0" applyFont="1" applyFill="1" applyBorder="1" applyAlignment="1">
      <alignment horizontal="center" vertical="center" wrapText="1"/>
    </xf>
    <xf numFmtId="1" fontId="31" fillId="5" borderId="16" xfId="0" applyNumberFormat="1" applyFont="1" applyFill="1" applyBorder="1" applyAlignment="1">
      <alignment horizontal="center" vertical="center"/>
    </xf>
    <xf numFmtId="1" fontId="32" fillId="5" borderId="16" xfId="0" applyNumberFormat="1" applyFont="1" applyFill="1" applyBorder="1" applyAlignment="1">
      <alignment horizontal="center" vertical="center"/>
    </xf>
    <xf numFmtId="1" fontId="18" fillId="5" borderId="16" xfId="0" applyNumberFormat="1" applyFont="1" applyFill="1" applyBorder="1" applyAlignment="1">
      <alignment horizontal="center" vertical="center" wrapText="1"/>
    </xf>
    <xf numFmtId="0" fontId="19" fillId="5" borderId="16" xfId="0" applyFont="1" applyFill="1" applyBorder="1" applyAlignment="1">
      <alignment horizontal="center" vertical="center"/>
    </xf>
    <xf numFmtId="0" fontId="16" fillId="5" borderId="16" xfId="0" applyFont="1" applyFill="1" applyBorder="1" applyAlignment="1">
      <alignment horizontal="left" vertical="center"/>
    </xf>
    <xf numFmtId="0" fontId="16" fillId="5" borderId="6" xfId="3" applyFont="1" applyFill="1" applyBorder="1" applyAlignment="1">
      <alignment horizontal="left" vertical="center"/>
    </xf>
    <xf numFmtId="1" fontId="16" fillId="5" borderId="6" xfId="3" applyNumberFormat="1" applyFont="1" applyFill="1" applyBorder="1" applyAlignment="1">
      <alignment horizontal="center" vertical="center" wrapText="1"/>
    </xf>
    <xf numFmtId="1" fontId="16" fillId="5" borderId="6" xfId="0" applyNumberFormat="1" applyFont="1" applyFill="1" applyBorder="1" applyAlignment="1">
      <alignment horizontal="center" vertical="center" wrapText="1"/>
    </xf>
    <xf numFmtId="1" fontId="17" fillId="5" borderId="6" xfId="0" applyNumberFormat="1" applyFont="1" applyFill="1" applyBorder="1" applyAlignment="1">
      <alignment horizontal="center" vertical="center" wrapText="1"/>
    </xf>
    <xf numFmtId="1" fontId="31" fillId="5" borderId="6" xfId="0" applyNumberFormat="1" applyFont="1" applyFill="1" applyBorder="1" applyAlignment="1">
      <alignment horizontal="center" vertical="center"/>
    </xf>
    <xf numFmtId="1" fontId="32" fillId="5" borderId="6" xfId="0" applyNumberFormat="1" applyFont="1" applyFill="1" applyBorder="1" applyAlignment="1">
      <alignment horizontal="center" vertical="center"/>
    </xf>
    <xf numFmtId="1" fontId="18" fillId="5" borderId="6" xfId="0" applyNumberFormat="1" applyFont="1" applyFill="1" applyBorder="1" applyAlignment="1">
      <alignment horizontal="center" vertical="center" wrapText="1"/>
    </xf>
    <xf numFmtId="0" fontId="19" fillId="5" borderId="6" xfId="0" applyFont="1" applyFill="1" applyBorder="1" applyAlignment="1">
      <alignment horizontal="center" vertical="center"/>
    </xf>
    <xf numFmtId="0" fontId="16" fillId="5" borderId="6" xfId="0" applyFont="1" applyFill="1" applyBorder="1" applyAlignment="1">
      <alignment horizontal="left" vertical="center"/>
    </xf>
    <xf numFmtId="0" fontId="33" fillId="5" borderId="6" xfId="0" applyFont="1" applyFill="1" applyBorder="1" applyAlignment="1">
      <alignment horizontal="center" vertical="center" wrapText="1"/>
    </xf>
    <xf numFmtId="0" fontId="19" fillId="5" borderId="11" xfId="0" applyFont="1" applyFill="1" applyBorder="1" applyAlignment="1">
      <alignment horizontal="center" vertical="center"/>
    </xf>
    <xf numFmtId="0" fontId="24" fillId="5" borderId="17" xfId="3" applyFont="1" applyFill="1" applyBorder="1" applyAlignment="1">
      <alignment horizontal="left" vertical="top"/>
    </xf>
    <xf numFmtId="1" fontId="29" fillId="5" borderId="17" xfId="3" applyNumberFormat="1" applyFont="1" applyFill="1" applyBorder="1" applyAlignment="1">
      <alignment horizontal="center" vertical="center" wrapText="1"/>
    </xf>
    <xf numFmtId="1" fontId="29" fillId="5" borderId="17" xfId="0" applyNumberFormat="1" applyFont="1" applyFill="1" applyBorder="1" applyAlignment="1">
      <alignment horizontal="center" vertical="center" wrapText="1"/>
    </xf>
    <xf numFmtId="1" fontId="30" fillId="5" borderId="17" xfId="0" applyNumberFormat="1" applyFont="1" applyFill="1" applyBorder="1" applyAlignment="1">
      <alignment horizontal="center" vertical="center" wrapText="1"/>
    </xf>
    <xf numFmtId="0" fontId="24" fillId="5" borderId="17" xfId="0" applyFont="1" applyFill="1" applyBorder="1" applyAlignment="1">
      <alignment horizontal="center" vertical="center"/>
    </xf>
    <xf numFmtId="0" fontId="24" fillId="5" borderId="13" xfId="0" applyFont="1" applyFill="1" applyBorder="1" applyAlignment="1">
      <alignment vertical="top"/>
    </xf>
    <xf numFmtId="0" fontId="34" fillId="5" borderId="18" xfId="3" applyFont="1" applyFill="1" applyBorder="1" applyAlignment="1">
      <alignment horizontal="left" wrapText="1" readingOrder="1"/>
    </xf>
    <xf numFmtId="1" fontId="23" fillId="5" borderId="16" xfId="0" applyNumberFormat="1" applyFont="1" applyFill="1" applyBorder="1" applyAlignment="1">
      <alignment horizontal="center" vertical="center"/>
    </xf>
    <xf numFmtId="1" fontId="23" fillId="5" borderId="6" xfId="0" applyNumberFormat="1" applyFont="1" applyFill="1" applyBorder="1" applyAlignment="1">
      <alignment horizontal="center" wrapText="1"/>
    </xf>
    <xf numFmtId="0" fontId="21" fillId="5" borderId="6" xfId="0" applyFont="1" applyFill="1" applyBorder="1" applyAlignment="1">
      <alignment horizontal="center"/>
    </xf>
    <xf numFmtId="0" fontId="22" fillId="5" borderId="6" xfId="0" applyFont="1" applyFill="1" applyBorder="1" applyAlignment="1">
      <alignment horizontal="center"/>
    </xf>
    <xf numFmtId="0" fontId="34" fillId="5" borderId="18" xfId="0" applyFont="1" applyFill="1" applyBorder="1" applyAlignment="1">
      <alignment horizontal="left" wrapText="1" readingOrder="1"/>
    </xf>
    <xf numFmtId="0" fontId="34" fillId="5" borderId="20" xfId="3" applyFont="1" applyFill="1" applyBorder="1" applyAlignment="1">
      <alignment horizontal="left" wrapText="1" readingOrder="1"/>
    </xf>
    <xf numFmtId="1" fontId="20" fillId="5" borderId="6" xfId="0" applyNumberFormat="1" applyFont="1" applyFill="1" applyBorder="1" applyAlignment="1">
      <alignment horizontal="center" vertical="center"/>
    </xf>
    <xf numFmtId="1" fontId="22" fillId="5" borderId="14" xfId="0" applyNumberFormat="1" applyFont="1" applyFill="1" applyBorder="1" applyAlignment="1">
      <alignment horizontal="center" wrapText="1"/>
    </xf>
    <xf numFmtId="0" fontId="22" fillId="5" borderId="14" xfId="0" applyFont="1" applyFill="1" applyBorder="1" applyAlignment="1">
      <alignment horizontal="center"/>
    </xf>
    <xf numFmtId="0" fontId="23" fillId="5" borderId="14" xfId="0" applyFont="1" applyFill="1" applyBorder="1" applyAlignment="1">
      <alignment horizontal="center"/>
    </xf>
    <xf numFmtId="0" fontId="22" fillId="5" borderId="21" xfId="0" applyFont="1" applyFill="1" applyBorder="1" applyAlignment="1">
      <alignment horizontal="center"/>
    </xf>
    <xf numFmtId="0" fontId="34" fillId="5" borderId="20" xfId="0" applyFont="1" applyFill="1" applyBorder="1" applyAlignment="1">
      <alignment horizontal="left" wrapText="1" readingOrder="1"/>
    </xf>
    <xf numFmtId="3" fontId="25" fillId="5" borderId="14" xfId="0" applyNumberFormat="1" applyFont="1" applyFill="1" applyBorder="1" applyAlignment="1">
      <alignment horizontal="center" wrapText="1"/>
    </xf>
    <xf numFmtId="3" fontId="30" fillId="5" borderId="14" xfId="0" applyNumberFormat="1" applyFont="1" applyFill="1" applyBorder="1" applyAlignment="1">
      <alignment horizontal="center" wrapText="1"/>
    </xf>
    <xf numFmtId="3" fontId="25" fillId="5" borderId="21" xfId="0" applyNumberFormat="1" applyFont="1" applyFill="1" applyBorder="1" applyAlignment="1">
      <alignment horizontal="center" wrapText="1"/>
    </xf>
    <xf numFmtId="0" fontId="34" fillId="5" borderId="22" xfId="3" applyFont="1" applyFill="1" applyBorder="1" applyAlignment="1">
      <alignment horizontal="left" wrapText="1" readingOrder="1"/>
    </xf>
    <xf numFmtId="3" fontId="22" fillId="5" borderId="21" xfId="0" applyNumberFormat="1" applyFont="1" applyFill="1" applyBorder="1" applyAlignment="1">
      <alignment horizontal="center" wrapText="1"/>
    </xf>
    <xf numFmtId="3" fontId="23" fillId="5" borderId="21" xfId="0" applyNumberFormat="1" applyFont="1" applyFill="1" applyBorder="1" applyAlignment="1">
      <alignment horizontal="center" wrapText="1"/>
    </xf>
    <xf numFmtId="0" fontId="34" fillId="5" borderId="22" xfId="0" applyFont="1" applyFill="1" applyBorder="1" applyAlignment="1">
      <alignment horizontal="left" wrapText="1" readingOrder="1"/>
    </xf>
    <xf numFmtId="0" fontId="34" fillId="5" borderId="21" xfId="3" applyFont="1" applyFill="1" applyBorder="1" applyAlignment="1">
      <alignment horizontal="left" wrapText="1" readingOrder="1"/>
    </xf>
    <xf numFmtId="1" fontId="36" fillId="5" borderId="6" xfId="3" applyNumberFormat="1" applyFont="1" applyFill="1" applyBorder="1" applyAlignment="1">
      <alignment horizontal="center" vertical="center"/>
    </xf>
    <xf numFmtId="1" fontId="36" fillId="5" borderId="6" xfId="0" applyNumberFormat="1" applyFont="1" applyFill="1" applyBorder="1" applyAlignment="1">
      <alignment horizontal="center" vertical="center"/>
    </xf>
    <xf numFmtId="1" fontId="31" fillId="5" borderId="6" xfId="0" applyNumberFormat="1" applyFont="1" applyFill="1" applyBorder="1" applyAlignment="1">
      <alignment horizontal="center" vertical="center" wrapText="1"/>
    </xf>
    <xf numFmtId="167" fontId="37" fillId="5" borderId="21" xfId="0" applyNumberFormat="1" applyFont="1" applyFill="1" applyBorder="1" applyAlignment="1">
      <alignment horizontal="center" wrapText="1"/>
    </xf>
    <xf numFmtId="168" fontId="37" fillId="5" borderId="21" xfId="0" applyNumberFormat="1" applyFont="1" applyFill="1" applyBorder="1" applyAlignment="1">
      <alignment horizontal="center" wrapText="1"/>
    </xf>
    <xf numFmtId="168" fontId="17" fillId="5" borderId="21" xfId="0" applyNumberFormat="1" applyFont="1" applyFill="1" applyBorder="1" applyAlignment="1">
      <alignment horizontal="center" wrapText="1"/>
    </xf>
    <xf numFmtId="0" fontId="34" fillId="5" borderId="21" xfId="0" applyFont="1" applyFill="1" applyBorder="1" applyAlignment="1">
      <alignment horizontal="left" wrapText="1" readingOrder="1"/>
    </xf>
    <xf numFmtId="0" fontId="34" fillId="5" borderId="15" xfId="3" applyFont="1" applyFill="1" applyBorder="1" applyAlignment="1">
      <alignment horizontal="left" wrapText="1" readingOrder="1"/>
    </xf>
    <xf numFmtId="1" fontId="36" fillId="5" borderId="11" xfId="3" applyNumberFormat="1" applyFont="1" applyFill="1" applyBorder="1" applyAlignment="1">
      <alignment horizontal="center" vertical="center"/>
    </xf>
    <xf numFmtId="1" fontId="36" fillId="5" borderId="11" xfId="0" applyNumberFormat="1" applyFont="1" applyFill="1" applyBorder="1" applyAlignment="1">
      <alignment horizontal="center" vertical="center"/>
    </xf>
    <xf numFmtId="1" fontId="31" fillId="5" borderId="11" xfId="0" applyNumberFormat="1" applyFont="1" applyFill="1" applyBorder="1" applyAlignment="1">
      <alignment horizontal="center" vertical="center"/>
    </xf>
    <xf numFmtId="1" fontId="31" fillId="5" borderId="11" xfId="0" applyNumberFormat="1" applyFont="1" applyFill="1" applyBorder="1" applyAlignment="1">
      <alignment horizontal="center" vertical="center" wrapText="1"/>
    </xf>
    <xf numFmtId="1" fontId="32" fillId="5" borderId="11" xfId="0" applyNumberFormat="1" applyFont="1" applyFill="1" applyBorder="1" applyAlignment="1">
      <alignment horizontal="center" vertical="center"/>
    </xf>
    <xf numFmtId="3" fontId="28" fillId="5" borderId="15" xfId="0" applyNumberFormat="1" applyFont="1" applyFill="1" applyBorder="1" applyAlignment="1">
      <alignment horizontal="left" wrapText="1"/>
    </xf>
    <xf numFmtId="3" fontId="28" fillId="5" borderId="15" xfId="0" applyNumberFormat="1" applyFont="1" applyFill="1" applyBorder="1" applyAlignment="1">
      <alignment horizontal="center" wrapText="1"/>
    </xf>
    <xf numFmtId="0" fontId="34" fillId="5" borderId="15" xfId="0" applyFont="1" applyFill="1" applyBorder="1" applyAlignment="1">
      <alignment horizontal="left" wrapText="1" readingOrder="1"/>
    </xf>
    <xf numFmtId="0" fontId="24" fillId="2" borderId="17" xfId="3" applyFont="1" applyFill="1" applyBorder="1" applyAlignment="1">
      <alignment vertical="center" wrapText="1"/>
    </xf>
    <xf numFmtId="2" fontId="20" fillId="2" borderId="17" xfId="3" applyNumberFormat="1" applyFont="1" applyFill="1" applyBorder="1" applyAlignment="1">
      <alignment horizontal="center" vertical="center"/>
    </xf>
    <xf numFmtId="2" fontId="20" fillId="2" borderId="17" xfId="0" applyNumberFormat="1" applyFont="1" applyFill="1" applyBorder="1" applyAlignment="1">
      <alignment horizontal="center" vertical="center"/>
    </xf>
    <xf numFmtId="2" fontId="22" fillId="2" borderId="7" xfId="0" applyNumberFormat="1" applyFont="1" applyFill="1" applyBorder="1" applyAlignment="1">
      <alignment horizontal="center" vertical="center"/>
    </xf>
    <xf numFmtId="2" fontId="23" fillId="2" borderId="7" xfId="0" applyNumberFormat="1" applyFont="1" applyFill="1" applyBorder="1" applyAlignment="1">
      <alignment horizontal="center" vertical="center"/>
    </xf>
    <xf numFmtId="1" fontId="23" fillId="2" borderId="17" xfId="0" applyNumberFormat="1" applyFont="1" applyFill="1" applyBorder="1" applyAlignment="1">
      <alignment horizontal="center" vertical="center"/>
    </xf>
    <xf numFmtId="3" fontId="23" fillId="2" borderId="17" xfId="0" applyNumberFormat="1" applyFont="1" applyFill="1" applyBorder="1" applyAlignment="1">
      <alignment horizontal="center" vertical="center" wrapText="1"/>
    </xf>
    <xf numFmtId="0" fontId="22" fillId="2" borderId="17" xfId="0" applyFont="1" applyFill="1" applyBorder="1" applyAlignment="1">
      <alignment horizontal="center" vertical="center"/>
    </xf>
    <xf numFmtId="0" fontId="22" fillId="2" borderId="14" xfId="0" applyFont="1" applyFill="1" applyBorder="1" applyAlignment="1">
      <alignment horizontal="center"/>
    </xf>
    <xf numFmtId="0" fontId="22" fillId="2" borderId="21" xfId="0" applyFont="1" applyFill="1" applyBorder="1" applyAlignment="1">
      <alignment horizontal="center"/>
    </xf>
    <xf numFmtId="0" fontId="23" fillId="2" borderId="6" xfId="0" applyFont="1" applyFill="1" applyBorder="1" applyAlignment="1">
      <alignment horizontal="center"/>
    </xf>
    <xf numFmtId="0" fontId="22" fillId="2" borderId="6" xfId="0" applyFont="1" applyFill="1" applyBorder="1" applyAlignment="1">
      <alignment horizontal="center"/>
    </xf>
    <xf numFmtId="0" fontId="39" fillId="2" borderId="17" xfId="0" applyFont="1" applyFill="1" applyBorder="1" applyAlignment="1">
      <alignment horizontal="left" vertical="center" readingOrder="1"/>
    </xf>
    <xf numFmtId="0" fontId="16" fillId="2" borderId="10" xfId="3" applyFont="1" applyFill="1" applyBorder="1" applyAlignment="1">
      <alignment horizontal="left" vertical="center"/>
    </xf>
    <xf numFmtId="1" fontId="16" fillId="2" borderId="10" xfId="3" applyNumberFormat="1" applyFont="1" applyFill="1" applyBorder="1" applyAlignment="1">
      <alignment horizontal="center" vertical="center"/>
    </xf>
    <xf numFmtId="1" fontId="16" fillId="2" borderId="10" xfId="0" applyNumberFormat="1" applyFont="1" applyFill="1" applyBorder="1" applyAlignment="1">
      <alignment horizontal="center" vertical="center"/>
    </xf>
    <xf numFmtId="1" fontId="17" fillId="2" borderId="10" xfId="0" applyNumberFormat="1" applyFont="1" applyFill="1" applyBorder="1" applyAlignment="1">
      <alignment horizontal="center" vertical="center"/>
    </xf>
    <xf numFmtId="1" fontId="28" fillId="2" borderId="10" xfId="0" applyNumberFormat="1" applyFont="1" applyFill="1" applyBorder="1" applyAlignment="1">
      <alignment horizontal="center" vertical="center"/>
    </xf>
    <xf numFmtId="1" fontId="26" fillId="2" borderId="10" xfId="0" applyNumberFormat="1" applyFont="1" applyFill="1" applyBorder="1" applyAlignment="1">
      <alignment horizontal="center" vertical="center"/>
    </xf>
    <xf numFmtId="3" fontId="26" fillId="2" borderId="10" xfId="0" applyNumberFormat="1" applyFont="1" applyFill="1" applyBorder="1" applyAlignment="1">
      <alignment horizontal="center" vertical="center" wrapText="1"/>
    </xf>
    <xf numFmtId="0" fontId="18" fillId="2" borderId="10" xfId="0" applyFont="1" applyFill="1" applyBorder="1" applyAlignment="1">
      <alignment horizontal="center" vertical="center"/>
    </xf>
    <xf numFmtId="0" fontId="34" fillId="2" borderId="10" xfId="0" applyFont="1" applyFill="1" applyBorder="1" applyAlignment="1">
      <alignment horizontal="left" vertical="center" readingOrder="1"/>
    </xf>
    <xf numFmtId="0" fontId="24" fillId="5" borderId="7" xfId="3" applyFont="1" applyFill="1" applyBorder="1" applyAlignment="1">
      <alignment horizontal="left" vertical="center" wrapText="1"/>
    </xf>
    <xf numFmtId="2" fontId="20" fillId="5" borderId="7" xfId="3" applyNumberFormat="1" applyFont="1" applyFill="1" applyBorder="1" applyAlignment="1">
      <alignment horizontal="center" vertical="center"/>
    </xf>
    <xf numFmtId="2" fontId="20" fillId="5" borderId="7" xfId="0" applyNumberFormat="1" applyFont="1" applyFill="1" applyBorder="1" applyAlignment="1">
      <alignment horizontal="center" vertical="center"/>
    </xf>
    <xf numFmtId="2" fontId="22" fillId="5" borderId="5" xfId="0" applyNumberFormat="1" applyFont="1" applyFill="1" applyBorder="1" applyAlignment="1">
      <alignment horizontal="center" vertical="center"/>
    </xf>
    <xf numFmtId="2" fontId="22" fillId="5" borderId="7" xfId="0" applyNumberFormat="1" applyFont="1" applyFill="1" applyBorder="1" applyAlignment="1">
      <alignment horizontal="center" vertical="center"/>
    </xf>
    <xf numFmtId="2" fontId="23" fillId="5" borderId="7" xfId="0" applyNumberFormat="1" applyFont="1" applyFill="1" applyBorder="1" applyAlignment="1">
      <alignment horizontal="center" vertical="center"/>
    </xf>
    <xf numFmtId="1" fontId="20" fillId="5" borderId="7" xfId="0" applyNumberFormat="1" applyFont="1" applyFill="1" applyBorder="1" applyAlignment="1">
      <alignment horizontal="center" vertical="center"/>
    </xf>
    <xf numFmtId="0" fontId="20" fillId="5" borderId="7" xfId="0" applyFont="1" applyFill="1" applyBorder="1" applyAlignment="1">
      <alignment horizontal="center" vertical="center"/>
    </xf>
    <xf numFmtId="0" fontId="23" fillId="5" borderId="7" xfId="0" applyFont="1" applyFill="1" applyBorder="1" applyAlignment="1">
      <alignment horizontal="center" vertical="center"/>
    </xf>
    <xf numFmtId="0" fontId="24" fillId="5" borderId="7" xfId="0" applyFont="1" applyFill="1" applyBorder="1" applyAlignment="1">
      <alignment horizontal="left" vertical="center" wrapText="1"/>
    </xf>
    <xf numFmtId="0" fontId="24" fillId="5" borderId="6" xfId="3" applyFont="1" applyFill="1" applyBorder="1" applyAlignment="1">
      <alignment horizontal="left" vertical="center" wrapText="1"/>
    </xf>
    <xf numFmtId="2" fontId="20" fillId="5" borderId="6" xfId="3" applyNumberFormat="1" applyFont="1" applyFill="1" applyBorder="1" applyAlignment="1">
      <alignment horizontal="center" vertical="center"/>
    </xf>
    <xf numFmtId="2" fontId="20" fillId="5" borderId="6" xfId="0" applyNumberFormat="1" applyFont="1" applyFill="1" applyBorder="1" applyAlignment="1">
      <alignment horizontal="center" vertical="center"/>
    </xf>
    <xf numFmtId="2" fontId="22" fillId="5" borderId="6" xfId="0" applyNumberFormat="1" applyFont="1" applyFill="1" applyBorder="1" applyAlignment="1">
      <alignment horizontal="center" vertical="center"/>
    </xf>
    <xf numFmtId="2" fontId="23" fillId="5" borderId="6" xfId="0" applyNumberFormat="1" applyFont="1" applyFill="1" applyBorder="1" applyAlignment="1">
      <alignment horizontal="center" vertical="center"/>
    </xf>
    <xf numFmtId="0" fontId="20" fillId="5" borderId="6" xfId="0" applyFont="1" applyFill="1" applyBorder="1" applyAlignment="1">
      <alignment horizontal="center" vertical="center"/>
    </xf>
    <xf numFmtId="0" fontId="22" fillId="5" borderId="6" xfId="0" applyFont="1" applyFill="1" applyBorder="1" applyAlignment="1">
      <alignment horizontal="center" vertical="center"/>
    </xf>
    <xf numFmtId="0" fontId="24" fillId="5" borderId="6" xfId="0" applyFont="1" applyFill="1" applyBorder="1" applyAlignment="1">
      <alignment horizontal="left" vertical="center" wrapText="1"/>
    </xf>
    <xf numFmtId="0" fontId="16" fillId="5" borderId="6" xfId="3" applyFont="1" applyFill="1" applyBorder="1" applyAlignment="1">
      <alignment horizontal="left" vertical="center" wrapText="1"/>
    </xf>
    <xf numFmtId="1" fontId="16" fillId="5" borderId="6" xfId="3" applyNumberFormat="1" applyFont="1" applyFill="1" applyBorder="1" applyAlignment="1">
      <alignment horizontal="center" vertical="center"/>
    </xf>
    <xf numFmtId="1" fontId="16" fillId="5" borderId="6" xfId="0" applyNumberFormat="1" applyFont="1" applyFill="1" applyBorder="1" applyAlignment="1">
      <alignment horizontal="center" vertical="center"/>
    </xf>
    <xf numFmtId="1" fontId="17" fillId="5" borderId="6" xfId="0" applyNumberFormat="1" applyFont="1" applyFill="1" applyBorder="1" applyAlignment="1">
      <alignment horizontal="center" vertical="center"/>
    </xf>
    <xf numFmtId="1" fontId="41" fillId="5" borderId="6" xfId="0" applyNumberFormat="1" applyFont="1" applyFill="1" applyBorder="1" applyAlignment="1">
      <alignment horizontal="center" vertical="center" wrapText="1"/>
    </xf>
    <xf numFmtId="1" fontId="19" fillId="5" borderId="6" xfId="0" applyNumberFormat="1" applyFont="1" applyFill="1" applyBorder="1" applyAlignment="1">
      <alignment horizontal="center" vertical="center"/>
    </xf>
    <xf numFmtId="1" fontId="18" fillId="5" borderId="6" xfId="0" applyNumberFormat="1" applyFont="1" applyFill="1" applyBorder="1" applyAlignment="1">
      <alignment horizontal="center" vertical="center"/>
    </xf>
    <xf numFmtId="0" fontId="18" fillId="5" borderId="6" xfId="0" applyFont="1" applyFill="1" applyBorder="1" applyAlignment="1">
      <alignment horizontal="center" vertical="center"/>
    </xf>
    <xf numFmtId="0" fontId="34" fillId="5" borderId="6" xfId="0" applyFont="1" applyFill="1" applyBorder="1" applyAlignment="1">
      <alignment horizontal="left" vertical="center" readingOrder="1"/>
    </xf>
    <xf numFmtId="0" fontId="16" fillId="5" borderId="11" xfId="3" applyFont="1" applyFill="1" applyBorder="1" applyAlignment="1">
      <alignment horizontal="left" vertical="center" wrapText="1"/>
    </xf>
    <xf numFmtId="1" fontId="16" fillId="5" borderId="11" xfId="3" applyNumberFormat="1" applyFont="1" applyFill="1" applyBorder="1" applyAlignment="1">
      <alignment horizontal="center" vertical="center"/>
    </xf>
    <xf numFmtId="1" fontId="16" fillId="5" borderId="11" xfId="0" applyNumberFormat="1" applyFont="1" applyFill="1" applyBorder="1" applyAlignment="1">
      <alignment horizontal="center" vertical="center"/>
    </xf>
    <xf numFmtId="1" fontId="17" fillId="5" borderId="11" xfId="0" applyNumberFormat="1" applyFont="1" applyFill="1" applyBorder="1" applyAlignment="1">
      <alignment horizontal="center" vertical="center"/>
    </xf>
    <xf numFmtId="1" fontId="19" fillId="5" borderId="11" xfId="0" applyNumberFormat="1" applyFont="1" applyFill="1" applyBorder="1" applyAlignment="1">
      <alignment horizontal="center" vertical="center"/>
    </xf>
    <xf numFmtId="1" fontId="18" fillId="5" borderId="11" xfId="0" applyNumberFormat="1" applyFont="1" applyFill="1" applyBorder="1" applyAlignment="1">
      <alignment horizontal="center" vertical="center"/>
    </xf>
    <xf numFmtId="0" fontId="18" fillId="5" borderId="11" xfId="0" applyFont="1" applyFill="1" applyBorder="1" applyAlignment="1">
      <alignment horizontal="center" vertical="center"/>
    </xf>
    <xf numFmtId="0" fontId="34" fillId="5" borderId="11" xfId="0" applyFont="1" applyFill="1" applyBorder="1" applyAlignment="1">
      <alignment horizontal="left" vertical="center" readingOrder="1"/>
    </xf>
    <xf numFmtId="0" fontId="24" fillId="2" borderId="17" xfId="3" applyFont="1" applyFill="1" applyBorder="1" applyAlignment="1">
      <alignment horizontal="left" vertical="center" wrapText="1"/>
    </xf>
    <xf numFmtId="1" fontId="20" fillId="2" borderId="17" xfId="3" applyNumberFormat="1" applyFont="1" applyFill="1" applyBorder="1" applyAlignment="1">
      <alignment horizontal="center" vertical="center"/>
    </xf>
    <xf numFmtId="1" fontId="20" fillId="2" borderId="17" xfId="0" applyNumberFormat="1" applyFont="1" applyFill="1" applyBorder="1" applyAlignment="1">
      <alignment horizontal="center" vertical="center"/>
    </xf>
    <xf numFmtId="1" fontId="22" fillId="2" borderId="17" xfId="0" applyNumberFormat="1" applyFont="1" applyFill="1" applyBorder="1" applyAlignment="1">
      <alignment horizontal="center" vertical="center"/>
    </xf>
    <xf numFmtId="1" fontId="22" fillId="2" borderId="17" xfId="0" applyNumberFormat="1" applyFont="1" applyFill="1" applyBorder="1" applyAlignment="1">
      <alignment horizontal="center" vertical="center" wrapText="1"/>
    </xf>
    <xf numFmtId="0" fontId="20" fillId="2" borderId="17" xfId="0" applyFont="1" applyFill="1" applyBorder="1" applyAlignment="1">
      <alignment horizontal="center" vertical="center"/>
    </xf>
    <xf numFmtId="0" fontId="20" fillId="2" borderId="17" xfId="0" applyFont="1" applyFill="1" applyBorder="1" applyAlignment="1">
      <alignment horizontal="left" vertical="center" wrapText="1"/>
    </xf>
    <xf numFmtId="0" fontId="24" fillId="2" borderId="9" xfId="3" applyFont="1" applyFill="1" applyBorder="1"/>
    <xf numFmtId="2" fontId="20" fillId="2" borderId="9" xfId="3" applyNumberFormat="1" applyFont="1" applyFill="1" applyBorder="1" applyAlignment="1">
      <alignment horizontal="center" vertical="center"/>
    </xf>
    <xf numFmtId="2" fontId="20" fillId="2" borderId="9" xfId="0" applyNumberFormat="1" applyFont="1" applyFill="1" applyBorder="1" applyAlignment="1">
      <alignment horizontal="center" vertical="center"/>
    </xf>
    <xf numFmtId="2" fontId="22" fillId="2" borderId="9" xfId="0" applyNumberFormat="1" applyFont="1" applyFill="1" applyBorder="1" applyAlignment="1">
      <alignment horizontal="center" vertical="center"/>
    </xf>
    <xf numFmtId="2" fontId="23" fillId="2" borderId="9" xfId="0" applyNumberFormat="1" applyFont="1" applyFill="1" applyBorder="1" applyAlignment="1">
      <alignment horizontal="center" vertical="center"/>
    </xf>
    <xf numFmtId="1" fontId="23" fillId="2" borderId="9" xfId="0" applyNumberFormat="1" applyFont="1" applyFill="1" applyBorder="1" applyAlignment="1">
      <alignment horizontal="center" vertical="center"/>
    </xf>
    <xf numFmtId="0" fontId="24" fillId="2" borderId="9" xfId="0" applyFont="1" applyFill="1" applyBorder="1" applyAlignment="1">
      <alignment horizontal="left" vertical="center" wrapText="1"/>
    </xf>
    <xf numFmtId="0" fontId="16" fillId="2" borderId="16" xfId="3" applyFont="1" applyFill="1" applyBorder="1"/>
    <xf numFmtId="1" fontId="16" fillId="2" borderId="16" xfId="3" applyNumberFormat="1" applyFont="1" applyFill="1" applyBorder="1" applyAlignment="1">
      <alignment horizontal="center" vertical="center"/>
    </xf>
    <xf numFmtId="1" fontId="16" fillId="2" borderId="16" xfId="0" applyNumberFormat="1" applyFont="1" applyFill="1" applyBorder="1" applyAlignment="1">
      <alignment horizontal="center" vertical="center"/>
    </xf>
    <xf numFmtId="1" fontId="17" fillId="2" borderId="16" xfId="0" applyNumberFormat="1" applyFont="1" applyFill="1" applyBorder="1" applyAlignment="1">
      <alignment horizontal="center" vertical="center"/>
    </xf>
    <xf numFmtId="1" fontId="28" fillId="2" borderId="16" xfId="0" applyNumberFormat="1" applyFont="1" applyFill="1" applyBorder="1" applyAlignment="1">
      <alignment horizontal="center" vertical="center"/>
    </xf>
    <xf numFmtId="0" fontId="17" fillId="2" borderId="16" xfId="0" applyFont="1" applyFill="1" applyBorder="1" applyAlignment="1">
      <alignment horizontal="center" vertical="center"/>
    </xf>
    <xf numFmtId="0" fontId="17" fillId="2" borderId="9" xfId="0" applyFont="1" applyFill="1" applyBorder="1" applyAlignment="1">
      <alignment horizontal="center" vertical="center"/>
    </xf>
    <xf numFmtId="0" fontId="34" fillId="2" borderId="9" xfId="0" applyFont="1" applyFill="1" applyBorder="1" applyAlignment="1">
      <alignment horizontal="left" vertical="center" readingOrder="1"/>
    </xf>
    <xf numFmtId="0" fontId="16" fillId="2" borderId="10" xfId="3" applyFont="1" applyFill="1" applyBorder="1"/>
    <xf numFmtId="0" fontId="17" fillId="2" borderId="10" xfId="0" applyFont="1" applyFill="1" applyBorder="1" applyAlignment="1">
      <alignment horizontal="center" vertical="center"/>
    </xf>
    <xf numFmtId="0" fontId="20" fillId="5" borderId="17" xfId="3" applyFont="1" applyFill="1" applyBorder="1" applyAlignment="1">
      <alignment wrapText="1"/>
    </xf>
    <xf numFmtId="1" fontId="20" fillId="5" borderId="17" xfId="3" applyNumberFormat="1" applyFont="1" applyFill="1" applyBorder="1" applyAlignment="1">
      <alignment horizontal="center" vertical="center"/>
    </xf>
    <xf numFmtId="1" fontId="20" fillId="5" borderId="17" xfId="0" applyNumberFormat="1" applyFont="1" applyFill="1" applyBorder="1" applyAlignment="1">
      <alignment horizontal="center" vertical="center"/>
    </xf>
    <xf numFmtId="1" fontId="22" fillId="5" borderId="17" xfId="0" applyNumberFormat="1" applyFont="1" applyFill="1" applyBorder="1" applyAlignment="1">
      <alignment horizontal="center" vertical="center"/>
    </xf>
    <xf numFmtId="1" fontId="22" fillId="5" borderId="17" xfId="0" applyNumberFormat="1" applyFont="1" applyFill="1" applyBorder="1" applyAlignment="1">
      <alignment horizontal="center" vertical="center" wrapText="1"/>
    </xf>
    <xf numFmtId="0" fontId="20" fillId="5" borderId="17" xfId="0" applyFont="1" applyFill="1" applyBorder="1" applyAlignment="1">
      <alignment horizontal="center" vertical="center"/>
    </xf>
    <xf numFmtId="0" fontId="22" fillId="5" borderId="17" xfId="0" applyFont="1" applyFill="1" applyBorder="1" applyAlignment="1">
      <alignment horizontal="center" vertical="center"/>
    </xf>
    <xf numFmtId="0" fontId="20" fillId="5" borderId="17" xfId="0" applyFont="1" applyFill="1" applyBorder="1" applyAlignment="1">
      <alignment horizontal="left" vertical="center" wrapText="1"/>
    </xf>
    <xf numFmtId="0" fontId="24" fillId="5" borderId="9" xfId="3" quotePrefix="1" applyFont="1" applyFill="1" applyBorder="1" applyAlignment="1">
      <alignment horizontal="left" vertical="center" wrapText="1"/>
    </xf>
    <xf numFmtId="2" fontId="20" fillId="5" borderId="9" xfId="3" applyNumberFormat="1" applyFont="1" applyFill="1" applyBorder="1" applyAlignment="1">
      <alignment horizontal="center" vertical="center"/>
    </xf>
    <xf numFmtId="2" fontId="20" fillId="5" borderId="9" xfId="0" applyNumberFormat="1" applyFont="1" applyFill="1" applyBorder="1" applyAlignment="1">
      <alignment horizontal="center" vertical="center"/>
    </xf>
    <xf numFmtId="2" fontId="22" fillId="5" borderId="9" xfId="0" applyNumberFormat="1" applyFont="1" applyFill="1" applyBorder="1" applyAlignment="1">
      <alignment horizontal="center" vertical="center"/>
    </xf>
    <xf numFmtId="0" fontId="42" fillId="5" borderId="9" xfId="0" applyFont="1" applyFill="1" applyBorder="1"/>
    <xf numFmtId="0" fontId="19" fillId="5" borderId="9" xfId="3" quotePrefix="1" applyFont="1" applyFill="1" applyBorder="1" applyAlignment="1">
      <alignment horizontal="left" vertical="center" wrapText="1"/>
    </xf>
    <xf numFmtId="1" fontId="16" fillId="5" borderId="9" xfId="3" applyNumberFormat="1" applyFont="1" applyFill="1" applyBorder="1" applyAlignment="1">
      <alignment horizontal="center" vertical="center"/>
    </xf>
    <xf numFmtId="1" fontId="16" fillId="5" borderId="9" xfId="0" applyNumberFormat="1" applyFont="1" applyFill="1" applyBorder="1" applyAlignment="1">
      <alignment horizontal="center" vertical="center"/>
    </xf>
    <xf numFmtId="1" fontId="17" fillId="5" borderId="9" xfId="0" applyNumberFormat="1" applyFont="1" applyFill="1" applyBorder="1" applyAlignment="1">
      <alignment horizontal="center" vertical="center"/>
    </xf>
    <xf numFmtId="0" fontId="44" fillId="5" borderId="9" xfId="0" applyFont="1" applyFill="1" applyBorder="1"/>
    <xf numFmtId="1" fontId="23" fillId="5" borderId="8" xfId="0" applyNumberFormat="1" applyFont="1" applyFill="1" applyBorder="1" applyAlignment="1">
      <alignment horizontal="center" vertical="center"/>
    </xf>
    <xf numFmtId="0" fontId="16" fillId="5" borderId="16" xfId="3" quotePrefix="1" applyFont="1" applyFill="1" applyBorder="1" applyAlignment="1">
      <alignment horizontal="left" vertical="center" wrapText="1"/>
    </xf>
    <xf numFmtId="1" fontId="16" fillId="5" borderId="16" xfId="3" applyNumberFormat="1" applyFont="1" applyFill="1" applyBorder="1" applyAlignment="1">
      <alignment horizontal="center" vertical="center"/>
    </xf>
    <xf numFmtId="1" fontId="16" fillId="5" borderId="16" xfId="0" applyNumberFormat="1" applyFont="1" applyFill="1" applyBorder="1" applyAlignment="1">
      <alignment horizontal="center" vertical="center"/>
    </xf>
    <xf numFmtId="1" fontId="17" fillId="5" borderId="16" xfId="0" applyNumberFormat="1" applyFont="1" applyFill="1" applyBorder="1" applyAlignment="1">
      <alignment horizontal="center" vertical="center"/>
    </xf>
    <xf numFmtId="1" fontId="28" fillId="5" borderId="16" xfId="0" applyNumberFormat="1" applyFont="1" applyFill="1" applyBorder="1" applyAlignment="1">
      <alignment horizontal="center" vertical="center"/>
    </xf>
    <xf numFmtId="1" fontId="26" fillId="5" borderId="16" xfId="0" applyNumberFormat="1" applyFont="1" applyFill="1" applyBorder="1" applyAlignment="1">
      <alignment horizontal="center" vertical="center"/>
    </xf>
    <xf numFmtId="0" fontId="44" fillId="5" borderId="16" xfId="0" applyFont="1" applyFill="1" applyBorder="1"/>
    <xf numFmtId="0" fontId="23" fillId="2" borderId="17" xfId="5" applyFont="1" applyFill="1" applyBorder="1" applyAlignment="1">
      <alignment vertical="center" wrapText="1"/>
    </xf>
    <xf numFmtId="1" fontId="25" fillId="2" borderId="17" xfId="3" applyNumberFormat="1" applyFont="1" applyFill="1" applyBorder="1" applyAlignment="1">
      <alignment horizontal="center" vertical="center"/>
    </xf>
    <xf numFmtId="1" fontId="25" fillId="2" borderId="17" xfId="0" applyNumberFormat="1" applyFont="1" applyFill="1" applyBorder="1" applyAlignment="1">
      <alignment horizontal="center" vertical="center"/>
    </xf>
    <xf numFmtId="0" fontId="25" fillId="2" borderId="9" xfId="6" applyFont="1" applyFill="1" applyBorder="1" applyAlignment="1">
      <alignment horizontal="left" vertical="top" wrapText="1"/>
    </xf>
    <xf numFmtId="1" fontId="23" fillId="2" borderId="9" xfId="3" quotePrefix="1" applyNumberFormat="1" applyFont="1" applyFill="1" applyBorder="1" applyAlignment="1">
      <alignment horizontal="center" vertical="center"/>
    </xf>
    <xf numFmtId="2" fontId="22" fillId="2" borderId="9" xfId="7" applyNumberFormat="1" applyFont="1" applyFill="1" applyBorder="1" applyAlignment="1">
      <alignment horizontal="center" vertical="center" wrapText="1"/>
    </xf>
    <xf numFmtId="2" fontId="47" fillId="2" borderId="9" xfId="7" applyNumberFormat="1" applyFont="1" applyFill="1" applyBorder="1" applyAlignment="1">
      <alignment horizontal="center" vertical="center" wrapText="1"/>
    </xf>
    <xf numFmtId="2" fontId="21" fillId="2" borderId="9" xfId="7" applyNumberFormat="1" applyFont="1" applyFill="1" applyBorder="1" applyAlignment="1">
      <alignment horizontal="center" vertical="center" wrapText="1"/>
    </xf>
    <xf numFmtId="0" fontId="47" fillId="2" borderId="9" xfId="7" applyNumberFormat="1" applyFont="1" applyFill="1" applyBorder="1" applyAlignment="1">
      <alignment horizontal="center" vertical="center" wrapText="1"/>
    </xf>
    <xf numFmtId="0" fontId="22" fillId="2" borderId="9" xfId="7" applyNumberFormat="1" applyFont="1" applyFill="1" applyBorder="1" applyAlignment="1">
      <alignment horizontal="center" vertical="center" wrapText="1"/>
    </xf>
    <xf numFmtId="0" fontId="24" fillId="2" borderId="0" xfId="0" applyFont="1" applyFill="1" applyAlignment="1">
      <alignment horizontal="center"/>
    </xf>
    <xf numFmtId="0" fontId="26" fillId="2" borderId="9" xfId="6" applyFont="1" applyFill="1" applyBorder="1" applyAlignment="1">
      <alignment wrapText="1"/>
    </xf>
    <xf numFmtId="1" fontId="28" fillId="2" borderId="9" xfId="3" quotePrefix="1" applyNumberFormat="1" applyFont="1" applyFill="1" applyBorder="1" applyAlignment="1">
      <alignment horizontal="center" vertical="center"/>
    </xf>
    <xf numFmtId="0" fontId="45" fillId="2" borderId="9" xfId="7" applyNumberFormat="1" applyFont="1" applyFill="1" applyBorder="1" applyAlignment="1">
      <alignment horizontal="center" vertical="center" wrapText="1"/>
    </xf>
    <xf numFmtId="0" fontId="44" fillId="2" borderId="9" xfId="7" applyNumberFormat="1" applyFont="1" applyFill="1" applyBorder="1" applyAlignment="1">
      <alignment vertical="center" wrapText="1"/>
    </xf>
    <xf numFmtId="0" fontId="28" fillId="2" borderId="9" xfId="6" applyFont="1" applyFill="1" applyBorder="1" applyAlignment="1">
      <alignment wrapText="1"/>
    </xf>
    <xf numFmtId="0" fontId="25" fillId="2" borderId="9" xfId="6" applyFont="1" applyFill="1" applyBorder="1" applyAlignment="1">
      <alignment wrapText="1"/>
    </xf>
    <xf numFmtId="9" fontId="44" fillId="2" borderId="6" xfId="4" applyFont="1" applyFill="1" applyBorder="1" applyAlignment="1">
      <alignment horizontal="center" vertical="center" wrapText="1"/>
    </xf>
    <xf numFmtId="9" fontId="44" fillId="2" borderId="6" xfId="2" applyFont="1" applyFill="1" applyBorder="1" applyAlignment="1">
      <alignment horizontal="center" vertical="center" wrapText="1"/>
    </xf>
    <xf numFmtId="0" fontId="48" fillId="2" borderId="9" xfId="6" applyFont="1" applyFill="1" applyBorder="1" applyAlignment="1">
      <alignment wrapText="1"/>
    </xf>
    <xf numFmtId="0" fontId="25" fillId="2" borderId="9" xfId="6" applyFont="1" applyFill="1" applyBorder="1" applyAlignment="1">
      <alignment vertical="top" wrapText="1"/>
    </xf>
    <xf numFmtId="9" fontId="23" fillId="0" borderId="28" xfId="6" applyNumberFormat="1" applyFont="1" applyBorder="1" applyAlignment="1">
      <alignment horizontal="center" vertical="center" wrapText="1"/>
    </xf>
    <xf numFmtId="9" fontId="23" fillId="0" borderId="29" xfId="6" applyNumberFormat="1" applyFont="1" applyBorder="1" applyAlignment="1">
      <alignment horizontal="center" vertical="center" wrapText="1"/>
    </xf>
    <xf numFmtId="9" fontId="23" fillId="0" borderId="6" xfId="6" applyNumberFormat="1" applyFont="1" applyBorder="1" applyAlignment="1">
      <alignment horizontal="center" vertical="center" wrapText="1"/>
    </xf>
    <xf numFmtId="9" fontId="22" fillId="2" borderId="28" xfId="6" applyNumberFormat="1" applyFont="1" applyFill="1" applyBorder="1" applyAlignment="1">
      <alignment horizontal="center" vertical="center" wrapText="1"/>
    </xf>
    <xf numFmtId="9" fontId="21" fillId="0" borderId="29" xfId="6" applyNumberFormat="1" applyFont="1" applyBorder="1" applyAlignment="1">
      <alignment horizontal="center" vertical="center" wrapText="1"/>
    </xf>
    <xf numFmtId="0" fontId="48" fillId="2" borderId="9" xfId="6" quotePrefix="1" applyFont="1" applyFill="1" applyBorder="1" applyAlignment="1">
      <alignment horizontal="left" vertical="center" wrapText="1"/>
    </xf>
    <xf numFmtId="9" fontId="22" fillId="2" borderId="29" xfId="6" applyNumberFormat="1" applyFont="1" applyFill="1" applyBorder="1" applyAlignment="1">
      <alignment horizontal="center" vertical="center" wrapText="1"/>
    </xf>
    <xf numFmtId="1" fontId="25" fillId="2" borderId="27" xfId="0" applyNumberFormat="1" applyFont="1" applyFill="1" applyBorder="1" applyAlignment="1">
      <alignment horizontal="center" vertical="center" wrapText="1"/>
    </xf>
    <xf numFmtId="0" fontId="48" fillId="2" borderId="16" xfId="6" quotePrefix="1" applyFont="1" applyFill="1" applyBorder="1" applyAlignment="1">
      <alignment horizontal="left" vertical="center" wrapText="1"/>
    </xf>
    <xf numFmtId="0" fontId="25" fillId="2" borderId="6" xfId="6" quotePrefix="1" applyFont="1" applyFill="1" applyBorder="1" applyAlignment="1">
      <alignment horizontal="left" vertical="center" wrapText="1"/>
    </xf>
    <xf numFmtId="9" fontId="23" fillId="2" borderId="33" xfId="6" applyNumberFormat="1" applyFont="1" applyFill="1" applyBorder="1" applyAlignment="1">
      <alignment horizontal="center" vertical="center" wrapText="1"/>
    </xf>
    <xf numFmtId="9" fontId="23" fillId="2" borderId="34" xfId="6" applyNumberFormat="1" applyFont="1" applyFill="1" applyBorder="1" applyAlignment="1">
      <alignment horizontal="center" vertical="center" wrapText="1"/>
    </xf>
    <xf numFmtId="0" fontId="25" fillId="2" borderId="34" xfId="6" quotePrefix="1" applyFont="1" applyFill="1" applyBorder="1" applyAlignment="1">
      <alignment horizontal="left" vertical="center" wrapText="1"/>
    </xf>
    <xf numFmtId="0" fontId="12" fillId="4" borderId="38" xfId="3" applyFont="1" applyFill="1" applyBorder="1"/>
    <xf numFmtId="1" fontId="12" fillId="4" borderId="38" xfId="4" applyNumberFormat="1" applyFont="1" applyFill="1" applyBorder="1" applyAlignment="1">
      <alignment horizontal="center"/>
    </xf>
    <xf numFmtId="1" fontId="14" fillId="4" borderId="38" xfId="2" applyNumberFormat="1" applyFont="1" applyFill="1" applyBorder="1" applyAlignment="1">
      <alignment horizontal="center"/>
    </xf>
    <xf numFmtId="1" fontId="12" fillId="4" borderId="38" xfId="2" applyNumberFormat="1" applyFont="1" applyFill="1" applyBorder="1" applyAlignment="1">
      <alignment horizontal="center"/>
    </xf>
    <xf numFmtId="0" fontId="12" fillId="4" borderId="38" xfId="0" applyFont="1" applyFill="1" applyBorder="1" applyAlignment="1">
      <alignment horizontal="left"/>
    </xf>
    <xf numFmtId="0" fontId="20" fillId="2" borderId="39" xfId="3" applyFont="1" applyFill="1" applyBorder="1"/>
    <xf numFmtId="10" fontId="20" fillId="2" borderId="39" xfId="3" applyNumberFormat="1" applyFont="1" applyFill="1" applyBorder="1" applyAlignment="1">
      <alignment horizontal="center"/>
    </xf>
    <xf numFmtId="10" fontId="21" fillId="2" borderId="39" xfId="0" applyNumberFormat="1" applyFont="1" applyFill="1" applyBorder="1" applyAlignment="1">
      <alignment horizontal="center"/>
    </xf>
    <xf numFmtId="10" fontId="20" fillId="2" borderId="39" xfId="0" applyNumberFormat="1" applyFont="1" applyFill="1" applyBorder="1" applyAlignment="1">
      <alignment horizontal="center"/>
    </xf>
    <xf numFmtId="10" fontId="23" fillId="2" borderId="39" xfId="0" applyNumberFormat="1" applyFont="1" applyFill="1" applyBorder="1" applyAlignment="1">
      <alignment horizontal="center"/>
    </xf>
    <xf numFmtId="10" fontId="22" fillId="2" borderId="39" xfId="0" applyNumberFormat="1" applyFont="1" applyFill="1" applyBorder="1" applyAlignment="1">
      <alignment horizontal="center"/>
    </xf>
    <xf numFmtId="0" fontId="20" fillId="2" borderId="39" xfId="0" applyFont="1" applyFill="1" applyBorder="1"/>
    <xf numFmtId="10" fontId="20" fillId="2" borderId="9" xfId="3" applyNumberFormat="1" applyFont="1" applyFill="1" applyBorder="1" applyAlignment="1">
      <alignment horizontal="center"/>
    </xf>
    <xf numFmtId="10" fontId="21" fillId="2" borderId="9" xfId="0" applyNumberFormat="1" applyFont="1" applyFill="1" applyBorder="1" applyAlignment="1">
      <alignment horizontal="center"/>
    </xf>
    <xf numFmtId="10" fontId="23" fillId="2" borderId="9" xfId="0" applyNumberFormat="1" applyFont="1" applyFill="1" applyBorder="1" applyAlignment="1">
      <alignment horizontal="center"/>
    </xf>
    <xf numFmtId="10" fontId="20" fillId="2" borderId="9" xfId="0" applyNumberFormat="1" applyFont="1" applyFill="1" applyBorder="1" applyAlignment="1">
      <alignment horizontal="center"/>
    </xf>
    <xf numFmtId="10" fontId="22" fillId="2" borderId="9" xfId="0" applyNumberFormat="1" applyFont="1" applyFill="1" applyBorder="1" applyAlignment="1">
      <alignment horizontal="center"/>
    </xf>
    <xf numFmtId="0" fontId="24" fillId="2" borderId="9" xfId="0" applyFont="1" applyFill="1" applyBorder="1"/>
    <xf numFmtId="0" fontId="29" fillId="2" borderId="0" xfId="0" applyFont="1" applyFill="1"/>
    <xf numFmtId="0" fontId="20" fillId="2" borderId="10" xfId="3" applyFont="1" applyFill="1" applyBorder="1"/>
    <xf numFmtId="9" fontId="20" fillId="2" borderId="10" xfId="3" applyNumberFormat="1" applyFont="1" applyFill="1" applyBorder="1" applyAlignment="1">
      <alignment horizontal="center"/>
    </xf>
    <xf numFmtId="9" fontId="20" fillId="2" borderId="10" xfId="0" applyNumberFormat="1" applyFont="1" applyFill="1" applyBorder="1" applyAlignment="1">
      <alignment horizontal="center"/>
    </xf>
    <xf numFmtId="0" fontId="24" fillId="2" borderId="10" xfId="0" applyFont="1" applyFill="1" applyBorder="1"/>
    <xf numFmtId="0" fontId="23" fillId="5" borderId="13" xfId="3" applyFont="1" applyFill="1" applyBorder="1" applyAlignment="1">
      <alignment wrapText="1"/>
    </xf>
    <xf numFmtId="10" fontId="36" fillId="5" borderId="5" xfId="3" applyNumberFormat="1" applyFont="1" applyFill="1" applyBorder="1" applyAlignment="1">
      <alignment horizontal="center" vertical="center"/>
    </xf>
    <xf numFmtId="10" fontId="49" fillId="5" borderId="5" xfId="0" applyNumberFormat="1" applyFont="1" applyFill="1" applyBorder="1" applyAlignment="1">
      <alignment horizontal="center" vertical="center"/>
    </xf>
    <xf numFmtId="10" fontId="32" fillId="5" borderId="5" xfId="0" applyNumberFormat="1" applyFont="1" applyFill="1" applyBorder="1" applyAlignment="1">
      <alignment horizontal="center" vertical="center"/>
    </xf>
    <xf numFmtId="10" fontId="36" fillId="5" borderId="5" xfId="0" applyNumberFormat="1" applyFont="1" applyFill="1" applyBorder="1" applyAlignment="1">
      <alignment horizontal="center" vertical="center"/>
    </xf>
    <xf numFmtId="10" fontId="31" fillId="5" borderId="5" xfId="0" applyNumberFormat="1" applyFont="1" applyFill="1" applyBorder="1" applyAlignment="1">
      <alignment horizontal="center" vertical="center"/>
    </xf>
    <xf numFmtId="0" fontId="20" fillId="5" borderId="13" xfId="0" applyFont="1" applyFill="1" applyBorder="1" applyAlignment="1">
      <alignment horizontal="left" vertical="center" wrapText="1"/>
    </xf>
    <xf numFmtId="0" fontId="19" fillId="5" borderId="21" xfId="3" applyFont="1" applyFill="1" applyBorder="1"/>
    <xf numFmtId="10" fontId="19" fillId="5" borderId="12" xfId="3" applyNumberFormat="1" applyFont="1" applyFill="1" applyBorder="1" applyAlignment="1">
      <alignment horizontal="center"/>
    </xf>
    <xf numFmtId="10" fontId="19" fillId="5" borderId="12" xfId="0" applyNumberFormat="1" applyFont="1" applyFill="1" applyBorder="1" applyAlignment="1">
      <alignment horizontal="center"/>
    </xf>
    <xf numFmtId="10" fontId="26" fillId="5" borderId="12" xfId="0" applyNumberFormat="1" applyFont="1" applyFill="1" applyBorder="1" applyAlignment="1">
      <alignment horizontal="center"/>
    </xf>
    <xf numFmtId="10" fontId="26" fillId="5" borderId="12" xfId="0" applyNumberFormat="1" applyFont="1" applyFill="1" applyBorder="1" applyAlignment="1">
      <alignment horizontal="center" vertical="center"/>
    </xf>
    <xf numFmtId="10" fontId="19" fillId="5" borderId="12" xfId="2" applyNumberFormat="1" applyFont="1" applyFill="1" applyBorder="1" applyAlignment="1">
      <alignment horizontal="center" vertical="center"/>
    </xf>
    <xf numFmtId="10" fontId="26" fillId="5" borderId="12" xfId="2" applyNumberFormat="1" applyFont="1" applyFill="1" applyBorder="1" applyAlignment="1">
      <alignment horizontal="center" vertical="center"/>
    </xf>
    <xf numFmtId="0" fontId="19" fillId="5" borderId="9" xfId="0" applyFont="1" applyFill="1" applyBorder="1"/>
    <xf numFmtId="10" fontId="19" fillId="5" borderId="21" xfId="3" applyNumberFormat="1" applyFont="1" applyFill="1" applyBorder="1" applyAlignment="1">
      <alignment horizontal="center"/>
    </xf>
    <xf numFmtId="10" fontId="19" fillId="5" borderId="21" xfId="0" applyNumberFormat="1" applyFont="1" applyFill="1" applyBorder="1" applyAlignment="1">
      <alignment horizontal="center"/>
    </xf>
    <xf numFmtId="10" fontId="26" fillId="5" borderId="21" xfId="0" applyNumberFormat="1" applyFont="1" applyFill="1" applyBorder="1" applyAlignment="1">
      <alignment horizontal="center"/>
    </xf>
    <xf numFmtId="10" fontId="26" fillId="5" borderId="21" xfId="0" applyNumberFormat="1" applyFont="1" applyFill="1" applyBorder="1" applyAlignment="1">
      <alignment horizontal="center" vertical="center"/>
    </xf>
    <xf numFmtId="10" fontId="19" fillId="5" borderId="21" xfId="2" applyNumberFormat="1" applyFont="1" applyFill="1" applyBorder="1" applyAlignment="1">
      <alignment horizontal="center" vertical="center"/>
    </xf>
    <xf numFmtId="10" fontId="26" fillId="5" borderId="21" xfId="2" applyNumberFormat="1" applyFont="1" applyFill="1" applyBorder="1" applyAlignment="1">
      <alignment horizontal="center" vertical="center"/>
    </xf>
    <xf numFmtId="0" fontId="19" fillId="5" borderId="21" xfId="3" quotePrefix="1" applyFont="1" applyFill="1" applyBorder="1"/>
    <xf numFmtId="0" fontId="19" fillId="5" borderId="14" xfId="3" quotePrefix="1" applyFont="1" applyFill="1" applyBorder="1"/>
    <xf numFmtId="10" fontId="19" fillId="5" borderId="14" xfId="3" applyNumberFormat="1" applyFont="1" applyFill="1" applyBorder="1" applyAlignment="1">
      <alignment horizontal="center"/>
    </xf>
    <xf numFmtId="10" fontId="19" fillId="5" borderId="14" xfId="0" applyNumberFormat="1" applyFont="1" applyFill="1" applyBorder="1" applyAlignment="1">
      <alignment horizontal="center"/>
    </xf>
    <xf numFmtId="9" fontId="19" fillId="5" borderId="14" xfId="0" applyNumberFormat="1" applyFont="1" applyFill="1" applyBorder="1" applyAlignment="1">
      <alignment horizontal="center"/>
    </xf>
    <xf numFmtId="10" fontId="31" fillId="5" borderId="14" xfId="0" applyNumberFormat="1" applyFont="1" applyFill="1" applyBorder="1" applyAlignment="1">
      <alignment horizontal="center"/>
    </xf>
    <xf numFmtId="10" fontId="26" fillId="5" borderId="14" xfId="0" applyNumberFormat="1" applyFont="1" applyFill="1" applyBorder="1" applyAlignment="1">
      <alignment horizontal="center"/>
    </xf>
    <xf numFmtId="10" fontId="26" fillId="5" borderId="14" xfId="0" applyNumberFormat="1" applyFont="1" applyFill="1" applyBorder="1" applyAlignment="1">
      <alignment horizontal="center" vertical="center"/>
    </xf>
    <xf numFmtId="10" fontId="19" fillId="5" borderId="14" xfId="2" applyNumberFormat="1" applyFont="1" applyFill="1" applyBorder="1" applyAlignment="1">
      <alignment horizontal="center" vertical="center"/>
    </xf>
    <xf numFmtId="10" fontId="26" fillId="5" borderId="14" xfId="2" applyNumberFormat="1" applyFont="1" applyFill="1" applyBorder="1" applyAlignment="1">
      <alignment horizontal="center" vertical="center"/>
    </xf>
    <xf numFmtId="0" fontId="19" fillId="5" borderId="16" xfId="0" applyFont="1" applyFill="1" applyBorder="1"/>
    <xf numFmtId="0" fontId="19" fillId="5" borderId="5" xfId="3" applyFont="1" applyFill="1" applyBorder="1"/>
    <xf numFmtId="10" fontId="19" fillId="5" borderId="5" xfId="3" applyNumberFormat="1" applyFont="1" applyFill="1" applyBorder="1" applyAlignment="1">
      <alignment horizontal="center"/>
    </xf>
    <xf numFmtId="10" fontId="19" fillId="5" borderId="5" xfId="0" applyNumberFormat="1" applyFont="1" applyFill="1" applyBorder="1" applyAlignment="1">
      <alignment horizontal="center"/>
    </xf>
    <xf numFmtId="9" fontId="19" fillId="5" borderId="5" xfId="0" applyNumberFormat="1" applyFont="1" applyFill="1" applyBorder="1" applyAlignment="1">
      <alignment horizontal="center"/>
    </xf>
    <xf numFmtId="3" fontId="50" fillId="5" borderId="5" xfId="0" applyNumberFormat="1" applyFont="1" applyFill="1" applyBorder="1"/>
    <xf numFmtId="10" fontId="18" fillId="5" borderId="5" xfId="0" applyNumberFormat="1" applyFont="1" applyFill="1" applyBorder="1" applyAlignment="1">
      <alignment horizontal="center"/>
    </xf>
    <xf numFmtId="10" fontId="26" fillId="5" borderId="5" xfId="0" applyNumberFormat="1" applyFont="1" applyFill="1" applyBorder="1" applyAlignment="1">
      <alignment horizontal="center"/>
    </xf>
    <xf numFmtId="0" fontId="19" fillId="5" borderId="5" xfId="0" applyFont="1" applyFill="1" applyBorder="1" applyAlignment="1">
      <alignment horizontal="center" vertical="center"/>
    </xf>
    <xf numFmtId="10" fontId="31" fillId="5" borderId="5" xfId="2" applyNumberFormat="1" applyFont="1" applyFill="1" applyBorder="1" applyAlignment="1">
      <alignment horizontal="center" vertical="center"/>
    </xf>
    <xf numFmtId="10" fontId="26" fillId="5" borderId="5" xfId="2" applyNumberFormat="1" applyFont="1" applyFill="1" applyBorder="1" applyAlignment="1">
      <alignment horizontal="center" vertical="center"/>
    </xf>
    <xf numFmtId="0" fontId="19" fillId="5" borderId="5" xfId="0" applyFont="1" applyFill="1" applyBorder="1"/>
    <xf numFmtId="10" fontId="32" fillId="5" borderId="5" xfId="3" applyNumberFormat="1" applyFont="1" applyFill="1" applyBorder="1" applyAlignment="1">
      <alignment horizontal="center"/>
    </xf>
    <xf numFmtId="10" fontId="32" fillId="5" borderId="5" xfId="0" applyNumberFormat="1" applyFont="1" applyFill="1" applyBorder="1" applyAlignment="1">
      <alignment horizontal="center"/>
    </xf>
    <xf numFmtId="0" fontId="51" fillId="5" borderId="5" xfId="6" applyFont="1" applyFill="1" applyBorder="1"/>
    <xf numFmtId="10" fontId="24" fillId="2" borderId="5" xfId="3" applyNumberFormat="1" applyFont="1" applyFill="1" applyBorder="1" applyAlignment="1">
      <alignment horizontal="center"/>
    </xf>
    <xf numFmtId="10" fontId="24" fillId="2" borderId="5" xfId="0" applyNumberFormat="1" applyFont="1" applyFill="1" applyBorder="1" applyAlignment="1">
      <alignment horizontal="center"/>
    </xf>
    <xf numFmtId="0" fontId="19" fillId="2" borderId="5" xfId="6" applyFont="1" applyFill="1" applyBorder="1"/>
    <xf numFmtId="0" fontId="19" fillId="5" borderId="5" xfId="3" quotePrefix="1" applyFont="1" applyFill="1" applyBorder="1"/>
    <xf numFmtId="0" fontId="19" fillId="2" borderId="5" xfId="6" applyFont="1" applyFill="1" applyBorder="1" applyAlignment="1">
      <alignment vertical="center"/>
    </xf>
    <xf numFmtId="10" fontId="32" fillId="2" borderId="5" xfId="3" applyNumberFormat="1" applyFont="1" applyFill="1" applyBorder="1" applyAlignment="1">
      <alignment horizontal="center"/>
    </xf>
    <xf numFmtId="10" fontId="32" fillId="2" borderId="5" xfId="0" applyNumberFormat="1" applyFont="1" applyFill="1" applyBorder="1" applyAlignment="1">
      <alignment horizontal="center"/>
    </xf>
    <xf numFmtId="10" fontId="26" fillId="2" borderId="5" xfId="0" applyNumberFormat="1" applyFont="1" applyFill="1" applyBorder="1" applyAlignment="1">
      <alignment horizontal="center"/>
    </xf>
    <xf numFmtId="165" fontId="3" fillId="6" borderId="5" xfId="4" applyNumberFormat="1" applyFont="1" applyFill="1" applyBorder="1" applyAlignment="1"/>
    <xf numFmtId="165" fontId="3" fillId="6" borderId="5" xfId="2" applyNumberFormat="1" applyFont="1" applyFill="1" applyBorder="1" applyAlignment="1"/>
    <xf numFmtId="0" fontId="51" fillId="6" borderId="5" xfId="6" applyFont="1" applyFill="1" applyBorder="1"/>
    <xf numFmtId="10" fontId="24" fillId="2" borderId="5" xfId="3" applyNumberFormat="1" applyFont="1" applyFill="1" applyBorder="1"/>
    <xf numFmtId="10" fontId="24" fillId="2" borderId="5" xfId="0" applyNumberFormat="1" applyFont="1" applyFill="1" applyBorder="1"/>
    <xf numFmtId="0" fontId="23" fillId="2" borderId="5" xfId="3" applyFont="1" applyFill="1" applyBorder="1"/>
    <xf numFmtId="0" fontId="20" fillId="2" borderId="5" xfId="0" applyFont="1" applyFill="1" applyBorder="1"/>
    <xf numFmtId="0" fontId="48" fillId="2" borderId="40" xfId="3" applyFont="1" applyFill="1" applyBorder="1"/>
    <xf numFmtId="10" fontId="32" fillId="2" borderId="40" xfId="3" applyNumberFormat="1" applyFont="1" applyFill="1" applyBorder="1" applyAlignment="1">
      <alignment horizontal="center"/>
    </xf>
    <xf numFmtId="9" fontId="31" fillId="2" borderId="40" xfId="3" applyNumberFormat="1" applyFont="1" applyFill="1" applyBorder="1" applyAlignment="1">
      <alignment horizontal="center"/>
    </xf>
    <xf numFmtId="9" fontId="32" fillId="2" borderId="40" xfId="3" applyNumberFormat="1" applyFont="1" applyFill="1" applyBorder="1" applyAlignment="1">
      <alignment horizontal="center"/>
    </xf>
    <xf numFmtId="0" fontId="20" fillId="2" borderId="40" xfId="0" applyFont="1" applyFill="1" applyBorder="1"/>
    <xf numFmtId="0" fontId="48" fillId="2" borderId="6" xfId="3" applyFont="1" applyFill="1" applyBorder="1" applyAlignment="1">
      <alignment wrapText="1"/>
    </xf>
    <xf numFmtId="10" fontId="32" fillId="2" borderId="6" xfId="3" applyNumberFormat="1" applyFont="1" applyFill="1" applyBorder="1" applyAlignment="1">
      <alignment horizontal="center"/>
    </xf>
    <xf numFmtId="10" fontId="49" fillId="2" borderId="6" xfId="3" applyNumberFormat="1" applyFont="1" applyFill="1" applyBorder="1" applyAlignment="1">
      <alignment horizontal="center"/>
    </xf>
    <xf numFmtId="0" fontId="29" fillId="2" borderId="6" xfId="0" applyFont="1" applyFill="1" applyBorder="1" applyAlignment="1">
      <alignment wrapText="1"/>
    </xf>
    <xf numFmtId="0" fontId="48" fillId="2" borderId="11" xfId="3" applyFont="1" applyFill="1" applyBorder="1" applyAlignment="1">
      <alignment wrapText="1"/>
    </xf>
    <xf numFmtId="10" fontId="32" fillId="2" borderId="11" xfId="3" applyNumberFormat="1" applyFont="1" applyFill="1" applyBorder="1" applyAlignment="1">
      <alignment horizontal="center"/>
    </xf>
    <xf numFmtId="9" fontId="31" fillId="2" borderId="11" xfId="3" quotePrefix="1" applyNumberFormat="1" applyFont="1" applyFill="1" applyBorder="1" applyAlignment="1">
      <alignment horizontal="center"/>
    </xf>
    <xf numFmtId="9" fontId="32" fillId="2" borderId="11" xfId="3" quotePrefix="1" applyNumberFormat="1" applyFont="1" applyFill="1" applyBorder="1" applyAlignment="1">
      <alignment horizontal="center"/>
    </xf>
    <xf numFmtId="9" fontId="31" fillId="2" borderId="11" xfId="3" quotePrefix="1" applyNumberFormat="1" applyFont="1" applyFill="1" applyBorder="1" applyAlignment="1">
      <alignment horizontal="center" wrapText="1"/>
    </xf>
    <xf numFmtId="9" fontId="32" fillId="2" borderId="11" xfId="3" quotePrefix="1" applyNumberFormat="1" applyFont="1" applyFill="1" applyBorder="1" applyAlignment="1">
      <alignment horizontal="center" wrapText="1"/>
    </xf>
    <xf numFmtId="0" fontId="55" fillId="2" borderId="11" xfId="0" quotePrefix="1" applyFont="1" applyFill="1" applyBorder="1" applyAlignment="1">
      <alignment wrapText="1"/>
    </xf>
    <xf numFmtId="0" fontId="24" fillId="5" borderId="17" xfId="3" applyFont="1" applyFill="1" applyBorder="1" applyAlignment="1">
      <alignment wrapText="1"/>
    </xf>
    <xf numFmtId="4" fontId="20" fillId="5" borderId="8" xfId="3" applyNumberFormat="1" applyFont="1" applyFill="1" applyBorder="1" applyAlignment="1">
      <alignment horizontal="center" vertical="center"/>
    </xf>
    <xf numFmtId="4" fontId="21" fillId="5" borderId="8" xfId="0" applyNumberFormat="1" applyFont="1" applyFill="1" applyBorder="1" applyAlignment="1">
      <alignment horizontal="center" vertical="center"/>
    </xf>
    <xf numFmtId="169" fontId="20" fillId="5" borderId="8" xfId="0" applyNumberFormat="1" applyFont="1" applyFill="1" applyBorder="1" applyAlignment="1">
      <alignment horizontal="center" vertical="center"/>
    </xf>
    <xf numFmtId="169" fontId="22" fillId="5" borderId="8" xfId="0" applyNumberFormat="1" applyFont="1" applyFill="1" applyBorder="1" applyAlignment="1">
      <alignment horizontal="center" vertical="center"/>
    </xf>
    <xf numFmtId="3" fontId="22" fillId="5" borderId="8" xfId="0" applyNumberFormat="1" applyFont="1" applyFill="1" applyBorder="1" applyAlignment="1">
      <alignment horizontal="center" vertical="center"/>
    </xf>
    <xf numFmtId="3" fontId="23" fillId="5" borderId="8" xfId="0" applyNumberFormat="1" applyFont="1" applyFill="1" applyBorder="1" applyAlignment="1">
      <alignment horizontal="center" vertical="center"/>
    </xf>
    <xf numFmtId="0" fontId="23" fillId="5" borderId="8" xfId="0" applyFont="1" applyFill="1" applyBorder="1" applyAlignment="1">
      <alignment horizontal="left" vertical="center"/>
    </xf>
    <xf numFmtId="0" fontId="16" fillId="5" borderId="6" xfId="3" applyFont="1" applyFill="1" applyBorder="1" applyAlignment="1">
      <alignment wrapText="1"/>
    </xf>
    <xf numFmtId="3" fontId="16" fillId="5" borderId="6" xfId="3" applyNumberFormat="1" applyFont="1" applyFill="1" applyBorder="1" applyAlignment="1">
      <alignment horizontal="center" vertical="center"/>
    </xf>
    <xf numFmtId="3" fontId="37" fillId="5" borderId="6" xfId="0" applyNumberFormat="1" applyFont="1" applyFill="1" applyBorder="1" applyAlignment="1">
      <alignment horizontal="center" vertical="center"/>
    </xf>
    <xf numFmtId="3" fontId="28" fillId="5" borderId="6" xfId="0" applyNumberFormat="1" applyFont="1" applyFill="1" applyBorder="1" applyAlignment="1">
      <alignment horizontal="center" vertical="center"/>
    </xf>
    <xf numFmtId="3" fontId="17" fillId="5" borderId="6" xfId="0" applyNumberFormat="1" applyFont="1" applyFill="1" applyBorder="1" applyAlignment="1">
      <alignment horizontal="center" vertical="center"/>
    </xf>
    <xf numFmtId="3" fontId="16" fillId="5" borderId="6" xfId="0" applyNumberFormat="1" applyFont="1" applyFill="1" applyBorder="1" applyAlignment="1">
      <alignment horizontal="center" vertical="center"/>
    </xf>
    <xf numFmtId="3" fontId="56" fillId="5" borderId="6" xfId="0" applyNumberFormat="1" applyFont="1" applyFill="1" applyBorder="1" applyAlignment="1">
      <alignment horizontal="center" vertical="center"/>
    </xf>
    <xf numFmtId="0" fontId="16" fillId="5" borderId="6" xfId="0" applyFont="1" applyFill="1" applyBorder="1"/>
    <xf numFmtId="0" fontId="16" fillId="5" borderId="16" xfId="0" applyFont="1" applyFill="1" applyBorder="1" applyAlignment="1">
      <alignment horizontal="center"/>
    </xf>
    <xf numFmtId="0" fontId="34" fillId="5" borderId="16" xfId="0" applyFont="1" applyFill="1" applyBorder="1" applyAlignment="1">
      <alignment horizontal="left" vertical="center" readingOrder="1"/>
    </xf>
    <xf numFmtId="0" fontId="16" fillId="2" borderId="0" xfId="0" applyFont="1" applyFill="1"/>
    <xf numFmtId="0" fontId="24" fillId="5" borderId="17" xfId="3" applyFont="1" applyFill="1" applyBorder="1"/>
    <xf numFmtId="3" fontId="20" fillId="5" borderId="7" xfId="3"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23" fillId="5" borderId="7" xfId="0" applyNumberFormat="1" applyFont="1" applyFill="1" applyBorder="1" applyAlignment="1">
      <alignment horizontal="center" vertical="center"/>
    </xf>
    <xf numFmtId="3" fontId="22" fillId="5" borderId="7" xfId="0" quotePrefix="1" applyNumberFormat="1" applyFont="1" applyFill="1" applyBorder="1" applyAlignment="1">
      <alignment horizontal="center" vertical="center"/>
    </xf>
    <xf numFmtId="3" fontId="20" fillId="5" borderId="7" xfId="0" quotePrefix="1" applyNumberFormat="1" applyFont="1" applyFill="1" applyBorder="1" applyAlignment="1">
      <alignment horizontal="center" vertical="center"/>
    </xf>
    <xf numFmtId="0" fontId="23" fillId="5" borderId="7" xfId="0" applyFont="1" applyFill="1" applyBorder="1" applyAlignment="1">
      <alignment horizontal="left" vertical="center" wrapText="1"/>
    </xf>
    <xf numFmtId="0" fontId="16" fillId="5" borderId="16" xfId="3" applyFont="1" applyFill="1" applyBorder="1" applyAlignment="1">
      <alignment wrapText="1"/>
    </xf>
    <xf numFmtId="3" fontId="16" fillId="5" borderId="16" xfId="3" applyNumberFormat="1" applyFont="1" applyFill="1" applyBorder="1" applyAlignment="1">
      <alignment horizontal="center" vertical="center"/>
    </xf>
    <xf numFmtId="3" fontId="17" fillId="5" borderId="16" xfId="0" applyNumberFormat="1" applyFont="1" applyFill="1" applyBorder="1" applyAlignment="1">
      <alignment horizontal="center" vertical="center"/>
    </xf>
    <xf numFmtId="3" fontId="28" fillId="5" borderId="16" xfId="0" applyNumberFormat="1" applyFont="1" applyFill="1" applyBorder="1" applyAlignment="1">
      <alignment horizontal="center" vertical="center"/>
    </xf>
    <xf numFmtId="3" fontId="22" fillId="5" borderId="16" xfId="0" quotePrefix="1" applyNumberFormat="1" applyFont="1" applyFill="1" applyBorder="1" applyAlignment="1">
      <alignment horizontal="center" vertical="center"/>
    </xf>
    <xf numFmtId="3" fontId="20" fillId="5" borderId="16" xfId="0" quotePrefix="1" applyNumberFormat="1" applyFont="1" applyFill="1" applyBorder="1" applyAlignment="1">
      <alignment horizontal="center" vertical="center"/>
    </xf>
    <xf numFmtId="3" fontId="22" fillId="5" borderId="16" xfId="0" applyNumberFormat="1" applyFont="1" applyFill="1" applyBorder="1" applyAlignment="1">
      <alignment horizontal="center" vertical="center"/>
    </xf>
    <xf numFmtId="3" fontId="23" fillId="5" borderId="16" xfId="0" applyNumberFormat="1" applyFont="1" applyFill="1" applyBorder="1" applyAlignment="1">
      <alignment horizontal="center" vertical="center"/>
    </xf>
    <xf numFmtId="0" fontId="24" fillId="5" borderId="16" xfId="0" applyFont="1" applyFill="1" applyBorder="1"/>
    <xf numFmtId="0" fontId="24" fillId="5" borderId="16" xfId="0" applyFont="1" applyFill="1" applyBorder="1" applyAlignment="1">
      <alignment horizontal="center"/>
    </xf>
    <xf numFmtId="0" fontId="26" fillId="5" borderId="6" xfId="0" applyFont="1" applyFill="1" applyBorder="1" applyAlignment="1">
      <alignment horizontal="center" vertical="top" wrapText="1"/>
    </xf>
    <xf numFmtId="0" fontId="12" fillId="4" borderId="7" xfId="3" applyFont="1" applyFill="1" applyBorder="1"/>
    <xf numFmtId="10" fontId="22" fillId="4" borderId="7" xfId="2" applyNumberFormat="1" applyFont="1" applyFill="1" applyBorder="1" applyAlignment="1">
      <alignment horizontal="center" vertical="center"/>
    </xf>
    <xf numFmtId="165" fontId="23" fillId="4" borderId="7" xfId="2" applyNumberFormat="1" applyFont="1" applyFill="1" applyBorder="1" applyAlignment="1">
      <alignment horizontal="center" vertical="center"/>
    </xf>
    <xf numFmtId="0" fontId="15" fillId="4" borderId="7" xfId="0" applyFont="1" applyFill="1" applyBorder="1" applyAlignment="1">
      <alignment horizontal="left" vertical="center" wrapText="1"/>
    </xf>
    <xf numFmtId="0" fontId="20" fillId="4" borderId="11" xfId="3" applyFont="1" applyFill="1" applyBorder="1"/>
    <xf numFmtId="3" fontId="23" fillId="4" borderId="11" xfId="0" applyNumberFormat="1" applyFont="1" applyFill="1" applyBorder="1" applyAlignment="1">
      <alignment horizontal="center" vertical="center"/>
    </xf>
    <xf numFmtId="3" fontId="22" fillId="4" borderId="11" xfId="0" applyNumberFormat="1" applyFont="1" applyFill="1" applyBorder="1" applyAlignment="1">
      <alignment horizontal="center" vertical="center"/>
    </xf>
    <xf numFmtId="0" fontId="23" fillId="4" borderId="11" xfId="0" applyFont="1" applyFill="1" applyBorder="1" applyAlignment="1">
      <alignment horizontal="left" vertical="center" wrapText="1"/>
    </xf>
    <xf numFmtId="0" fontId="24" fillId="5" borderId="11" xfId="3" applyFont="1" applyFill="1" applyBorder="1"/>
    <xf numFmtId="3" fontId="20" fillId="5" borderId="11" xfId="3" applyNumberFormat="1" applyFont="1" applyFill="1" applyBorder="1" applyAlignment="1">
      <alignment horizontal="center" vertical="center"/>
    </xf>
    <xf numFmtId="3" fontId="20" fillId="5" borderId="11" xfId="0" applyNumberFormat="1" applyFont="1" applyFill="1" applyBorder="1" applyAlignment="1">
      <alignment horizontal="center" vertical="center"/>
    </xf>
    <xf numFmtId="10" fontId="23" fillId="5" borderId="11" xfId="2" applyNumberFormat="1" applyFont="1" applyFill="1" applyBorder="1" applyAlignment="1">
      <alignment horizontal="center" vertical="center"/>
    </xf>
    <xf numFmtId="10" fontId="22" fillId="5" borderId="11" xfId="2" applyNumberFormat="1" applyFont="1" applyFill="1" applyBorder="1" applyAlignment="1">
      <alignment horizontal="center" vertical="center"/>
    </xf>
    <xf numFmtId="0" fontId="24" fillId="5" borderId="11" xfId="0" applyFont="1" applyFill="1" applyBorder="1"/>
    <xf numFmtId="0" fontId="16" fillId="2" borderId="17" xfId="6" applyFont="1" applyFill="1" applyBorder="1" applyAlignment="1">
      <alignment vertical="center"/>
    </xf>
    <xf numFmtId="3" fontId="57" fillId="2" borderId="17" xfId="3" applyNumberFormat="1" applyFont="1" applyFill="1" applyBorder="1" applyAlignment="1">
      <alignment horizontal="center" vertical="center"/>
    </xf>
    <xf numFmtId="3" fontId="57" fillId="2" borderId="17" xfId="0" applyNumberFormat="1" applyFont="1" applyFill="1" applyBorder="1" applyAlignment="1">
      <alignment horizontal="center" vertical="center"/>
    </xf>
    <xf numFmtId="3" fontId="19" fillId="2" borderId="17" xfId="0" applyNumberFormat="1" applyFont="1" applyFill="1" applyBorder="1" applyAlignment="1">
      <alignment horizontal="center" vertical="center"/>
    </xf>
    <xf numFmtId="10" fontId="26" fillId="2" borderId="17" xfId="2" applyNumberFormat="1" applyFont="1" applyFill="1" applyBorder="1" applyAlignment="1">
      <alignment horizontal="center" vertical="center"/>
    </xf>
    <xf numFmtId="10" fontId="19" fillId="2" borderId="6" xfId="0" applyNumberFormat="1" applyFont="1" applyFill="1" applyBorder="1" applyAlignment="1">
      <alignment horizontal="center"/>
    </xf>
    <xf numFmtId="0" fontId="19" fillId="2" borderId="17" xfId="0" applyFont="1" applyFill="1" applyBorder="1"/>
    <xf numFmtId="0" fontId="16" fillId="2" borderId="17" xfId="0" applyFont="1" applyFill="1" applyBorder="1"/>
    <xf numFmtId="0" fontId="16" fillId="2" borderId="17" xfId="0" applyFont="1" applyFill="1" applyBorder="1" applyAlignment="1">
      <alignment horizontal="center"/>
    </xf>
    <xf numFmtId="0" fontId="16" fillId="2" borderId="9" xfId="6" applyFont="1" applyFill="1" applyBorder="1" applyAlignment="1">
      <alignment vertical="center"/>
    </xf>
    <xf numFmtId="3" fontId="57" fillId="2" borderId="9" xfId="3" applyNumberFormat="1" applyFont="1" applyFill="1" applyBorder="1" applyAlignment="1">
      <alignment horizontal="center" vertical="center"/>
    </xf>
    <xf numFmtId="3" fontId="57" fillId="2" borderId="9" xfId="0" applyNumberFormat="1" applyFont="1" applyFill="1" applyBorder="1" applyAlignment="1">
      <alignment horizontal="center" vertical="center"/>
    </xf>
    <xf numFmtId="3" fontId="19" fillId="2" borderId="9" xfId="0" applyNumberFormat="1" applyFont="1" applyFill="1" applyBorder="1" applyAlignment="1">
      <alignment horizontal="center" vertical="center"/>
    </xf>
    <xf numFmtId="10" fontId="26" fillId="2" borderId="9" xfId="2" applyNumberFormat="1" applyFont="1" applyFill="1" applyBorder="1" applyAlignment="1">
      <alignment horizontal="center" vertical="center"/>
    </xf>
    <xf numFmtId="3" fontId="18" fillId="2" borderId="9" xfId="0" applyNumberFormat="1" applyFont="1" applyFill="1" applyBorder="1" applyAlignment="1">
      <alignment horizontal="center" vertical="center"/>
    </xf>
    <xf numFmtId="10" fontId="19" fillId="2" borderId="9" xfId="8" applyNumberFormat="1" applyFont="1" applyFill="1" applyBorder="1" applyAlignment="1">
      <alignment horizontal="center"/>
    </xf>
    <xf numFmtId="0" fontId="19" fillId="2" borderId="9" xfId="0" applyFont="1" applyFill="1" applyBorder="1"/>
    <xf numFmtId="0" fontId="16" fillId="2" borderId="9" xfId="0" applyFont="1" applyFill="1" applyBorder="1"/>
    <xf numFmtId="0" fontId="16" fillId="2" borderId="9" xfId="0" applyFont="1" applyFill="1" applyBorder="1" applyAlignment="1">
      <alignment horizontal="center"/>
    </xf>
    <xf numFmtId="0" fontId="16" fillId="2" borderId="9" xfId="6" applyFont="1" applyFill="1" applyBorder="1"/>
    <xf numFmtId="3" fontId="57" fillId="2" borderId="16" xfId="3" applyNumberFormat="1" applyFont="1" applyFill="1" applyBorder="1" applyAlignment="1">
      <alignment horizontal="center" vertical="center"/>
    </xf>
    <xf numFmtId="3" fontId="57" fillId="2" borderId="16" xfId="0" applyNumberFormat="1" applyFont="1" applyFill="1" applyBorder="1" applyAlignment="1">
      <alignment horizontal="center" vertical="center"/>
    </xf>
    <xf numFmtId="3" fontId="19" fillId="2" borderId="16" xfId="0" applyNumberFormat="1" applyFont="1" applyFill="1" applyBorder="1" applyAlignment="1">
      <alignment horizontal="center" vertical="center"/>
    </xf>
    <xf numFmtId="10" fontId="26" fillId="2" borderId="16" xfId="2" applyNumberFormat="1" applyFont="1" applyFill="1" applyBorder="1" applyAlignment="1">
      <alignment horizontal="center" vertical="center"/>
    </xf>
    <xf numFmtId="3" fontId="18" fillId="2" borderId="16" xfId="0" applyNumberFormat="1" applyFont="1" applyFill="1" applyBorder="1" applyAlignment="1">
      <alignment horizontal="center" vertical="center"/>
    </xf>
    <xf numFmtId="10" fontId="19" fillId="2" borderId="16" xfId="8" applyNumberFormat="1" applyFont="1" applyFill="1" applyBorder="1" applyAlignment="1">
      <alignment horizontal="center"/>
    </xf>
    <xf numFmtId="165" fontId="19" fillId="2" borderId="9" xfId="8" applyNumberFormat="1" applyFont="1" applyFill="1" applyBorder="1" applyAlignment="1">
      <alignment horizontal="center"/>
    </xf>
    <xf numFmtId="0" fontId="16" fillId="2" borderId="10" xfId="6" applyFont="1" applyFill="1" applyBorder="1"/>
    <xf numFmtId="3" fontId="57" fillId="2" borderId="10" xfId="3" applyNumberFormat="1" applyFont="1" applyFill="1" applyBorder="1" applyAlignment="1">
      <alignment horizontal="center" vertical="center"/>
    </xf>
    <xf numFmtId="3" fontId="57" fillId="2" borderId="10" xfId="0" applyNumberFormat="1" applyFont="1" applyFill="1" applyBorder="1" applyAlignment="1">
      <alignment horizontal="center" vertical="center"/>
    </xf>
    <xf numFmtId="3" fontId="19" fillId="2" borderId="10" xfId="0" applyNumberFormat="1" applyFont="1" applyFill="1" applyBorder="1" applyAlignment="1">
      <alignment horizontal="center" vertical="center"/>
    </xf>
    <xf numFmtId="10" fontId="26" fillId="2" borderId="10" xfId="2" applyNumberFormat="1" applyFont="1" applyFill="1" applyBorder="1" applyAlignment="1">
      <alignment horizontal="center" vertical="center"/>
    </xf>
    <xf numFmtId="3" fontId="18" fillId="2" borderId="10" xfId="0" applyNumberFormat="1" applyFont="1" applyFill="1" applyBorder="1" applyAlignment="1">
      <alignment horizontal="center" vertical="center"/>
    </xf>
    <xf numFmtId="10" fontId="19" fillId="2" borderId="10" xfId="8" applyNumberFormat="1" applyFont="1" applyFill="1" applyBorder="1" applyAlignment="1">
      <alignment horizontal="center"/>
    </xf>
    <xf numFmtId="0" fontId="20" fillId="5" borderId="5" xfId="3" applyFont="1" applyFill="1" applyBorder="1"/>
    <xf numFmtId="3" fontId="20" fillId="5" borderId="5" xfId="3" applyNumberFormat="1" applyFont="1" applyFill="1" applyBorder="1" applyAlignment="1">
      <alignment horizontal="center" vertical="center"/>
    </xf>
    <xf numFmtId="3" fontId="20" fillId="5" borderId="5" xfId="0" applyNumberFormat="1" applyFont="1" applyFill="1" applyBorder="1" applyAlignment="1">
      <alignment horizontal="center" vertical="center"/>
    </xf>
    <xf numFmtId="165" fontId="23" fillId="5" borderId="5" xfId="2" applyNumberFormat="1" applyFont="1" applyFill="1" applyBorder="1" applyAlignment="1">
      <alignment horizontal="center" vertical="center"/>
    </xf>
    <xf numFmtId="165" fontId="22" fillId="5" borderId="5" xfId="2" applyNumberFormat="1" applyFont="1" applyFill="1" applyBorder="1" applyAlignment="1">
      <alignment horizontal="center" vertical="center"/>
    </xf>
    <xf numFmtId="0" fontId="24" fillId="5" borderId="5" xfId="0" applyFont="1" applyFill="1" applyBorder="1"/>
    <xf numFmtId="3" fontId="36" fillId="2" borderId="8" xfId="3" applyNumberFormat="1" applyFont="1" applyFill="1" applyBorder="1" applyAlignment="1">
      <alignment horizontal="center" vertical="center"/>
    </xf>
    <xf numFmtId="3" fontId="31" fillId="2" borderId="8" xfId="0" applyNumberFormat="1" applyFont="1" applyFill="1" applyBorder="1" applyAlignment="1">
      <alignment horizontal="center" vertical="center"/>
    </xf>
    <xf numFmtId="3" fontId="32" fillId="2" borderId="8" xfId="0" applyNumberFormat="1" applyFont="1" applyFill="1" applyBorder="1" applyAlignment="1">
      <alignment horizontal="center" vertical="center"/>
    </xf>
    <xf numFmtId="3" fontId="31" fillId="2" borderId="8" xfId="0" quotePrefix="1" applyNumberFormat="1" applyFont="1" applyFill="1" applyBorder="1" applyAlignment="1">
      <alignment horizontal="center" vertical="center"/>
    </xf>
    <xf numFmtId="3" fontId="36" fillId="2" borderId="8" xfId="0" quotePrefix="1" applyNumberFormat="1" applyFont="1" applyFill="1" applyBorder="1" applyAlignment="1">
      <alignment horizontal="center" vertical="center"/>
    </xf>
    <xf numFmtId="165" fontId="26" fillId="2" borderId="8" xfId="2" applyNumberFormat="1" applyFont="1" applyFill="1" applyBorder="1" applyAlignment="1">
      <alignment horizontal="center" vertical="center"/>
    </xf>
    <xf numFmtId="0" fontId="19" fillId="2" borderId="8" xfId="0" applyFont="1" applyFill="1" applyBorder="1"/>
    <xf numFmtId="0" fontId="19" fillId="2" borderId="17" xfId="0" applyFont="1" applyFill="1" applyBorder="1" applyAlignment="1">
      <alignment horizontal="center"/>
    </xf>
    <xf numFmtId="0" fontId="16" fillId="2" borderId="9" xfId="3" applyFont="1" applyFill="1" applyBorder="1"/>
    <xf numFmtId="3" fontId="36" fillId="2" borderId="9" xfId="3" applyNumberFormat="1" applyFont="1" applyFill="1" applyBorder="1" applyAlignment="1">
      <alignment horizontal="center" vertical="center"/>
    </xf>
    <xf numFmtId="3" fontId="31" fillId="2" borderId="9" xfId="0" applyNumberFormat="1" applyFont="1" applyFill="1" applyBorder="1" applyAlignment="1">
      <alignment horizontal="center" vertical="center"/>
    </xf>
    <xf numFmtId="3" fontId="32" fillId="2" borderId="9" xfId="0" applyNumberFormat="1" applyFont="1" applyFill="1" applyBorder="1" applyAlignment="1">
      <alignment horizontal="center" vertical="center"/>
    </xf>
    <xf numFmtId="3" fontId="31" fillId="2" borderId="9" xfId="0" quotePrefix="1" applyNumberFormat="1" applyFont="1" applyFill="1" applyBorder="1" applyAlignment="1">
      <alignment horizontal="center" vertical="center"/>
    </xf>
    <xf numFmtId="3" fontId="36" fillId="2" borderId="9" xfId="0" quotePrefix="1" applyNumberFormat="1" applyFont="1" applyFill="1" applyBorder="1" applyAlignment="1">
      <alignment horizontal="center" vertical="center"/>
    </xf>
    <xf numFmtId="10" fontId="32" fillId="2" borderId="9" xfId="2" applyNumberFormat="1" applyFont="1" applyFill="1" applyBorder="1" applyAlignment="1">
      <alignment horizontal="center" vertical="center"/>
    </xf>
    <xf numFmtId="165" fontId="26" fillId="2" borderId="9" xfId="2" applyNumberFormat="1" applyFont="1" applyFill="1" applyBorder="1" applyAlignment="1">
      <alignment horizontal="center" vertical="center"/>
    </xf>
    <xf numFmtId="0" fontId="16" fillId="2" borderId="16" xfId="6" applyFont="1" applyFill="1" applyBorder="1"/>
    <xf numFmtId="3" fontId="36" fillId="2" borderId="16" xfId="3" applyNumberFormat="1" applyFont="1" applyFill="1" applyBorder="1" applyAlignment="1">
      <alignment horizontal="center" vertical="center"/>
    </xf>
    <xf numFmtId="3" fontId="31" fillId="2" borderId="16" xfId="0" applyNumberFormat="1" applyFont="1" applyFill="1" applyBorder="1" applyAlignment="1">
      <alignment horizontal="center" vertical="center"/>
    </xf>
    <xf numFmtId="3" fontId="32" fillId="2" borderId="16" xfId="0" applyNumberFormat="1" applyFont="1" applyFill="1" applyBorder="1" applyAlignment="1">
      <alignment horizontal="center" vertical="center"/>
    </xf>
    <xf numFmtId="3" fontId="31" fillId="2" borderId="16" xfId="0" quotePrefix="1" applyNumberFormat="1" applyFont="1" applyFill="1" applyBorder="1" applyAlignment="1">
      <alignment horizontal="center" vertical="center"/>
    </xf>
    <xf numFmtId="3" fontId="36" fillId="2" borderId="16" xfId="0" quotePrefix="1" applyNumberFormat="1" applyFont="1" applyFill="1" applyBorder="1" applyAlignment="1">
      <alignment horizontal="center" vertical="center"/>
    </xf>
    <xf numFmtId="10" fontId="32" fillId="2" borderId="16" xfId="2" applyNumberFormat="1" applyFont="1" applyFill="1" applyBorder="1" applyAlignment="1">
      <alignment horizontal="center" vertical="center"/>
    </xf>
    <xf numFmtId="165" fontId="26" fillId="2" borderId="16" xfId="2" applyNumberFormat="1" applyFont="1" applyFill="1" applyBorder="1" applyAlignment="1">
      <alignment horizontal="center" vertical="center"/>
    </xf>
    <xf numFmtId="0" fontId="12" fillId="4" borderId="5" xfId="3" applyFont="1" applyFill="1" applyBorder="1"/>
    <xf numFmtId="9" fontId="12" fillId="4" borderId="5" xfId="3" applyNumberFormat="1" applyFont="1" applyFill="1" applyBorder="1" applyAlignment="1">
      <alignment horizontal="center"/>
    </xf>
    <xf numFmtId="9" fontId="12" fillId="4" borderId="5" xfId="0" applyNumberFormat="1" applyFont="1" applyFill="1" applyBorder="1" applyAlignment="1">
      <alignment horizontal="center"/>
    </xf>
    <xf numFmtId="0" fontId="7" fillId="4" borderId="5" xfId="0" applyFont="1" applyFill="1" applyBorder="1"/>
    <xf numFmtId="0" fontId="7" fillId="4" borderId="5" xfId="0" applyFont="1" applyFill="1" applyBorder="1" applyAlignment="1">
      <alignment horizontal="center"/>
    </xf>
    <xf numFmtId="9" fontId="14" fillId="4" borderId="5" xfId="0" applyNumberFormat="1" applyFont="1" applyFill="1" applyBorder="1" applyAlignment="1">
      <alignment horizontal="center"/>
    </xf>
    <xf numFmtId="0" fontId="12" fillId="4" borderId="5" xfId="0" applyFont="1" applyFill="1" applyBorder="1"/>
    <xf numFmtId="9" fontId="20" fillId="2" borderId="12" xfId="3" applyNumberFormat="1" applyFont="1" applyFill="1" applyBorder="1" applyAlignment="1">
      <alignment horizontal="center"/>
    </xf>
    <xf numFmtId="9" fontId="58" fillId="2" borderId="12" xfId="0" applyNumberFormat="1" applyFont="1" applyFill="1" applyBorder="1" applyAlignment="1">
      <alignment horizontal="center"/>
    </xf>
    <xf numFmtId="9" fontId="23" fillId="2" borderId="12" xfId="2" applyFont="1" applyFill="1" applyBorder="1" applyAlignment="1">
      <alignment horizontal="center"/>
    </xf>
    <xf numFmtId="9" fontId="20" fillId="2" borderId="14" xfId="3" applyNumberFormat="1" applyFont="1" applyFill="1" applyBorder="1" applyAlignment="1">
      <alignment horizontal="center"/>
    </xf>
    <xf numFmtId="9" fontId="21" fillId="2" borderId="14" xfId="0" applyNumberFormat="1" applyFont="1" applyFill="1" applyBorder="1" applyAlignment="1">
      <alignment horizontal="center"/>
    </xf>
    <xf numFmtId="9" fontId="23" fillId="2" borderId="14" xfId="2" applyFont="1" applyFill="1" applyBorder="1" applyAlignment="1">
      <alignment horizontal="center"/>
    </xf>
    <xf numFmtId="9" fontId="30" fillId="2" borderId="14" xfId="0" quotePrefix="1" applyNumberFormat="1" applyFont="1" applyFill="1" applyBorder="1" applyAlignment="1">
      <alignment horizontal="center"/>
    </xf>
    <xf numFmtId="9" fontId="25" fillId="2" borderId="14" xfId="0" quotePrefix="1" applyNumberFormat="1" applyFont="1" applyFill="1" applyBorder="1" applyAlignment="1">
      <alignment horizontal="center"/>
    </xf>
    <xf numFmtId="13" fontId="25" fillId="2" borderId="14" xfId="1" quotePrefix="1" applyNumberFormat="1" applyFont="1" applyFill="1" applyBorder="1" applyAlignment="1">
      <alignment horizontal="center"/>
    </xf>
    <xf numFmtId="43" fontId="20" fillId="2" borderId="14" xfId="1" applyFont="1" applyFill="1" applyBorder="1"/>
    <xf numFmtId="0" fontId="7" fillId="4" borderId="5" xfId="3" quotePrefix="1" applyFont="1" applyFill="1" applyBorder="1" applyAlignment="1">
      <alignment horizontal="center"/>
    </xf>
    <xf numFmtId="0" fontId="7" fillId="4" borderId="5" xfId="0" quotePrefix="1" applyFont="1" applyFill="1" applyBorder="1" applyAlignment="1">
      <alignment horizontal="center"/>
    </xf>
    <xf numFmtId="0" fontId="24" fillId="2" borderId="8" xfId="3" applyFont="1" applyFill="1" applyBorder="1" applyAlignment="1">
      <alignment wrapText="1"/>
    </xf>
    <xf numFmtId="9" fontId="20" fillId="2" borderId="6" xfId="2" quotePrefix="1" applyFont="1" applyFill="1" applyBorder="1" applyAlignment="1">
      <alignment horizontal="center" vertical="center"/>
    </xf>
    <xf numFmtId="9" fontId="22" fillId="2" borderId="8" xfId="0" applyNumberFormat="1" applyFont="1" applyFill="1" applyBorder="1" applyAlignment="1">
      <alignment horizontal="center" vertical="center"/>
    </xf>
    <xf numFmtId="0" fontId="25" fillId="2" borderId="8" xfId="0" applyFont="1" applyFill="1" applyBorder="1" applyAlignment="1">
      <alignment horizontal="justify" vertical="center"/>
    </xf>
    <xf numFmtId="0" fontId="25" fillId="2" borderId="9" xfId="3" applyFont="1" applyFill="1" applyBorder="1" applyAlignment="1">
      <alignment wrapText="1"/>
    </xf>
    <xf numFmtId="9" fontId="22" fillId="2" borderId="6" xfId="2" quotePrefix="1" applyFont="1" applyFill="1" applyBorder="1" applyAlignment="1">
      <alignment horizontal="center" vertical="center" wrapText="1"/>
    </xf>
    <xf numFmtId="9" fontId="22" fillId="2" borderId="9" xfId="0" applyNumberFormat="1" applyFont="1" applyFill="1" applyBorder="1" applyAlignment="1">
      <alignment horizontal="center" vertical="center"/>
    </xf>
    <xf numFmtId="0" fontId="25" fillId="2" borderId="9" xfId="0" applyFont="1" applyFill="1" applyBorder="1" applyAlignment="1">
      <alignment wrapText="1"/>
    </xf>
    <xf numFmtId="0" fontId="25" fillId="2" borderId="16" xfId="3" applyFont="1" applyFill="1" applyBorder="1" applyAlignment="1">
      <alignment horizontal="left" wrapText="1"/>
    </xf>
    <xf numFmtId="9" fontId="59" fillId="2" borderId="6" xfId="2" quotePrefix="1" applyFont="1" applyFill="1" applyBorder="1" applyAlignment="1">
      <alignment horizontal="center" vertical="top" wrapText="1"/>
    </xf>
    <xf numFmtId="9" fontId="20" fillId="2" borderId="16" xfId="0" applyNumberFormat="1" applyFont="1" applyFill="1" applyBorder="1" applyAlignment="1">
      <alignment horizontal="center" vertical="center"/>
    </xf>
    <xf numFmtId="9" fontId="22" fillId="2" borderId="16" xfId="0" applyNumberFormat="1" applyFont="1" applyFill="1" applyBorder="1" applyAlignment="1">
      <alignment horizontal="center" vertical="center"/>
    </xf>
    <xf numFmtId="9" fontId="23" fillId="2" borderId="16" xfId="0" applyNumberFormat="1" applyFont="1" applyFill="1" applyBorder="1" applyAlignment="1">
      <alignment horizontal="center" vertical="center"/>
    </xf>
    <xf numFmtId="0" fontId="25" fillId="2" borderId="16" xfId="0" applyFont="1" applyFill="1" applyBorder="1" applyAlignment="1">
      <alignment horizontal="justify" vertical="center"/>
    </xf>
    <xf numFmtId="0" fontId="20" fillId="5" borderId="6" xfId="3" applyFont="1" applyFill="1" applyBorder="1"/>
    <xf numFmtId="9" fontId="20" fillId="5" borderId="6" xfId="3" applyNumberFormat="1" applyFont="1" applyFill="1" applyBorder="1" applyAlignment="1">
      <alignment horizontal="center"/>
    </xf>
    <xf numFmtId="9" fontId="20" fillId="5" borderId="6" xfId="0" applyNumberFormat="1" applyFont="1" applyFill="1" applyBorder="1" applyAlignment="1">
      <alignment horizontal="center"/>
    </xf>
    <xf numFmtId="9" fontId="22" fillId="5" borderId="6" xfId="0" applyNumberFormat="1" applyFont="1" applyFill="1" applyBorder="1" applyAlignment="1">
      <alignment horizontal="center"/>
    </xf>
    <xf numFmtId="49" fontId="21" fillId="5" borderId="6" xfId="0" applyNumberFormat="1" applyFont="1" applyFill="1" applyBorder="1" applyAlignment="1">
      <alignment horizontal="center"/>
    </xf>
    <xf numFmtId="9" fontId="23" fillId="5" borderId="6" xfId="0" applyNumberFormat="1" applyFont="1" applyFill="1" applyBorder="1" applyAlignment="1">
      <alignment horizontal="center"/>
    </xf>
    <xf numFmtId="0" fontId="20" fillId="5" borderId="6" xfId="0" applyFont="1" applyFill="1" applyBorder="1"/>
    <xf numFmtId="0" fontId="60" fillId="5" borderId="12" xfId="3" applyFont="1" applyFill="1" applyBorder="1"/>
    <xf numFmtId="9" fontId="60" fillId="5" borderId="12" xfId="3" applyNumberFormat="1" applyFont="1" applyFill="1" applyBorder="1" applyAlignment="1">
      <alignment horizontal="center"/>
    </xf>
    <xf numFmtId="9" fontId="60" fillId="5" borderId="12" xfId="0" applyNumberFormat="1" applyFont="1" applyFill="1" applyBorder="1" applyAlignment="1">
      <alignment horizontal="center"/>
    </xf>
    <xf numFmtId="9" fontId="61" fillId="5" borderId="12" xfId="0" applyNumberFormat="1" applyFont="1" applyFill="1" applyBorder="1" applyAlignment="1">
      <alignment horizontal="center"/>
    </xf>
    <xf numFmtId="49" fontId="59" fillId="5" borderId="12" xfId="0" applyNumberFormat="1" applyFont="1" applyFill="1" applyBorder="1" applyAlignment="1">
      <alignment horizontal="center"/>
    </xf>
    <xf numFmtId="9" fontId="62" fillId="5" borderId="12" xfId="0" applyNumberFormat="1" applyFont="1" applyFill="1" applyBorder="1" applyAlignment="1">
      <alignment horizontal="center"/>
    </xf>
    <xf numFmtId="0" fontId="9" fillId="5" borderId="12" xfId="0" applyFont="1" applyFill="1" applyBorder="1"/>
    <xf numFmtId="0" fontId="9" fillId="5" borderId="12" xfId="0" applyFont="1" applyFill="1" applyBorder="1" applyAlignment="1">
      <alignment horizontal="center"/>
    </xf>
    <xf numFmtId="0" fontId="60" fillId="5" borderId="12" xfId="0" applyFont="1" applyFill="1" applyBorder="1"/>
    <xf numFmtId="0" fontId="9" fillId="2" borderId="0" xfId="0" applyFont="1" applyFill="1"/>
    <xf numFmtId="0" fontId="20" fillId="2" borderId="14" xfId="3" quotePrefix="1" applyFont="1" applyFill="1" applyBorder="1" applyAlignment="1">
      <alignment horizontal="center"/>
    </xf>
    <xf numFmtId="0" fontId="20" fillId="2" borderId="14" xfId="0" quotePrefix="1" applyFont="1" applyFill="1" applyBorder="1" applyAlignment="1">
      <alignment horizontal="center"/>
    </xf>
    <xf numFmtId="9" fontId="23" fillId="2" borderId="14" xfId="0" quotePrefix="1" applyNumberFormat="1" applyFont="1" applyFill="1" applyBorder="1" applyAlignment="1">
      <alignment horizontal="center"/>
    </xf>
    <xf numFmtId="9" fontId="23" fillId="2" borderId="14" xfId="0" applyNumberFormat="1" applyFont="1" applyFill="1" applyBorder="1" applyAlignment="1">
      <alignment horizontal="center" wrapText="1"/>
    </xf>
    <xf numFmtId="0" fontId="23" fillId="2" borderId="14" xfId="0" applyFont="1" applyFill="1" applyBorder="1" applyAlignment="1">
      <alignment horizontal="justify" vertical="center" wrapText="1"/>
    </xf>
    <xf numFmtId="0" fontId="60" fillId="2" borderId="8" xfId="3" applyFont="1" applyFill="1" applyBorder="1"/>
    <xf numFmtId="0" fontId="60" fillId="2" borderId="8" xfId="3" quotePrefix="1" applyFont="1" applyFill="1" applyBorder="1" applyAlignment="1">
      <alignment horizontal="center"/>
    </xf>
    <xf numFmtId="0" fontId="60" fillId="2" borderId="8" xfId="0" quotePrefix="1" applyFont="1" applyFill="1" applyBorder="1" applyAlignment="1">
      <alignment horizontal="center"/>
    </xf>
    <xf numFmtId="9" fontId="62" fillId="2" borderId="8" xfId="0" quotePrefix="1" applyNumberFormat="1" applyFont="1" applyFill="1" applyBorder="1" applyAlignment="1">
      <alignment horizontal="center"/>
    </xf>
    <xf numFmtId="9" fontId="61" fillId="2" borderId="8" xfId="0" applyNumberFormat="1" applyFont="1" applyFill="1" applyBorder="1" applyAlignment="1">
      <alignment horizontal="center"/>
    </xf>
    <xf numFmtId="9" fontId="59" fillId="2" borderId="8" xfId="0" applyNumberFormat="1" applyFont="1" applyFill="1" applyBorder="1" applyAlignment="1">
      <alignment horizontal="center"/>
    </xf>
    <xf numFmtId="9" fontId="62" fillId="2" borderId="8" xfId="0" applyNumberFormat="1" applyFont="1" applyFill="1" applyBorder="1" applyAlignment="1">
      <alignment horizontal="center"/>
    </xf>
    <xf numFmtId="9" fontId="60" fillId="2" borderId="8" xfId="0" applyNumberFormat="1" applyFont="1" applyFill="1" applyBorder="1" applyAlignment="1">
      <alignment horizontal="center"/>
    </xf>
    <xf numFmtId="0" fontId="59" fillId="2" borderId="8" xfId="0" applyFont="1" applyFill="1" applyBorder="1"/>
    <xf numFmtId="0" fontId="9" fillId="2" borderId="8" xfId="0" applyFont="1" applyFill="1" applyBorder="1"/>
    <xf numFmtId="0" fontId="9" fillId="2" borderId="8" xfId="0" applyFont="1" applyFill="1" applyBorder="1" applyAlignment="1">
      <alignment horizontal="center"/>
    </xf>
    <xf numFmtId="0" fontId="62" fillId="2" borderId="8" xfId="0" applyFont="1" applyFill="1" applyBorder="1" applyAlignment="1">
      <alignment horizontal="justify" vertical="center" wrapText="1"/>
    </xf>
    <xf numFmtId="0" fontId="24" fillId="0" borderId="9" xfId="3" applyFont="1" applyBorder="1" applyAlignment="1">
      <alignment vertical="top" wrapText="1"/>
    </xf>
    <xf numFmtId="9" fontId="24" fillId="2" borderId="9" xfId="3" applyNumberFormat="1" applyFont="1" applyFill="1" applyBorder="1" applyAlignment="1">
      <alignment horizontal="center" vertical="top"/>
    </xf>
    <xf numFmtId="9" fontId="24" fillId="2" borderId="9" xfId="0" applyNumberFormat="1" applyFont="1" applyFill="1" applyBorder="1" applyAlignment="1">
      <alignment horizontal="center" vertical="top"/>
    </xf>
    <xf numFmtId="9" fontId="21" fillId="2" borderId="9" xfId="0" applyNumberFormat="1" applyFont="1" applyFill="1" applyBorder="1" applyAlignment="1">
      <alignment horizontal="center" vertical="top"/>
    </xf>
    <xf numFmtId="9" fontId="25" fillId="2" borderId="9" xfId="0" applyNumberFormat="1" applyFont="1" applyFill="1" applyBorder="1" applyAlignment="1">
      <alignment horizontal="center" vertical="top"/>
    </xf>
    <xf numFmtId="9" fontId="22" fillId="2" borderId="9" xfId="0" applyNumberFormat="1" applyFont="1" applyFill="1" applyBorder="1" applyAlignment="1">
      <alignment horizontal="center" vertical="top"/>
    </xf>
    <xf numFmtId="0" fontId="25" fillId="0" borderId="9" xfId="0" applyFont="1" applyBorder="1" applyAlignment="1">
      <alignment vertical="top" wrapText="1"/>
    </xf>
    <xf numFmtId="9" fontId="24" fillId="2" borderId="9" xfId="3" applyNumberFormat="1" applyFont="1" applyFill="1" applyBorder="1" applyAlignment="1">
      <alignment horizontal="center"/>
    </xf>
    <xf numFmtId="9" fontId="24" fillId="2" borderId="9" xfId="0" applyNumberFormat="1" applyFont="1" applyFill="1" applyBorder="1" applyAlignment="1">
      <alignment horizontal="center"/>
    </xf>
    <xf numFmtId="9" fontId="21" fillId="2" borderId="9" xfId="0" applyNumberFormat="1" applyFont="1" applyFill="1" applyBorder="1" applyAlignment="1">
      <alignment horizontal="center"/>
    </xf>
    <xf numFmtId="9" fontId="25" fillId="2" borderId="9" xfId="0" applyNumberFormat="1" applyFont="1" applyFill="1" applyBorder="1" applyAlignment="1">
      <alignment horizontal="center"/>
    </xf>
    <xf numFmtId="0" fontId="25" fillId="2" borderId="9" xfId="0" applyFont="1" applyFill="1" applyBorder="1" applyAlignment="1">
      <alignment horizontal="justify" vertical="center" wrapText="1"/>
    </xf>
    <xf numFmtId="0" fontId="24" fillId="2" borderId="25" xfId="3" applyFont="1" applyFill="1" applyBorder="1" applyAlignment="1">
      <alignment vertical="top" wrapText="1"/>
    </xf>
    <xf numFmtId="9" fontId="31" fillId="2" borderId="16" xfId="0" applyNumberFormat="1" applyFont="1" applyFill="1" applyBorder="1" applyAlignment="1">
      <alignment horizontal="center"/>
    </xf>
    <xf numFmtId="9" fontId="23" fillId="2" borderId="25" xfId="0" applyNumberFormat="1" applyFont="1" applyFill="1" applyBorder="1" applyAlignment="1">
      <alignment horizontal="center" vertical="center"/>
    </xf>
    <xf numFmtId="0" fontId="25" fillId="2" borderId="16" xfId="0" applyFont="1" applyFill="1" applyBorder="1"/>
    <xf numFmtId="0" fontId="24" fillId="2" borderId="27" xfId="3" applyFont="1" applyFill="1" applyBorder="1" applyAlignment="1">
      <alignment vertical="top"/>
    </xf>
    <xf numFmtId="9" fontId="24" fillId="2" borderId="6" xfId="0" applyNumberFormat="1" applyFont="1" applyFill="1" applyBorder="1" applyAlignment="1">
      <alignment horizontal="center" vertical="center"/>
    </xf>
    <xf numFmtId="9" fontId="25" fillId="2" borderId="6" xfId="0" applyNumberFormat="1" applyFont="1" applyFill="1" applyBorder="1" applyAlignment="1">
      <alignment horizontal="center" vertical="center"/>
    </xf>
    <xf numFmtId="9" fontId="25" fillId="2" borderId="27" xfId="0" applyNumberFormat="1" applyFont="1" applyFill="1" applyBorder="1" applyAlignment="1">
      <alignment horizontal="center" vertical="center"/>
    </xf>
    <xf numFmtId="0" fontId="25" fillId="2" borderId="6" xfId="0" applyFont="1" applyFill="1" applyBorder="1" applyAlignment="1">
      <alignment horizontal="justify" vertical="center" wrapText="1"/>
    </xf>
    <xf numFmtId="0" fontId="24" fillId="2" borderId="32" xfId="3" applyFont="1" applyFill="1" applyBorder="1" applyAlignment="1">
      <alignment vertical="top"/>
    </xf>
    <xf numFmtId="9" fontId="25" fillId="2" borderId="32" xfId="0" applyNumberFormat="1" applyFont="1" applyFill="1" applyBorder="1" applyAlignment="1">
      <alignment horizontal="center" vertical="center"/>
    </xf>
    <xf numFmtId="0" fontId="24" fillId="2" borderId="9" xfId="3" applyFont="1" applyFill="1" applyBorder="1" applyAlignment="1">
      <alignment horizontal="left" vertical="center" wrapText="1"/>
    </xf>
    <xf numFmtId="0" fontId="24" fillId="2" borderId="9" xfId="3" quotePrefix="1" applyFont="1" applyFill="1" applyBorder="1" applyAlignment="1">
      <alignment horizontal="center" vertical="center"/>
    </xf>
    <xf numFmtId="0" fontId="24" fillId="2" borderId="9" xfId="0" quotePrefix="1" applyFont="1" applyFill="1" applyBorder="1" applyAlignment="1">
      <alignment horizontal="center" vertical="center"/>
    </xf>
    <xf numFmtId="9" fontId="22" fillId="2" borderId="9" xfId="0" quotePrefix="1" applyNumberFormat="1" applyFont="1" applyFill="1" applyBorder="1" applyAlignment="1">
      <alignment horizontal="center" vertical="center"/>
    </xf>
    <xf numFmtId="9" fontId="24" fillId="2" borderId="9" xfId="0" quotePrefix="1" applyNumberFormat="1" applyFont="1" applyFill="1" applyBorder="1" applyAlignment="1">
      <alignment horizontal="center" vertical="center"/>
    </xf>
    <xf numFmtId="9" fontId="65" fillId="2" borderId="9" xfId="0" quotePrefix="1" applyNumberFormat="1" applyFont="1" applyFill="1" applyBorder="1" applyAlignment="1">
      <alignment horizontal="center" vertical="center"/>
    </xf>
    <xf numFmtId="9" fontId="25" fillId="2" borderId="9" xfId="0" quotePrefix="1" applyNumberFormat="1" applyFont="1" applyFill="1" applyBorder="1" applyAlignment="1">
      <alignment horizontal="center" vertical="center"/>
    </xf>
    <xf numFmtId="9" fontId="25" fillId="2" borderId="9" xfId="0" applyNumberFormat="1" applyFont="1" applyFill="1" applyBorder="1" applyAlignment="1">
      <alignment horizontal="center" vertical="center"/>
    </xf>
    <xf numFmtId="9" fontId="24" fillId="2" borderId="9" xfId="0" applyNumberFormat="1" applyFont="1" applyFill="1" applyBorder="1" applyAlignment="1">
      <alignment horizontal="center" vertical="center"/>
    </xf>
    <xf numFmtId="0" fontId="25" fillId="2" borderId="9" xfId="0" applyFont="1" applyFill="1" applyBorder="1" applyAlignment="1">
      <alignment horizontal="left" vertical="center" wrapText="1"/>
    </xf>
    <xf numFmtId="0" fontId="24" fillId="2" borderId="0" xfId="0" applyFont="1" applyFill="1" applyAlignment="1">
      <alignment horizontal="center" vertical="center"/>
    </xf>
    <xf numFmtId="0" fontId="24" fillId="2" borderId="9" xfId="3" quotePrefix="1" applyFont="1" applyFill="1" applyBorder="1" applyAlignment="1">
      <alignment horizontal="center"/>
    </xf>
    <xf numFmtId="0" fontId="24" fillId="2" borderId="9" xfId="0" quotePrefix="1" applyFont="1" applyFill="1" applyBorder="1" applyAlignment="1">
      <alignment horizontal="center"/>
    </xf>
    <xf numFmtId="0" fontId="25" fillId="2" borderId="9" xfId="0" quotePrefix="1" applyFont="1" applyFill="1" applyBorder="1" applyAlignment="1">
      <alignment horizontal="center"/>
    </xf>
    <xf numFmtId="9" fontId="22" fillId="2" borderId="9" xfId="0" quotePrefix="1" applyNumberFormat="1" applyFont="1" applyFill="1" applyBorder="1" applyAlignment="1">
      <alignment horizontal="center"/>
    </xf>
    <xf numFmtId="9" fontId="25" fillId="2" borderId="9" xfId="0" quotePrefix="1" applyNumberFormat="1" applyFont="1" applyFill="1" applyBorder="1" applyAlignment="1">
      <alignment horizontal="center"/>
    </xf>
    <xf numFmtId="0" fontId="25" fillId="2" borderId="9" xfId="0" applyFont="1" applyFill="1" applyBorder="1"/>
    <xf numFmtId="0" fontId="24" fillId="2" borderId="16" xfId="3" applyFont="1" applyFill="1" applyBorder="1"/>
    <xf numFmtId="0" fontId="24" fillId="2" borderId="16" xfId="3" quotePrefix="1" applyFont="1" applyFill="1" applyBorder="1" applyAlignment="1">
      <alignment horizontal="center"/>
    </xf>
    <xf numFmtId="0" fontId="24" fillId="2" borderId="16" xfId="0" quotePrefix="1" applyFont="1" applyFill="1" applyBorder="1" applyAlignment="1">
      <alignment horizontal="center"/>
    </xf>
    <xf numFmtId="9" fontId="25" fillId="2" borderId="16" xfId="0" applyNumberFormat="1" applyFont="1" applyFill="1" applyBorder="1" applyAlignment="1">
      <alignment horizontal="center"/>
    </xf>
    <xf numFmtId="9" fontId="22" fillId="2" borderId="16" xfId="0" applyNumberFormat="1" applyFont="1" applyFill="1" applyBorder="1" applyAlignment="1">
      <alignment horizontal="center"/>
    </xf>
    <xf numFmtId="9" fontId="24" fillId="2" borderId="16" xfId="0" applyNumberFormat="1" applyFont="1" applyFill="1" applyBorder="1" applyAlignment="1">
      <alignment horizontal="center"/>
    </xf>
    <xf numFmtId="0" fontId="9" fillId="2" borderId="8" xfId="3" applyFont="1" applyFill="1" applyBorder="1"/>
    <xf numFmtId="0" fontId="9" fillId="2" borderId="8" xfId="3" quotePrefix="1" applyFont="1" applyFill="1" applyBorder="1" applyAlignment="1">
      <alignment horizontal="center"/>
    </xf>
    <xf numFmtId="0" fontId="9" fillId="2" borderId="8" xfId="0" quotePrefix="1" applyFont="1" applyFill="1" applyBorder="1" applyAlignment="1">
      <alignment horizontal="center"/>
    </xf>
    <xf numFmtId="9" fontId="9" fillId="2" borderId="8" xfId="0" applyNumberFormat="1" applyFont="1" applyFill="1" applyBorder="1" applyAlignment="1">
      <alignment horizontal="center"/>
    </xf>
    <xf numFmtId="9" fontId="22" fillId="2" borderId="16" xfId="0" quotePrefix="1" applyNumberFormat="1" applyFont="1" applyFill="1" applyBorder="1" applyAlignment="1">
      <alignment horizontal="center"/>
    </xf>
    <xf numFmtId="9" fontId="66" fillId="2" borderId="8" xfId="0" quotePrefix="1" applyNumberFormat="1" applyFont="1" applyFill="1" applyBorder="1" applyAlignment="1">
      <alignment horizontal="center"/>
    </xf>
    <xf numFmtId="9" fontId="25" fillId="2" borderId="8" xfId="0" applyNumberFormat="1" applyFont="1" applyFill="1" applyBorder="1" applyAlignment="1">
      <alignment horizontal="center"/>
    </xf>
    <xf numFmtId="9" fontId="30" fillId="2" borderId="16" xfId="0" quotePrefix="1" applyNumberFormat="1" applyFont="1" applyFill="1" applyBorder="1" applyAlignment="1">
      <alignment horizontal="center"/>
    </xf>
    <xf numFmtId="9" fontId="67" fillId="2" borderId="16" xfId="0" applyNumberFormat="1" applyFont="1" applyFill="1" applyBorder="1" applyAlignment="1">
      <alignment horizontal="center"/>
    </xf>
    <xf numFmtId="9" fontId="68" fillId="2" borderId="16" xfId="0" applyNumberFormat="1" applyFont="1" applyFill="1" applyBorder="1" applyAlignment="1">
      <alignment horizontal="center"/>
    </xf>
    <xf numFmtId="9" fontId="21" fillId="2" borderId="16" xfId="0" applyNumberFormat="1" applyFont="1" applyFill="1" applyBorder="1" applyAlignment="1">
      <alignment horizontal="center"/>
    </xf>
    <xf numFmtId="9" fontId="66" fillId="2" borderId="8" xfId="0" applyNumberFormat="1" applyFont="1" applyFill="1" applyBorder="1" applyAlignment="1">
      <alignment horizontal="center"/>
    </xf>
    <xf numFmtId="9" fontId="69" fillId="2" borderId="8" xfId="0" applyNumberFormat="1" applyFont="1" applyFill="1" applyBorder="1" applyAlignment="1">
      <alignment horizontal="center"/>
    </xf>
    <xf numFmtId="9" fontId="25" fillId="2" borderId="16" xfId="0" applyNumberFormat="1" applyFont="1" applyFill="1" applyBorder="1" applyAlignment="1">
      <alignment horizontal="center" wrapText="1"/>
    </xf>
    <xf numFmtId="9" fontId="30" fillId="0" borderId="16" xfId="0" applyNumberFormat="1" applyFont="1" applyBorder="1" applyAlignment="1">
      <alignment horizontal="center" wrapText="1"/>
    </xf>
    <xf numFmtId="9" fontId="24" fillId="0" borderId="16" xfId="0" applyNumberFormat="1" applyFont="1" applyBorder="1" applyAlignment="1">
      <alignment horizontal="center" wrapText="1"/>
    </xf>
    <xf numFmtId="0" fontId="24" fillId="2" borderId="14" xfId="0" quotePrefix="1" applyFont="1" applyFill="1" applyBorder="1" applyAlignment="1">
      <alignment horizontal="left" wrapText="1"/>
    </xf>
    <xf numFmtId="9" fontId="24" fillId="2" borderId="21" xfId="0" applyNumberFormat="1" applyFont="1" applyFill="1" applyBorder="1" applyAlignment="1">
      <alignment horizontal="center" vertical="center"/>
    </xf>
    <xf numFmtId="9" fontId="22" fillId="2" borderId="21" xfId="0" applyNumberFormat="1" applyFont="1" applyFill="1" applyBorder="1" applyAlignment="1">
      <alignment horizontal="center" vertical="center" wrapText="1"/>
    </xf>
    <xf numFmtId="9" fontId="25" fillId="2" borderId="21" xfId="0" applyNumberFormat="1" applyFont="1" applyFill="1" applyBorder="1" applyAlignment="1">
      <alignment horizontal="center" vertical="center"/>
    </xf>
    <xf numFmtId="9" fontId="30" fillId="2" borderId="14" xfId="0" applyNumberFormat="1" applyFont="1" applyFill="1" applyBorder="1" applyAlignment="1">
      <alignment horizontal="center" vertical="center"/>
    </xf>
    <xf numFmtId="9" fontId="25" fillId="2" borderId="14" xfId="0" applyNumberFormat="1" applyFont="1" applyFill="1" applyBorder="1" applyAlignment="1">
      <alignment horizontal="center" vertical="center"/>
    </xf>
    <xf numFmtId="0" fontId="25" fillId="2" borderId="15" xfId="0" applyFont="1" applyFill="1" applyBorder="1" applyAlignment="1">
      <alignment horizontal="left" wrapText="1"/>
    </xf>
    <xf numFmtId="9" fontId="30" fillId="7" borderId="42" xfId="0" applyNumberFormat="1" applyFont="1" applyFill="1" applyBorder="1" applyAlignment="1">
      <alignment horizontal="center" vertical="center"/>
    </xf>
    <xf numFmtId="9" fontId="25" fillId="7" borderId="42" xfId="0" applyNumberFormat="1" applyFont="1" applyFill="1" applyBorder="1" applyAlignment="1">
      <alignment horizontal="center" vertical="center"/>
    </xf>
    <xf numFmtId="0" fontId="25" fillId="2" borderId="27" xfId="0" quotePrefix="1" applyFont="1" applyFill="1" applyBorder="1" applyAlignment="1">
      <alignment horizontal="left" wrapText="1"/>
    </xf>
    <xf numFmtId="0" fontId="24" fillId="7" borderId="9" xfId="3" applyFont="1" applyFill="1" applyBorder="1"/>
    <xf numFmtId="9" fontId="24" fillId="7" borderId="9" xfId="3" applyNumberFormat="1" applyFont="1" applyFill="1" applyBorder="1" applyAlignment="1">
      <alignment horizontal="center"/>
    </xf>
    <xf numFmtId="9" fontId="24" fillId="7" borderId="9" xfId="0" applyNumberFormat="1" applyFont="1" applyFill="1" applyBorder="1" applyAlignment="1">
      <alignment horizontal="center"/>
    </xf>
    <xf numFmtId="9" fontId="22" fillId="7" borderId="9" xfId="0" applyNumberFormat="1" applyFont="1" applyFill="1" applyBorder="1" applyAlignment="1">
      <alignment horizontal="center"/>
    </xf>
    <xf numFmtId="9" fontId="21" fillId="7" borderId="9" xfId="0" applyNumberFormat="1" applyFont="1" applyFill="1" applyBorder="1" applyAlignment="1">
      <alignment horizontal="center"/>
    </xf>
    <xf numFmtId="9" fontId="25" fillId="7" borderId="9" xfId="0" applyNumberFormat="1" applyFont="1" applyFill="1" applyBorder="1" applyAlignment="1">
      <alignment horizontal="center"/>
    </xf>
    <xf numFmtId="9" fontId="68" fillId="7" borderId="9" xfId="0" applyNumberFormat="1" applyFont="1" applyFill="1" applyBorder="1" applyAlignment="1">
      <alignment horizontal="center"/>
    </xf>
    <xf numFmtId="9" fontId="70" fillId="7" borderId="9" xfId="0" applyNumberFormat="1" applyFont="1" applyFill="1" applyBorder="1" applyAlignment="1">
      <alignment horizontal="center"/>
    </xf>
    <xf numFmtId="9" fontId="70" fillId="7" borderId="8" xfId="0" applyNumberFormat="1" applyFont="1" applyFill="1" applyBorder="1" applyAlignment="1">
      <alignment horizontal="center"/>
    </xf>
    <xf numFmtId="0" fontId="24" fillId="7" borderId="9" xfId="0" applyFont="1" applyFill="1" applyBorder="1"/>
    <xf numFmtId="9" fontId="22" fillId="7" borderId="9" xfId="0" quotePrefix="1" applyNumberFormat="1" applyFont="1" applyFill="1" applyBorder="1" applyAlignment="1">
      <alignment horizontal="center"/>
    </xf>
    <xf numFmtId="9" fontId="21" fillId="7" borderId="9" xfId="0" quotePrefix="1" applyNumberFormat="1" applyFont="1" applyFill="1" applyBorder="1" applyAlignment="1">
      <alignment horizontal="center"/>
    </xf>
    <xf numFmtId="0" fontId="24" fillId="7" borderId="16" xfId="3" applyFont="1" applyFill="1" applyBorder="1"/>
    <xf numFmtId="9" fontId="24" fillId="7" borderId="16" xfId="3" quotePrefix="1" applyNumberFormat="1" applyFont="1" applyFill="1" applyBorder="1" applyAlignment="1">
      <alignment horizontal="center"/>
    </xf>
    <xf numFmtId="9" fontId="24" fillId="7" borderId="16" xfId="0" quotePrefix="1" applyNumberFormat="1" applyFont="1" applyFill="1" applyBorder="1" applyAlignment="1">
      <alignment horizontal="center"/>
    </xf>
    <xf numFmtId="9" fontId="22" fillId="7" borderId="16" xfId="0" applyNumberFormat="1" applyFont="1" applyFill="1" applyBorder="1" applyAlignment="1">
      <alignment horizontal="center"/>
    </xf>
    <xf numFmtId="9" fontId="25" fillId="7" borderId="16" xfId="0" applyNumberFormat="1" applyFont="1" applyFill="1" applyBorder="1" applyAlignment="1">
      <alignment horizontal="center"/>
    </xf>
    <xf numFmtId="9" fontId="24" fillId="7" borderId="16" xfId="0" applyNumberFormat="1" applyFont="1" applyFill="1" applyBorder="1" applyAlignment="1">
      <alignment horizontal="center"/>
    </xf>
    <xf numFmtId="9" fontId="68" fillId="7" borderId="16" xfId="0" applyNumberFormat="1" applyFont="1" applyFill="1" applyBorder="1" applyAlignment="1">
      <alignment horizontal="center"/>
    </xf>
    <xf numFmtId="9" fontId="70" fillId="7" borderId="16" xfId="0" applyNumberFormat="1" applyFont="1" applyFill="1" applyBorder="1" applyAlignment="1">
      <alignment horizontal="center"/>
    </xf>
    <xf numFmtId="0" fontId="24" fillId="7" borderId="16" xfId="0" applyFont="1" applyFill="1" applyBorder="1"/>
    <xf numFmtId="0" fontId="9" fillId="7" borderId="8" xfId="3" applyFont="1" applyFill="1" applyBorder="1"/>
    <xf numFmtId="9" fontId="9" fillId="7" borderId="8" xfId="3" quotePrefix="1" applyNumberFormat="1" applyFont="1" applyFill="1" applyBorder="1" applyAlignment="1">
      <alignment horizontal="center"/>
    </xf>
    <xf numFmtId="9" fontId="9" fillId="7" borderId="8" xfId="0" quotePrefix="1" applyNumberFormat="1" applyFont="1" applyFill="1" applyBorder="1" applyAlignment="1">
      <alignment horizontal="center"/>
    </xf>
    <xf numFmtId="9" fontId="59" fillId="7" borderId="8" xfId="0" applyNumberFormat="1" applyFont="1" applyFill="1" applyBorder="1" applyAlignment="1">
      <alignment horizontal="center"/>
    </xf>
    <xf numFmtId="9" fontId="66" fillId="7" borderId="8" xfId="0" applyNumberFormat="1" applyFont="1" applyFill="1" applyBorder="1" applyAlignment="1">
      <alignment horizontal="center"/>
    </xf>
    <xf numFmtId="9" fontId="9" fillId="7" borderId="8" xfId="0" applyNumberFormat="1" applyFont="1" applyFill="1" applyBorder="1" applyAlignment="1">
      <alignment horizontal="center"/>
    </xf>
    <xf numFmtId="9" fontId="71" fillId="7" borderId="8" xfId="0" applyNumberFormat="1" applyFont="1" applyFill="1" applyBorder="1" applyAlignment="1">
      <alignment horizontal="center"/>
    </xf>
    <xf numFmtId="0" fontId="9" fillId="7" borderId="8" xfId="0" applyFont="1" applyFill="1" applyBorder="1"/>
    <xf numFmtId="9" fontId="24" fillId="7" borderId="9" xfId="3" quotePrefix="1" applyNumberFormat="1" applyFont="1" applyFill="1" applyBorder="1" applyAlignment="1">
      <alignment horizontal="center"/>
    </xf>
    <xf numFmtId="9" fontId="24" fillId="7" borderId="9" xfId="0" quotePrefix="1" applyNumberFormat="1" applyFont="1" applyFill="1" applyBorder="1" applyAlignment="1">
      <alignment horizontal="center"/>
    </xf>
    <xf numFmtId="9" fontId="25" fillId="7" borderId="9" xfId="0" quotePrefix="1" applyNumberFormat="1" applyFont="1" applyFill="1" applyBorder="1" applyAlignment="1">
      <alignment horizontal="center"/>
    </xf>
    <xf numFmtId="0" fontId="9" fillId="7" borderId="6" xfId="3" applyFont="1" applyFill="1" applyBorder="1"/>
    <xf numFmtId="9" fontId="9" fillId="7" borderId="6" xfId="3" quotePrefix="1" applyNumberFormat="1" applyFont="1" applyFill="1" applyBorder="1" applyAlignment="1">
      <alignment horizontal="center"/>
    </xf>
    <xf numFmtId="9" fontId="9" fillId="7" borderId="6" xfId="0" quotePrefix="1" applyNumberFormat="1" applyFont="1" applyFill="1" applyBorder="1" applyAlignment="1">
      <alignment horizontal="center"/>
    </xf>
    <xf numFmtId="9" fontId="59" fillId="7" borderId="6" xfId="0" applyNumberFormat="1" applyFont="1" applyFill="1" applyBorder="1" applyAlignment="1">
      <alignment horizontal="center"/>
    </xf>
    <xf numFmtId="9" fontId="62" fillId="7" borderId="6" xfId="0" applyNumberFormat="1" applyFont="1" applyFill="1" applyBorder="1" applyAlignment="1">
      <alignment horizontal="center"/>
    </xf>
    <xf numFmtId="9" fontId="66" fillId="7" borderId="6" xfId="0" applyNumberFormat="1" applyFont="1" applyFill="1" applyBorder="1" applyAlignment="1">
      <alignment horizontal="center"/>
    </xf>
    <xf numFmtId="9" fontId="71" fillId="7" borderId="6" xfId="0" applyNumberFormat="1" applyFont="1" applyFill="1" applyBorder="1" applyAlignment="1">
      <alignment horizontal="center"/>
    </xf>
    <xf numFmtId="0" fontId="9" fillId="7" borderId="6" xfId="0" applyFont="1" applyFill="1" applyBorder="1"/>
    <xf numFmtId="0" fontId="20" fillId="5" borderId="13" xfId="3" applyFont="1" applyFill="1" applyBorder="1" applyAlignment="1">
      <alignment vertical="top"/>
    </xf>
    <xf numFmtId="9" fontId="24" fillId="5" borderId="13" xfId="3" quotePrefix="1" applyNumberFormat="1" applyFont="1" applyFill="1" applyBorder="1" applyAlignment="1">
      <alignment horizontal="center"/>
    </xf>
    <xf numFmtId="9" fontId="24" fillId="5" borderId="13" xfId="0" quotePrefix="1" applyNumberFormat="1" applyFont="1" applyFill="1" applyBorder="1" applyAlignment="1">
      <alignment horizontal="center"/>
    </xf>
    <xf numFmtId="3" fontId="23" fillId="5" borderId="13" xfId="0" applyNumberFormat="1" applyFont="1" applyFill="1" applyBorder="1" applyAlignment="1">
      <alignment horizontal="center" vertical="center"/>
    </xf>
    <xf numFmtId="3" fontId="21" fillId="5" borderId="13" xfId="0" applyNumberFormat="1" applyFont="1" applyFill="1" applyBorder="1" applyAlignment="1">
      <alignment horizontal="center" vertical="center"/>
    </xf>
    <xf numFmtId="0" fontId="24" fillId="5" borderId="13" xfId="0" applyFont="1" applyFill="1" applyBorder="1"/>
    <xf numFmtId="0" fontId="24" fillId="5" borderId="13" xfId="0" applyFont="1" applyFill="1" applyBorder="1" applyAlignment="1">
      <alignment horizontal="center"/>
    </xf>
    <xf numFmtId="0" fontId="20" fillId="5" borderId="13" xfId="0" applyFont="1" applyFill="1" applyBorder="1" applyAlignment="1">
      <alignment wrapText="1"/>
    </xf>
    <xf numFmtId="0" fontId="16" fillId="5" borderId="14" xfId="3" applyFont="1" applyFill="1" applyBorder="1" applyAlignment="1">
      <alignment vertical="top"/>
    </xf>
    <xf numFmtId="9" fontId="24" fillId="5" borderId="14" xfId="3" quotePrefix="1" applyNumberFormat="1" applyFont="1" applyFill="1" applyBorder="1" applyAlignment="1">
      <alignment horizontal="center"/>
    </xf>
    <xf numFmtId="9" fontId="24" fillId="5" borderId="14" xfId="0" quotePrefix="1" applyNumberFormat="1" applyFont="1" applyFill="1" applyBorder="1" applyAlignment="1">
      <alignment horizontal="center"/>
    </xf>
    <xf numFmtId="3" fontId="23" fillId="5" borderId="14" xfId="0" applyNumberFormat="1" applyFont="1" applyFill="1" applyBorder="1" applyAlignment="1">
      <alignment horizontal="center" vertical="center"/>
    </xf>
    <xf numFmtId="169" fontId="23" fillId="5" borderId="14" xfId="0" applyNumberFormat="1" applyFont="1" applyFill="1" applyBorder="1" applyAlignment="1">
      <alignment horizontal="center" vertical="center"/>
    </xf>
    <xf numFmtId="3" fontId="22" fillId="5" borderId="14" xfId="0" applyNumberFormat="1" applyFont="1" applyFill="1" applyBorder="1" applyAlignment="1">
      <alignment horizontal="center" vertical="center"/>
    </xf>
    <xf numFmtId="3" fontId="21" fillId="5" borderId="14" xfId="0" applyNumberFormat="1" applyFont="1" applyFill="1" applyBorder="1" applyAlignment="1">
      <alignment horizontal="center" vertical="center"/>
    </xf>
    <xf numFmtId="0" fontId="19" fillId="5" borderId="14" xfId="0" applyFont="1" applyFill="1" applyBorder="1" applyAlignment="1">
      <alignment wrapText="1"/>
    </xf>
    <xf numFmtId="0" fontId="72" fillId="2" borderId="0" xfId="0" applyFont="1" applyFill="1"/>
    <xf numFmtId="0" fontId="16" fillId="5" borderId="12" xfId="3" applyFont="1" applyFill="1" applyBorder="1" applyAlignment="1">
      <alignment vertical="top"/>
    </xf>
    <xf numFmtId="9" fontId="24" fillId="5" borderId="12" xfId="3" quotePrefix="1" applyNumberFormat="1" applyFont="1" applyFill="1" applyBorder="1" applyAlignment="1">
      <alignment horizontal="center"/>
    </xf>
    <xf numFmtId="9" fontId="24" fillId="5" borderId="12" xfId="0" quotePrefix="1" applyNumberFormat="1" applyFont="1" applyFill="1" applyBorder="1" applyAlignment="1">
      <alignment horizontal="center"/>
    </xf>
    <xf numFmtId="3" fontId="28" fillId="5" borderId="12" xfId="0" applyNumberFormat="1" applyFont="1" applyFill="1" applyBorder="1" applyAlignment="1">
      <alignment horizontal="center" vertical="center"/>
    </xf>
    <xf numFmtId="3" fontId="17" fillId="5" borderId="12" xfId="0" applyNumberFormat="1" applyFont="1" applyFill="1" applyBorder="1" applyAlignment="1">
      <alignment horizontal="center" vertical="center"/>
    </xf>
    <xf numFmtId="3" fontId="22" fillId="5" borderId="12" xfId="0" applyNumberFormat="1" applyFont="1" applyFill="1" applyBorder="1" applyAlignment="1">
      <alignment horizontal="center" vertical="center"/>
    </xf>
    <xf numFmtId="3" fontId="23" fillId="5" borderId="12" xfId="0" applyNumberFormat="1" applyFont="1" applyFill="1" applyBorder="1" applyAlignment="1">
      <alignment horizontal="center" vertical="center"/>
    </xf>
    <xf numFmtId="3" fontId="21" fillId="5" borderId="12" xfId="0" applyNumberFormat="1" applyFont="1" applyFill="1" applyBorder="1" applyAlignment="1">
      <alignment horizontal="center" vertical="center"/>
    </xf>
    <xf numFmtId="0" fontId="24" fillId="5" borderId="12" xfId="0" applyFont="1" applyFill="1" applyBorder="1"/>
    <xf numFmtId="0" fontId="24" fillId="5" borderId="12" xfId="0" applyFont="1" applyFill="1" applyBorder="1" applyAlignment="1">
      <alignment horizontal="center"/>
    </xf>
    <xf numFmtId="0" fontId="16" fillId="5" borderId="12" xfId="0" applyFont="1" applyFill="1" applyBorder="1" applyAlignment="1">
      <alignment wrapText="1"/>
    </xf>
    <xf numFmtId="0" fontId="16" fillId="5" borderId="6" xfId="3" applyFont="1" applyFill="1" applyBorder="1" applyAlignment="1">
      <alignment vertical="top"/>
    </xf>
    <xf numFmtId="9" fontId="24" fillId="5" borderId="6" xfId="3" quotePrefix="1" applyNumberFormat="1" applyFont="1" applyFill="1" applyBorder="1" applyAlignment="1">
      <alignment horizontal="center"/>
    </xf>
    <xf numFmtId="9" fontId="24" fillId="5" borderId="6" xfId="0" quotePrefix="1" applyNumberFormat="1" applyFont="1" applyFill="1" applyBorder="1" applyAlignment="1">
      <alignment horizontal="center"/>
    </xf>
    <xf numFmtId="3" fontId="31" fillId="5" borderId="6" xfId="0" applyNumberFormat="1" applyFont="1" applyFill="1" applyBorder="1" applyAlignment="1">
      <alignment horizontal="center" vertical="center"/>
    </xf>
    <xf numFmtId="3" fontId="32" fillId="5" borderId="6" xfId="0" applyNumberFormat="1" applyFont="1" applyFill="1" applyBorder="1" applyAlignment="1">
      <alignment horizontal="center" vertical="center"/>
    </xf>
    <xf numFmtId="3" fontId="49" fillId="5" borderId="6" xfId="0" applyNumberFormat="1" applyFont="1" applyFill="1" applyBorder="1" applyAlignment="1">
      <alignment horizontal="center" vertical="center"/>
    </xf>
    <xf numFmtId="0" fontId="19" fillId="5" borderId="6" xfId="0" applyFont="1" applyFill="1" applyBorder="1"/>
    <xf numFmtId="0" fontId="19" fillId="5" borderId="6" xfId="0" applyFont="1" applyFill="1" applyBorder="1" applyAlignment="1">
      <alignment horizontal="center"/>
    </xf>
    <xf numFmtId="0" fontId="16" fillId="5" borderId="6" xfId="0" applyFont="1" applyFill="1" applyBorder="1" applyAlignment="1">
      <alignment wrapText="1"/>
    </xf>
    <xf numFmtId="165" fontId="12" fillId="4" borderId="5" xfId="3" quotePrefix="1" applyNumberFormat="1" applyFont="1" applyFill="1" applyBorder="1" applyAlignment="1">
      <alignment horizontal="center"/>
    </xf>
    <xf numFmtId="165" fontId="14" fillId="4" borderId="5" xfId="0" applyNumberFormat="1" applyFont="1" applyFill="1" applyBorder="1" applyAlignment="1">
      <alignment horizontal="center"/>
    </xf>
    <xf numFmtId="165" fontId="73" fillId="4" borderId="5" xfId="0" applyNumberFormat="1" applyFont="1" applyFill="1" applyBorder="1" applyAlignment="1">
      <alignment horizontal="center"/>
    </xf>
    <xf numFmtId="165" fontId="12" fillId="4" borderId="5" xfId="0" applyNumberFormat="1" applyFont="1" applyFill="1" applyBorder="1" applyAlignment="1">
      <alignment horizontal="center"/>
    </xf>
    <xf numFmtId="0" fontId="24" fillId="2" borderId="8" xfId="3" applyFont="1" applyFill="1" applyBorder="1"/>
    <xf numFmtId="165" fontId="20" fillId="2" borderId="8" xfId="3" quotePrefix="1" applyNumberFormat="1" applyFont="1" applyFill="1" applyBorder="1" applyAlignment="1">
      <alignment horizontal="center"/>
    </xf>
    <xf numFmtId="165" fontId="20" fillId="2" borderId="8" xfId="0" quotePrefix="1" applyNumberFormat="1" applyFont="1" applyFill="1" applyBorder="1" applyAlignment="1">
      <alignment horizontal="center"/>
    </xf>
    <xf numFmtId="165" fontId="22" fillId="2" borderId="8" xfId="0" applyNumberFormat="1" applyFont="1" applyFill="1" applyBorder="1" applyAlignment="1">
      <alignment horizontal="center"/>
    </xf>
    <xf numFmtId="165" fontId="21" fillId="2" borderId="8" xfId="0" applyNumberFormat="1" applyFont="1" applyFill="1" applyBorder="1" applyAlignment="1">
      <alignment horizontal="center"/>
    </xf>
    <xf numFmtId="165" fontId="23" fillId="2" borderId="8" xfId="0" applyNumberFormat="1" applyFont="1" applyFill="1" applyBorder="1" applyAlignment="1">
      <alignment horizontal="center"/>
    </xf>
    <xf numFmtId="0" fontId="24" fillId="2" borderId="8" xfId="0" applyFont="1" applyFill="1" applyBorder="1"/>
    <xf numFmtId="165" fontId="20" fillId="2" borderId="9" xfId="3" quotePrefix="1" applyNumberFormat="1" applyFont="1" applyFill="1" applyBorder="1" applyAlignment="1">
      <alignment horizontal="center"/>
    </xf>
    <xf numFmtId="165" fontId="20" fillId="2" borderId="9" xfId="0" quotePrefix="1" applyNumberFormat="1" applyFont="1" applyFill="1" applyBorder="1" applyAlignment="1">
      <alignment horizontal="center"/>
    </xf>
    <xf numFmtId="165" fontId="20" fillId="2" borderId="9" xfId="0" applyNumberFormat="1" applyFont="1" applyFill="1" applyBorder="1" applyAlignment="1">
      <alignment horizontal="center"/>
    </xf>
    <xf numFmtId="165" fontId="22" fillId="2" borderId="9" xfId="0" applyNumberFormat="1" applyFont="1" applyFill="1" applyBorder="1" applyAlignment="1">
      <alignment horizontal="center"/>
    </xf>
    <xf numFmtId="165" fontId="23" fillId="2" borderId="9" xfId="0" applyNumberFormat="1" applyFont="1" applyFill="1" applyBorder="1" applyAlignment="1">
      <alignment horizontal="center"/>
    </xf>
    <xf numFmtId="165" fontId="25" fillId="2" borderId="9" xfId="0" applyNumberFormat="1" applyFont="1" applyFill="1" applyBorder="1" applyAlignment="1">
      <alignment horizontal="center"/>
    </xf>
    <xf numFmtId="165" fontId="30" fillId="2" borderId="9" xfId="0" applyNumberFormat="1" applyFont="1" applyFill="1" applyBorder="1" applyAlignment="1">
      <alignment horizontal="center"/>
    </xf>
    <xf numFmtId="0" fontId="24" fillId="2" borderId="9" xfId="0" applyFont="1" applyFill="1" applyBorder="1" applyAlignment="1">
      <alignment horizontal="center"/>
    </xf>
    <xf numFmtId="0" fontId="20" fillId="2" borderId="16" xfId="3" quotePrefix="1" applyFont="1" applyFill="1" applyBorder="1" applyAlignment="1">
      <alignment horizontal="center"/>
    </xf>
    <xf numFmtId="0" fontId="20" fillId="2" borderId="16" xfId="0" quotePrefix="1" applyFont="1" applyFill="1" applyBorder="1" applyAlignment="1">
      <alignment horizontal="center"/>
    </xf>
    <xf numFmtId="165" fontId="23" fillId="2" borderId="16" xfId="0" applyNumberFormat="1" applyFont="1" applyFill="1" applyBorder="1" applyAlignment="1">
      <alignment horizontal="center"/>
    </xf>
    <xf numFmtId="165" fontId="22" fillId="2" borderId="16" xfId="0" applyNumberFormat="1" applyFont="1" applyFill="1" applyBorder="1" applyAlignment="1">
      <alignment horizontal="center"/>
    </xf>
    <xf numFmtId="0" fontId="24" fillId="2" borderId="16" xfId="0" applyFont="1" applyFill="1" applyBorder="1"/>
    <xf numFmtId="0" fontId="12" fillId="8" borderId="11" xfId="3" applyFont="1" applyFill="1" applyBorder="1"/>
    <xf numFmtId="165" fontId="12" fillId="8" borderId="11" xfId="3" quotePrefix="1" applyNumberFormat="1" applyFont="1" applyFill="1" applyBorder="1" applyAlignment="1">
      <alignment horizontal="center"/>
    </xf>
    <xf numFmtId="165" fontId="12" fillId="8" borderId="11" xfId="0" applyNumberFormat="1" applyFont="1" applyFill="1" applyBorder="1" applyAlignment="1">
      <alignment horizontal="center"/>
    </xf>
    <xf numFmtId="165" fontId="15" fillId="8" borderId="11" xfId="0" applyNumberFormat="1" applyFont="1" applyFill="1" applyBorder="1" applyAlignment="1">
      <alignment horizontal="center"/>
    </xf>
    <xf numFmtId="0" fontId="12" fillId="8" borderId="11" xfId="0" applyFont="1" applyFill="1" applyBorder="1"/>
    <xf numFmtId="0" fontId="12" fillId="8" borderId="11" xfId="0" applyFont="1" applyFill="1" applyBorder="1" applyAlignment="1">
      <alignment horizontal="center"/>
    </xf>
    <xf numFmtId="0" fontId="24" fillId="2" borderId="7" xfId="3" applyFont="1" applyFill="1" applyBorder="1" applyAlignment="1">
      <alignment vertical="top"/>
    </xf>
    <xf numFmtId="2" fontId="23" fillId="2" borderId="7" xfId="3" applyNumberFormat="1" applyFont="1" applyFill="1" applyBorder="1" applyAlignment="1">
      <alignment horizontal="center" vertical="center"/>
    </xf>
    <xf numFmtId="2" fontId="22" fillId="2" borderId="7" xfId="0" quotePrefix="1" applyNumberFormat="1" applyFont="1" applyFill="1" applyBorder="1" applyAlignment="1">
      <alignment horizontal="center" wrapText="1"/>
    </xf>
    <xf numFmtId="1" fontId="22" fillId="2" borderId="7" xfId="0" applyNumberFormat="1" applyFont="1" applyFill="1" applyBorder="1" applyAlignment="1">
      <alignment horizontal="center" vertical="center"/>
    </xf>
    <xf numFmtId="1" fontId="23" fillId="2" borderId="7" xfId="0" applyNumberFormat="1" applyFont="1" applyFill="1" applyBorder="1" applyAlignment="1">
      <alignment horizontal="center" vertical="center"/>
    </xf>
    <xf numFmtId="0" fontId="24" fillId="2" borderId="7" xfId="0" applyFont="1" applyFill="1" applyBorder="1" applyAlignment="1">
      <alignment vertical="top"/>
    </xf>
    <xf numFmtId="0" fontId="24" fillId="2" borderId="8" xfId="3" applyFont="1" applyFill="1" applyBorder="1" applyAlignment="1">
      <alignment vertical="top"/>
    </xf>
    <xf numFmtId="2" fontId="23" fillId="2" borderId="8" xfId="3" applyNumberFormat="1" applyFont="1" applyFill="1" applyBorder="1" applyAlignment="1">
      <alignment horizontal="center" vertical="center"/>
    </xf>
    <xf numFmtId="2" fontId="23" fillId="2" borderId="8" xfId="0" applyNumberFormat="1" applyFont="1" applyFill="1" applyBorder="1" applyAlignment="1">
      <alignment horizontal="center" vertical="center"/>
    </xf>
    <xf numFmtId="1" fontId="9" fillId="2" borderId="8" xfId="0" quotePrefix="1" applyNumberFormat="1" applyFont="1" applyFill="1" applyBorder="1" applyAlignment="1">
      <alignment horizontal="center" wrapText="1"/>
    </xf>
    <xf numFmtId="2" fontId="22" fillId="2" borderId="8" xfId="0" applyNumberFormat="1" applyFont="1" applyFill="1" applyBorder="1" applyAlignment="1">
      <alignment horizontal="center" vertical="center"/>
    </xf>
    <xf numFmtId="1" fontId="22" fillId="2" borderId="8" xfId="0" applyNumberFormat="1" applyFont="1" applyFill="1" applyBorder="1" applyAlignment="1">
      <alignment horizontal="center" vertical="center"/>
    </xf>
    <xf numFmtId="1" fontId="23" fillId="2" borderId="8" xfId="0" applyNumberFormat="1" applyFont="1" applyFill="1" applyBorder="1" applyAlignment="1">
      <alignment horizontal="center" vertical="center"/>
    </xf>
    <xf numFmtId="0" fontId="24" fillId="2" borderId="8" xfId="0" applyFont="1" applyFill="1" applyBorder="1" applyAlignment="1">
      <alignment vertical="top"/>
    </xf>
    <xf numFmtId="0" fontId="16" fillId="2" borderId="16" xfId="3" applyFont="1" applyFill="1" applyBorder="1" applyAlignment="1">
      <alignment vertical="top" wrapText="1"/>
    </xf>
    <xf numFmtId="1" fontId="16" fillId="2" borderId="16" xfId="4" quotePrefix="1" applyNumberFormat="1" applyFont="1" applyFill="1" applyBorder="1" applyAlignment="1">
      <alignment horizontal="center" vertical="center" wrapText="1"/>
    </xf>
    <xf numFmtId="1" fontId="16" fillId="2" borderId="16" xfId="2" quotePrefix="1" applyNumberFormat="1" applyFont="1" applyFill="1" applyBorder="1" applyAlignment="1">
      <alignment horizontal="center" vertical="center" wrapText="1"/>
    </xf>
    <xf numFmtId="1" fontId="17" fillId="2" borderId="16" xfId="2" quotePrefix="1" applyNumberFormat="1" applyFont="1" applyFill="1" applyBorder="1" applyAlignment="1">
      <alignment horizontal="center" wrapText="1"/>
    </xf>
    <xf numFmtId="1" fontId="16" fillId="2" borderId="16" xfId="2" quotePrefix="1" applyNumberFormat="1" applyFont="1" applyFill="1" applyBorder="1" applyAlignment="1">
      <alignment horizontal="center" wrapText="1"/>
    </xf>
    <xf numFmtId="0" fontId="16" fillId="2" borderId="16" xfId="0" applyFont="1" applyFill="1" applyBorder="1" applyAlignment="1">
      <alignment vertical="top" wrapText="1"/>
    </xf>
    <xf numFmtId="0" fontId="16" fillId="2" borderId="11" xfId="3" applyFont="1" applyFill="1" applyBorder="1" applyAlignment="1">
      <alignment vertical="top" wrapText="1"/>
    </xf>
    <xf numFmtId="1" fontId="16" fillId="2" borderId="11" xfId="4" quotePrefix="1" applyNumberFormat="1" applyFont="1" applyFill="1" applyBorder="1" applyAlignment="1">
      <alignment horizontal="center" vertical="center" wrapText="1"/>
    </xf>
    <xf numFmtId="1" fontId="16" fillId="2" borderId="11" xfId="2" quotePrefix="1" applyNumberFormat="1" applyFont="1" applyFill="1" applyBorder="1" applyAlignment="1">
      <alignment horizontal="center" vertical="center" wrapText="1"/>
    </xf>
    <xf numFmtId="1" fontId="9" fillId="2" borderId="11" xfId="0" quotePrefix="1" applyNumberFormat="1" applyFont="1" applyFill="1" applyBorder="1" applyAlignment="1">
      <alignment horizontal="center" wrapText="1"/>
    </xf>
    <xf numFmtId="1" fontId="17" fillId="2" borderId="11" xfId="0" applyNumberFormat="1" applyFont="1" applyFill="1" applyBorder="1" applyAlignment="1">
      <alignment horizontal="center" vertical="center"/>
    </xf>
    <xf numFmtId="1" fontId="16" fillId="2" borderId="11" xfId="0" applyNumberFormat="1" applyFont="1" applyFill="1" applyBorder="1" applyAlignment="1">
      <alignment horizontal="center" vertical="center"/>
    </xf>
    <xf numFmtId="1" fontId="28" fillId="2" borderId="11" xfId="0" applyNumberFormat="1" applyFont="1" applyFill="1" applyBorder="1" applyAlignment="1">
      <alignment horizontal="center" vertical="center"/>
    </xf>
    <xf numFmtId="1" fontId="16" fillId="2" borderId="11" xfId="2" quotePrefix="1" applyNumberFormat="1" applyFont="1" applyFill="1" applyBorder="1" applyAlignment="1">
      <alignment horizontal="center" wrapText="1"/>
    </xf>
    <xf numFmtId="0" fontId="16" fillId="2" borderId="11" xfId="0" applyFont="1" applyFill="1" applyBorder="1" applyAlignment="1">
      <alignment vertical="top" wrapText="1"/>
    </xf>
    <xf numFmtId="0" fontId="24" fillId="9" borderId="7" xfId="3" applyFont="1" applyFill="1" applyBorder="1" applyAlignment="1">
      <alignment vertical="top"/>
    </xf>
    <xf numFmtId="2" fontId="20" fillId="9" borderId="7" xfId="3" quotePrefix="1" applyNumberFormat="1" applyFont="1" applyFill="1" applyBorder="1" applyAlignment="1">
      <alignment horizontal="center" vertical="center"/>
    </xf>
    <xf numFmtId="2" fontId="20" fillId="9" borderId="7" xfId="0" quotePrefix="1" applyNumberFormat="1" applyFont="1" applyFill="1" applyBorder="1" applyAlignment="1">
      <alignment horizontal="center" vertical="center"/>
    </xf>
    <xf numFmtId="2" fontId="22" fillId="9" borderId="7" xfId="0" quotePrefix="1" applyNumberFormat="1" applyFont="1" applyFill="1" applyBorder="1" applyAlignment="1">
      <alignment horizontal="center" wrapText="1"/>
    </xf>
    <xf numFmtId="2" fontId="22" fillId="9" borderId="7" xfId="0" applyNumberFormat="1" applyFont="1" applyFill="1" applyBorder="1" applyAlignment="1">
      <alignment horizontal="center" vertical="center"/>
    </xf>
    <xf numFmtId="2" fontId="23" fillId="9" borderId="7" xfId="0" applyNumberFormat="1" applyFont="1" applyFill="1" applyBorder="1" applyAlignment="1">
      <alignment horizontal="center" vertical="center"/>
    </xf>
    <xf numFmtId="2" fontId="22" fillId="9" borderId="7" xfId="0" quotePrefix="1" applyNumberFormat="1" applyFont="1" applyFill="1" applyBorder="1" applyAlignment="1">
      <alignment horizontal="center" vertical="center"/>
    </xf>
    <xf numFmtId="2" fontId="23" fillId="9" borderId="7" xfId="0" quotePrefix="1" applyNumberFormat="1" applyFont="1" applyFill="1" applyBorder="1" applyAlignment="1">
      <alignment horizontal="center" vertical="center"/>
    </xf>
    <xf numFmtId="1" fontId="22" fillId="9" borderId="7" xfId="0" quotePrefix="1" applyNumberFormat="1" applyFont="1" applyFill="1" applyBorder="1" applyAlignment="1">
      <alignment horizontal="center" vertical="center"/>
    </xf>
    <xf numFmtId="1" fontId="20" fillId="9" borderId="7" xfId="0" quotePrefix="1" applyNumberFormat="1" applyFont="1" applyFill="1" applyBorder="1" applyAlignment="1">
      <alignment horizontal="center" vertical="center"/>
    </xf>
    <xf numFmtId="1" fontId="23" fillId="9" borderId="7" xfId="0" quotePrefix="1" applyNumberFormat="1" applyFont="1" applyFill="1" applyBorder="1" applyAlignment="1">
      <alignment horizontal="center" vertical="center"/>
    </xf>
    <xf numFmtId="0" fontId="24" fillId="9" borderId="7" xfId="0" applyFont="1" applyFill="1" applyBorder="1" applyAlignment="1">
      <alignment vertical="top"/>
    </xf>
    <xf numFmtId="0" fontId="24" fillId="9" borderId="8" xfId="3" applyFont="1" applyFill="1" applyBorder="1" applyAlignment="1">
      <alignment vertical="top"/>
    </xf>
    <xf numFmtId="2" fontId="20" fillId="9" borderId="8" xfId="3" quotePrefix="1" applyNumberFormat="1" applyFont="1" applyFill="1" applyBorder="1" applyAlignment="1">
      <alignment horizontal="center" vertical="center"/>
    </xf>
    <xf numFmtId="2" fontId="20" fillId="9" borderId="8" xfId="0" quotePrefix="1" applyNumberFormat="1" applyFont="1" applyFill="1" applyBorder="1" applyAlignment="1">
      <alignment horizontal="center" vertical="center"/>
    </xf>
    <xf numFmtId="1" fontId="9" fillId="9" borderId="8" xfId="0" quotePrefix="1" applyNumberFormat="1" applyFont="1" applyFill="1" applyBorder="1" applyAlignment="1">
      <alignment horizontal="center" wrapText="1"/>
    </xf>
    <xf numFmtId="2" fontId="22" fillId="9" borderId="8" xfId="0" applyNumberFormat="1" applyFont="1" applyFill="1" applyBorder="1" applyAlignment="1">
      <alignment horizontal="center" vertical="center"/>
    </xf>
    <xf numFmtId="2" fontId="23" fillId="9" borderId="8" xfId="0" applyNumberFormat="1" applyFont="1" applyFill="1" applyBorder="1" applyAlignment="1">
      <alignment horizontal="center" vertical="center"/>
    </xf>
    <xf numFmtId="2" fontId="22" fillId="9" borderId="8" xfId="0" quotePrefix="1" applyNumberFormat="1" applyFont="1" applyFill="1" applyBorder="1" applyAlignment="1">
      <alignment horizontal="center" vertical="center"/>
    </xf>
    <xf numFmtId="2" fontId="23" fillId="9" borderId="8" xfId="0" quotePrefix="1" applyNumberFormat="1" applyFont="1" applyFill="1" applyBorder="1" applyAlignment="1">
      <alignment horizontal="center" vertical="center"/>
    </xf>
    <xf numFmtId="1" fontId="22" fillId="9" borderId="8" xfId="0" quotePrefix="1" applyNumberFormat="1" applyFont="1" applyFill="1" applyBorder="1" applyAlignment="1">
      <alignment horizontal="center" vertical="center"/>
    </xf>
    <xf numFmtId="1" fontId="20" fillId="9" borderId="8" xfId="0" quotePrefix="1" applyNumberFormat="1" applyFont="1" applyFill="1" applyBorder="1" applyAlignment="1">
      <alignment horizontal="center" vertical="center"/>
    </xf>
    <xf numFmtId="1" fontId="23" fillId="9" borderId="8" xfId="0" quotePrefix="1" applyNumberFormat="1" applyFont="1" applyFill="1" applyBorder="1" applyAlignment="1">
      <alignment horizontal="center" vertical="center"/>
    </xf>
    <xf numFmtId="0" fontId="24" fillId="9" borderId="8" xfId="0" applyFont="1" applyFill="1" applyBorder="1" applyAlignment="1">
      <alignment vertical="top"/>
    </xf>
    <xf numFmtId="0" fontId="16" fillId="9" borderId="16" xfId="3" applyFont="1" applyFill="1" applyBorder="1" applyAlignment="1">
      <alignment vertical="top" wrapText="1"/>
    </xf>
    <xf numFmtId="1" fontId="16" fillId="9" borderId="16" xfId="3" applyNumberFormat="1" applyFont="1" applyFill="1" applyBorder="1" applyAlignment="1">
      <alignment horizontal="center" vertical="center"/>
    </xf>
    <xf numFmtId="1" fontId="16" fillId="9" borderId="16" xfId="0" applyNumberFormat="1" applyFont="1" applyFill="1" applyBorder="1" applyAlignment="1">
      <alignment horizontal="center" vertical="center"/>
    </xf>
    <xf numFmtId="1" fontId="17" fillId="9" borderId="16" xfId="2" quotePrefix="1" applyNumberFormat="1" applyFont="1" applyFill="1" applyBorder="1" applyAlignment="1">
      <alignment horizontal="center" wrapText="1"/>
    </xf>
    <xf numFmtId="1" fontId="17" fillId="9" borderId="16" xfId="0" applyNumberFormat="1" applyFont="1" applyFill="1" applyBorder="1" applyAlignment="1">
      <alignment horizontal="center" vertical="center"/>
    </xf>
    <xf numFmtId="1" fontId="28" fillId="9" borderId="16" xfId="0" applyNumberFormat="1" applyFont="1" applyFill="1" applyBorder="1" applyAlignment="1">
      <alignment horizontal="center" vertical="center"/>
    </xf>
    <xf numFmtId="0" fontId="16" fillId="9" borderId="16" xfId="0" applyFont="1" applyFill="1" applyBorder="1" applyAlignment="1">
      <alignment vertical="top" wrapText="1"/>
    </xf>
    <xf numFmtId="0" fontId="16" fillId="9" borderId="11" xfId="3" applyFont="1" applyFill="1" applyBorder="1" applyAlignment="1">
      <alignment vertical="top" wrapText="1"/>
    </xf>
    <xf numFmtId="1" fontId="16" fillId="9" borderId="11" xfId="3" applyNumberFormat="1" applyFont="1" applyFill="1" applyBorder="1" applyAlignment="1">
      <alignment horizontal="center" vertical="center"/>
    </xf>
    <xf numFmtId="1" fontId="16" fillId="9" borderId="11" xfId="0" applyNumberFormat="1" applyFont="1" applyFill="1" applyBorder="1" applyAlignment="1">
      <alignment horizontal="center" vertical="center"/>
    </xf>
    <xf numFmtId="1" fontId="9" fillId="9" borderId="11" xfId="0" quotePrefix="1" applyNumberFormat="1" applyFont="1" applyFill="1" applyBorder="1" applyAlignment="1">
      <alignment horizontal="center" wrapText="1"/>
    </xf>
    <xf numFmtId="1" fontId="17" fillId="9" borderId="11" xfId="0" applyNumberFormat="1" applyFont="1" applyFill="1" applyBorder="1" applyAlignment="1">
      <alignment horizontal="center" vertical="center"/>
    </xf>
    <xf numFmtId="1" fontId="28" fillId="9" borderId="11" xfId="0" applyNumberFormat="1" applyFont="1" applyFill="1" applyBorder="1" applyAlignment="1">
      <alignment horizontal="center" vertical="center"/>
    </xf>
    <xf numFmtId="0" fontId="16" fillId="9" borderId="11" xfId="0" applyFont="1" applyFill="1" applyBorder="1" applyAlignment="1">
      <alignment vertical="top" wrapText="1"/>
    </xf>
    <xf numFmtId="0" fontId="24" fillId="2" borderId="7" xfId="3" applyFont="1" applyFill="1" applyBorder="1" applyAlignment="1">
      <alignment vertical="top" wrapText="1"/>
    </xf>
    <xf numFmtId="1" fontId="24" fillId="2" borderId="7" xfId="3" quotePrefix="1" applyNumberFormat="1" applyFont="1" applyFill="1" applyBorder="1" applyAlignment="1">
      <alignment horizontal="center" vertical="center"/>
    </xf>
    <xf numFmtId="1" fontId="24" fillId="2" borderId="7" xfId="0" quotePrefix="1" applyNumberFormat="1" applyFont="1" applyFill="1" applyBorder="1" applyAlignment="1">
      <alignment horizontal="center" vertical="center"/>
    </xf>
    <xf numFmtId="2" fontId="22" fillId="2" borderId="7" xfId="0" quotePrefix="1" applyNumberFormat="1" applyFont="1" applyFill="1" applyBorder="1" applyAlignment="1">
      <alignment horizontal="center" vertical="center" wrapText="1"/>
    </xf>
    <xf numFmtId="1" fontId="24" fillId="2" borderId="7" xfId="0" applyNumberFormat="1" applyFont="1" applyFill="1" applyBorder="1" applyAlignment="1">
      <alignment horizontal="center" vertical="center" wrapText="1"/>
    </xf>
    <xf numFmtId="1" fontId="24" fillId="2" borderId="7" xfId="0" applyNumberFormat="1" applyFont="1" applyFill="1" applyBorder="1" applyAlignment="1">
      <alignment horizontal="center" wrapText="1"/>
    </xf>
    <xf numFmtId="164" fontId="22" fillId="2" borderId="7" xfId="0" applyNumberFormat="1" applyFont="1" applyFill="1" applyBorder="1" applyAlignment="1">
      <alignment horizontal="center" vertical="center"/>
    </xf>
    <xf numFmtId="164" fontId="23" fillId="2" borderId="7" xfId="0" applyNumberFormat="1" applyFont="1" applyFill="1" applyBorder="1" applyAlignment="1">
      <alignment horizontal="center" vertical="center"/>
    </xf>
    <xf numFmtId="164" fontId="22" fillId="0" borderId="7" xfId="0" applyNumberFormat="1" applyFont="1" applyBorder="1" applyAlignment="1">
      <alignment horizontal="center" vertical="center" wrapText="1"/>
    </xf>
    <xf numFmtId="1" fontId="20" fillId="0" borderId="7" xfId="0" applyNumberFormat="1" applyFont="1" applyBorder="1" applyAlignment="1">
      <alignment horizontal="center" vertical="center" wrapText="1"/>
    </xf>
    <xf numFmtId="0" fontId="24" fillId="2" borderId="7" xfId="0" applyFont="1" applyFill="1" applyBorder="1" applyAlignment="1">
      <alignment vertical="top" wrapText="1"/>
    </xf>
    <xf numFmtId="0" fontId="24" fillId="2" borderId="8" xfId="3" applyFont="1" applyFill="1" applyBorder="1" applyAlignment="1">
      <alignment vertical="top" wrapText="1"/>
    </xf>
    <xf numFmtId="1" fontId="24" fillId="2" borderId="8" xfId="3" quotePrefix="1" applyNumberFormat="1" applyFont="1" applyFill="1" applyBorder="1" applyAlignment="1">
      <alignment horizontal="center" vertical="center"/>
    </xf>
    <xf numFmtId="1" fontId="24" fillId="2" borderId="8" xfId="0" quotePrefix="1" applyNumberFormat="1" applyFont="1" applyFill="1" applyBorder="1" applyAlignment="1">
      <alignment horizontal="center" vertical="center"/>
    </xf>
    <xf numFmtId="1" fontId="24" fillId="2" borderId="8" xfId="0" applyNumberFormat="1" applyFont="1" applyFill="1" applyBorder="1" applyAlignment="1">
      <alignment horizontal="center" vertical="center" wrapText="1"/>
    </xf>
    <xf numFmtId="164" fontId="22" fillId="2" borderId="8" xfId="0" applyNumberFormat="1" applyFont="1" applyFill="1" applyBorder="1" applyAlignment="1">
      <alignment horizontal="center" vertical="center"/>
    </xf>
    <xf numFmtId="164" fontId="23" fillId="2" borderId="8" xfId="0" applyNumberFormat="1" applyFont="1" applyFill="1" applyBorder="1" applyAlignment="1">
      <alignment horizontal="center" vertical="center"/>
    </xf>
    <xf numFmtId="0" fontId="24" fillId="2" borderId="8" xfId="0" applyFont="1" applyFill="1" applyBorder="1" applyAlignment="1">
      <alignment vertical="top" wrapText="1"/>
    </xf>
    <xf numFmtId="1" fontId="16" fillId="2" borderId="16" xfId="4" quotePrefix="1" applyNumberFormat="1" applyFont="1" applyFill="1" applyBorder="1" applyAlignment="1">
      <alignment horizontal="center"/>
    </xf>
    <xf numFmtId="1" fontId="16" fillId="2" borderId="16" xfId="0" applyNumberFormat="1" applyFont="1" applyFill="1" applyBorder="1" applyAlignment="1">
      <alignment horizontal="center"/>
    </xf>
    <xf numFmtId="164" fontId="17" fillId="2" borderId="16" xfId="2" quotePrefix="1" applyNumberFormat="1" applyFont="1" applyFill="1" applyBorder="1" applyAlignment="1">
      <alignment horizontal="center" vertical="center" wrapText="1"/>
    </xf>
    <xf numFmtId="1" fontId="17" fillId="2" borderId="16" xfId="0" applyNumberFormat="1" applyFont="1" applyFill="1" applyBorder="1" applyAlignment="1">
      <alignment horizontal="center" vertical="center" wrapText="1"/>
    </xf>
    <xf numFmtId="2" fontId="28" fillId="2" borderId="16" xfId="0" applyNumberFormat="1" applyFont="1" applyFill="1" applyBorder="1" applyAlignment="1">
      <alignment horizontal="center" vertical="center"/>
    </xf>
    <xf numFmtId="2" fontId="17" fillId="2" borderId="16" xfId="2" quotePrefix="1" applyNumberFormat="1" applyFont="1" applyFill="1" applyBorder="1" applyAlignment="1">
      <alignment horizontal="center" vertical="center" wrapText="1"/>
    </xf>
    <xf numFmtId="1" fontId="28" fillId="2" borderId="16" xfId="0" applyNumberFormat="1" applyFont="1" applyFill="1" applyBorder="1" applyAlignment="1">
      <alignment horizontal="center"/>
    </xf>
    <xf numFmtId="1" fontId="16" fillId="2" borderId="16" xfId="0" applyNumberFormat="1" applyFont="1" applyFill="1" applyBorder="1"/>
    <xf numFmtId="1" fontId="28" fillId="2" borderId="16" xfId="0" applyNumberFormat="1" applyFont="1" applyFill="1" applyBorder="1"/>
    <xf numFmtId="1" fontId="16" fillId="2" borderId="11" xfId="4" quotePrefix="1" applyNumberFormat="1" applyFont="1" applyFill="1" applyBorder="1" applyAlignment="1">
      <alignment horizontal="center"/>
    </xf>
    <xf numFmtId="1" fontId="16" fillId="2" borderId="11" xfId="0" applyNumberFormat="1" applyFont="1" applyFill="1" applyBorder="1" applyAlignment="1">
      <alignment horizontal="center"/>
    </xf>
    <xf numFmtId="1" fontId="17" fillId="2" borderId="11" xfId="0" applyNumberFormat="1" applyFont="1" applyFill="1" applyBorder="1" applyAlignment="1">
      <alignment horizontal="center" vertical="center" wrapText="1"/>
    </xf>
    <xf numFmtId="2" fontId="28" fillId="2" borderId="11" xfId="0" applyNumberFormat="1" applyFont="1" applyFill="1" applyBorder="1" applyAlignment="1">
      <alignment horizontal="center" vertical="center"/>
    </xf>
    <xf numFmtId="1" fontId="28" fillId="2" borderId="11" xfId="0" applyNumberFormat="1" applyFont="1" applyFill="1" applyBorder="1" applyAlignment="1">
      <alignment horizontal="center"/>
    </xf>
    <xf numFmtId="1" fontId="16" fillId="2" borderId="11" xfId="0" applyNumberFormat="1" applyFont="1" applyFill="1" applyBorder="1"/>
    <xf numFmtId="1" fontId="28" fillId="2" borderId="11" xfId="0" applyNumberFormat="1" applyFont="1" applyFill="1" applyBorder="1"/>
    <xf numFmtId="0" fontId="24" fillId="9" borderId="6" xfId="3" applyFont="1" applyFill="1" applyBorder="1" applyAlignment="1">
      <alignment vertical="top"/>
    </xf>
    <xf numFmtId="2" fontId="20" fillId="9" borderId="6" xfId="3" quotePrefix="1" applyNumberFormat="1" applyFont="1" applyFill="1" applyBorder="1" applyAlignment="1">
      <alignment horizontal="center" vertical="center" wrapText="1"/>
    </xf>
    <xf numFmtId="2" fontId="20" fillId="9" borderId="6" xfId="0" quotePrefix="1" applyNumberFormat="1" applyFont="1" applyFill="1" applyBorder="1" applyAlignment="1">
      <alignment horizontal="center" vertical="center"/>
    </xf>
    <xf numFmtId="2" fontId="22" fillId="9" borderId="6" xfId="0" quotePrefix="1" applyNumberFormat="1" applyFont="1" applyFill="1" applyBorder="1" applyAlignment="1">
      <alignment horizontal="center" wrapText="1"/>
    </xf>
    <xf numFmtId="2" fontId="22" fillId="9" borderId="6" xfId="0" applyNumberFormat="1" applyFont="1" applyFill="1" applyBorder="1" applyAlignment="1">
      <alignment horizontal="center" vertical="center"/>
    </xf>
    <xf numFmtId="2" fontId="23" fillId="9" borderId="6" xfId="0" applyNumberFormat="1" applyFont="1" applyFill="1" applyBorder="1" applyAlignment="1">
      <alignment horizontal="center" vertical="center"/>
    </xf>
    <xf numFmtId="2" fontId="22" fillId="9" borderId="6" xfId="0" quotePrefix="1" applyNumberFormat="1" applyFont="1" applyFill="1" applyBorder="1" applyAlignment="1">
      <alignment horizontal="center" vertical="center"/>
    </xf>
    <xf numFmtId="2" fontId="23" fillId="9" borderId="6" xfId="0" quotePrefix="1" applyNumberFormat="1" applyFont="1" applyFill="1" applyBorder="1" applyAlignment="1">
      <alignment horizontal="center" vertical="center"/>
    </xf>
    <xf numFmtId="1" fontId="22" fillId="9" borderId="6" xfId="0" applyNumberFormat="1" applyFont="1" applyFill="1" applyBorder="1" applyAlignment="1">
      <alignment horizontal="center" vertical="center"/>
    </xf>
    <xf numFmtId="1" fontId="23" fillId="9" borderId="6" xfId="0" applyNumberFormat="1" applyFont="1" applyFill="1" applyBorder="1" applyAlignment="1">
      <alignment horizontal="center" vertical="center"/>
    </xf>
    <xf numFmtId="1" fontId="20" fillId="9" borderId="6" xfId="0" applyNumberFormat="1" applyFont="1" applyFill="1" applyBorder="1" applyAlignment="1">
      <alignment horizontal="center" vertical="center"/>
    </xf>
    <xf numFmtId="1" fontId="23" fillId="9" borderId="7" xfId="0" applyNumberFormat="1" applyFont="1" applyFill="1" applyBorder="1" applyAlignment="1">
      <alignment horizontal="center" vertical="center"/>
    </xf>
    <xf numFmtId="164" fontId="22" fillId="9" borderId="6" xfId="0" applyNumberFormat="1" applyFont="1" applyFill="1" applyBorder="1" applyAlignment="1">
      <alignment horizontal="center" vertical="center"/>
    </xf>
    <xf numFmtId="0" fontId="24" fillId="9" borderId="6" xfId="0" applyFont="1" applyFill="1" applyBorder="1" applyAlignment="1">
      <alignment vertical="top"/>
    </xf>
    <xf numFmtId="2" fontId="21" fillId="9" borderId="6" xfId="3" quotePrefix="1" applyNumberFormat="1" applyFont="1" applyFill="1" applyBorder="1" applyAlignment="1">
      <alignment horizontal="center" vertical="center" wrapText="1"/>
    </xf>
    <xf numFmtId="1" fontId="9" fillId="9" borderId="6" xfId="0" quotePrefix="1" applyNumberFormat="1" applyFont="1" applyFill="1" applyBorder="1" applyAlignment="1">
      <alignment horizontal="center" wrapText="1"/>
    </xf>
    <xf numFmtId="1" fontId="9" fillId="9" borderId="8" xfId="3" quotePrefix="1" applyNumberFormat="1" applyFont="1" applyFill="1" applyBorder="1" applyAlignment="1">
      <alignment horizontal="center" vertical="center" wrapText="1"/>
    </xf>
    <xf numFmtId="1" fontId="20" fillId="9" borderId="8" xfId="0" quotePrefix="1" applyNumberFormat="1" applyFont="1" applyFill="1" applyBorder="1" applyAlignment="1">
      <alignment horizontal="center" wrapText="1"/>
    </xf>
    <xf numFmtId="1" fontId="22" fillId="9" borderId="8" xfId="0" applyNumberFormat="1" applyFont="1" applyFill="1" applyBorder="1" applyAlignment="1">
      <alignment horizontal="center" vertical="center"/>
    </xf>
    <xf numFmtId="1" fontId="23" fillId="9" borderId="8" xfId="0" applyNumberFormat="1" applyFont="1" applyFill="1" applyBorder="1" applyAlignment="1">
      <alignment horizontal="center" vertical="center"/>
    </xf>
    <xf numFmtId="1" fontId="20" fillId="9" borderId="8" xfId="0" applyNumberFormat="1" applyFont="1" applyFill="1" applyBorder="1" applyAlignment="1">
      <alignment horizontal="center" vertical="center"/>
    </xf>
    <xf numFmtId="1" fontId="16" fillId="9" borderId="16" xfId="4" quotePrefix="1" applyNumberFormat="1" applyFont="1" applyFill="1" applyBorder="1" applyAlignment="1">
      <alignment horizontal="center" vertical="center" wrapText="1"/>
    </xf>
    <xf numFmtId="1" fontId="16" fillId="9" borderId="16" xfId="0" applyNumberFormat="1" applyFont="1" applyFill="1" applyBorder="1" applyAlignment="1">
      <alignment vertical="center"/>
    </xf>
    <xf numFmtId="1" fontId="28" fillId="9" borderId="16" xfId="0" applyNumberFormat="1" applyFont="1" applyFill="1" applyBorder="1" applyAlignment="1">
      <alignment vertical="center"/>
    </xf>
    <xf numFmtId="0" fontId="16" fillId="9" borderId="6" xfId="3" applyFont="1" applyFill="1" applyBorder="1" applyAlignment="1">
      <alignment vertical="top" wrapText="1"/>
    </xf>
    <xf numFmtId="1" fontId="37" fillId="9" borderId="6" xfId="4" quotePrefix="1" applyNumberFormat="1" applyFont="1" applyFill="1" applyBorder="1" applyAlignment="1">
      <alignment horizontal="center" vertical="center" wrapText="1"/>
    </xf>
    <xf numFmtId="1" fontId="16" fillId="9" borderId="6" xfId="0" applyNumberFormat="1" applyFont="1" applyFill="1" applyBorder="1" applyAlignment="1">
      <alignment horizontal="center" vertical="center"/>
    </xf>
    <xf numFmtId="1" fontId="17" fillId="9" borderId="6" xfId="0" applyNumberFormat="1" applyFont="1" applyFill="1" applyBorder="1" applyAlignment="1">
      <alignment horizontal="center" vertical="center"/>
    </xf>
    <xf numFmtId="1" fontId="28" fillId="9" borderId="6" xfId="0" applyNumberFormat="1" applyFont="1" applyFill="1" applyBorder="1" applyAlignment="1">
      <alignment horizontal="center" vertical="center"/>
    </xf>
    <xf numFmtId="1" fontId="16" fillId="9" borderId="6" xfId="0" applyNumberFormat="1" applyFont="1" applyFill="1" applyBorder="1" applyAlignment="1">
      <alignment vertical="center"/>
    </xf>
    <xf numFmtId="1" fontId="28" fillId="9" borderId="6" xfId="0" applyNumberFormat="1" applyFont="1" applyFill="1" applyBorder="1" applyAlignment="1">
      <alignment vertical="center"/>
    </xf>
    <xf numFmtId="0" fontId="16" fillId="9" borderId="6" xfId="0" applyFont="1" applyFill="1" applyBorder="1" applyAlignment="1">
      <alignment vertical="top" wrapText="1"/>
    </xf>
    <xf numFmtId="1" fontId="9" fillId="9" borderId="11" xfId="3" quotePrefix="1" applyNumberFormat="1" applyFont="1" applyFill="1" applyBorder="1" applyAlignment="1">
      <alignment horizontal="center" vertical="center" wrapText="1"/>
    </xf>
    <xf numFmtId="1" fontId="16" fillId="9" borderId="11" xfId="2" quotePrefix="1" applyNumberFormat="1" applyFont="1" applyFill="1" applyBorder="1" applyAlignment="1">
      <alignment horizontal="center" wrapText="1"/>
    </xf>
    <xf numFmtId="1" fontId="16" fillId="9" borderId="11" xfId="0" applyNumberFormat="1" applyFont="1" applyFill="1" applyBorder="1" applyAlignment="1">
      <alignment vertical="center"/>
    </xf>
    <xf numFmtId="1" fontId="28" fillId="9" borderId="11" xfId="0" applyNumberFormat="1" applyFont="1" applyFill="1" applyBorder="1" applyAlignment="1">
      <alignment vertical="center"/>
    </xf>
    <xf numFmtId="2" fontId="20" fillId="2" borderId="7" xfId="3" quotePrefix="1" applyNumberFormat="1" applyFont="1" applyFill="1" applyBorder="1" applyAlignment="1">
      <alignment horizontal="center" vertical="center" wrapText="1"/>
    </xf>
    <xf numFmtId="2" fontId="20" fillId="2" borderId="7" xfId="0" quotePrefix="1" applyNumberFormat="1" applyFont="1" applyFill="1" applyBorder="1" applyAlignment="1">
      <alignment horizontal="center" vertical="center"/>
    </xf>
    <xf numFmtId="2" fontId="22" fillId="2" borderId="7" xfId="0" quotePrefix="1" applyNumberFormat="1" applyFont="1" applyFill="1" applyBorder="1" applyAlignment="1">
      <alignment horizontal="center" vertical="center"/>
    </xf>
    <xf numFmtId="2" fontId="23" fillId="2" borderId="7" xfId="0" quotePrefix="1" applyNumberFormat="1" applyFont="1" applyFill="1" applyBorder="1" applyAlignment="1">
      <alignment horizontal="center" vertical="center"/>
    </xf>
    <xf numFmtId="1" fontId="20" fillId="2" borderId="7" xfId="0" applyNumberFormat="1" applyFont="1" applyFill="1" applyBorder="1" applyAlignment="1">
      <alignment horizontal="center" vertical="center"/>
    </xf>
    <xf numFmtId="0" fontId="24" fillId="2" borderId="6" xfId="3" applyFont="1" applyFill="1" applyBorder="1" applyAlignment="1">
      <alignment vertical="top"/>
    </xf>
    <xf numFmtId="2" fontId="21" fillId="2" borderId="6" xfId="3" quotePrefix="1" applyNumberFormat="1" applyFont="1" applyFill="1" applyBorder="1" applyAlignment="1">
      <alignment horizontal="center" vertical="center" wrapText="1"/>
    </xf>
    <xf numFmtId="2" fontId="20" fillId="2" borderId="6" xfId="0" quotePrefix="1" applyNumberFormat="1" applyFont="1" applyFill="1" applyBorder="1" applyAlignment="1">
      <alignment horizontal="center" vertical="center"/>
    </xf>
    <xf numFmtId="1" fontId="9" fillId="2" borderId="6" xfId="0" quotePrefix="1" applyNumberFormat="1" applyFont="1" applyFill="1" applyBorder="1" applyAlignment="1">
      <alignment horizontal="center" wrapText="1"/>
    </xf>
    <xf numFmtId="2" fontId="22" fillId="2" borderId="6" xfId="0" applyNumberFormat="1" applyFont="1" applyFill="1" applyBorder="1" applyAlignment="1">
      <alignment horizontal="center" vertical="center"/>
    </xf>
    <xf numFmtId="2" fontId="23" fillId="2" borderId="6" xfId="0" applyNumberFormat="1" applyFont="1" applyFill="1" applyBorder="1" applyAlignment="1">
      <alignment horizontal="center" vertical="center"/>
    </xf>
    <xf numFmtId="2" fontId="22" fillId="2" borderId="6" xfId="0" quotePrefix="1" applyNumberFormat="1" applyFont="1" applyFill="1" applyBorder="1" applyAlignment="1">
      <alignment horizontal="center" vertical="center"/>
    </xf>
    <xf numFmtId="2" fontId="23" fillId="2" borderId="6" xfId="0" quotePrefix="1" applyNumberFormat="1" applyFont="1" applyFill="1" applyBorder="1" applyAlignment="1">
      <alignment horizontal="center" vertical="center"/>
    </xf>
    <xf numFmtId="1" fontId="22" fillId="2" borderId="6" xfId="0" applyNumberFormat="1" applyFont="1" applyFill="1" applyBorder="1" applyAlignment="1">
      <alignment horizontal="center" vertical="center"/>
    </xf>
    <xf numFmtId="1" fontId="23" fillId="2" borderId="6" xfId="0" applyNumberFormat="1" applyFont="1" applyFill="1" applyBorder="1" applyAlignment="1">
      <alignment horizontal="center" vertical="center"/>
    </xf>
    <xf numFmtId="1" fontId="20" fillId="2" borderId="6" xfId="0" applyNumberFormat="1" applyFont="1" applyFill="1" applyBorder="1" applyAlignment="1">
      <alignment horizontal="center" vertical="center"/>
    </xf>
    <xf numFmtId="0" fontId="24" fillId="2" borderId="6" xfId="0" applyFont="1" applyFill="1" applyBorder="1" applyAlignment="1">
      <alignment vertical="top"/>
    </xf>
    <xf numFmtId="1" fontId="9" fillId="2" borderId="8" xfId="3" quotePrefix="1" applyNumberFormat="1" applyFont="1" applyFill="1" applyBorder="1" applyAlignment="1">
      <alignment horizontal="center" vertical="center" wrapText="1"/>
    </xf>
    <xf numFmtId="2" fontId="20" fillId="2" borderId="8" xfId="0" quotePrefix="1" applyNumberFormat="1" applyFont="1" applyFill="1" applyBorder="1" applyAlignment="1">
      <alignment horizontal="center" vertical="center"/>
    </xf>
    <xf numFmtId="1" fontId="20" fillId="2" borderId="8" xfId="0" quotePrefix="1" applyNumberFormat="1" applyFont="1" applyFill="1" applyBorder="1" applyAlignment="1">
      <alignment horizontal="center" wrapText="1"/>
    </xf>
    <xf numFmtId="2" fontId="22" fillId="2" borderId="8" xfId="0" quotePrefix="1" applyNumberFormat="1" applyFont="1" applyFill="1" applyBorder="1" applyAlignment="1">
      <alignment horizontal="center" vertical="center"/>
    </xf>
    <xf numFmtId="2" fontId="23" fillId="2" borderId="8" xfId="0" quotePrefix="1" applyNumberFormat="1" applyFont="1" applyFill="1" applyBorder="1" applyAlignment="1">
      <alignment horizontal="center" vertical="center"/>
    </xf>
    <xf numFmtId="1" fontId="20" fillId="2" borderId="8" xfId="0" applyNumberFormat="1" applyFont="1" applyFill="1" applyBorder="1" applyAlignment="1">
      <alignment horizontal="center" vertical="center"/>
    </xf>
    <xf numFmtId="0" fontId="16" fillId="2" borderId="6" xfId="3" applyFont="1" applyFill="1" applyBorder="1" applyAlignment="1">
      <alignment vertical="top" wrapText="1"/>
    </xf>
    <xf numFmtId="1" fontId="37" fillId="2" borderId="6" xfId="4" quotePrefix="1" applyNumberFormat="1" applyFont="1" applyFill="1" applyBorder="1" applyAlignment="1">
      <alignment horizontal="center" vertical="center" wrapText="1"/>
    </xf>
    <xf numFmtId="1" fontId="16" fillId="2" borderId="6" xfId="0" applyNumberFormat="1" applyFont="1" applyFill="1" applyBorder="1" applyAlignment="1">
      <alignment horizontal="center" vertical="center"/>
    </xf>
    <xf numFmtId="1" fontId="17" fillId="2" borderId="6" xfId="0" applyNumberFormat="1" applyFont="1" applyFill="1" applyBorder="1" applyAlignment="1">
      <alignment horizontal="center" vertical="center"/>
    </xf>
    <xf numFmtId="1" fontId="28" fillId="2" borderId="6" xfId="0" applyNumberFormat="1" applyFont="1" applyFill="1" applyBorder="1" applyAlignment="1">
      <alignment horizontal="center" vertical="center"/>
    </xf>
    <xf numFmtId="1" fontId="28" fillId="2" borderId="6" xfId="0" applyNumberFormat="1" applyFont="1" applyFill="1" applyBorder="1" applyAlignment="1">
      <alignment horizontal="center"/>
    </xf>
    <xf numFmtId="1" fontId="16" fillId="2" borderId="6" xfId="0" applyNumberFormat="1" applyFont="1" applyFill="1" applyBorder="1"/>
    <xf numFmtId="1" fontId="28" fillId="2" borderId="6" xfId="0" applyNumberFormat="1" applyFont="1" applyFill="1" applyBorder="1"/>
    <xf numFmtId="0" fontId="16" fillId="2" borderId="6" xfId="0" applyFont="1" applyFill="1" applyBorder="1" applyAlignment="1">
      <alignment vertical="top" wrapText="1"/>
    </xf>
    <xf numFmtId="1" fontId="9" fillId="2" borderId="11" xfId="3" quotePrefix="1" applyNumberFormat="1" applyFont="1" applyFill="1" applyBorder="1" applyAlignment="1">
      <alignment horizontal="center" vertical="center" wrapText="1"/>
    </xf>
    <xf numFmtId="9" fontId="24" fillId="9" borderId="7" xfId="4" applyFont="1" applyFill="1" applyBorder="1"/>
    <xf numFmtId="9" fontId="24" fillId="9" borderId="7" xfId="4" quotePrefix="1" applyFont="1" applyFill="1" applyBorder="1" applyAlignment="1">
      <alignment horizontal="center"/>
    </xf>
    <xf numFmtId="9" fontId="24" fillId="9" borderId="7" xfId="2" applyFont="1" applyFill="1" applyBorder="1" applyAlignment="1">
      <alignment horizontal="center"/>
    </xf>
    <xf numFmtId="2" fontId="20" fillId="9" borderId="7" xfId="2" applyNumberFormat="1" applyFont="1" applyFill="1" applyBorder="1" applyAlignment="1">
      <alignment horizontal="center" vertical="center"/>
    </xf>
    <xf numFmtId="2" fontId="22" fillId="9" borderId="7" xfId="2" quotePrefix="1" applyNumberFormat="1" applyFont="1" applyFill="1" applyBorder="1" applyAlignment="1">
      <alignment horizontal="center" wrapText="1"/>
    </xf>
    <xf numFmtId="2" fontId="22" fillId="9" borderId="7" xfId="2" applyNumberFormat="1" applyFont="1" applyFill="1" applyBorder="1" applyAlignment="1">
      <alignment horizontal="center" vertical="center"/>
    </xf>
    <xf numFmtId="2" fontId="23" fillId="9" borderId="7" xfId="2" applyNumberFormat="1" applyFont="1" applyFill="1" applyBorder="1" applyAlignment="1">
      <alignment horizontal="center" vertical="center"/>
    </xf>
    <xf numFmtId="1" fontId="22" fillId="9" borderId="7" xfId="2" applyNumberFormat="1" applyFont="1" applyFill="1" applyBorder="1" applyAlignment="1">
      <alignment horizontal="center" vertical="center"/>
    </xf>
    <xf numFmtId="1" fontId="23" fillId="9" borderId="7" xfId="2" applyNumberFormat="1" applyFont="1" applyFill="1" applyBorder="1" applyAlignment="1">
      <alignment horizontal="center" vertical="center"/>
    </xf>
    <xf numFmtId="9" fontId="24" fillId="9" borderId="7" xfId="2" applyFont="1" applyFill="1" applyBorder="1" applyAlignment="1">
      <alignment vertical="top"/>
    </xf>
    <xf numFmtId="9" fontId="24" fillId="2" borderId="0" xfId="2" applyFont="1" applyFill="1"/>
    <xf numFmtId="9" fontId="24" fillId="9" borderId="8" xfId="4" applyFont="1" applyFill="1" applyBorder="1"/>
    <xf numFmtId="9" fontId="24" fillId="9" borderId="8" xfId="4" quotePrefix="1" applyFont="1" applyFill="1" applyBorder="1" applyAlignment="1">
      <alignment horizontal="center"/>
    </xf>
    <xf numFmtId="9" fontId="24" fillId="9" borderId="8" xfId="2" applyFont="1" applyFill="1" applyBorder="1" applyAlignment="1">
      <alignment horizontal="center"/>
    </xf>
    <xf numFmtId="1" fontId="20" fillId="9" borderId="8" xfId="2" applyNumberFormat="1" applyFont="1" applyFill="1" applyBorder="1" applyAlignment="1">
      <alignment horizontal="center" vertical="center"/>
    </xf>
    <xf numFmtId="1" fontId="22" fillId="9" borderId="8" xfId="2" applyNumberFormat="1" applyFont="1" applyFill="1" applyBorder="1" applyAlignment="1">
      <alignment horizontal="center" vertical="center"/>
    </xf>
    <xf numFmtId="1" fontId="23" fillId="9" borderId="8" xfId="2" applyNumberFormat="1" applyFont="1" applyFill="1" applyBorder="1" applyAlignment="1">
      <alignment horizontal="center" vertical="center"/>
    </xf>
    <xf numFmtId="9" fontId="24" fillId="9" borderId="8" xfId="2" applyFont="1" applyFill="1" applyBorder="1" applyAlignment="1">
      <alignment vertical="top"/>
    </xf>
    <xf numFmtId="9" fontId="16" fillId="9" borderId="16" xfId="4" applyFont="1" applyFill="1" applyBorder="1" applyAlignment="1">
      <alignment wrapText="1"/>
    </xf>
    <xf numFmtId="9" fontId="16" fillId="9" borderId="16" xfId="4" quotePrefix="1" applyFont="1" applyFill="1" applyBorder="1" applyAlignment="1">
      <alignment horizontal="center"/>
    </xf>
    <xf numFmtId="9" fontId="16" fillId="9" borderId="16" xfId="2" applyFont="1" applyFill="1" applyBorder="1" applyAlignment="1">
      <alignment horizontal="center"/>
    </xf>
    <xf numFmtId="1" fontId="16" fillId="9" borderId="16" xfId="2" applyNumberFormat="1" applyFont="1" applyFill="1" applyBorder="1" applyAlignment="1">
      <alignment horizontal="center" vertical="center"/>
    </xf>
    <xf numFmtId="1" fontId="17" fillId="9" borderId="16" xfId="2" applyNumberFormat="1" applyFont="1" applyFill="1" applyBorder="1" applyAlignment="1">
      <alignment horizontal="center" vertical="center"/>
    </xf>
    <xf numFmtId="1" fontId="28" fillId="9" borderId="16" xfId="2" applyNumberFormat="1" applyFont="1" applyFill="1" applyBorder="1" applyAlignment="1">
      <alignment horizontal="center" vertical="center"/>
    </xf>
    <xf numFmtId="9" fontId="16" fillId="9" borderId="16" xfId="2" applyFont="1" applyFill="1" applyBorder="1" applyAlignment="1">
      <alignment vertical="top" wrapText="1"/>
    </xf>
    <xf numFmtId="9" fontId="16" fillId="9" borderId="11" xfId="4" applyFont="1" applyFill="1" applyBorder="1" applyAlignment="1">
      <alignment wrapText="1"/>
    </xf>
    <xf numFmtId="9" fontId="16" fillId="9" borderId="11" xfId="4" quotePrefix="1" applyFont="1" applyFill="1" applyBorder="1" applyAlignment="1">
      <alignment horizontal="center"/>
    </xf>
    <xf numFmtId="9" fontId="16" fillId="9" borderId="11" xfId="2" applyFont="1" applyFill="1" applyBorder="1" applyAlignment="1">
      <alignment horizontal="center"/>
    </xf>
    <xf numFmtId="9" fontId="16" fillId="9" borderId="11" xfId="2" applyFont="1" applyFill="1" applyBorder="1" applyAlignment="1">
      <alignment horizontal="center" vertical="center"/>
    </xf>
    <xf numFmtId="9" fontId="17" fillId="9" borderId="11" xfId="2" applyFont="1" applyFill="1" applyBorder="1" applyAlignment="1">
      <alignment horizontal="center" vertical="center"/>
    </xf>
    <xf numFmtId="9" fontId="28" fillId="9" borderId="11" xfId="2" applyFont="1" applyFill="1" applyBorder="1" applyAlignment="1">
      <alignment horizontal="center" vertical="center"/>
    </xf>
    <xf numFmtId="9" fontId="16" fillId="9" borderId="11" xfId="2" applyFont="1" applyFill="1" applyBorder="1" applyAlignment="1">
      <alignment vertical="top" wrapText="1"/>
    </xf>
    <xf numFmtId="9" fontId="24" fillId="2" borderId="14" xfId="2" applyFont="1" applyFill="1" applyBorder="1" applyAlignment="1">
      <alignment wrapText="1"/>
    </xf>
    <xf numFmtId="9" fontId="75" fillId="2" borderId="14" xfId="2" quotePrefix="1" applyFont="1" applyFill="1" applyBorder="1" applyAlignment="1">
      <alignment horizontal="center"/>
    </xf>
    <xf numFmtId="9" fontId="75" fillId="2" borderId="14" xfId="2" applyFont="1" applyFill="1" applyBorder="1" applyAlignment="1">
      <alignment horizontal="center"/>
    </xf>
    <xf numFmtId="1" fontId="75" fillId="2" borderId="14" xfId="2" applyNumberFormat="1" applyFont="1" applyFill="1" applyBorder="1" applyAlignment="1">
      <alignment horizontal="center" vertical="center"/>
    </xf>
    <xf numFmtId="2" fontId="25" fillId="2" borderId="14" xfId="2" applyNumberFormat="1" applyFont="1" applyFill="1" applyBorder="1" applyAlignment="1">
      <alignment horizontal="center" vertical="center"/>
    </xf>
    <xf numFmtId="2" fontId="25" fillId="2" borderId="6" xfId="2" applyNumberFormat="1" applyFont="1" applyFill="1" applyBorder="1" applyAlignment="1">
      <alignment horizontal="center" vertical="center"/>
    </xf>
    <xf numFmtId="1" fontId="22" fillId="2" borderId="6" xfId="2" applyNumberFormat="1" applyFont="1" applyFill="1" applyBorder="1" applyAlignment="1">
      <alignment horizontal="center" vertical="center"/>
    </xf>
    <xf numFmtId="1" fontId="23" fillId="2" borderId="6" xfId="2" applyNumberFormat="1" applyFont="1" applyFill="1" applyBorder="1" applyAlignment="1">
      <alignment horizontal="center" vertical="center"/>
    </xf>
    <xf numFmtId="1" fontId="25" fillId="2" borderId="14" xfId="2" applyNumberFormat="1" applyFont="1" applyFill="1" applyBorder="1" applyAlignment="1">
      <alignment horizontal="left" vertical="center" wrapText="1"/>
    </xf>
    <xf numFmtId="0" fontId="24" fillId="9" borderId="7" xfId="3" applyFont="1" applyFill="1" applyBorder="1"/>
    <xf numFmtId="1" fontId="24" fillId="9" borderId="7" xfId="3" quotePrefix="1" applyNumberFormat="1" applyFont="1" applyFill="1" applyBorder="1" applyAlignment="1">
      <alignment horizontal="center"/>
    </xf>
    <xf numFmtId="1" fontId="24" fillId="9" borderId="7" xfId="0" applyNumberFormat="1" applyFont="1" applyFill="1" applyBorder="1" applyAlignment="1">
      <alignment horizontal="center"/>
    </xf>
    <xf numFmtId="2" fontId="20" fillId="9" borderId="7" xfId="0" applyNumberFormat="1" applyFont="1" applyFill="1" applyBorder="1" applyAlignment="1">
      <alignment horizontal="center" vertical="center"/>
    </xf>
    <xf numFmtId="164" fontId="22" fillId="9" borderId="7" xfId="0" applyNumberFormat="1" applyFont="1" applyFill="1" applyBorder="1" applyAlignment="1">
      <alignment horizontal="center" vertical="center"/>
    </xf>
    <xf numFmtId="164" fontId="23" fillId="9" borderId="7" xfId="0" applyNumberFormat="1" applyFont="1" applyFill="1" applyBorder="1" applyAlignment="1">
      <alignment horizontal="center" vertical="center"/>
    </xf>
    <xf numFmtId="0" fontId="24" fillId="9" borderId="8" xfId="3" applyFont="1" applyFill="1" applyBorder="1"/>
    <xf numFmtId="1" fontId="24" fillId="9" borderId="8" xfId="3" quotePrefix="1" applyNumberFormat="1" applyFont="1" applyFill="1" applyBorder="1" applyAlignment="1">
      <alignment horizontal="center"/>
    </xf>
    <xf numFmtId="1" fontId="24" fillId="9" borderId="8" xfId="0" applyNumberFormat="1" applyFont="1" applyFill="1" applyBorder="1" applyAlignment="1">
      <alignment horizontal="center"/>
    </xf>
    <xf numFmtId="2" fontId="20" fillId="9" borderId="8" xfId="0" applyNumberFormat="1" applyFont="1" applyFill="1" applyBorder="1" applyAlignment="1">
      <alignment horizontal="center" vertical="center"/>
    </xf>
    <xf numFmtId="0" fontId="16" fillId="9" borderId="16" xfId="3" applyFont="1" applyFill="1" applyBorder="1" applyAlignment="1">
      <alignment wrapText="1"/>
    </xf>
    <xf numFmtId="1" fontId="16" fillId="9" borderId="16" xfId="4" quotePrefix="1" applyNumberFormat="1" applyFont="1" applyFill="1" applyBorder="1" applyAlignment="1">
      <alignment horizontal="center"/>
    </xf>
    <xf numFmtId="1" fontId="16" fillId="9" borderId="16" xfId="0" applyNumberFormat="1" applyFont="1" applyFill="1" applyBorder="1" applyAlignment="1">
      <alignment horizontal="center"/>
    </xf>
    <xf numFmtId="1" fontId="28" fillId="9" borderId="16" xfId="0" applyNumberFormat="1" applyFont="1" applyFill="1" applyBorder="1" applyAlignment="1">
      <alignment horizontal="center"/>
    </xf>
    <xf numFmtId="1" fontId="16" fillId="9" borderId="16" xfId="0" applyNumberFormat="1" applyFont="1" applyFill="1" applyBorder="1"/>
    <xf numFmtId="1" fontId="28" fillId="9" borderId="16" xfId="0" applyNumberFormat="1" applyFont="1" applyFill="1" applyBorder="1"/>
    <xf numFmtId="0" fontId="16" fillId="9" borderId="11" xfId="3" applyFont="1" applyFill="1" applyBorder="1" applyAlignment="1">
      <alignment wrapText="1"/>
    </xf>
    <xf numFmtId="1" fontId="16" fillId="9" borderId="11" xfId="4" quotePrefix="1" applyNumberFormat="1" applyFont="1" applyFill="1" applyBorder="1" applyAlignment="1">
      <alignment horizontal="center"/>
    </xf>
    <xf numFmtId="1" fontId="16" fillId="9" borderId="11" xfId="0" applyNumberFormat="1" applyFont="1" applyFill="1" applyBorder="1" applyAlignment="1">
      <alignment horizontal="center"/>
    </xf>
    <xf numFmtId="1" fontId="28" fillId="9" borderId="11" xfId="0" applyNumberFormat="1" applyFont="1" applyFill="1" applyBorder="1" applyAlignment="1">
      <alignment horizontal="center"/>
    </xf>
    <xf numFmtId="1" fontId="16" fillId="9" borderId="11" xfId="0" applyNumberFormat="1" applyFont="1" applyFill="1" applyBorder="1"/>
    <xf numFmtId="1" fontId="28" fillId="9" borderId="11" xfId="0" applyNumberFormat="1" applyFont="1" applyFill="1" applyBorder="1"/>
    <xf numFmtId="1" fontId="24" fillId="2" borderId="7" xfId="3" quotePrefix="1" applyNumberFormat="1" applyFont="1" applyFill="1" applyBorder="1" applyAlignment="1">
      <alignment horizontal="center"/>
    </xf>
    <xf numFmtId="1" fontId="24" fillId="2" borderId="7" xfId="0" applyNumberFormat="1" applyFont="1" applyFill="1" applyBorder="1" applyAlignment="1">
      <alignment horizontal="center"/>
    </xf>
    <xf numFmtId="2" fontId="20" fillId="2" borderId="7" xfId="0" applyNumberFormat="1" applyFont="1" applyFill="1" applyBorder="1" applyAlignment="1">
      <alignment horizontal="center" vertical="center"/>
    </xf>
    <xf numFmtId="164" fontId="23" fillId="2" borderId="7" xfId="0" applyNumberFormat="1" applyFont="1" applyFill="1" applyBorder="1" applyAlignment="1">
      <alignment horizontal="center" vertical="center" wrapText="1"/>
    </xf>
    <xf numFmtId="1" fontId="23" fillId="2" borderId="7" xfId="0" applyNumberFormat="1" applyFont="1" applyFill="1" applyBorder="1" applyAlignment="1">
      <alignment horizontal="center" vertical="center" wrapText="1"/>
    </xf>
    <xf numFmtId="1" fontId="23" fillId="0" borderId="7" xfId="0" applyNumberFormat="1" applyFont="1" applyBorder="1" applyAlignment="1">
      <alignment horizontal="center" vertical="center" wrapText="1"/>
    </xf>
    <xf numFmtId="1" fontId="22" fillId="0" borderId="7" xfId="0" applyNumberFormat="1" applyFont="1" applyBorder="1" applyAlignment="1">
      <alignment horizontal="center" vertical="center" wrapText="1"/>
    </xf>
    <xf numFmtId="1" fontId="24" fillId="2" borderId="8" xfId="3" quotePrefix="1" applyNumberFormat="1" applyFont="1" applyFill="1" applyBorder="1" applyAlignment="1">
      <alignment horizontal="center"/>
    </xf>
    <xf numFmtId="1" fontId="24" fillId="2" borderId="8" xfId="0" applyNumberFormat="1" applyFont="1" applyFill="1" applyBorder="1" applyAlignment="1">
      <alignment horizontal="center"/>
    </xf>
    <xf numFmtId="2" fontId="20" fillId="2" borderId="8" xfId="0" applyNumberFormat="1" applyFont="1" applyFill="1" applyBorder="1" applyAlignment="1">
      <alignment horizontal="center" vertical="center"/>
    </xf>
    <xf numFmtId="0" fontId="36" fillId="9" borderId="6" xfId="3" quotePrefix="1" applyFont="1" applyFill="1" applyBorder="1" applyAlignment="1">
      <alignment vertical="top" wrapText="1"/>
    </xf>
    <xf numFmtId="1" fontId="16" fillId="9" borderId="6" xfId="4" quotePrefix="1" applyNumberFormat="1" applyFont="1" applyFill="1" applyBorder="1" applyAlignment="1">
      <alignment horizontal="center"/>
    </xf>
    <xf numFmtId="1" fontId="16" fillId="9" borderId="6" xfId="0" applyNumberFormat="1" applyFont="1" applyFill="1" applyBorder="1" applyAlignment="1">
      <alignment horizontal="center"/>
    </xf>
    <xf numFmtId="2" fontId="76" fillId="9" borderId="17" xfId="0" applyNumberFormat="1" applyFont="1" applyFill="1" applyBorder="1" applyAlignment="1">
      <alignment horizontal="center" vertical="center"/>
    </xf>
    <xf numFmtId="2" fontId="10" fillId="9" borderId="17" xfId="0" applyNumberFormat="1" applyFont="1" applyFill="1" applyBorder="1" applyAlignment="1">
      <alignment horizontal="center" vertical="center"/>
    </xf>
    <xf numFmtId="2" fontId="54" fillId="9" borderId="17" xfId="0" applyNumberFormat="1" applyFont="1" applyFill="1" applyBorder="1" applyAlignment="1">
      <alignment horizontal="center" vertical="center"/>
    </xf>
    <xf numFmtId="2" fontId="20" fillId="9" borderId="17" xfId="0" quotePrefix="1" applyNumberFormat="1" applyFont="1" applyFill="1" applyBorder="1" applyAlignment="1">
      <alignment horizontal="center" vertical="center" wrapText="1"/>
    </xf>
    <xf numFmtId="2" fontId="23" fillId="9" borderId="17" xfId="0" applyNumberFormat="1" applyFont="1" applyFill="1" applyBorder="1" applyAlignment="1">
      <alignment horizontal="center" vertical="center"/>
    </xf>
    <xf numFmtId="1" fontId="26" fillId="9" borderId="6" xfId="0" applyNumberFormat="1" applyFont="1" applyFill="1" applyBorder="1" applyAlignment="1">
      <alignment horizontal="center" vertical="center" wrapText="1"/>
    </xf>
    <xf numFmtId="1" fontId="32" fillId="9" borderId="7" xfId="0" applyNumberFormat="1" applyFont="1" applyFill="1" applyBorder="1" applyAlignment="1">
      <alignment horizontal="center" vertical="center"/>
    </xf>
    <xf numFmtId="1" fontId="77" fillId="9" borderId="7" xfId="0" quotePrefix="1" applyNumberFormat="1" applyFont="1" applyFill="1" applyBorder="1" applyAlignment="1">
      <alignment horizontal="center" vertical="center" wrapText="1"/>
    </xf>
    <xf numFmtId="1" fontId="31" fillId="9" borderId="7" xfId="0" quotePrefix="1" applyNumberFormat="1" applyFont="1" applyFill="1" applyBorder="1" applyAlignment="1">
      <alignment horizontal="center" vertical="center" wrapText="1"/>
    </xf>
    <xf numFmtId="1" fontId="32" fillId="9" borderId="7" xfId="0" quotePrefix="1" applyNumberFormat="1" applyFont="1" applyFill="1" applyBorder="1" applyAlignment="1">
      <alignment horizontal="center" vertical="center" wrapText="1"/>
    </xf>
    <xf numFmtId="0" fontId="16" fillId="9" borderId="6" xfId="0" quotePrefix="1" applyFont="1" applyFill="1" applyBorder="1" applyAlignment="1">
      <alignment vertical="top" wrapText="1"/>
    </xf>
    <xf numFmtId="1" fontId="17" fillId="9" borderId="6" xfId="2" quotePrefix="1" applyNumberFormat="1" applyFont="1" applyFill="1" applyBorder="1" applyAlignment="1">
      <alignment horizontal="center" wrapText="1"/>
    </xf>
    <xf numFmtId="1" fontId="24" fillId="0" borderId="7" xfId="3" quotePrefix="1" applyNumberFormat="1" applyFont="1" applyBorder="1" applyAlignment="1">
      <alignment horizontal="center" vertical="center"/>
    </xf>
    <xf numFmtId="1" fontId="24" fillId="0" borderId="7" xfId="0" quotePrefix="1" applyNumberFormat="1" applyFont="1" applyBorder="1" applyAlignment="1">
      <alignment horizontal="center" vertical="center"/>
    </xf>
    <xf numFmtId="1" fontId="22" fillId="0" borderId="7" xfId="0" applyNumberFormat="1" applyFont="1" applyBorder="1" applyAlignment="1">
      <alignment horizontal="center" vertical="center"/>
    </xf>
    <xf numFmtId="1" fontId="23" fillId="0" borderId="7" xfId="0" applyNumberFormat="1" applyFont="1" applyBorder="1" applyAlignment="1">
      <alignment horizontal="center" vertical="center"/>
    </xf>
    <xf numFmtId="2" fontId="22" fillId="0" borderId="7" xfId="0" applyNumberFormat="1" applyFont="1" applyBorder="1" applyAlignment="1">
      <alignment horizontal="center" vertical="center" wrapText="1"/>
    </xf>
    <xf numFmtId="2" fontId="23" fillId="0" borderId="7" xfId="0" applyNumberFormat="1" applyFont="1" applyBorder="1" applyAlignment="1">
      <alignment horizontal="center" vertical="center" wrapText="1"/>
    </xf>
    <xf numFmtId="0" fontId="24" fillId="0" borderId="7" xfId="0" applyFont="1" applyBorder="1" applyAlignment="1">
      <alignment vertical="top" wrapText="1"/>
    </xf>
    <xf numFmtId="1" fontId="24" fillId="0" borderId="6" xfId="3" quotePrefix="1" applyNumberFormat="1" applyFont="1" applyBorder="1" applyAlignment="1">
      <alignment horizontal="center" vertical="center"/>
    </xf>
    <xf numFmtId="1" fontId="24" fillId="0" borderId="6" xfId="0" quotePrefix="1" applyNumberFormat="1" applyFont="1" applyBorder="1" applyAlignment="1">
      <alignment horizontal="center" vertical="center"/>
    </xf>
    <xf numFmtId="1" fontId="22" fillId="0" borderId="6" xfId="0" applyNumberFormat="1" applyFont="1" applyBorder="1" applyAlignment="1">
      <alignment horizontal="center" vertical="center"/>
    </xf>
    <xf numFmtId="1" fontId="23" fillId="0" borderId="6" xfId="0" applyNumberFormat="1" applyFont="1" applyBorder="1" applyAlignment="1">
      <alignment horizontal="center" vertical="center"/>
    </xf>
    <xf numFmtId="1" fontId="9" fillId="0" borderId="6" xfId="0" quotePrefix="1" applyNumberFormat="1" applyFont="1" applyBorder="1" applyAlignment="1">
      <alignment horizontal="center" wrapText="1"/>
    </xf>
    <xf numFmtId="164" fontId="20" fillId="0" borderId="6" xfId="0" applyNumberFormat="1" applyFont="1" applyBorder="1" applyAlignment="1">
      <alignment horizontal="center" vertical="center"/>
    </xf>
    <xf numFmtId="164" fontId="22" fillId="0" borderId="6" xfId="0" applyNumberFormat="1" applyFont="1" applyBorder="1" applyAlignment="1">
      <alignment horizontal="center" vertical="center"/>
    </xf>
    <xf numFmtId="164" fontId="23" fillId="0" borderId="6" xfId="0" applyNumberFormat="1" applyFont="1" applyBorder="1" applyAlignment="1">
      <alignment horizontal="center" vertical="center"/>
    </xf>
    <xf numFmtId="0" fontId="24" fillId="0" borderId="6" xfId="0" applyFont="1" applyBorder="1" applyAlignment="1">
      <alignment vertical="top" wrapText="1"/>
    </xf>
    <xf numFmtId="1" fontId="21" fillId="9" borderId="7" xfId="0" applyNumberFormat="1" applyFont="1" applyFill="1" applyBorder="1" applyAlignment="1">
      <alignment horizontal="center" vertical="center"/>
    </xf>
    <xf numFmtId="164" fontId="74" fillId="9" borderId="6" xfId="0" applyNumberFormat="1" applyFont="1" applyFill="1" applyBorder="1" applyAlignment="1">
      <alignment horizontal="center" vertical="center"/>
    </xf>
    <xf numFmtId="1" fontId="21" fillId="9" borderId="16" xfId="0" applyNumberFormat="1" applyFont="1" applyFill="1" applyBorder="1" applyAlignment="1">
      <alignment horizontal="center" vertical="center"/>
    </xf>
    <xf numFmtId="1" fontId="24" fillId="0" borderId="7" xfId="3" quotePrefix="1" applyNumberFormat="1" applyFont="1" applyBorder="1" applyAlignment="1">
      <alignment vertical="center"/>
    </xf>
    <xf numFmtId="1" fontId="22" fillId="0" borderId="7" xfId="0" quotePrefix="1" applyNumberFormat="1" applyFont="1" applyBorder="1" applyAlignment="1">
      <alignment horizontal="center" vertical="center"/>
    </xf>
    <xf numFmtId="1" fontId="24" fillId="0" borderId="6" xfId="3" quotePrefix="1" applyNumberFormat="1" applyFont="1" applyBorder="1" applyAlignment="1">
      <alignment vertical="center"/>
    </xf>
    <xf numFmtId="164" fontId="74" fillId="0" borderId="6" xfId="0" applyNumberFormat="1" applyFont="1" applyBorder="1" applyAlignment="1">
      <alignment horizontal="center" vertical="center"/>
    </xf>
    <xf numFmtId="1" fontId="22" fillId="0" borderId="14" xfId="0" quotePrefix="1" applyNumberFormat="1" applyFont="1" applyBorder="1" applyAlignment="1">
      <alignment horizontal="center" vertical="center"/>
    </xf>
    <xf numFmtId="1" fontId="24" fillId="0" borderId="11" xfId="3" quotePrefix="1" applyNumberFormat="1" applyFont="1" applyBorder="1" applyAlignment="1">
      <alignment vertical="center"/>
    </xf>
    <xf numFmtId="1" fontId="24" fillId="0" borderId="11" xfId="3" quotePrefix="1" applyNumberFormat="1" applyFont="1" applyBorder="1" applyAlignment="1">
      <alignment horizontal="center" vertical="center"/>
    </xf>
    <xf numFmtId="164" fontId="74" fillId="0" borderId="11" xfId="0" applyNumberFormat="1" applyFont="1" applyBorder="1" applyAlignment="1">
      <alignment horizontal="center" vertical="center"/>
    </xf>
    <xf numFmtId="1" fontId="23" fillId="0" borderId="11" xfId="0" quotePrefix="1" applyNumberFormat="1" applyFont="1" applyBorder="1" applyAlignment="1">
      <alignment horizontal="center" vertical="center"/>
    </xf>
    <xf numFmtId="0" fontId="25" fillId="0" borderId="11" xfId="3" applyFont="1" applyBorder="1" applyAlignment="1">
      <alignment horizontal="left" vertical="top" wrapText="1"/>
    </xf>
    <xf numFmtId="1" fontId="24" fillId="0" borderId="11" xfId="3" quotePrefix="1" applyNumberFormat="1" applyFont="1" applyBorder="1" applyAlignment="1">
      <alignment horizontal="right" vertical="center" wrapText="1"/>
    </xf>
    <xf numFmtId="164" fontId="22" fillId="0" borderId="11" xfId="0" quotePrefix="1" applyNumberFormat="1" applyFont="1" applyBorder="1" applyAlignment="1">
      <alignment horizontal="center" vertical="center"/>
    </xf>
    <xf numFmtId="1" fontId="22" fillId="0" borderId="11" xfId="0" quotePrefix="1" applyNumberFormat="1" applyFont="1" applyBorder="1" applyAlignment="1">
      <alignment horizontal="center" vertical="center"/>
    </xf>
    <xf numFmtId="0" fontId="24" fillId="0" borderId="11" xfId="3" applyFont="1" applyBorder="1" applyAlignment="1">
      <alignment horizontal="left" vertical="top" wrapText="1"/>
    </xf>
    <xf numFmtId="0" fontId="12" fillId="8" borderId="5" xfId="0" applyFont="1" applyFill="1" applyBorder="1" applyAlignment="1">
      <alignment horizontal="center"/>
    </xf>
    <xf numFmtId="2" fontId="22" fillId="2" borderId="7" xfId="0" applyNumberFormat="1" applyFont="1" applyFill="1" applyBorder="1" applyAlignment="1">
      <alignment horizontal="center" vertical="center" wrapText="1"/>
    </xf>
    <xf numFmtId="2" fontId="22" fillId="2" borderId="7" xfId="0" applyNumberFormat="1" applyFont="1" applyFill="1" applyBorder="1" applyAlignment="1">
      <alignment horizontal="center" wrapText="1"/>
    </xf>
    <xf numFmtId="2" fontId="20" fillId="2" borderId="7" xfId="0" applyNumberFormat="1" applyFont="1" applyFill="1" applyBorder="1" applyAlignment="1">
      <alignment horizontal="center" vertical="center" wrapText="1"/>
    </xf>
    <xf numFmtId="0" fontId="24" fillId="2" borderId="6" xfId="3" applyFont="1" applyFill="1" applyBorder="1" applyAlignment="1">
      <alignment vertical="top" wrapText="1"/>
    </xf>
    <xf numFmtId="1" fontId="24" fillId="2" borderId="6" xfId="3" quotePrefix="1" applyNumberFormat="1" applyFont="1" applyFill="1" applyBorder="1" applyAlignment="1">
      <alignment horizontal="center"/>
    </xf>
    <xf numFmtId="1" fontId="24" fillId="2" borderId="6" xfId="0" applyNumberFormat="1" applyFont="1" applyFill="1" applyBorder="1" applyAlignment="1">
      <alignment horizontal="center"/>
    </xf>
    <xf numFmtId="2" fontId="20" fillId="2" borderId="6" xfId="0" applyNumberFormat="1" applyFont="1" applyFill="1" applyBorder="1" applyAlignment="1">
      <alignment horizontal="center" vertical="center"/>
    </xf>
    <xf numFmtId="0" fontId="24" fillId="2" borderId="6" xfId="0" applyFont="1" applyFill="1" applyBorder="1" applyAlignment="1">
      <alignment vertical="top" wrapText="1"/>
    </xf>
    <xf numFmtId="1" fontId="25" fillId="2" borderId="6" xfId="0" applyNumberFormat="1" applyFont="1" applyFill="1" applyBorder="1" applyAlignment="1">
      <alignment horizontal="center" vertical="center" wrapText="1"/>
    </xf>
    <xf numFmtId="2" fontId="22" fillId="2" borderId="6" xfId="0" applyNumberFormat="1" applyFont="1" applyFill="1" applyBorder="1" applyAlignment="1">
      <alignment horizontal="center" wrapText="1"/>
    </xf>
    <xf numFmtId="1" fontId="25" fillId="2" borderId="8" xfId="0" applyNumberFormat="1" applyFont="1" applyFill="1" applyBorder="1" applyAlignment="1">
      <alignment horizontal="center" vertical="center" wrapText="1"/>
    </xf>
    <xf numFmtId="2" fontId="28" fillId="2" borderId="16" xfId="2" quotePrefix="1" applyNumberFormat="1" applyFont="1" applyFill="1" applyBorder="1" applyAlignment="1">
      <alignment horizontal="center" vertical="center" wrapText="1"/>
    </xf>
    <xf numFmtId="2" fontId="17" fillId="2" borderId="16" xfId="0" applyNumberFormat="1" applyFont="1" applyFill="1" applyBorder="1" applyAlignment="1">
      <alignment horizontal="center" wrapText="1"/>
    </xf>
    <xf numFmtId="1" fontId="16" fillId="2" borderId="6" xfId="4" quotePrefix="1" applyNumberFormat="1" applyFont="1" applyFill="1" applyBorder="1" applyAlignment="1">
      <alignment horizontal="center" vertical="center" wrapText="1"/>
    </xf>
    <xf numFmtId="2" fontId="28" fillId="2" borderId="6" xfId="2" quotePrefix="1" applyNumberFormat="1" applyFont="1" applyFill="1" applyBorder="1" applyAlignment="1">
      <alignment horizontal="center" vertical="center" wrapText="1"/>
    </xf>
    <xf numFmtId="2" fontId="17" fillId="2" borderId="6" xfId="2" quotePrefix="1" applyNumberFormat="1" applyFont="1" applyFill="1" applyBorder="1" applyAlignment="1">
      <alignment horizontal="center" vertical="center" wrapText="1"/>
    </xf>
    <xf numFmtId="1" fontId="16" fillId="2" borderId="6" xfId="0" applyNumberFormat="1" applyFont="1" applyFill="1" applyBorder="1" applyAlignment="1">
      <alignment horizontal="center"/>
    </xf>
    <xf numFmtId="2" fontId="17" fillId="2" borderId="6" xfId="0" applyNumberFormat="1" applyFont="1" applyFill="1" applyBorder="1" applyAlignment="1">
      <alignment horizontal="center" wrapText="1"/>
    </xf>
    <xf numFmtId="0" fontId="16" fillId="2" borderId="8" xfId="3" applyFont="1" applyFill="1" applyBorder="1" applyAlignment="1">
      <alignment vertical="top" wrapText="1"/>
    </xf>
    <xf numFmtId="1" fontId="16" fillId="2" borderId="8" xfId="4" quotePrefix="1" applyNumberFormat="1" applyFont="1" applyFill="1" applyBorder="1" applyAlignment="1">
      <alignment horizontal="center" vertical="center" wrapText="1"/>
    </xf>
    <xf numFmtId="1" fontId="16" fillId="2" borderId="8" xfId="0" applyNumberFormat="1" applyFont="1" applyFill="1" applyBorder="1" applyAlignment="1">
      <alignment horizontal="center" vertical="center"/>
    </xf>
    <xf numFmtId="2" fontId="17" fillId="2" borderId="8" xfId="2" quotePrefix="1" applyNumberFormat="1" applyFont="1" applyFill="1" applyBorder="1" applyAlignment="1">
      <alignment horizontal="center" vertical="center" wrapText="1"/>
    </xf>
    <xf numFmtId="2" fontId="28" fillId="2" borderId="8" xfId="2" quotePrefix="1" applyNumberFormat="1" applyFont="1" applyFill="1" applyBorder="1" applyAlignment="1">
      <alignment horizontal="center" vertical="center" wrapText="1"/>
    </xf>
    <xf numFmtId="1" fontId="28" fillId="2" borderId="8" xfId="0" applyNumberFormat="1" applyFont="1" applyFill="1" applyBorder="1" applyAlignment="1">
      <alignment horizontal="center"/>
    </xf>
    <xf numFmtId="1" fontId="16" fillId="2" borderId="8" xfId="0" applyNumberFormat="1" applyFont="1" applyFill="1" applyBorder="1"/>
    <xf numFmtId="1" fontId="16" fillId="2" borderId="8" xfId="0" applyNumberFormat="1" applyFont="1" applyFill="1" applyBorder="1" applyAlignment="1">
      <alignment horizontal="center"/>
    </xf>
    <xf numFmtId="0" fontId="16" fillId="2" borderId="8" xfId="0" applyFont="1" applyFill="1" applyBorder="1" applyAlignment="1">
      <alignment vertical="top" wrapText="1"/>
    </xf>
    <xf numFmtId="0" fontId="19" fillId="2" borderId="9" xfId="3" applyFont="1" applyFill="1" applyBorder="1" applyAlignment="1">
      <alignment vertical="top" wrapText="1"/>
    </xf>
    <xf numFmtId="1" fontId="19" fillId="2" borderId="9" xfId="3" quotePrefix="1" applyNumberFormat="1" applyFont="1" applyFill="1" applyBorder="1" applyAlignment="1">
      <alignment horizontal="center"/>
    </xf>
    <xf numFmtId="1" fontId="19" fillId="2" borderId="9" xfId="0" applyNumberFormat="1" applyFont="1" applyFill="1" applyBorder="1" applyAlignment="1">
      <alignment horizontal="center"/>
    </xf>
    <xf numFmtId="2" fontId="31" fillId="2" borderId="9" xfId="0" applyNumberFormat="1" applyFont="1" applyFill="1" applyBorder="1" applyAlignment="1">
      <alignment horizontal="center" vertical="center"/>
    </xf>
    <xf numFmtId="2" fontId="32" fillId="2" borderId="9" xfId="0" applyNumberFormat="1" applyFont="1" applyFill="1" applyBorder="1" applyAlignment="1">
      <alignment horizontal="center" vertical="center"/>
    </xf>
    <xf numFmtId="2" fontId="31" fillId="0" borderId="9" xfId="0" applyNumberFormat="1" applyFont="1" applyBorder="1" applyAlignment="1">
      <alignment horizontal="center" vertical="center"/>
    </xf>
    <xf numFmtId="2" fontId="31" fillId="2" borderId="9" xfId="0" applyNumberFormat="1" applyFont="1" applyFill="1" applyBorder="1" applyAlignment="1">
      <alignment horizontal="center" vertical="center" wrapText="1"/>
    </xf>
    <xf numFmtId="2" fontId="36" fillId="2" borderId="9" xfId="0" applyNumberFormat="1" applyFont="1" applyFill="1" applyBorder="1" applyAlignment="1">
      <alignment horizontal="center" vertical="center" wrapText="1"/>
    </xf>
    <xf numFmtId="0" fontId="19" fillId="2" borderId="9" xfId="0" applyFont="1" applyFill="1" applyBorder="1" applyAlignment="1">
      <alignment vertical="top" wrapText="1"/>
    </xf>
    <xf numFmtId="0" fontId="16" fillId="2" borderId="10" xfId="3" applyFont="1" applyFill="1" applyBorder="1" applyAlignment="1">
      <alignment vertical="top" wrapText="1"/>
    </xf>
    <xf numFmtId="1" fontId="16" fillId="2" borderId="10" xfId="4" quotePrefix="1" applyNumberFormat="1" applyFont="1" applyFill="1" applyBorder="1" applyAlignment="1">
      <alignment horizontal="center" vertical="center" wrapText="1"/>
    </xf>
    <xf numFmtId="1" fontId="17" fillId="2" borderId="10" xfId="2" quotePrefix="1" applyNumberFormat="1" applyFont="1" applyFill="1" applyBorder="1" applyAlignment="1">
      <alignment horizontal="center" vertical="center" wrapText="1"/>
    </xf>
    <xf numFmtId="1" fontId="28" fillId="2" borderId="10" xfId="2" quotePrefix="1" applyNumberFormat="1" applyFont="1" applyFill="1" applyBorder="1" applyAlignment="1">
      <alignment horizontal="center" vertical="center" wrapText="1"/>
    </xf>
    <xf numFmtId="1" fontId="17" fillId="2" borderId="10" xfId="0" applyNumberFormat="1" applyFont="1" applyFill="1" applyBorder="1" applyAlignment="1">
      <alignment horizontal="center" wrapText="1"/>
    </xf>
    <xf numFmtId="1" fontId="28" fillId="2" borderId="10" xfId="0" applyNumberFormat="1" applyFont="1" applyFill="1" applyBorder="1" applyAlignment="1">
      <alignment horizontal="center" wrapText="1"/>
    </xf>
    <xf numFmtId="1" fontId="28" fillId="2" borderId="10" xfId="0" applyNumberFormat="1" applyFont="1" applyFill="1" applyBorder="1" applyAlignment="1">
      <alignment horizontal="center"/>
    </xf>
    <xf numFmtId="1" fontId="16" fillId="2" borderId="10" xfId="0" applyNumberFormat="1" applyFont="1" applyFill="1" applyBorder="1"/>
    <xf numFmtId="1" fontId="16" fillId="2" borderId="10" xfId="0" applyNumberFormat="1" applyFont="1" applyFill="1" applyBorder="1" applyAlignment="1">
      <alignment horizontal="center"/>
    </xf>
    <xf numFmtId="0" fontId="16" fillId="2" borderId="10" xfId="0" applyFont="1" applyFill="1" applyBorder="1" applyAlignment="1">
      <alignment vertical="top" wrapText="1"/>
    </xf>
    <xf numFmtId="0" fontId="24" fillId="9" borderId="7" xfId="3" applyFont="1" applyFill="1" applyBorder="1" applyAlignment="1">
      <alignment vertical="top" wrapText="1"/>
    </xf>
    <xf numFmtId="1" fontId="24" fillId="9" borderId="7" xfId="3" quotePrefix="1" applyNumberFormat="1" applyFont="1" applyFill="1" applyBorder="1" applyAlignment="1">
      <alignment horizontal="center" vertical="center"/>
    </xf>
    <xf numFmtId="1" fontId="24" fillId="9" borderId="7" xfId="0" quotePrefix="1" applyNumberFormat="1" applyFont="1" applyFill="1" applyBorder="1" applyAlignment="1">
      <alignment horizontal="center" vertical="center"/>
    </xf>
    <xf numFmtId="2" fontId="22" fillId="9" borderId="7" xfId="0" applyNumberFormat="1" applyFont="1" applyFill="1" applyBorder="1" applyAlignment="1">
      <alignment horizontal="center" vertical="center" wrapText="1"/>
    </xf>
    <xf numFmtId="2" fontId="20" fillId="9" borderId="7" xfId="0" applyNumberFormat="1" applyFont="1" applyFill="1" applyBorder="1" applyAlignment="1">
      <alignment horizontal="center" vertical="center" wrapText="1"/>
    </xf>
    <xf numFmtId="0" fontId="24" fillId="9" borderId="6" xfId="3" applyFont="1" applyFill="1" applyBorder="1" applyAlignment="1">
      <alignment vertical="top" wrapText="1"/>
    </xf>
    <xf numFmtId="1" fontId="24" fillId="9" borderId="6" xfId="3" quotePrefix="1" applyNumberFormat="1" applyFont="1" applyFill="1" applyBorder="1" applyAlignment="1">
      <alignment horizontal="center" vertical="center"/>
    </xf>
    <xf numFmtId="1" fontId="24" fillId="9" borderId="6" xfId="0" quotePrefix="1" applyNumberFormat="1" applyFont="1" applyFill="1" applyBorder="1" applyAlignment="1">
      <alignment horizontal="center" vertical="center"/>
    </xf>
    <xf numFmtId="2" fontId="22" fillId="9" borderId="6" xfId="0" applyNumberFormat="1" applyFont="1" applyFill="1" applyBorder="1" applyAlignment="1">
      <alignment horizontal="center" vertical="center" wrapText="1"/>
    </xf>
    <xf numFmtId="0" fontId="24" fillId="9" borderId="6" xfId="0" applyFont="1" applyFill="1" applyBorder="1" applyAlignment="1">
      <alignment vertical="top" wrapText="1"/>
    </xf>
    <xf numFmtId="0" fontId="24" fillId="9" borderId="8" xfId="3" applyFont="1" applyFill="1" applyBorder="1" applyAlignment="1">
      <alignment vertical="top" wrapText="1"/>
    </xf>
    <xf numFmtId="1" fontId="24" fillId="9" borderId="8" xfId="3" quotePrefix="1" applyNumberFormat="1" applyFont="1" applyFill="1" applyBorder="1" applyAlignment="1">
      <alignment horizontal="center" vertical="center"/>
    </xf>
    <xf numFmtId="1" fontId="24" fillId="9" borderId="8" xfId="0" quotePrefix="1" applyNumberFormat="1" applyFont="1" applyFill="1" applyBorder="1" applyAlignment="1">
      <alignment horizontal="center" vertical="center"/>
    </xf>
    <xf numFmtId="2" fontId="22" fillId="9" borderId="8" xfId="0" applyNumberFormat="1" applyFont="1" applyFill="1" applyBorder="1" applyAlignment="1">
      <alignment horizontal="center" vertical="center" wrapText="1"/>
    </xf>
    <xf numFmtId="0" fontId="24" fillId="9" borderId="8" xfId="0" applyFont="1" applyFill="1" applyBorder="1" applyAlignment="1">
      <alignment vertical="top" wrapText="1"/>
    </xf>
    <xf numFmtId="0" fontId="16" fillId="9" borderId="16" xfId="3" applyFont="1" applyFill="1" applyBorder="1" applyAlignment="1">
      <alignment horizontal="right" vertical="top" wrapText="1"/>
    </xf>
    <xf numFmtId="2" fontId="17" fillId="9" borderId="16" xfId="2" quotePrefix="1" applyNumberFormat="1" applyFont="1" applyFill="1" applyBorder="1" applyAlignment="1">
      <alignment horizontal="center" wrapText="1"/>
    </xf>
    <xf numFmtId="2" fontId="17" fillId="9" borderId="16" xfId="2" quotePrefix="1" applyNumberFormat="1" applyFont="1" applyFill="1" applyBorder="1" applyAlignment="1">
      <alignment horizontal="center" vertical="center" wrapText="1"/>
    </xf>
    <xf numFmtId="2" fontId="28" fillId="9" borderId="16" xfId="2" quotePrefix="1" applyNumberFormat="1" applyFont="1" applyFill="1" applyBorder="1" applyAlignment="1">
      <alignment horizontal="center" vertical="center" wrapText="1"/>
    </xf>
    <xf numFmtId="2" fontId="17" fillId="9" borderId="16" xfId="0" applyNumberFormat="1" applyFont="1" applyFill="1" applyBorder="1" applyAlignment="1">
      <alignment horizontal="center" wrapText="1"/>
    </xf>
    <xf numFmtId="1" fontId="16" fillId="9" borderId="6" xfId="4" quotePrefix="1" applyNumberFormat="1" applyFont="1" applyFill="1" applyBorder="1" applyAlignment="1">
      <alignment horizontal="center" vertical="center" wrapText="1"/>
    </xf>
    <xf numFmtId="2" fontId="17" fillId="9" borderId="6" xfId="2" quotePrefix="1" applyNumberFormat="1" applyFont="1" applyFill="1" applyBorder="1" applyAlignment="1">
      <alignment horizontal="center" wrapText="1"/>
    </xf>
    <xf numFmtId="2" fontId="17" fillId="9" borderId="6" xfId="2" quotePrefix="1" applyNumberFormat="1" applyFont="1" applyFill="1" applyBorder="1" applyAlignment="1">
      <alignment horizontal="center" vertical="center" wrapText="1"/>
    </xf>
    <xf numFmtId="2" fontId="28" fillId="9" borderId="6" xfId="2" quotePrefix="1" applyNumberFormat="1" applyFont="1" applyFill="1" applyBorder="1" applyAlignment="1">
      <alignment horizontal="center" vertical="center" wrapText="1"/>
    </xf>
    <xf numFmtId="2" fontId="17" fillId="9" borderId="6" xfId="0" applyNumberFormat="1" applyFont="1" applyFill="1" applyBorder="1" applyAlignment="1">
      <alignment horizontal="center" wrapText="1"/>
    </xf>
    <xf numFmtId="1" fontId="16" fillId="9" borderId="11" xfId="4" quotePrefix="1" applyNumberFormat="1" applyFont="1" applyFill="1" applyBorder="1" applyAlignment="1">
      <alignment horizontal="center" vertical="center" wrapText="1"/>
    </xf>
    <xf numFmtId="2" fontId="17" fillId="9" borderId="11" xfId="2" quotePrefix="1" applyNumberFormat="1" applyFont="1" applyFill="1" applyBorder="1" applyAlignment="1">
      <alignment horizontal="center" wrapText="1"/>
    </xf>
    <xf numFmtId="2" fontId="17" fillId="9" borderId="11" xfId="2" quotePrefix="1" applyNumberFormat="1" applyFont="1" applyFill="1" applyBorder="1" applyAlignment="1">
      <alignment horizontal="center" vertical="center" wrapText="1"/>
    </xf>
    <xf numFmtId="2" fontId="28" fillId="9" borderId="11" xfId="2" quotePrefix="1" applyNumberFormat="1" applyFont="1" applyFill="1" applyBorder="1" applyAlignment="1">
      <alignment horizontal="center" vertical="center" wrapText="1"/>
    </xf>
    <xf numFmtId="1" fontId="22" fillId="2" borderId="7" xfId="0" applyNumberFormat="1" applyFont="1" applyFill="1" applyBorder="1" applyAlignment="1">
      <alignment horizontal="center" vertical="center" wrapText="1"/>
    </xf>
    <xf numFmtId="1" fontId="20" fillId="2" borderId="7" xfId="0" applyNumberFormat="1" applyFont="1" applyFill="1" applyBorder="1" applyAlignment="1">
      <alignment horizontal="center" vertical="center" wrapText="1"/>
    </xf>
    <xf numFmtId="1" fontId="17" fillId="2" borderId="16" xfId="2" quotePrefix="1" applyNumberFormat="1" applyFont="1" applyFill="1" applyBorder="1" applyAlignment="1">
      <alignment horizontal="center" vertical="center" wrapText="1"/>
    </xf>
    <xf numFmtId="1" fontId="17" fillId="2" borderId="16" xfId="0" applyNumberFormat="1" applyFont="1" applyFill="1" applyBorder="1" applyAlignment="1">
      <alignment horizontal="center" wrapText="1"/>
    </xf>
    <xf numFmtId="1" fontId="16" fillId="9" borderId="7" xfId="4" quotePrefix="1" applyNumberFormat="1" applyFont="1" applyFill="1" applyBorder="1" applyAlignment="1">
      <alignment horizontal="center" vertical="center" wrapText="1"/>
    </xf>
    <xf numFmtId="1" fontId="16" fillId="9" borderId="7" xfId="0" applyNumberFormat="1" applyFont="1" applyFill="1" applyBorder="1" applyAlignment="1">
      <alignment horizontal="center" vertical="center"/>
    </xf>
    <xf numFmtId="1" fontId="16" fillId="9" borderId="48" xfId="0" applyNumberFormat="1" applyFont="1" applyFill="1" applyBorder="1" applyAlignment="1">
      <alignment horizontal="center" vertical="center"/>
    </xf>
    <xf numFmtId="1" fontId="9" fillId="9" borderId="48" xfId="0" quotePrefix="1" applyNumberFormat="1" applyFont="1" applyFill="1" applyBorder="1" applyAlignment="1">
      <alignment horizontal="center" wrapText="1"/>
    </xf>
    <xf numFmtId="1" fontId="28" fillId="9" borderId="48" xfId="0" applyNumberFormat="1" applyFont="1" applyFill="1" applyBorder="1" applyAlignment="1">
      <alignment horizontal="center" vertical="center"/>
    </xf>
    <xf numFmtId="1" fontId="28" fillId="9" borderId="48" xfId="0" applyNumberFormat="1" applyFont="1" applyFill="1" applyBorder="1" applyAlignment="1">
      <alignment horizontal="center"/>
    </xf>
    <xf numFmtId="1" fontId="16" fillId="9" borderId="48" xfId="0" applyNumberFormat="1" applyFont="1" applyFill="1" applyBorder="1"/>
    <xf numFmtId="1" fontId="16" fillId="9" borderId="7" xfId="0" applyNumberFormat="1" applyFont="1" applyFill="1" applyBorder="1"/>
    <xf numFmtId="164" fontId="23" fillId="9" borderId="7" xfId="0" applyNumberFormat="1" applyFont="1" applyFill="1" applyBorder="1" applyAlignment="1">
      <alignment horizontal="center" vertical="center" wrapText="1"/>
    </xf>
    <xf numFmtId="164" fontId="22" fillId="9" borderId="7" xfId="0" applyNumberFormat="1" applyFont="1" applyFill="1" applyBorder="1" applyAlignment="1">
      <alignment horizontal="center" vertical="center" wrapText="1"/>
    </xf>
    <xf numFmtId="1" fontId="16" fillId="9" borderId="49" xfId="4" quotePrefix="1" applyNumberFormat="1" applyFont="1" applyFill="1" applyBorder="1" applyAlignment="1">
      <alignment horizontal="center" vertical="center" wrapText="1"/>
    </xf>
    <xf numFmtId="1" fontId="16" fillId="9" borderId="49" xfId="0" applyNumberFormat="1" applyFont="1" applyFill="1" applyBorder="1" applyAlignment="1">
      <alignment horizontal="center" vertical="center"/>
    </xf>
    <xf numFmtId="1" fontId="28" fillId="9" borderId="6" xfId="0" applyNumberFormat="1" applyFont="1" applyFill="1" applyBorder="1" applyAlignment="1">
      <alignment horizontal="center"/>
    </xf>
    <xf numFmtId="1" fontId="16" fillId="9" borderId="6" xfId="0" applyNumberFormat="1" applyFont="1" applyFill="1" applyBorder="1"/>
    <xf numFmtId="1" fontId="16" fillId="9" borderId="49" xfId="0" applyNumberFormat="1" applyFont="1" applyFill="1" applyBorder="1"/>
    <xf numFmtId="164" fontId="59" fillId="9" borderId="11" xfId="0" applyNumberFormat="1" applyFont="1" applyFill="1" applyBorder="1" applyAlignment="1">
      <alignment horizontal="center" vertical="center" wrapText="1"/>
    </xf>
    <xf numFmtId="1" fontId="21" fillId="2" borderId="7" xfId="0" applyNumberFormat="1" applyFont="1" applyFill="1" applyBorder="1" applyAlignment="1">
      <alignment horizontal="center" vertical="center" wrapText="1"/>
    </xf>
    <xf numFmtId="164" fontId="23" fillId="2" borderId="8" xfId="0" applyNumberFormat="1" applyFont="1" applyFill="1" applyBorder="1" applyAlignment="1">
      <alignment horizontal="center" vertical="center" wrapText="1"/>
    </xf>
    <xf numFmtId="1" fontId="23" fillId="9" borderId="7" xfId="0" applyNumberFormat="1" applyFont="1" applyFill="1" applyBorder="1" applyAlignment="1">
      <alignment horizontal="center" vertical="center" wrapText="1"/>
    </xf>
    <xf numFmtId="1" fontId="22" fillId="9" borderId="7" xfId="0" applyNumberFormat="1" applyFont="1" applyFill="1" applyBorder="1" applyAlignment="1">
      <alignment horizontal="center" vertical="center" wrapText="1"/>
    </xf>
    <xf numFmtId="1" fontId="24" fillId="2" borderId="7" xfId="3" quotePrefix="1" applyNumberFormat="1" applyFont="1" applyFill="1" applyBorder="1" applyAlignment="1">
      <alignment horizontal="center" vertical="top"/>
    </xf>
    <xf numFmtId="1" fontId="24" fillId="2" borderId="7" xfId="0" applyNumberFormat="1" applyFont="1" applyFill="1" applyBorder="1" applyAlignment="1">
      <alignment horizontal="center" vertical="top"/>
    </xf>
    <xf numFmtId="1" fontId="24" fillId="2" borderId="8" xfId="3" quotePrefix="1" applyNumberFormat="1" applyFont="1" applyFill="1" applyBorder="1" applyAlignment="1">
      <alignment horizontal="center" vertical="top"/>
    </xf>
    <xf numFmtId="1" fontId="24" fillId="2" borderId="8" xfId="0" applyNumberFormat="1" applyFont="1" applyFill="1" applyBorder="1" applyAlignment="1">
      <alignment horizontal="center" vertical="top"/>
    </xf>
    <xf numFmtId="1" fontId="16" fillId="9" borderId="6" xfId="2" quotePrefix="1" applyNumberFormat="1" applyFont="1" applyFill="1" applyBorder="1" applyAlignment="1">
      <alignment horizontal="center" vertical="center" wrapText="1"/>
    </xf>
    <xf numFmtId="164" fontId="20" fillId="2" borderId="7" xfId="0" applyNumberFormat="1" applyFont="1" applyFill="1" applyBorder="1" applyAlignment="1">
      <alignment horizontal="center" vertical="center"/>
    </xf>
    <xf numFmtId="1" fontId="22" fillId="2" borderId="6" xfId="0" applyNumberFormat="1" applyFont="1" applyFill="1" applyBorder="1" applyAlignment="1">
      <alignment horizontal="center" vertical="center" wrapText="1"/>
    </xf>
    <xf numFmtId="0" fontId="24" fillId="2" borderId="6" xfId="3" applyFont="1" applyFill="1" applyBorder="1" applyAlignment="1">
      <alignment horizontal="left" vertical="top" wrapText="1"/>
    </xf>
    <xf numFmtId="164" fontId="22" fillId="2" borderId="6" xfId="0" applyNumberFormat="1" applyFont="1" applyFill="1" applyBorder="1" applyAlignment="1">
      <alignment horizontal="center" vertical="center"/>
    </xf>
    <xf numFmtId="1" fontId="21" fillId="2" borderId="6" xfId="0" applyNumberFormat="1" applyFont="1" applyFill="1" applyBorder="1" applyAlignment="1">
      <alignment horizontal="center" vertical="center" wrapText="1"/>
    </xf>
    <xf numFmtId="1" fontId="20" fillId="9" borderId="7" xfId="0" applyNumberFormat="1" applyFont="1" applyFill="1" applyBorder="1" applyAlignment="1">
      <alignment horizontal="center" vertical="center" wrapText="1"/>
    </xf>
    <xf numFmtId="0" fontId="24" fillId="9" borderId="7" xfId="0" applyFont="1" applyFill="1" applyBorder="1" applyAlignment="1">
      <alignment vertical="top" wrapText="1"/>
    </xf>
    <xf numFmtId="0" fontId="24" fillId="9" borderId="6" xfId="3" applyFont="1" applyFill="1" applyBorder="1" applyAlignment="1">
      <alignment horizontal="left" vertical="top" wrapText="1"/>
    </xf>
    <xf numFmtId="1" fontId="24" fillId="9" borderId="6" xfId="3" quotePrefix="1" applyNumberFormat="1" applyFont="1" applyFill="1" applyBorder="1" applyAlignment="1">
      <alignment horizontal="center"/>
    </xf>
    <xf numFmtId="1" fontId="24" fillId="9" borderId="6" xfId="0" applyNumberFormat="1" applyFont="1" applyFill="1" applyBorder="1" applyAlignment="1">
      <alignment horizontal="center"/>
    </xf>
    <xf numFmtId="2" fontId="20" fillId="9" borderId="6" xfId="0" applyNumberFormat="1" applyFont="1" applyFill="1" applyBorder="1" applyAlignment="1">
      <alignment horizontal="center" vertical="center"/>
    </xf>
    <xf numFmtId="1" fontId="22" fillId="9" borderId="6" xfId="0" applyNumberFormat="1" applyFont="1" applyFill="1" applyBorder="1" applyAlignment="1">
      <alignment horizontal="center" vertical="center" wrapText="1"/>
    </xf>
    <xf numFmtId="164" fontId="22" fillId="9" borderId="6" xfId="0" applyNumberFormat="1" applyFont="1" applyFill="1" applyBorder="1" applyAlignment="1">
      <alignment horizontal="center" vertical="center" wrapText="1"/>
    </xf>
    <xf numFmtId="1" fontId="9" fillId="9" borderId="50" xfId="0" quotePrefix="1" applyNumberFormat="1" applyFont="1" applyFill="1" applyBorder="1" applyAlignment="1">
      <alignment horizontal="center" wrapText="1"/>
    </xf>
    <xf numFmtId="0" fontId="12" fillId="8" borderId="51" xfId="3" applyFont="1" applyFill="1" applyBorder="1"/>
    <xf numFmtId="165" fontId="12" fillId="8" borderId="51" xfId="3" quotePrefix="1" applyNumberFormat="1" applyFont="1" applyFill="1" applyBorder="1" applyAlignment="1">
      <alignment horizontal="center"/>
    </xf>
    <xf numFmtId="165" fontId="12" fillId="8" borderId="51" xfId="0" applyNumberFormat="1" applyFont="1" applyFill="1" applyBorder="1" applyAlignment="1">
      <alignment horizontal="center"/>
    </xf>
    <xf numFmtId="165" fontId="15" fillId="8" borderId="51" xfId="0" applyNumberFormat="1" applyFont="1" applyFill="1" applyBorder="1" applyAlignment="1">
      <alignment horizontal="center"/>
    </xf>
    <xf numFmtId="0" fontId="12" fillId="8" borderId="51" xfId="0" applyFont="1" applyFill="1" applyBorder="1"/>
    <xf numFmtId="0" fontId="12" fillId="8" borderId="51" xfId="0" applyFont="1" applyFill="1" applyBorder="1" applyAlignment="1">
      <alignment horizontal="center"/>
    </xf>
    <xf numFmtId="0" fontId="20" fillId="2" borderId="17" xfId="3" applyFont="1" applyFill="1" applyBorder="1" applyAlignment="1">
      <alignment vertical="top" wrapText="1"/>
    </xf>
    <xf numFmtId="1" fontId="20" fillId="2" borderId="17" xfId="4" quotePrefix="1" applyNumberFormat="1" applyFont="1" applyFill="1" applyBorder="1" applyAlignment="1">
      <alignment horizontal="center" vertical="center" wrapText="1"/>
    </xf>
    <xf numFmtId="1" fontId="20" fillId="2" borderId="17" xfId="2" quotePrefix="1" applyNumberFormat="1" applyFont="1" applyFill="1" applyBorder="1" applyAlignment="1">
      <alignment horizontal="center" wrapText="1"/>
    </xf>
    <xf numFmtId="1" fontId="23" fillId="2" borderId="17" xfId="0" applyNumberFormat="1" applyFont="1" applyFill="1" applyBorder="1" applyAlignment="1">
      <alignment horizontal="center"/>
    </xf>
    <xf numFmtId="1" fontId="20" fillId="2" borderId="17" xfId="0" applyNumberFormat="1" applyFont="1" applyFill="1" applyBorder="1"/>
    <xf numFmtId="1" fontId="20" fillId="2" borderId="17" xfId="0" applyNumberFormat="1" applyFont="1" applyFill="1" applyBorder="1" applyAlignment="1">
      <alignment horizontal="center"/>
    </xf>
    <xf numFmtId="0" fontId="20" fillId="2" borderId="17" xfId="0" applyFont="1" applyFill="1" applyBorder="1" applyAlignment="1">
      <alignment vertical="top" wrapText="1"/>
    </xf>
    <xf numFmtId="0" fontId="20" fillId="2" borderId="0" xfId="0" applyFont="1" applyFill="1"/>
    <xf numFmtId="0" fontId="20" fillId="2" borderId="8" xfId="3" applyFont="1" applyFill="1" applyBorder="1" applyAlignment="1">
      <alignment vertical="top" wrapText="1"/>
    </xf>
    <xf numFmtId="2" fontId="20" fillId="2" borderId="8" xfId="4" quotePrefix="1" applyNumberFormat="1" applyFont="1" applyFill="1" applyBorder="1" applyAlignment="1">
      <alignment horizontal="center" vertical="center" wrapText="1"/>
    </xf>
    <xf numFmtId="2" fontId="20" fillId="2" borderId="16" xfId="2" quotePrefix="1" applyNumberFormat="1" applyFont="1" applyFill="1" applyBorder="1" applyAlignment="1">
      <alignment horizontal="center" vertical="center" wrapText="1"/>
    </xf>
    <xf numFmtId="2" fontId="23" fillId="2" borderId="8" xfId="0" applyNumberFormat="1" applyFont="1" applyFill="1" applyBorder="1" applyAlignment="1">
      <alignment horizontal="center"/>
    </xf>
    <xf numFmtId="2" fontId="20" fillId="2" borderId="8" xfId="0" applyNumberFormat="1" applyFont="1" applyFill="1" applyBorder="1"/>
    <xf numFmtId="0" fontId="20" fillId="2" borderId="9" xfId="0" applyFont="1" applyFill="1" applyBorder="1" applyAlignment="1">
      <alignment vertical="top" wrapText="1"/>
    </xf>
    <xf numFmtId="0" fontId="16" fillId="2" borderId="9" xfId="3" applyFont="1" applyFill="1" applyBorder="1" applyAlignment="1">
      <alignment vertical="top" wrapText="1"/>
    </xf>
    <xf numFmtId="2" fontId="16" fillId="2" borderId="8" xfId="4" quotePrefix="1"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xf>
    <xf numFmtId="2" fontId="20" fillId="2" borderId="8" xfId="0" applyNumberFormat="1" applyFont="1" applyFill="1" applyBorder="1" applyAlignment="1">
      <alignment horizontal="center" vertical="center" wrapText="1"/>
    </xf>
    <xf numFmtId="2" fontId="17" fillId="2" borderId="8" xfId="0" applyNumberFormat="1" applyFont="1" applyFill="1" applyBorder="1" applyAlignment="1">
      <alignment horizontal="center" vertical="center"/>
    </xf>
    <xf numFmtId="2" fontId="28" fillId="2" borderId="8" xfId="0" applyNumberFormat="1" applyFont="1" applyFill="1" applyBorder="1" applyAlignment="1">
      <alignment horizontal="center" vertical="center"/>
    </xf>
    <xf numFmtId="2" fontId="28" fillId="2" borderId="8" xfId="0" applyNumberFormat="1" applyFont="1" applyFill="1" applyBorder="1" applyAlignment="1">
      <alignment horizontal="center"/>
    </xf>
    <xf numFmtId="2" fontId="16" fillId="2" borderId="8" xfId="0" applyNumberFormat="1" applyFont="1" applyFill="1" applyBorder="1"/>
    <xf numFmtId="0" fontId="16" fillId="2" borderId="9" xfId="0" applyFont="1" applyFill="1" applyBorder="1" applyAlignment="1">
      <alignment vertical="top" wrapText="1"/>
    </xf>
    <xf numFmtId="0" fontId="20" fillId="2" borderId="8" xfId="0" applyFont="1" applyFill="1" applyBorder="1" applyAlignment="1">
      <alignment vertical="top" wrapText="1"/>
    </xf>
    <xf numFmtId="2" fontId="29" fillId="2" borderId="8" xfId="4" quotePrefix="1" applyNumberFormat="1" applyFont="1" applyFill="1" applyBorder="1" applyAlignment="1">
      <alignment horizontal="center" vertical="center" wrapText="1"/>
    </xf>
    <xf numFmtId="2" fontId="29" fillId="2" borderId="8" xfId="0" applyNumberFormat="1" applyFont="1" applyFill="1" applyBorder="1" applyAlignment="1">
      <alignment horizontal="center" vertical="center"/>
    </xf>
    <xf numFmtId="2" fontId="29" fillId="2" borderId="8" xfId="0" applyNumberFormat="1" applyFont="1" applyFill="1" applyBorder="1" applyAlignment="1">
      <alignment horizontal="center" vertical="center" wrapText="1"/>
    </xf>
    <xf numFmtId="2" fontId="41" fillId="2" borderId="8" xfId="0" applyNumberFormat="1" applyFont="1" applyFill="1" applyBorder="1" applyAlignment="1">
      <alignment horizontal="center" vertical="center"/>
    </xf>
    <xf numFmtId="2" fontId="48" fillId="2" borderId="8" xfId="0" applyNumberFormat="1" applyFont="1" applyFill="1" applyBorder="1" applyAlignment="1">
      <alignment horizontal="center" vertical="center"/>
    </xf>
    <xf numFmtId="2" fontId="41" fillId="2" borderId="9" xfId="0" applyNumberFormat="1" applyFont="1" applyFill="1" applyBorder="1" applyAlignment="1">
      <alignment horizontal="center" vertical="center"/>
    </xf>
    <xf numFmtId="2" fontId="48" fillId="2" borderId="8" xfId="0" applyNumberFormat="1" applyFont="1" applyFill="1" applyBorder="1" applyAlignment="1">
      <alignment horizontal="center"/>
    </xf>
    <xf numFmtId="2" fontId="29" fillId="2" borderId="8" xfId="0" applyNumberFormat="1" applyFont="1" applyFill="1" applyBorder="1"/>
    <xf numFmtId="0" fontId="29" fillId="2" borderId="16" xfId="3" applyFont="1" applyFill="1" applyBorder="1" applyAlignment="1">
      <alignment vertical="top" wrapText="1"/>
    </xf>
    <xf numFmtId="1" fontId="29" fillId="2" borderId="16" xfId="4" quotePrefix="1" applyNumberFormat="1" applyFont="1" applyFill="1" applyBorder="1" applyAlignment="1">
      <alignment horizontal="center" vertical="center" wrapText="1"/>
    </xf>
    <xf numFmtId="1" fontId="29" fillId="2" borderId="16" xfId="2" quotePrefix="1" applyNumberFormat="1" applyFont="1" applyFill="1" applyBorder="1" applyAlignment="1">
      <alignment horizontal="center" vertical="center" wrapText="1"/>
    </xf>
    <xf numFmtId="2" fontId="22" fillId="2" borderId="16" xfId="2" quotePrefix="1" applyNumberFormat="1" applyFont="1" applyFill="1" applyBorder="1" applyAlignment="1">
      <alignment horizontal="center" vertical="center" wrapText="1"/>
    </xf>
    <xf numFmtId="2" fontId="22" fillId="2" borderId="16" xfId="0" applyNumberFormat="1" applyFont="1" applyFill="1" applyBorder="1" applyAlignment="1">
      <alignment horizontal="center" vertical="center" wrapText="1"/>
    </xf>
    <xf numFmtId="2" fontId="23" fillId="2" borderId="16" xfId="2" quotePrefix="1" applyNumberFormat="1" applyFont="1" applyFill="1" applyBorder="1" applyAlignment="1">
      <alignment horizontal="center" vertical="center" wrapText="1"/>
    </xf>
    <xf numFmtId="2" fontId="23" fillId="2" borderId="16" xfId="0" applyNumberFormat="1" applyFont="1" applyFill="1" applyBorder="1" applyAlignment="1">
      <alignment horizontal="center" vertical="center"/>
    </xf>
    <xf numFmtId="2" fontId="22" fillId="2" borderId="16" xfId="0" applyNumberFormat="1" applyFont="1" applyFill="1" applyBorder="1" applyAlignment="1">
      <alignment horizontal="center" wrapText="1"/>
    </xf>
    <xf numFmtId="1" fontId="22" fillId="2" borderId="16" xfId="2" quotePrefix="1" applyNumberFormat="1" applyFont="1" applyFill="1" applyBorder="1" applyAlignment="1">
      <alignment horizontal="center" vertical="center" wrapText="1"/>
    </xf>
    <xf numFmtId="164" fontId="22" fillId="2" borderId="16" xfId="2" quotePrefix="1" applyNumberFormat="1" applyFont="1" applyFill="1" applyBorder="1" applyAlignment="1">
      <alignment horizontal="center" vertical="center" wrapText="1"/>
    </xf>
    <xf numFmtId="0" fontId="29" fillId="2" borderId="16" xfId="0" applyFont="1" applyFill="1" applyBorder="1" applyAlignment="1">
      <alignment vertical="top"/>
    </xf>
    <xf numFmtId="0" fontId="29" fillId="2" borderId="6" xfId="3" applyFont="1" applyFill="1" applyBorder="1" applyAlignment="1">
      <alignment vertical="top" wrapText="1"/>
    </xf>
    <xf numFmtId="1" fontId="29" fillId="2" borderId="6" xfId="4" quotePrefix="1" applyNumberFormat="1" applyFont="1" applyFill="1" applyBorder="1" applyAlignment="1">
      <alignment horizontal="center" vertical="center" wrapText="1"/>
    </xf>
    <xf numFmtId="1" fontId="29" fillId="2" borderId="6" xfId="2" quotePrefix="1" applyNumberFormat="1" applyFont="1" applyFill="1" applyBorder="1" applyAlignment="1">
      <alignment horizontal="center" vertical="center" wrapText="1"/>
    </xf>
    <xf numFmtId="2" fontId="20" fillId="2" borderId="6" xfId="2" quotePrefix="1" applyNumberFormat="1" applyFont="1" applyFill="1" applyBorder="1" applyAlignment="1">
      <alignment vertical="center" wrapText="1"/>
    </xf>
    <xf numFmtId="2" fontId="22" fillId="2" borderId="6" xfId="2" quotePrefix="1" applyNumberFormat="1" applyFont="1" applyFill="1" applyBorder="1" applyAlignment="1">
      <alignment vertical="center" wrapText="1"/>
    </xf>
    <xf numFmtId="1" fontId="59" fillId="2" borderId="6" xfId="0" applyNumberFormat="1" applyFont="1" applyFill="1" applyBorder="1" applyAlignment="1">
      <alignment horizontal="center" vertical="center" wrapText="1"/>
    </xf>
    <xf numFmtId="2" fontId="22" fillId="2" borderId="6" xfId="2" quotePrefix="1" applyNumberFormat="1" applyFont="1" applyFill="1" applyBorder="1" applyAlignment="1">
      <alignment horizontal="center" vertical="center" wrapText="1"/>
    </xf>
    <xf numFmtId="2" fontId="23" fillId="2" borderId="6" xfId="2" quotePrefix="1" applyNumberFormat="1" applyFont="1" applyFill="1" applyBorder="1" applyAlignment="1">
      <alignment horizontal="center" vertical="center" wrapText="1"/>
    </xf>
    <xf numFmtId="2" fontId="59" fillId="2" borderId="6" xfId="2" quotePrefix="1" applyNumberFormat="1" applyFont="1" applyFill="1" applyBorder="1" applyAlignment="1">
      <alignment horizontal="center" vertical="center" wrapText="1"/>
    </xf>
    <xf numFmtId="2" fontId="59" fillId="0" borderId="6" xfId="2" quotePrefix="1" applyNumberFormat="1" applyFont="1" applyFill="1" applyBorder="1" applyAlignment="1">
      <alignment horizontal="center" vertical="center" wrapText="1"/>
    </xf>
    <xf numFmtId="0" fontId="29" fillId="2" borderId="6" xfId="0" applyFont="1" applyFill="1" applyBorder="1" applyAlignment="1">
      <alignment vertical="top"/>
    </xf>
    <xf numFmtId="2" fontId="22" fillId="2" borderId="6" xfId="0" applyNumberFormat="1" applyFont="1" applyFill="1" applyBorder="1" applyAlignment="1">
      <alignment horizontal="center" vertical="center" wrapText="1"/>
    </xf>
    <xf numFmtId="0" fontId="29" fillId="2" borderId="8" xfId="3" applyFont="1" applyFill="1" applyBorder="1" applyAlignment="1">
      <alignment vertical="top" wrapText="1"/>
    </xf>
    <xf numFmtId="1" fontId="29" fillId="2" borderId="8" xfId="4" quotePrefix="1" applyNumberFormat="1" applyFont="1" applyFill="1" applyBorder="1" applyAlignment="1">
      <alignment horizontal="center" vertical="center" wrapText="1"/>
    </xf>
    <xf numFmtId="1" fontId="29" fillId="2" borderId="8" xfId="2" quotePrefix="1" applyNumberFormat="1" applyFont="1" applyFill="1" applyBorder="1" applyAlignment="1">
      <alignment horizontal="center" vertical="center" wrapText="1"/>
    </xf>
    <xf numFmtId="2" fontId="20" fillId="2" borderId="8" xfId="2" quotePrefix="1" applyNumberFormat="1" applyFont="1" applyFill="1" applyBorder="1" applyAlignment="1">
      <alignment vertical="center" wrapText="1"/>
    </xf>
    <xf numFmtId="2" fontId="22" fillId="2" borderId="8" xfId="2" quotePrefix="1" applyNumberFormat="1" applyFont="1" applyFill="1" applyBorder="1" applyAlignment="1">
      <alignment vertical="center" wrapText="1"/>
    </xf>
    <xf numFmtId="1" fontId="59" fillId="2" borderId="8" xfId="0" applyNumberFormat="1" applyFont="1" applyFill="1" applyBorder="1" applyAlignment="1">
      <alignment horizontal="center" vertical="center" wrapText="1"/>
    </xf>
    <xf numFmtId="2" fontId="22" fillId="2" borderId="8" xfId="2" quotePrefix="1" applyNumberFormat="1" applyFont="1" applyFill="1" applyBorder="1" applyAlignment="1">
      <alignment horizontal="center" vertical="center" wrapText="1"/>
    </xf>
    <xf numFmtId="2" fontId="23" fillId="2" borderId="8" xfId="2" quotePrefix="1" applyNumberFormat="1" applyFont="1" applyFill="1" applyBorder="1" applyAlignment="1">
      <alignment horizontal="center" vertical="center" wrapText="1"/>
    </xf>
    <xf numFmtId="0" fontId="29" fillId="2" borderId="8" xfId="0" applyFont="1" applyFill="1" applyBorder="1" applyAlignment="1">
      <alignment vertical="top"/>
    </xf>
    <xf numFmtId="164" fontId="16" fillId="2" borderId="16" xfId="2" quotePrefix="1" applyNumberFormat="1" applyFont="1" applyFill="1" applyBorder="1" applyAlignment="1">
      <alignment horizontal="center" vertical="center" wrapText="1"/>
    </xf>
    <xf numFmtId="164" fontId="28" fillId="2" borderId="16" xfId="2" quotePrefix="1" applyNumberFormat="1" applyFont="1" applyFill="1" applyBorder="1" applyAlignment="1">
      <alignment horizontal="center" vertical="center" wrapText="1"/>
    </xf>
    <xf numFmtId="2" fontId="16" fillId="2" borderId="16" xfId="2" quotePrefix="1" applyNumberFormat="1" applyFont="1" applyFill="1" applyBorder="1" applyAlignment="1">
      <alignment horizontal="center" vertical="center" wrapText="1"/>
    </xf>
    <xf numFmtId="2" fontId="16" fillId="2" borderId="16" xfId="2" quotePrefix="1" applyNumberFormat="1" applyFont="1" applyFill="1" applyBorder="1" applyAlignment="1">
      <alignment vertical="center" wrapText="1"/>
    </xf>
    <xf numFmtId="1" fontId="16" fillId="2" borderId="6" xfId="2" quotePrefix="1" applyNumberFormat="1" applyFont="1" applyFill="1" applyBorder="1" applyAlignment="1">
      <alignment horizontal="center" vertical="center" wrapText="1"/>
    </xf>
    <xf numFmtId="164" fontId="16" fillId="2" borderId="6" xfId="2" quotePrefix="1" applyNumberFormat="1" applyFont="1" applyFill="1" applyBorder="1" applyAlignment="1">
      <alignment horizontal="center" vertical="center" wrapText="1"/>
    </xf>
    <xf numFmtId="164" fontId="17" fillId="2" borderId="6" xfId="2" quotePrefix="1" applyNumberFormat="1" applyFont="1" applyFill="1" applyBorder="1" applyAlignment="1">
      <alignment horizontal="center" vertical="center" wrapText="1"/>
    </xf>
    <xf numFmtId="164" fontId="28" fillId="2" borderId="6" xfId="2" quotePrefix="1" applyNumberFormat="1" applyFont="1" applyFill="1" applyBorder="1" applyAlignment="1">
      <alignment horizontal="center" vertical="center" wrapText="1"/>
    </xf>
    <xf numFmtId="2" fontId="16" fillId="2" borderId="6" xfId="2" quotePrefix="1" applyNumberFormat="1" applyFont="1" applyFill="1" applyBorder="1" applyAlignment="1">
      <alignment horizontal="center" vertical="center" wrapText="1"/>
    </xf>
    <xf numFmtId="2" fontId="16" fillId="2" borderId="6" xfId="2" quotePrefix="1" applyNumberFormat="1" applyFont="1" applyFill="1" applyBorder="1" applyAlignment="1">
      <alignment vertical="center" wrapText="1"/>
    </xf>
    <xf numFmtId="164" fontId="17" fillId="2" borderId="6" xfId="0" applyNumberFormat="1" applyFont="1" applyFill="1" applyBorder="1" applyAlignment="1">
      <alignment horizontal="center" wrapText="1"/>
    </xf>
    <xf numFmtId="0" fontId="19" fillId="2" borderId="6" xfId="0" applyFont="1" applyFill="1" applyBorder="1"/>
    <xf numFmtId="1" fontId="16" fillId="2" borderId="8" xfId="2" quotePrefix="1" applyNumberFormat="1" applyFont="1" applyFill="1" applyBorder="1" applyAlignment="1">
      <alignment horizontal="center" vertical="center" wrapText="1"/>
    </xf>
    <xf numFmtId="164" fontId="16" fillId="2" borderId="8" xfId="2" quotePrefix="1" applyNumberFormat="1" applyFont="1" applyFill="1" applyBorder="1" applyAlignment="1">
      <alignment horizontal="center" vertical="center" wrapText="1"/>
    </xf>
    <xf numFmtId="164" fontId="17" fillId="2" borderId="8" xfId="2" quotePrefix="1" applyNumberFormat="1" applyFont="1" applyFill="1" applyBorder="1" applyAlignment="1">
      <alignment horizontal="center" vertical="center" wrapText="1"/>
    </xf>
    <xf numFmtId="164" fontId="28" fillId="2" borderId="8" xfId="2" quotePrefix="1" applyNumberFormat="1" applyFont="1" applyFill="1" applyBorder="1" applyAlignment="1">
      <alignment horizontal="center" vertical="center" wrapText="1"/>
    </xf>
    <xf numFmtId="2" fontId="16" fillId="2" borderId="8" xfId="2" quotePrefix="1" applyNumberFormat="1" applyFont="1" applyFill="1" applyBorder="1" applyAlignment="1">
      <alignment horizontal="center" vertical="center" wrapText="1"/>
    </xf>
    <xf numFmtId="2" fontId="16" fillId="2" borderId="8" xfId="2" quotePrefix="1" applyNumberFormat="1" applyFont="1" applyFill="1" applyBorder="1" applyAlignment="1">
      <alignment vertical="center" wrapText="1"/>
    </xf>
    <xf numFmtId="165" fontId="20" fillId="2" borderId="16" xfId="2" quotePrefix="1" applyNumberFormat="1" applyFont="1" applyFill="1" applyBorder="1" applyAlignment="1">
      <alignment horizontal="center" vertical="center" wrapText="1"/>
    </xf>
    <xf numFmtId="165" fontId="22" fillId="2" borderId="16" xfId="2" quotePrefix="1" applyNumberFormat="1" applyFont="1" applyFill="1" applyBorder="1" applyAlignment="1">
      <alignment horizontal="center" vertical="center" wrapText="1"/>
    </xf>
    <xf numFmtId="165" fontId="22" fillId="2" borderId="16" xfId="2" applyNumberFormat="1" applyFont="1" applyFill="1" applyBorder="1" applyAlignment="1">
      <alignment horizontal="center" vertical="center" wrapText="1"/>
    </xf>
    <xf numFmtId="165" fontId="22" fillId="2" borderId="16" xfId="2" applyNumberFormat="1" applyFont="1" applyFill="1" applyBorder="1" applyAlignment="1">
      <alignment horizontal="center" vertical="center"/>
    </xf>
    <xf numFmtId="165" fontId="23" fillId="2" borderId="16" xfId="2" applyNumberFormat="1" applyFont="1" applyFill="1" applyBorder="1" applyAlignment="1">
      <alignment horizontal="center" vertical="center"/>
    </xf>
    <xf numFmtId="165" fontId="23" fillId="2" borderId="16" xfId="2" applyNumberFormat="1" applyFont="1" applyFill="1" applyBorder="1" applyAlignment="1">
      <alignment horizontal="center" vertical="center" wrapText="1"/>
    </xf>
    <xf numFmtId="165" fontId="58" fillId="2" borderId="16" xfId="2" applyNumberFormat="1" applyFont="1" applyFill="1" applyBorder="1" applyAlignment="1">
      <alignment horizontal="center" vertical="center" wrapText="1"/>
    </xf>
    <xf numFmtId="165" fontId="20" fillId="2" borderId="16" xfId="2" applyNumberFormat="1" applyFont="1" applyFill="1" applyBorder="1" applyAlignment="1">
      <alignment horizontal="center" vertical="center" wrapText="1"/>
    </xf>
    <xf numFmtId="0" fontId="29" fillId="2" borderId="6" xfId="3" applyFont="1" applyFill="1" applyBorder="1" applyAlignment="1">
      <alignment horizontal="left" vertical="top" wrapText="1"/>
    </xf>
    <xf numFmtId="165" fontId="20" fillId="2" borderId="6" xfId="2" quotePrefix="1" applyNumberFormat="1" applyFont="1" applyFill="1" applyBorder="1" applyAlignment="1">
      <alignment horizontal="center" vertical="center" wrapText="1"/>
    </xf>
    <xf numFmtId="165" fontId="22" fillId="2" borderId="6" xfId="2" quotePrefix="1" applyNumberFormat="1" applyFont="1" applyFill="1" applyBorder="1" applyAlignment="1">
      <alignment horizontal="center" vertical="center" wrapText="1"/>
    </xf>
    <xf numFmtId="165" fontId="22" fillId="2" borderId="6" xfId="2" applyNumberFormat="1" applyFont="1" applyFill="1" applyBorder="1" applyAlignment="1">
      <alignment horizontal="center" vertical="center"/>
    </xf>
    <xf numFmtId="165" fontId="23" fillId="2" borderId="6" xfId="2" applyNumberFormat="1" applyFont="1" applyFill="1" applyBorder="1" applyAlignment="1">
      <alignment horizontal="center" vertical="center"/>
    </xf>
    <xf numFmtId="165" fontId="23" fillId="2" borderId="6" xfId="2" applyNumberFormat="1" applyFont="1" applyFill="1" applyBorder="1" applyAlignment="1">
      <alignment horizontal="center" vertical="center" wrapText="1"/>
    </xf>
    <xf numFmtId="165" fontId="23" fillId="2" borderId="6" xfId="2" applyNumberFormat="1" applyFont="1" applyFill="1" applyBorder="1" applyAlignment="1">
      <alignment vertical="center" wrapText="1"/>
    </xf>
    <xf numFmtId="165" fontId="22" fillId="2" borderId="6" xfId="2" applyNumberFormat="1" applyFont="1" applyFill="1" applyBorder="1" applyAlignment="1">
      <alignment horizontal="center" vertical="center" wrapText="1"/>
    </xf>
    <xf numFmtId="165" fontId="20" fillId="2" borderId="8" xfId="2" quotePrefix="1" applyNumberFormat="1" applyFont="1" applyFill="1" applyBorder="1" applyAlignment="1">
      <alignment horizontal="center" vertical="center" wrapText="1"/>
    </xf>
    <xf numFmtId="165" fontId="22" fillId="2" borderId="8" xfId="2" quotePrefix="1" applyNumberFormat="1" applyFont="1" applyFill="1" applyBorder="1" applyAlignment="1">
      <alignment horizontal="center" vertical="center" wrapText="1"/>
    </xf>
    <xf numFmtId="165" fontId="22" fillId="2" borderId="8" xfId="2" applyNumberFormat="1" applyFont="1" applyFill="1" applyBorder="1" applyAlignment="1">
      <alignment horizontal="center" vertical="center"/>
    </xf>
    <xf numFmtId="165" fontId="23" fillId="2" borderId="8" xfId="2" applyNumberFormat="1" applyFont="1" applyFill="1" applyBorder="1" applyAlignment="1">
      <alignment horizontal="center" vertical="center"/>
    </xf>
    <xf numFmtId="165" fontId="23" fillId="2" borderId="8" xfId="2" applyNumberFormat="1" applyFont="1" applyFill="1" applyBorder="1" applyAlignment="1">
      <alignment horizontal="center" vertical="center" wrapText="1"/>
    </xf>
    <xf numFmtId="165" fontId="23" fillId="2" borderId="8" xfId="2" applyNumberFormat="1" applyFont="1" applyFill="1" applyBorder="1" applyAlignment="1">
      <alignment vertical="center" wrapText="1"/>
    </xf>
    <xf numFmtId="2" fontId="22" fillId="2" borderId="16" xfId="0" applyNumberFormat="1" applyFont="1" applyFill="1" applyBorder="1" applyAlignment="1">
      <alignment horizontal="center" vertical="center"/>
    </xf>
    <xf numFmtId="0" fontId="29" fillId="2" borderId="16" xfId="0" applyFont="1" applyFill="1" applyBorder="1" applyAlignment="1">
      <alignment horizontal="left" vertical="top" wrapText="1"/>
    </xf>
    <xf numFmtId="0" fontId="29" fillId="2" borderId="6" xfId="0" applyFont="1" applyFill="1" applyBorder="1" applyAlignment="1">
      <alignment horizontal="left" vertical="top" wrapText="1"/>
    </xf>
    <xf numFmtId="0" fontId="29" fillId="2" borderId="8" xfId="0" applyFont="1" applyFill="1" applyBorder="1" applyAlignment="1">
      <alignment horizontal="left" vertical="top" wrapText="1"/>
    </xf>
    <xf numFmtId="164" fontId="17" fillId="2" borderId="16" xfId="0" applyNumberFormat="1" applyFont="1" applyFill="1" applyBorder="1" applyAlignment="1">
      <alignment horizontal="center" vertical="center"/>
    </xf>
    <xf numFmtId="164" fontId="28" fillId="2" borderId="16" xfId="0" applyNumberFormat="1" applyFont="1" applyFill="1" applyBorder="1" applyAlignment="1">
      <alignment horizontal="center" vertical="center"/>
    </xf>
    <xf numFmtId="164" fontId="17" fillId="2" borderId="6" xfId="0" applyNumberFormat="1" applyFont="1" applyFill="1" applyBorder="1" applyAlignment="1">
      <alignment horizontal="center" vertical="center"/>
    </xf>
    <xf numFmtId="164" fontId="28" fillId="2" borderId="6" xfId="0" applyNumberFormat="1" applyFont="1" applyFill="1" applyBorder="1" applyAlignment="1">
      <alignment horizontal="center" vertical="center"/>
    </xf>
    <xf numFmtId="0" fontId="29" fillId="9" borderId="7" xfId="3" applyFont="1" applyFill="1" applyBorder="1" applyAlignment="1">
      <alignment vertical="top" wrapText="1"/>
    </xf>
    <xf numFmtId="1" fontId="29" fillId="9" borderId="7" xfId="4" quotePrefix="1" applyNumberFormat="1" applyFont="1" applyFill="1" applyBorder="1" applyAlignment="1">
      <alignment horizontal="center" vertical="center" wrapText="1"/>
    </xf>
    <xf numFmtId="2" fontId="22" fillId="9" borderId="7" xfId="0" applyNumberFormat="1" applyFont="1" applyFill="1" applyBorder="1" applyAlignment="1">
      <alignment horizontal="center" wrapText="1"/>
    </xf>
    <xf numFmtId="0" fontId="29" fillId="9" borderId="7" xfId="0" applyFont="1" applyFill="1" applyBorder="1" applyAlignment="1">
      <alignment horizontal="left" vertical="top" wrapText="1"/>
    </xf>
    <xf numFmtId="0" fontId="29" fillId="9" borderId="6" xfId="3" applyFont="1" applyFill="1" applyBorder="1" applyAlignment="1">
      <alignment vertical="top" wrapText="1"/>
    </xf>
    <xf numFmtId="1" fontId="29" fillId="9" borderId="6" xfId="4" quotePrefix="1" applyNumberFormat="1" applyFont="1" applyFill="1" applyBorder="1" applyAlignment="1">
      <alignment horizontal="center" vertical="center" wrapText="1"/>
    </xf>
    <xf numFmtId="1" fontId="59" fillId="9" borderId="6" xfId="0" applyNumberFormat="1" applyFont="1" applyFill="1" applyBorder="1" applyAlignment="1">
      <alignment horizontal="center" vertical="center" wrapText="1"/>
    </xf>
    <xf numFmtId="2" fontId="59" fillId="9" borderId="6" xfId="0" applyNumberFormat="1" applyFont="1" applyFill="1" applyBorder="1" applyAlignment="1">
      <alignment horizontal="center" vertical="center"/>
    </xf>
    <xf numFmtId="0" fontId="29" fillId="9" borderId="6" xfId="0" applyFont="1" applyFill="1" applyBorder="1" applyAlignment="1">
      <alignment horizontal="left" vertical="top" wrapText="1"/>
    </xf>
    <xf numFmtId="2" fontId="22" fillId="9" borderId="6" xfId="0" applyNumberFormat="1" applyFont="1" applyFill="1" applyBorder="1" applyAlignment="1">
      <alignment horizontal="center" wrapText="1"/>
    </xf>
    <xf numFmtId="0" fontId="29" fillId="9" borderId="8" xfId="3" applyFont="1" applyFill="1" applyBorder="1" applyAlignment="1">
      <alignment vertical="top" wrapText="1"/>
    </xf>
    <xf numFmtId="1" fontId="29" fillId="9" borderId="8" xfId="4" quotePrefix="1" applyNumberFormat="1" applyFont="1" applyFill="1" applyBorder="1" applyAlignment="1">
      <alignment horizontal="center" vertical="center" wrapText="1"/>
    </xf>
    <xf numFmtId="1" fontId="59" fillId="9" borderId="8" xfId="0" applyNumberFormat="1" applyFont="1" applyFill="1" applyBorder="1" applyAlignment="1">
      <alignment horizontal="center" vertical="center" wrapText="1"/>
    </xf>
    <xf numFmtId="0" fontId="29" fillId="9" borderId="8" xfId="0" applyFont="1" applyFill="1" applyBorder="1" applyAlignment="1">
      <alignment horizontal="left" vertical="top" wrapText="1"/>
    </xf>
    <xf numFmtId="164" fontId="16" fillId="9" borderId="16" xfId="0" applyNumberFormat="1" applyFont="1" applyFill="1" applyBorder="1" applyAlignment="1">
      <alignment horizontal="center" vertical="center"/>
    </xf>
    <xf numFmtId="164" fontId="17" fillId="9" borderId="16" xfId="0" applyNumberFormat="1" applyFont="1" applyFill="1" applyBorder="1" applyAlignment="1">
      <alignment horizontal="center" wrapText="1"/>
    </xf>
    <xf numFmtId="164" fontId="28" fillId="9" borderId="16" xfId="0" applyNumberFormat="1" applyFont="1" applyFill="1" applyBorder="1" applyAlignment="1">
      <alignment horizontal="center" vertical="center"/>
    </xf>
    <xf numFmtId="0" fontId="16" fillId="9" borderId="16" xfId="0" applyFont="1" applyFill="1" applyBorder="1" applyAlignment="1">
      <alignment horizontal="left" vertical="top" wrapText="1"/>
    </xf>
    <xf numFmtId="164" fontId="16" fillId="9" borderId="6" xfId="0" applyNumberFormat="1" applyFont="1" applyFill="1" applyBorder="1" applyAlignment="1">
      <alignment horizontal="center" vertical="center"/>
    </xf>
    <xf numFmtId="164" fontId="28" fillId="9" borderId="6" xfId="0" applyNumberFormat="1" applyFont="1" applyFill="1" applyBorder="1" applyAlignment="1">
      <alignment horizontal="center" vertical="center"/>
    </xf>
    <xf numFmtId="0" fontId="16" fillId="9" borderId="6" xfId="0" applyFont="1" applyFill="1" applyBorder="1" applyAlignment="1">
      <alignment horizontal="left" vertical="top" wrapText="1"/>
    </xf>
    <xf numFmtId="164" fontId="17" fillId="9" borderId="6" xfId="0" applyNumberFormat="1" applyFont="1" applyFill="1" applyBorder="1" applyAlignment="1">
      <alignment horizontal="center" wrapText="1"/>
    </xf>
    <xf numFmtId="164" fontId="16" fillId="9" borderId="11" xfId="0" applyNumberFormat="1" applyFont="1" applyFill="1" applyBorder="1" applyAlignment="1">
      <alignment horizontal="center" vertical="center"/>
    </xf>
    <xf numFmtId="1" fontId="59" fillId="9" borderId="11" xfId="0" applyNumberFormat="1" applyFont="1" applyFill="1" applyBorder="1" applyAlignment="1">
      <alignment horizontal="center" vertical="center" wrapText="1"/>
    </xf>
    <xf numFmtId="164" fontId="28" fillId="9" borderId="11" xfId="0" applyNumberFormat="1" applyFont="1" applyFill="1" applyBorder="1" applyAlignment="1">
      <alignment horizontal="center" vertical="center"/>
    </xf>
    <xf numFmtId="0" fontId="16" fillId="9" borderId="11" xfId="0" applyFont="1" applyFill="1" applyBorder="1" applyAlignment="1">
      <alignment horizontal="left" vertical="top" wrapText="1"/>
    </xf>
    <xf numFmtId="1" fontId="29" fillId="2" borderId="7" xfId="4" quotePrefix="1" applyNumberFormat="1" applyFont="1" applyFill="1" applyBorder="1" applyAlignment="1">
      <alignment horizontal="center" vertical="center" wrapText="1"/>
    </xf>
    <xf numFmtId="2" fontId="22" fillId="2" borderId="7" xfId="2" quotePrefix="1" applyNumberFormat="1" applyFont="1" applyFill="1" applyBorder="1" applyAlignment="1">
      <alignment horizontal="center" vertical="center" wrapText="1"/>
    </xf>
    <xf numFmtId="2" fontId="22" fillId="0" borderId="7" xfId="0" applyNumberFormat="1" applyFont="1" applyBorder="1" applyAlignment="1">
      <alignment horizontal="center" vertical="center"/>
    </xf>
    <xf numFmtId="0" fontId="29" fillId="2" borderId="7" xfId="0" applyFont="1" applyFill="1" applyBorder="1" applyAlignment="1">
      <alignment horizontal="left" vertical="top" wrapText="1"/>
    </xf>
    <xf numFmtId="164" fontId="16" fillId="2" borderId="16" xfId="0" applyNumberFormat="1" applyFont="1" applyFill="1" applyBorder="1" applyAlignment="1">
      <alignment horizontal="center" vertical="center"/>
    </xf>
    <xf numFmtId="164" fontId="17" fillId="2" borderId="16" xfId="0" applyNumberFormat="1" applyFont="1" applyFill="1" applyBorder="1" applyAlignment="1">
      <alignment horizontal="center" wrapText="1"/>
    </xf>
    <xf numFmtId="0" fontId="16" fillId="2" borderId="16" xfId="0" applyFont="1" applyFill="1" applyBorder="1" applyAlignment="1">
      <alignment horizontal="left" vertical="top" wrapText="1"/>
    </xf>
    <xf numFmtId="164" fontId="16" fillId="2" borderId="6" xfId="0" applyNumberFormat="1" applyFont="1" applyFill="1" applyBorder="1" applyAlignment="1">
      <alignment horizontal="center" vertical="center"/>
    </xf>
    <xf numFmtId="2" fontId="28" fillId="2" borderId="6" xfId="0" applyNumberFormat="1" applyFont="1" applyFill="1" applyBorder="1" applyAlignment="1">
      <alignment horizontal="center" vertical="center"/>
    </xf>
    <xf numFmtId="0" fontId="16" fillId="2" borderId="6" xfId="0" applyFont="1" applyFill="1" applyBorder="1" applyAlignment="1">
      <alignment horizontal="center" vertical="top" wrapText="1"/>
    </xf>
    <xf numFmtId="164" fontId="16" fillId="2" borderId="8" xfId="0" applyNumberFormat="1" applyFont="1" applyFill="1" applyBorder="1" applyAlignment="1">
      <alignment horizontal="center" vertical="center"/>
    </xf>
    <xf numFmtId="164" fontId="28" fillId="2" borderId="8" xfId="0" applyNumberFormat="1" applyFont="1" applyFill="1" applyBorder="1" applyAlignment="1">
      <alignment horizontal="center" vertical="center"/>
    </xf>
    <xf numFmtId="164" fontId="17" fillId="2" borderId="8" xfId="0" applyNumberFormat="1" applyFont="1" applyFill="1" applyBorder="1" applyAlignment="1">
      <alignment horizontal="center" vertical="center"/>
    </xf>
    <xf numFmtId="1" fontId="28" fillId="2" borderId="8" xfId="0" applyNumberFormat="1" applyFont="1" applyFill="1" applyBorder="1" applyAlignment="1">
      <alignment horizontal="center" vertical="center"/>
    </xf>
    <xf numFmtId="0" fontId="16" fillId="2" borderId="8" xfId="0" applyFont="1" applyFill="1" applyBorder="1" applyAlignment="1">
      <alignment horizontal="center" vertical="top" wrapText="1"/>
    </xf>
    <xf numFmtId="164" fontId="22" fillId="2" borderId="6" xfId="0" applyNumberFormat="1" applyFont="1" applyFill="1" applyBorder="1" applyAlignment="1">
      <alignment horizontal="center" vertical="center" wrapText="1"/>
    </xf>
    <xf numFmtId="2" fontId="20" fillId="2" borderId="6" xfId="2" quotePrefix="1" applyNumberFormat="1" applyFont="1" applyFill="1" applyBorder="1" applyAlignment="1">
      <alignment horizontal="center" vertical="center" wrapText="1"/>
    </xf>
    <xf numFmtId="1" fontId="29" fillId="2" borderId="6" xfId="2" quotePrefix="1" applyNumberFormat="1" applyFont="1" applyFill="1" applyBorder="1" applyAlignment="1">
      <alignment vertical="center" wrapText="1"/>
    </xf>
    <xf numFmtId="2" fontId="29" fillId="2" borderId="6" xfId="2" quotePrefix="1" applyNumberFormat="1" applyFont="1" applyFill="1" applyBorder="1" applyAlignment="1">
      <alignment vertical="center" wrapText="1"/>
    </xf>
    <xf numFmtId="1" fontId="29" fillId="2" borderId="26" xfId="2" quotePrefix="1" applyNumberFormat="1" applyFont="1" applyFill="1" applyBorder="1" applyAlignment="1">
      <alignment vertical="center" wrapText="1"/>
    </xf>
    <xf numFmtId="1" fontId="29" fillId="2" borderId="27" xfId="2" quotePrefix="1" applyNumberFormat="1" applyFont="1" applyFill="1" applyBorder="1" applyAlignment="1">
      <alignment vertical="center" wrapText="1"/>
    </xf>
    <xf numFmtId="1" fontId="26" fillId="2" borderId="6" xfId="0" applyNumberFormat="1" applyFont="1" applyFill="1" applyBorder="1" applyAlignment="1">
      <alignment horizontal="center" vertical="center" wrapText="1"/>
    </xf>
    <xf numFmtId="1" fontId="29" fillId="2" borderId="8" xfId="2" quotePrefix="1" applyNumberFormat="1" applyFont="1" applyFill="1" applyBorder="1" applyAlignment="1">
      <alignment vertical="center" wrapText="1"/>
    </xf>
    <xf numFmtId="2" fontId="29" fillId="2" borderId="8" xfId="2" quotePrefix="1" applyNumberFormat="1" applyFont="1" applyFill="1" applyBorder="1" applyAlignment="1">
      <alignment vertical="center" wrapText="1"/>
    </xf>
    <xf numFmtId="1" fontId="29" fillId="2" borderId="30" xfId="2" quotePrefix="1" applyNumberFormat="1" applyFont="1" applyFill="1" applyBorder="1" applyAlignment="1">
      <alignment vertical="center" wrapText="1"/>
    </xf>
    <xf numFmtId="1" fontId="29" fillId="2" borderId="32" xfId="2" quotePrefix="1" applyNumberFormat="1" applyFont="1" applyFill="1" applyBorder="1" applyAlignment="1">
      <alignment vertical="center" wrapText="1"/>
    </xf>
    <xf numFmtId="0" fontId="29" fillId="9" borderId="7" xfId="3" applyFont="1" applyFill="1" applyBorder="1" applyAlignment="1">
      <alignment horizontal="left" vertical="top" wrapText="1"/>
    </xf>
    <xf numFmtId="1" fontId="29" fillId="9" borderId="7" xfId="2" quotePrefix="1" applyNumberFormat="1" applyFont="1" applyFill="1" applyBorder="1" applyAlignment="1">
      <alignment horizontal="center" vertical="center" wrapText="1"/>
    </xf>
    <xf numFmtId="2" fontId="22" fillId="9" borderId="7" xfId="2" quotePrefix="1" applyNumberFormat="1" applyFont="1" applyFill="1" applyBorder="1" applyAlignment="1">
      <alignment horizontal="center" vertical="center" wrapText="1"/>
    </xf>
    <xf numFmtId="1" fontId="22" fillId="9" borderId="7" xfId="2" quotePrefix="1" applyNumberFormat="1" applyFont="1" applyFill="1" applyBorder="1" applyAlignment="1">
      <alignment horizontal="center" vertical="center" wrapText="1"/>
    </xf>
    <xf numFmtId="164" fontId="22" fillId="9" borderId="7" xfId="2" quotePrefix="1" applyNumberFormat="1" applyFont="1" applyFill="1" applyBorder="1" applyAlignment="1">
      <alignment horizontal="center" vertical="center" wrapText="1"/>
    </xf>
    <xf numFmtId="0" fontId="16" fillId="9" borderId="11" xfId="3" applyFont="1" applyFill="1" applyBorder="1" applyAlignment="1">
      <alignment horizontal="left" vertical="top" wrapText="1"/>
    </xf>
    <xf numFmtId="1" fontId="29" fillId="9" borderId="11" xfId="4" quotePrefix="1" applyNumberFormat="1" applyFont="1" applyFill="1" applyBorder="1" applyAlignment="1">
      <alignment horizontal="center" vertical="center" wrapText="1"/>
    </xf>
    <xf numFmtId="1" fontId="29" fillId="9" borderId="11" xfId="2" quotePrefix="1" applyNumberFormat="1" applyFont="1" applyFill="1" applyBorder="1" applyAlignment="1">
      <alignment horizontal="center" vertical="center" wrapText="1"/>
    </xf>
    <xf numFmtId="2" fontId="22" fillId="9" borderId="11" xfId="2" quotePrefix="1" applyNumberFormat="1" applyFont="1" applyFill="1" applyBorder="1" applyAlignment="1">
      <alignment horizontal="center" vertical="center" wrapText="1"/>
    </xf>
    <xf numFmtId="1" fontId="22" fillId="9" borderId="11" xfId="2" quotePrefix="1" applyNumberFormat="1" applyFont="1" applyFill="1" applyBorder="1" applyAlignment="1">
      <alignment horizontal="center" vertical="center" wrapText="1"/>
    </xf>
    <xf numFmtId="1" fontId="59" fillId="9" borderId="11" xfId="2" quotePrefix="1" applyNumberFormat="1" applyFont="1" applyFill="1" applyBorder="1" applyAlignment="1">
      <alignment horizontal="center" vertical="center" wrapText="1"/>
    </xf>
    <xf numFmtId="1" fontId="22" fillId="2" borderId="6" xfId="2" quotePrefix="1" applyNumberFormat="1" applyFont="1" applyFill="1" applyBorder="1" applyAlignment="1">
      <alignment horizontal="center" vertical="center" wrapText="1"/>
    </xf>
    <xf numFmtId="1" fontId="22" fillId="2" borderId="7" xfId="2" quotePrefix="1" applyNumberFormat="1" applyFont="1" applyFill="1" applyBorder="1" applyAlignment="1">
      <alignment horizontal="center" vertical="center" wrapText="1"/>
    </xf>
    <xf numFmtId="164" fontId="22" fillId="2" borderId="6" xfId="2" quotePrefix="1" applyNumberFormat="1" applyFont="1" applyFill="1" applyBorder="1" applyAlignment="1">
      <alignment horizontal="center" vertical="center" wrapText="1"/>
    </xf>
    <xf numFmtId="0" fontId="16" fillId="2" borderId="11" xfId="3" applyFont="1" applyFill="1" applyBorder="1" applyAlignment="1">
      <alignment horizontal="left" vertical="top" wrapText="1"/>
    </xf>
    <xf numFmtId="1" fontId="29" fillId="2" borderId="11" xfId="4" quotePrefix="1" applyNumberFormat="1" applyFont="1" applyFill="1" applyBorder="1" applyAlignment="1">
      <alignment horizontal="center" vertical="center" wrapText="1"/>
    </xf>
    <xf numFmtId="1" fontId="29" fillId="2" borderId="11" xfId="2" quotePrefix="1" applyNumberFormat="1" applyFont="1" applyFill="1" applyBorder="1" applyAlignment="1">
      <alignment horizontal="center" vertical="center" wrapText="1"/>
    </xf>
    <xf numFmtId="2" fontId="22" fillId="2" borderId="11" xfId="2" quotePrefix="1" applyNumberFormat="1" applyFont="1" applyFill="1" applyBorder="1" applyAlignment="1">
      <alignment horizontal="center" vertical="center" wrapText="1"/>
    </xf>
    <xf numFmtId="0" fontId="16" fillId="2" borderId="11" xfId="0" applyFont="1" applyFill="1" applyBorder="1" applyAlignment="1">
      <alignment horizontal="left" vertical="top" wrapText="1"/>
    </xf>
    <xf numFmtId="0" fontId="29" fillId="9" borderId="5" xfId="3" applyFont="1" applyFill="1" applyBorder="1" applyAlignment="1">
      <alignment vertical="top" wrapText="1"/>
    </xf>
    <xf numFmtId="1" fontId="29" fillId="9" borderId="5" xfId="4" quotePrefix="1" applyNumberFormat="1" applyFont="1" applyFill="1" applyBorder="1" applyAlignment="1">
      <alignment horizontal="center" vertical="center" wrapText="1"/>
    </xf>
    <xf numFmtId="1" fontId="29" fillId="9" borderId="5" xfId="2" quotePrefix="1" applyNumberFormat="1" applyFont="1" applyFill="1" applyBorder="1" applyAlignment="1">
      <alignment horizontal="center" vertical="center" wrapText="1"/>
    </xf>
    <xf numFmtId="1" fontId="22" fillId="9" borderId="5" xfId="0" applyNumberFormat="1" applyFont="1" applyFill="1" applyBorder="1" applyAlignment="1">
      <alignment horizontal="center" wrapText="1"/>
    </xf>
    <xf numFmtId="1" fontId="23" fillId="9" borderId="5" xfId="0" applyNumberFormat="1" applyFont="1" applyFill="1" applyBorder="1" applyAlignment="1">
      <alignment horizontal="center" wrapText="1"/>
    </xf>
    <xf numFmtId="2" fontId="22" fillId="9" borderId="5" xfId="0" applyNumberFormat="1" applyFont="1" applyFill="1" applyBorder="1" applyAlignment="1">
      <alignment horizontal="center" vertical="center" wrapText="1"/>
    </xf>
    <xf numFmtId="0" fontId="29" fillId="9" borderId="5" xfId="0" applyFont="1" applyFill="1" applyBorder="1" applyAlignment="1">
      <alignment vertical="top" wrapText="1"/>
    </xf>
    <xf numFmtId="0" fontId="29" fillId="2" borderId="7" xfId="3" applyFont="1" applyFill="1" applyBorder="1" applyAlignment="1">
      <alignment horizontal="left" vertical="top" wrapText="1"/>
    </xf>
    <xf numFmtId="1" fontId="29" fillId="2" borderId="7" xfId="2" quotePrefix="1" applyNumberFormat="1" applyFont="1" applyFill="1" applyBorder="1" applyAlignment="1">
      <alignment horizontal="center" vertical="center" wrapText="1"/>
    </xf>
    <xf numFmtId="164" fontId="22" fillId="2" borderId="7" xfId="2" quotePrefix="1" applyNumberFormat="1" applyFont="1" applyFill="1" applyBorder="1" applyAlignment="1">
      <alignment horizontal="center" vertical="center" wrapText="1"/>
    </xf>
    <xf numFmtId="0" fontId="12" fillId="8" borderId="5" xfId="3" applyFont="1" applyFill="1" applyBorder="1"/>
    <xf numFmtId="165" fontId="12" fillId="8" borderId="5" xfId="3" quotePrefix="1" applyNumberFormat="1" applyFont="1" applyFill="1" applyBorder="1" applyAlignment="1">
      <alignment horizontal="center"/>
    </xf>
    <xf numFmtId="165" fontId="12" fillId="8" borderId="5" xfId="0" applyNumberFormat="1" applyFont="1" applyFill="1" applyBorder="1" applyAlignment="1">
      <alignment horizontal="center"/>
    </xf>
    <xf numFmtId="165" fontId="15" fillId="8" borderId="5" xfId="0" applyNumberFormat="1" applyFont="1" applyFill="1" applyBorder="1" applyAlignment="1">
      <alignment horizontal="center"/>
    </xf>
    <xf numFmtId="0" fontId="12" fillId="8" borderId="5" xfId="0" applyFont="1" applyFill="1" applyBorder="1"/>
    <xf numFmtId="0" fontId="29" fillId="9" borderId="17" xfId="3" applyFont="1" applyFill="1" applyBorder="1" applyAlignment="1">
      <alignment vertical="top" wrapText="1"/>
    </xf>
    <xf numFmtId="1" fontId="29" fillId="9" borderId="17" xfId="4" quotePrefix="1" applyNumberFormat="1" applyFont="1" applyFill="1" applyBorder="1" applyAlignment="1">
      <alignment horizontal="center" vertical="center" wrapText="1"/>
    </xf>
    <xf numFmtId="1" fontId="29" fillId="9" borderId="17" xfId="0" applyNumberFormat="1" applyFont="1" applyFill="1" applyBorder="1" applyAlignment="1">
      <alignment horizontal="center" vertical="center"/>
    </xf>
    <xf numFmtId="1" fontId="29" fillId="9" borderId="17" xfId="2" quotePrefix="1" applyNumberFormat="1" applyFont="1" applyFill="1" applyBorder="1" applyAlignment="1">
      <alignment horizontal="center" wrapText="1"/>
    </xf>
    <xf numFmtId="1" fontId="41" fillId="9" borderId="17" xfId="0" applyNumberFormat="1" applyFont="1" applyFill="1" applyBorder="1" applyAlignment="1">
      <alignment horizontal="center" vertical="center"/>
    </xf>
    <xf numFmtId="1" fontId="48" fillId="9" borderId="17" xfId="0" applyNumberFormat="1" applyFont="1" applyFill="1" applyBorder="1" applyAlignment="1">
      <alignment horizontal="center" vertical="center"/>
    </xf>
    <xf numFmtId="1" fontId="48" fillId="9" borderId="17" xfId="0" applyNumberFormat="1" applyFont="1" applyFill="1" applyBorder="1" applyAlignment="1">
      <alignment horizontal="center"/>
    </xf>
    <xf numFmtId="1" fontId="29" fillId="9" borderId="17" xfId="0" applyNumberFormat="1" applyFont="1" applyFill="1" applyBorder="1"/>
    <xf numFmtId="1" fontId="29" fillId="9" borderId="17" xfId="0" applyNumberFormat="1" applyFont="1" applyFill="1" applyBorder="1" applyAlignment="1">
      <alignment horizontal="center"/>
    </xf>
    <xf numFmtId="0" fontId="20" fillId="9" borderId="17" xfId="0" applyFont="1" applyFill="1" applyBorder="1" applyAlignment="1">
      <alignment vertical="top" wrapText="1"/>
    </xf>
    <xf numFmtId="0" fontId="24" fillId="2" borderId="16" xfId="3" applyFont="1" applyFill="1" applyBorder="1" applyAlignment="1">
      <alignment vertical="top" wrapText="1"/>
    </xf>
    <xf numFmtId="2" fontId="21" fillId="2" borderId="16" xfId="0" applyNumberFormat="1" applyFont="1" applyFill="1" applyBorder="1" applyAlignment="1">
      <alignment horizontal="center" vertical="center"/>
    </xf>
    <xf numFmtId="2" fontId="23" fillId="2" borderId="16" xfId="0" applyNumberFormat="1" applyFont="1" applyFill="1" applyBorder="1" applyAlignment="1">
      <alignment horizontal="center"/>
    </xf>
    <xf numFmtId="2" fontId="21" fillId="2" borderId="16" xfId="0" applyNumberFormat="1" applyFont="1" applyFill="1" applyBorder="1" applyAlignment="1">
      <alignment horizontal="center"/>
    </xf>
    <xf numFmtId="2" fontId="20" fillId="2" borderId="16" xfId="0" applyNumberFormat="1" applyFont="1" applyFill="1" applyBorder="1" applyAlignment="1">
      <alignment horizontal="center"/>
    </xf>
    <xf numFmtId="2" fontId="22" fillId="2" borderId="16" xfId="0" applyNumberFormat="1" applyFont="1" applyFill="1" applyBorder="1" applyAlignment="1">
      <alignment horizontal="center"/>
    </xf>
    <xf numFmtId="0" fontId="24" fillId="2" borderId="16" xfId="0" applyFont="1" applyFill="1" applyBorder="1" applyAlignment="1">
      <alignment vertical="top"/>
    </xf>
    <xf numFmtId="2" fontId="24" fillId="2" borderId="0" xfId="0" applyNumberFormat="1" applyFont="1" applyFill="1"/>
    <xf numFmtId="2" fontId="23" fillId="2" borderId="6" xfId="0" applyNumberFormat="1" applyFont="1" applyFill="1" applyBorder="1" applyAlignment="1">
      <alignment horizontal="center"/>
    </xf>
    <xf numFmtId="2" fontId="22" fillId="2" borderId="6" xfId="0" applyNumberFormat="1" applyFont="1" applyFill="1" applyBorder="1" applyAlignment="1">
      <alignment horizontal="center"/>
    </xf>
    <xf numFmtId="1" fontId="29" fillId="2" borderId="6" xfId="0" applyNumberFormat="1" applyFont="1" applyFill="1" applyBorder="1"/>
    <xf numFmtId="1" fontId="29" fillId="2" borderId="6" xfId="0" applyNumberFormat="1" applyFont="1" applyFill="1" applyBorder="1" applyAlignment="1">
      <alignment horizontal="center"/>
    </xf>
    <xf numFmtId="0" fontId="20" fillId="2" borderId="6" xfId="0" applyFont="1" applyFill="1" applyBorder="1" applyAlignment="1">
      <alignment vertical="center" wrapText="1"/>
    </xf>
    <xf numFmtId="1" fontId="29" fillId="2" borderId="8" xfId="0" applyNumberFormat="1" applyFont="1" applyFill="1" applyBorder="1"/>
    <xf numFmtId="1" fontId="29" fillId="2" borderId="8" xfId="0" applyNumberFormat="1" applyFont="1" applyFill="1" applyBorder="1" applyAlignment="1">
      <alignment horizontal="center"/>
    </xf>
    <xf numFmtId="1" fontId="16" fillId="2" borderId="9" xfId="4" quotePrefix="1" applyNumberFormat="1" applyFont="1" applyFill="1" applyBorder="1" applyAlignment="1">
      <alignment horizontal="center" vertical="center" wrapText="1"/>
    </xf>
    <xf numFmtId="1" fontId="16" fillId="2" borderId="9" xfId="2" quotePrefix="1" applyNumberFormat="1" applyFont="1" applyFill="1" applyBorder="1" applyAlignment="1">
      <alignment horizontal="center" vertical="center" wrapText="1"/>
    </xf>
    <xf numFmtId="164" fontId="28" fillId="2" borderId="9" xfId="0" applyNumberFormat="1" applyFont="1" applyFill="1" applyBorder="1" applyAlignment="1">
      <alignment horizontal="center" vertical="center"/>
    </xf>
    <xf numFmtId="164" fontId="37" fillId="2" borderId="9" xfId="0" applyNumberFormat="1" applyFont="1" applyFill="1" applyBorder="1" applyAlignment="1">
      <alignment horizontal="center" vertical="center"/>
    </xf>
    <xf numFmtId="1" fontId="28" fillId="2" borderId="9" xfId="0" applyNumberFormat="1" applyFont="1" applyFill="1" applyBorder="1" applyAlignment="1">
      <alignment horizontal="center"/>
    </xf>
    <xf numFmtId="1" fontId="16" fillId="2" borderId="9" xfId="0" applyNumberFormat="1" applyFont="1" applyFill="1" applyBorder="1"/>
    <xf numFmtId="1" fontId="16" fillId="2" borderId="9" xfId="0" applyNumberFormat="1" applyFont="1" applyFill="1" applyBorder="1" applyAlignment="1">
      <alignment horizontal="center"/>
    </xf>
    <xf numFmtId="0" fontId="24" fillId="0" borderId="6" xfId="3" applyFont="1" applyBorder="1" applyAlignment="1">
      <alignment vertical="top" wrapText="1"/>
    </xf>
    <xf numFmtId="1" fontId="16" fillId="0" borderId="6" xfId="4" quotePrefix="1" applyNumberFormat="1" applyFont="1" applyFill="1" applyBorder="1" applyAlignment="1">
      <alignment horizontal="center" vertical="center" wrapText="1"/>
    </xf>
    <xf numFmtId="1" fontId="16" fillId="0" borderId="6" xfId="2" quotePrefix="1" applyNumberFormat="1" applyFont="1" applyFill="1" applyBorder="1" applyAlignment="1">
      <alignment horizontal="center" vertical="center" wrapText="1"/>
    </xf>
    <xf numFmtId="164" fontId="28" fillId="0" borderId="6" xfId="0" applyNumberFormat="1" applyFont="1" applyBorder="1" applyAlignment="1">
      <alignment horizontal="center" vertical="center"/>
    </xf>
    <xf numFmtId="164" fontId="37" fillId="0" borderId="6" xfId="0" applyNumberFormat="1" applyFont="1" applyBorder="1" applyAlignment="1">
      <alignment horizontal="center" vertical="center"/>
    </xf>
    <xf numFmtId="164" fontId="28" fillId="0" borderId="11" xfId="0" applyNumberFormat="1" applyFont="1" applyBorder="1" applyAlignment="1">
      <alignment horizontal="center" vertical="center"/>
    </xf>
    <xf numFmtId="1" fontId="19" fillId="0" borderId="11" xfId="0" applyNumberFormat="1" applyFont="1" applyBorder="1" applyAlignment="1">
      <alignment horizontal="center" wrapText="1"/>
    </xf>
    <xf numFmtId="2" fontId="23" fillId="0" borderId="16" xfId="0" applyNumberFormat="1" applyFont="1" applyBorder="1" applyAlignment="1">
      <alignment horizontal="center" vertical="center"/>
    </xf>
    <xf numFmtId="2" fontId="22" fillId="0" borderId="16" xfId="0" applyNumberFormat="1" applyFont="1" applyBorder="1" applyAlignment="1">
      <alignment horizontal="center" vertical="center"/>
    </xf>
    <xf numFmtId="2" fontId="20" fillId="0" borderId="16" xfId="0" applyNumberFormat="1" applyFont="1" applyBorder="1" applyAlignment="1">
      <alignment horizontal="center" vertical="center"/>
    </xf>
    <xf numFmtId="0" fontId="24" fillId="0" borderId="16" xfId="0" applyFont="1" applyBorder="1" applyAlignment="1">
      <alignment vertical="top" wrapText="1"/>
    </xf>
    <xf numFmtId="2" fontId="16" fillId="2" borderId="0" xfId="0" applyNumberFormat="1" applyFont="1" applyFill="1"/>
    <xf numFmtId="2" fontId="21" fillId="9" borderId="7" xfId="0" applyNumberFormat="1" applyFont="1" applyFill="1" applyBorder="1" applyAlignment="1">
      <alignment horizontal="center" vertical="center"/>
    </xf>
    <xf numFmtId="2" fontId="23" fillId="9" borderId="7" xfId="0" applyNumberFormat="1" applyFont="1" applyFill="1" applyBorder="1" applyAlignment="1">
      <alignment horizontal="center"/>
    </xf>
    <xf numFmtId="2" fontId="22" fillId="9" borderId="7" xfId="0" applyNumberFormat="1" applyFont="1" applyFill="1" applyBorder="1" applyAlignment="1">
      <alignment horizontal="center"/>
    </xf>
    <xf numFmtId="1" fontId="29" fillId="9" borderId="6" xfId="2" quotePrefix="1" applyNumberFormat="1" applyFont="1" applyFill="1" applyBorder="1" applyAlignment="1">
      <alignment horizontal="center" vertical="center" wrapText="1"/>
    </xf>
    <xf numFmtId="2" fontId="23" fillId="9" borderId="6" xfId="0" applyNumberFormat="1" applyFont="1" applyFill="1" applyBorder="1" applyAlignment="1">
      <alignment horizontal="center"/>
    </xf>
    <xf numFmtId="2" fontId="22" fillId="9" borderId="6" xfId="0" applyNumberFormat="1" applyFont="1" applyFill="1" applyBorder="1" applyAlignment="1">
      <alignment horizontal="center"/>
    </xf>
    <xf numFmtId="1" fontId="29" fillId="9" borderId="6" xfId="0" applyNumberFormat="1" applyFont="1" applyFill="1" applyBorder="1"/>
    <xf numFmtId="1" fontId="29" fillId="9" borderId="6" xfId="0" applyNumberFormat="1" applyFont="1" applyFill="1" applyBorder="1" applyAlignment="1">
      <alignment horizontal="center"/>
    </xf>
    <xf numFmtId="0" fontId="20" fillId="9" borderId="6" xfId="0" applyFont="1" applyFill="1" applyBorder="1" applyAlignment="1">
      <alignment vertical="center" wrapText="1"/>
    </xf>
    <xf numFmtId="1" fontId="29" fillId="9" borderId="8" xfId="2" quotePrefix="1" applyNumberFormat="1" applyFont="1" applyFill="1" applyBorder="1" applyAlignment="1">
      <alignment horizontal="center" vertical="center" wrapText="1"/>
    </xf>
    <xf numFmtId="2" fontId="23" fillId="9" borderId="8" xfId="0" applyNumberFormat="1" applyFont="1" applyFill="1" applyBorder="1" applyAlignment="1">
      <alignment horizontal="center"/>
    </xf>
    <xf numFmtId="1" fontId="29" fillId="9" borderId="8" xfId="0" applyNumberFormat="1" applyFont="1" applyFill="1" applyBorder="1"/>
    <xf numFmtId="1" fontId="29" fillId="9" borderId="8" xfId="0" applyNumberFormat="1" applyFont="1" applyFill="1" applyBorder="1" applyAlignment="1">
      <alignment horizontal="center"/>
    </xf>
    <xf numFmtId="0" fontId="16" fillId="9" borderId="56" xfId="3" applyFont="1" applyFill="1" applyBorder="1" applyAlignment="1">
      <alignment vertical="top" wrapText="1"/>
    </xf>
    <xf numFmtId="1" fontId="16" fillId="9" borderId="9" xfId="4" quotePrefix="1" applyNumberFormat="1" applyFont="1" applyFill="1" applyBorder="1" applyAlignment="1">
      <alignment horizontal="center" vertical="center" wrapText="1"/>
    </xf>
    <xf numFmtId="1" fontId="16" fillId="9" borderId="9" xfId="2" quotePrefix="1" applyNumberFormat="1" applyFont="1" applyFill="1" applyBorder="1" applyAlignment="1">
      <alignment horizontal="center" vertical="center" wrapText="1"/>
    </xf>
    <xf numFmtId="164" fontId="17" fillId="9" borderId="9" xfId="0" applyNumberFormat="1" applyFont="1" applyFill="1" applyBorder="1" applyAlignment="1">
      <alignment horizontal="center" vertical="center"/>
    </xf>
    <xf numFmtId="164" fontId="28" fillId="9" borderId="9" xfId="0" applyNumberFormat="1" applyFont="1" applyFill="1" applyBorder="1" applyAlignment="1">
      <alignment horizontal="center" vertical="center"/>
    </xf>
    <xf numFmtId="164" fontId="37" fillId="9" borderId="9" xfId="0" applyNumberFormat="1" applyFont="1" applyFill="1" applyBorder="1" applyAlignment="1">
      <alignment horizontal="center" vertical="center"/>
    </xf>
    <xf numFmtId="1" fontId="28" fillId="9" borderId="9" xfId="0" applyNumberFormat="1" applyFont="1" applyFill="1" applyBorder="1" applyAlignment="1">
      <alignment horizontal="center"/>
    </xf>
    <xf numFmtId="0" fontId="16" fillId="9" borderId="9" xfId="0" applyFont="1" applyFill="1" applyBorder="1"/>
    <xf numFmtId="1" fontId="16" fillId="9" borderId="9" xfId="0" applyNumberFormat="1" applyFont="1" applyFill="1" applyBorder="1"/>
    <xf numFmtId="1" fontId="16" fillId="9" borderId="57" xfId="0" applyNumberFormat="1" applyFont="1" applyFill="1" applyBorder="1"/>
    <xf numFmtId="1" fontId="16" fillId="9" borderId="58" xfId="0" applyNumberFormat="1" applyFont="1" applyFill="1" applyBorder="1" applyAlignment="1">
      <alignment horizontal="center"/>
    </xf>
    <xf numFmtId="1" fontId="16" fillId="9" borderId="9" xfId="0" applyNumberFormat="1" applyFont="1" applyFill="1" applyBorder="1" applyAlignment="1">
      <alignment horizontal="center"/>
    </xf>
    <xf numFmtId="0" fontId="16" fillId="9" borderId="57" xfId="0" applyFont="1" applyFill="1" applyBorder="1" applyAlignment="1">
      <alignment vertical="top" wrapText="1"/>
    </xf>
    <xf numFmtId="0" fontId="24" fillId="9" borderId="59" xfId="3" applyFont="1" applyFill="1" applyBorder="1" applyAlignment="1">
      <alignment vertical="top" wrapText="1"/>
    </xf>
    <xf numFmtId="1" fontId="16" fillId="9" borderId="11" xfId="2" quotePrefix="1" applyNumberFormat="1" applyFont="1" applyFill="1" applyBorder="1" applyAlignment="1">
      <alignment horizontal="center" vertical="center" wrapText="1"/>
    </xf>
    <xf numFmtId="164" fontId="17" fillId="9" borderId="11" xfId="0" applyNumberFormat="1" applyFont="1" applyFill="1" applyBorder="1" applyAlignment="1">
      <alignment horizontal="center" vertical="center"/>
    </xf>
    <xf numFmtId="164" fontId="37" fillId="9" borderId="11" xfId="0" applyNumberFormat="1" applyFont="1" applyFill="1" applyBorder="1" applyAlignment="1">
      <alignment horizontal="center" vertical="center"/>
    </xf>
    <xf numFmtId="0" fontId="16" fillId="9" borderId="11" xfId="0" applyFont="1" applyFill="1" applyBorder="1"/>
    <xf numFmtId="2" fontId="31" fillId="9" borderId="11" xfId="0" applyNumberFormat="1" applyFont="1" applyFill="1" applyBorder="1" applyAlignment="1">
      <alignment horizontal="center" vertical="center"/>
    </xf>
    <xf numFmtId="0" fontId="29" fillId="9" borderId="11" xfId="0" applyFont="1" applyFill="1" applyBorder="1" applyAlignment="1">
      <alignment vertical="top" wrapText="1"/>
    </xf>
    <xf numFmtId="1" fontId="48" fillId="2" borderId="6" xfId="0" applyNumberFormat="1" applyFont="1" applyFill="1" applyBorder="1" applyAlignment="1">
      <alignment horizontal="center" vertical="center"/>
    </xf>
    <xf numFmtId="1" fontId="29" fillId="2" borderId="6" xfId="0" applyNumberFormat="1" applyFont="1" applyFill="1" applyBorder="1" applyAlignment="1">
      <alignment horizontal="center" vertical="center"/>
    </xf>
    <xf numFmtId="1" fontId="29" fillId="2" borderId="6" xfId="2" quotePrefix="1" applyNumberFormat="1" applyFont="1" applyFill="1" applyBorder="1" applyAlignment="1">
      <alignment horizontal="center" wrapText="1"/>
    </xf>
    <xf numFmtId="1" fontId="41" fillId="2" borderId="6" xfId="0" applyNumberFormat="1" applyFont="1" applyFill="1" applyBorder="1" applyAlignment="1">
      <alignment horizontal="center" vertical="center"/>
    </xf>
    <xf numFmtId="0" fontId="29" fillId="2" borderId="11" xfId="3" applyFont="1" applyFill="1" applyBorder="1" applyAlignment="1">
      <alignment vertical="top" wrapText="1"/>
    </xf>
    <xf numFmtId="1" fontId="29" fillId="2" borderId="11" xfId="0" applyNumberFormat="1" applyFont="1" applyFill="1" applyBorder="1" applyAlignment="1">
      <alignment horizontal="center" vertical="center"/>
    </xf>
    <xf numFmtId="1" fontId="29" fillId="2" borderId="11" xfId="2" quotePrefix="1" applyNumberFormat="1" applyFont="1" applyFill="1" applyBorder="1" applyAlignment="1">
      <alignment horizontal="center" wrapText="1"/>
    </xf>
    <xf numFmtId="1" fontId="41" fillId="2" borderId="11" xfId="0" applyNumberFormat="1" applyFont="1" applyFill="1" applyBorder="1" applyAlignment="1">
      <alignment horizontal="center" vertical="center"/>
    </xf>
    <xf numFmtId="1" fontId="48" fillId="2" borderId="11" xfId="0" applyNumberFormat="1" applyFont="1" applyFill="1" applyBorder="1" applyAlignment="1">
      <alignment horizontal="center" vertical="center"/>
    </xf>
    <xf numFmtId="2" fontId="23" fillId="2" borderId="11" xfId="0" applyNumberFormat="1" applyFont="1" applyFill="1" applyBorder="1" applyAlignment="1">
      <alignment horizontal="center" vertical="center"/>
    </xf>
    <xf numFmtId="1" fontId="59" fillId="2" borderId="11" xfId="0" applyNumberFormat="1" applyFont="1" applyFill="1" applyBorder="1" applyAlignment="1">
      <alignment horizontal="center" vertical="center" wrapText="1"/>
    </xf>
    <xf numFmtId="1" fontId="29" fillId="2" borderId="11" xfId="0" applyNumberFormat="1" applyFont="1" applyFill="1" applyBorder="1"/>
    <xf numFmtId="1" fontId="29" fillId="2" borderId="11" xfId="0" applyNumberFormat="1" applyFont="1" applyFill="1" applyBorder="1" applyAlignment="1">
      <alignment horizontal="center"/>
    </xf>
    <xf numFmtId="0" fontId="20" fillId="2" borderId="11" xfId="0" applyFont="1" applyFill="1" applyBorder="1" applyAlignment="1">
      <alignment vertical="center" wrapText="1"/>
    </xf>
    <xf numFmtId="1" fontId="29" fillId="9" borderId="6" xfId="0" applyNumberFormat="1" applyFont="1" applyFill="1" applyBorder="1" applyAlignment="1">
      <alignment horizontal="center" vertical="center"/>
    </xf>
    <xf numFmtId="1" fontId="29" fillId="9" borderId="6" xfId="2" quotePrefix="1" applyNumberFormat="1" applyFont="1" applyFill="1" applyBorder="1" applyAlignment="1">
      <alignment horizontal="center" wrapText="1"/>
    </xf>
    <xf numFmtId="1" fontId="41" fillId="9" borderId="6" xfId="0" applyNumberFormat="1" applyFont="1" applyFill="1" applyBorder="1" applyAlignment="1">
      <alignment horizontal="center" vertical="center"/>
    </xf>
    <xf numFmtId="1" fontId="48" fillId="9" borderId="6" xfId="0" applyNumberFormat="1" applyFont="1" applyFill="1" applyBorder="1" applyAlignment="1">
      <alignment horizontal="center" vertical="center"/>
    </xf>
    <xf numFmtId="0" fontId="20" fillId="9" borderId="6" xfId="0" applyFont="1" applyFill="1" applyBorder="1" applyAlignment="1">
      <alignment vertical="top" wrapText="1"/>
    </xf>
    <xf numFmtId="0" fontId="29" fillId="9" borderId="11" xfId="3" applyFont="1" applyFill="1" applyBorder="1" applyAlignment="1">
      <alignment vertical="top" wrapText="1"/>
    </xf>
    <xf numFmtId="1" fontId="29" fillId="9" borderId="61" xfId="4" quotePrefix="1" applyNumberFormat="1" applyFont="1" applyFill="1" applyBorder="1" applyAlignment="1">
      <alignment horizontal="center" vertical="center" wrapText="1"/>
    </xf>
    <xf numFmtId="1" fontId="29" fillId="9" borderId="61" xfId="0" applyNumberFormat="1" applyFont="1" applyFill="1" applyBorder="1" applyAlignment="1">
      <alignment horizontal="center" vertical="center"/>
    </xf>
    <xf numFmtId="1" fontId="29" fillId="9" borderId="61" xfId="2" quotePrefix="1" applyNumberFormat="1" applyFont="1" applyFill="1" applyBorder="1" applyAlignment="1">
      <alignment horizontal="center" wrapText="1"/>
    </xf>
    <xf numFmtId="1" fontId="41" fillId="9" borderId="61" xfId="0" applyNumberFormat="1" applyFont="1" applyFill="1" applyBorder="1" applyAlignment="1">
      <alignment horizontal="center" vertical="center"/>
    </xf>
    <xf numFmtId="1" fontId="48" fillId="9" borderId="61" xfId="0" applyNumberFormat="1" applyFont="1" applyFill="1" applyBorder="1" applyAlignment="1">
      <alignment horizontal="center" vertical="center"/>
    </xf>
    <xf numFmtId="2" fontId="23" fillId="9" borderId="61" xfId="0" applyNumberFormat="1" applyFont="1" applyFill="1" applyBorder="1" applyAlignment="1">
      <alignment horizontal="center" vertical="center"/>
    </xf>
    <xf numFmtId="1" fontId="59" fillId="9" borderId="61" xfId="0" applyNumberFormat="1" applyFont="1" applyFill="1" applyBorder="1" applyAlignment="1">
      <alignment horizontal="center" vertical="center" wrapText="1"/>
    </xf>
    <xf numFmtId="1" fontId="29" fillId="9" borderId="61" xfId="0" applyNumberFormat="1" applyFont="1" applyFill="1" applyBorder="1"/>
    <xf numFmtId="1" fontId="9" fillId="9" borderId="61" xfId="0" applyNumberFormat="1" applyFont="1" applyFill="1" applyBorder="1" applyAlignment="1">
      <alignment horizontal="center"/>
    </xf>
    <xf numFmtId="1" fontId="29" fillId="9" borderId="11" xfId="0" applyNumberFormat="1" applyFont="1" applyFill="1" applyBorder="1" applyAlignment="1">
      <alignment horizontal="center"/>
    </xf>
    <xf numFmtId="0" fontId="20" fillId="9" borderId="11" xfId="0" applyFont="1" applyFill="1" applyBorder="1" applyAlignment="1">
      <alignment vertical="center" wrapText="1"/>
    </xf>
    <xf numFmtId="2" fontId="21" fillId="2" borderId="7" xfId="0" applyNumberFormat="1" applyFont="1" applyFill="1" applyBorder="1" applyAlignment="1">
      <alignment horizontal="center" vertical="center"/>
    </xf>
    <xf numFmtId="1" fontId="29" fillId="2" borderId="61" xfId="4" quotePrefix="1" applyNumberFormat="1" applyFont="1" applyFill="1" applyBorder="1" applyAlignment="1">
      <alignment horizontal="center" vertical="center" wrapText="1"/>
    </xf>
    <xf numFmtId="1" fontId="29" fillId="2" borderId="61" xfId="0" applyNumberFormat="1" applyFont="1" applyFill="1" applyBorder="1" applyAlignment="1">
      <alignment horizontal="center" vertical="center"/>
    </xf>
    <xf numFmtId="1" fontId="29" fillId="2" borderId="61" xfId="2" quotePrefix="1" applyNumberFormat="1" applyFont="1" applyFill="1" applyBorder="1" applyAlignment="1">
      <alignment horizontal="center" wrapText="1"/>
    </xf>
    <xf numFmtId="1" fontId="41" fillId="2" borderId="61" xfId="0" applyNumberFormat="1" applyFont="1" applyFill="1" applyBorder="1" applyAlignment="1">
      <alignment horizontal="center" vertical="center"/>
    </xf>
    <xf numFmtId="1" fontId="48" fillId="2" borderId="61" xfId="0" applyNumberFormat="1" applyFont="1" applyFill="1" applyBorder="1" applyAlignment="1">
      <alignment horizontal="center" vertical="center"/>
    </xf>
    <xf numFmtId="2" fontId="23" fillId="2" borderId="61" xfId="0" applyNumberFormat="1" applyFont="1" applyFill="1" applyBorder="1" applyAlignment="1">
      <alignment horizontal="center" vertical="center"/>
    </xf>
    <xf numFmtId="1" fontId="59" fillId="2" borderId="61" xfId="0" applyNumberFormat="1" applyFont="1" applyFill="1" applyBorder="1" applyAlignment="1">
      <alignment horizontal="center" vertical="center" wrapText="1"/>
    </xf>
    <xf numFmtId="1" fontId="29" fillId="2" borderId="61" xfId="0" applyNumberFormat="1" applyFont="1" applyFill="1" applyBorder="1"/>
    <xf numFmtId="1" fontId="9" fillId="2" borderId="61" xfId="0" applyNumberFormat="1" applyFont="1" applyFill="1" applyBorder="1" applyAlignment="1">
      <alignment horizontal="center"/>
    </xf>
    <xf numFmtId="1" fontId="9" fillId="2" borderId="61" xfId="0" applyNumberFormat="1" applyFont="1" applyFill="1" applyBorder="1"/>
    <xf numFmtId="1" fontId="9" fillId="2" borderId="6" xfId="0" applyNumberFormat="1" applyFont="1" applyFill="1" applyBorder="1" applyAlignment="1">
      <alignment horizontal="center"/>
    </xf>
    <xf numFmtId="0" fontId="20" fillId="9" borderId="7" xfId="0" applyFont="1" applyFill="1" applyBorder="1" applyAlignment="1">
      <alignment vertical="top" wrapText="1"/>
    </xf>
    <xf numFmtId="0" fontId="16" fillId="0" borderId="7" xfId="3" applyFont="1" applyBorder="1" applyAlignment="1">
      <alignment vertical="top" wrapText="1"/>
    </xf>
    <xf numFmtId="1" fontId="29" fillId="0" borderId="7" xfId="4" quotePrefix="1" applyNumberFormat="1" applyFont="1" applyFill="1" applyBorder="1" applyAlignment="1">
      <alignment horizontal="center" vertical="center" wrapText="1"/>
    </xf>
    <xf numFmtId="1" fontId="29" fillId="0" borderId="7" xfId="0" applyNumberFormat="1" applyFont="1" applyBorder="1" applyAlignment="1">
      <alignment horizontal="center" vertical="center"/>
    </xf>
    <xf numFmtId="2" fontId="20" fillId="0" borderId="7" xfId="2" quotePrefix="1" applyNumberFormat="1" applyFont="1" applyFill="1" applyBorder="1" applyAlignment="1">
      <alignment horizontal="center" wrapText="1"/>
    </xf>
    <xf numFmtId="2" fontId="22" fillId="0" borderId="7" xfId="2" quotePrefix="1" applyNumberFormat="1" applyFont="1" applyFill="1" applyBorder="1" applyAlignment="1">
      <alignment horizontal="center" wrapText="1"/>
    </xf>
    <xf numFmtId="2" fontId="23" fillId="0" borderId="7" xfId="0" applyNumberFormat="1" applyFont="1" applyBorder="1" applyAlignment="1">
      <alignment horizontal="center"/>
    </xf>
    <xf numFmtId="0" fontId="29" fillId="0" borderId="6" xfId="3" applyFont="1" applyBorder="1" applyAlignment="1">
      <alignment vertical="top" wrapText="1"/>
    </xf>
    <xf numFmtId="1" fontId="29" fillId="0" borderId="6" xfId="4" quotePrefix="1" applyNumberFormat="1" applyFont="1" applyFill="1" applyBorder="1" applyAlignment="1">
      <alignment horizontal="center" vertical="center" wrapText="1"/>
    </xf>
    <xf numFmtId="1" fontId="29" fillId="0" borderId="6" xfId="0" applyNumberFormat="1" applyFont="1" applyBorder="1" applyAlignment="1">
      <alignment horizontal="center" vertical="center"/>
    </xf>
    <xf numFmtId="2" fontId="20" fillId="0" borderId="6" xfId="2" quotePrefix="1" applyNumberFormat="1" applyFont="1" applyFill="1" applyBorder="1" applyAlignment="1">
      <alignment horizontal="center" wrapText="1"/>
    </xf>
    <xf numFmtId="0" fontId="24" fillId="0" borderId="6" xfId="0" applyFont="1" applyBorder="1"/>
    <xf numFmtId="1" fontId="59" fillId="0" borderId="6" xfId="0" applyNumberFormat="1" applyFont="1" applyBorder="1" applyAlignment="1">
      <alignment horizontal="center" vertical="center" wrapText="1"/>
    </xf>
    <xf numFmtId="1" fontId="48" fillId="0" borderId="6" xfId="0" applyNumberFormat="1" applyFont="1" applyBorder="1" applyAlignment="1">
      <alignment horizontal="center" vertical="center"/>
    </xf>
    <xf numFmtId="1" fontId="48" fillId="0" borderId="6" xfId="0" applyNumberFormat="1" applyFont="1" applyBorder="1" applyAlignment="1">
      <alignment horizontal="center"/>
    </xf>
    <xf numFmtId="1" fontId="29" fillId="0" borderId="6" xfId="0" applyNumberFormat="1" applyFont="1" applyBorder="1"/>
    <xf numFmtId="1" fontId="29" fillId="0" borderId="6" xfId="0" applyNumberFormat="1" applyFont="1" applyBorder="1" applyAlignment="1">
      <alignment horizontal="center"/>
    </xf>
    <xf numFmtId="0" fontId="16" fillId="0" borderId="62" xfId="3" applyFont="1" applyBorder="1" applyAlignment="1">
      <alignment vertical="top" wrapText="1"/>
    </xf>
    <xf numFmtId="1" fontId="16" fillId="0" borderId="42" xfId="4" quotePrefix="1" applyNumberFormat="1" applyFont="1" applyFill="1" applyBorder="1" applyAlignment="1">
      <alignment horizontal="center" vertical="center" wrapText="1"/>
    </xf>
    <xf numFmtId="1" fontId="16" fillId="0" borderId="42" xfId="0" applyNumberFormat="1" applyFont="1" applyBorder="1" applyAlignment="1">
      <alignment horizontal="center" vertical="center"/>
    </xf>
    <xf numFmtId="1" fontId="16" fillId="0" borderId="42" xfId="2" quotePrefix="1" applyNumberFormat="1" applyFont="1" applyFill="1" applyBorder="1" applyAlignment="1">
      <alignment horizontal="center" wrapText="1"/>
    </xf>
    <xf numFmtId="1" fontId="17" fillId="0" borderId="42" xfId="0" applyNumberFormat="1" applyFont="1" applyBorder="1" applyAlignment="1">
      <alignment horizontal="center" vertical="center"/>
    </xf>
    <xf numFmtId="1" fontId="28" fillId="0" borderId="42" xfId="0" applyNumberFormat="1" applyFont="1" applyBorder="1" applyAlignment="1">
      <alignment horizontal="center" vertical="center"/>
    </xf>
    <xf numFmtId="2" fontId="17" fillId="0" borderId="42" xfId="0" applyNumberFormat="1" applyFont="1" applyBorder="1" applyAlignment="1">
      <alignment horizontal="center" vertical="center"/>
    </xf>
    <xf numFmtId="2" fontId="28" fillId="0" borderId="42" xfId="0" applyNumberFormat="1" applyFont="1" applyBorder="1" applyAlignment="1">
      <alignment horizontal="center" vertical="center"/>
    </xf>
    <xf numFmtId="1" fontId="28" fillId="0" borderId="42" xfId="0" applyNumberFormat="1" applyFont="1" applyBorder="1" applyAlignment="1">
      <alignment horizontal="center"/>
    </xf>
    <xf numFmtId="1" fontId="28" fillId="0" borderId="63" xfId="0" applyNumberFormat="1" applyFont="1" applyBorder="1" applyAlignment="1">
      <alignment horizontal="center"/>
    </xf>
    <xf numFmtId="1" fontId="28" fillId="0" borderId="64" xfId="0" applyNumberFormat="1" applyFont="1" applyBorder="1" applyAlignment="1">
      <alignment horizontal="center"/>
    </xf>
    <xf numFmtId="1" fontId="16" fillId="0" borderId="64" xfId="0" applyNumberFormat="1" applyFont="1" applyBorder="1"/>
    <xf numFmtId="1" fontId="16" fillId="0" borderId="64" xfId="0" applyNumberFormat="1" applyFont="1" applyBorder="1" applyAlignment="1">
      <alignment horizontal="center"/>
    </xf>
    <xf numFmtId="0" fontId="16" fillId="0" borderId="64" xfId="0" applyFont="1" applyBorder="1" applyAlignment="1">
      <alignment vertical="top" wrapText="1"/>
    </xf>
    <xf numFmtId="0" fontId="16" fillId="9" borderId="65" xfId="3" applyFont="1" applyFill="1" applyBorder="1" applyAlignment="1">
      <alignment vertical="top" wrapText="1"/>
    </xf>
    <xf numFmtId="1" fontId="16" fillId="9" borderId="66" xfId="4" quotePrefix="1" applyNumberFormat="1" applyFont="1" applyFill="1" applyBorder="1" applyAlignment="1">
      <alignment horizontal="center" vertical="center" wrapText="1"/>
    </xf>
    <xf numFmtId="1" fontId="16" fillId="9" borderId="66" xfId="0" applyNumberFormat="1" applyFont="1" applyFill="1" applyBorder="1" applyAlignment="1">
      <alignment horizontal="center" vertical="center"/>
    </xf>
    <xf numFmtId="2" fontId="20" fillId="9" borderId="66" xfId="2" quotePrefix="1" applyNumberFormat="1" applyFont="1" applyFill="1" applyBorder="1" applyAlignment="1">
      <alignment horizontal="center" vertical="center" wrapText="1"/>
    </xf>
    <xf numFmtId="2" fontId="22" fillId="9" borderId="67" xfId="0" applyNumberFormat="1" applyFont="1" applyFill="1" applyBorder="1" applyAlignment="1">
      <alignment horizontal="center" vertical="center" wrapText="1"/>
    </xf>
    <xf numFmtId="2" fontId="32" fillId="9" borderId="66" xfId="0" applyNumberFormat="1" applyFont="1" applyFill="1" applyBorder="1" applyAlignment="1">
      <alignment horizontal="center" vertical="center"/>
    </xf>
    <xf numFmtId="2" fontId="31" fillId="9" borderId="66" xfId="0" applyNumberFormat="1" applyFont="1" applyFill="1" applyBorder="1" applyAlignment="1">
      <alignment horizontal="center" vertical="center"/>
    </xf>
    <xf numFmtId="2" fontId="32" fillId="9" borderId="68" xfId="0" applyNumberFormat="1" applyFont="1" applyFill="1" applyBorder="1" applyAlignment="1">
      <alignment horizontal="center" vertical="center"/>
    </xf>
    <xf numFmtId="2" fontId="36" fillId="9" borderId="66" xfId="0" applyNumberFormat="1" applyFont="1" applyFill="1" applyBorder="1" applyAlignment="1">
      <alignment horizontal="center" vertical="center"/>
    </xf>
    <xf numFmtId="2" fontId="36" fillId="9" borderId="42" xfId="0" applyNumberFormat="1" applyFont="1" applyFill="1" applyBorder="1" applyAlignment="1">
      <alignment horizontal="center" vertical="center"/>
    </xf>
    <xf numFmtId="2" fontId="23" fillId="9" borderId="66" xfId="0" applyNumberFormat="1" applyFont="1" applyFill="1" applyBorder="1" applyAlignment="1">
      <alignment horizontal="center" vertical="center"/>
    </xf>
    <xf numFmtId="164" fontId="20" fillId="9" borderId="42" xfId="0" applyNumberFormat="1" applyFont="1" applyFill="1" applyBorder="1" applyAlignment="1">
      <alignment horizontal="center" vertical="center" wrapText="1"/>
    </xf>
    <xf numFmtId="164" fontId="22" fillId="9" borderId="42" xfId="0" applyNumberFormat="1" applyFont="1" applyFill="1" applyBorder="1" applyAlignment="1">
      <alignment horizontal="center" vertical="center" wrapText="1"/>
    </xf>
    <xf numFmtId="0" fontId="16" fillId="9" borderId="70" xfId="0" applyFont="1" applyFill="1" applyBorder="1" applyAlignment="1">
      <alignment vertical="top" wrapText="1"/>
    </xf>
    <xf numFmtId="0" fontId="29" fillId="2" borderId="7" xfId="3" applyFont="1" applyFill="1" applyBorder="1" applyAlignment="1">
      <alignment vertical="top" wrapText="1"/>
    </xf>
    <xf numFmtId="1" fontId="29" fillId="2" borderId="7" xfId="0" applyNumberFormat="1" applyFont="1" applyFill="1" applyBorder="1" applyAlignment="1">
      <alignment horizontal="center" vertical="center"/>
    </xf>
    <xf numFmtId="2" fontId="20" fillId="2" borderId="7" xfId="2" quotePrefix="1" applyNumberFormat="1" applyFont="1" applyFill="1" applyBorder="1" applyAlignment="1">
      <alignment horizontal="center" wrapText="1"/>
    </xf>
    <xf numFmtId="2" fontId="22" fillId="2" borderId="7" xfId="2" quotePrefix="1" applyNumberFormat="1" applyFont="1" applyFill="1" applyBorder="1" applyAlignment="1">
      <alignment horizontal="center" wrapText="1"/>
    </xf>
    <xf numFmtId="2" fontId="23" fillId="2" borderId="7" xfId="0" applyNumberFormat="1" applyFont="1" applyFill="1" applyBorder="1" applyAlignment="1">
      <alignment horizontal="center"/>
    </xf>
    <xf numFmtId="2" fontId="23" fillId="2" borderId="27" xfId="0" applyNumberFormat="1" applyFont="1" applyFill="1" applyBorder="1" applyAlignment="1">
      <alignment horizontal="center"/>
    </xf>
    <xf numFmtId="0" fontId="29" fillId="2" borderId="6" xfId="0" applyFont="1" applyFill="1" applyBorder="1" applyAlignment="1">
      <alignment vertical="top" wrapText="1"/>
    </xf>
    <xf numFmtId="1" fontId="29" fillId="2" borderId="8" xfId="0" applyNumberFormat="1" applyFont="1" applyFill="1" applyBorder="1" applyAlignment="1">
      <alignment horizontal="center" vertical="center"/>
    </xf>
    <xf numFmtId="2" fontId="20" fillId="2" borderId="8" xfId="2" quotePrefix="1" applyNumberFormat="1" applyFont="1" applyFill="1" applyBorder="1" applyAlignment="1">
      <alignment horizontal="center" wrapText="1"/>
    </xf>
    <xf numFmtId="1" fontId="48" fillId="2" borderId="8" xfId="0" applyNumberFormat="1" applyFont="1" applyFill="1" applyBorder="1" applyAlignment="1">
      <alignment horizontal="center" vertical="center"/>
    </xf>
    <xf numFmtId="1" fontId="48" fillId="2" borderId="8" xfId="0" applyNumberFormat="1" applyFont="1" applyFill="1" applyBorder="1" applyAlignment="1">
      <alignment horizontal="center"/>
    </xf>
    <xf numFmtId="0" fontId="29" fillId="2" borderId="8" xfId="0" applyFont="1" applyFill="1" applyBorder="1" applyAlignment="1">
      <alignment vertical="top" wrapText="1"/>
    </xf>
    <xf numFmtId="0" fontId="16" fillId="2" borderId="16" xfId="0" applyFont="1" applyFill="1" applyBorder="1"/>
    <xf numFmtId="0" fontId="16" fillId="2" borderId="16" xfId="0" applyFont="1" applyFill="1" applyBorder="1" applyAlignment="1">
      <alignment horizontal="center"/>
    </xf>
    <xf numFmtId="0" fontId="17" fillId="2" borderId="16" xfId="0" applyFont="1" applyFill="1" applyBorder="1" applyAlignment="1">
      <alignment horizontal="center"/>
    </xf>
    <xf numFmtId="0" fontId="16" fillId="2" borderId="16" xfId="0" applyFont="1" applyFill="1" applyBorder="1" applyAlignment="1">
      <alignment horizontal="left"/>
    </xf>
    <xf numFmtId="0" fontId="24" fillId="2" borderId="6" xfId="3" applyFont="1" applyFill="1" applyBorder="1"/>
    <xf numFmtId="0" fontId="7" fillId="4" borderId="5" xfId="3" applyFont="1" applyFill="1" applyBorder="1" applyAlignment="1">
      <alignment vertical="top" wrapText="1"/>
    </xf>
    <xf numFmtId="1" fontId="13" fillId="4" borderId="5" xfId="4" quotePrefix="1" applyNumberFormat="1" applyFont="1" applyFill="1" applyBorder="1" applyAlignment="1">
      <alignment horizontal="center" vertical="center" wrapText="1"/>
    </xf>
    <xf numFmtId="1" fontId="13" fillId="4" borderId="5" xfId="0" applyNumberFormat="1" applyFont="1" applyFill="1" applyBorder="1" applyAlignment="1">
      <alignment horizontal="center" vertical="center"/>
    </xf>
    <xf numFmtId="2" fontId="12" fillId="4" borderId="5" xfId="2" quotePrefix="1" applyNumberFormat="1" applyFont="1" applyFill="1" applyBorder="1" applyAlignment="1">
      <alignment horizontal="center" wrapText="1"/>
    </xf>
    <xf numFmtId="2" fontId="14" fillId="4" borderId="5" xfId="2" quotePrefix="1" applyNumberFormat="1" applyFont="1" applyFill="1" applyBorder="1" applyAlignment="1">
      <alignment horizontal="center" wrapText="1"/>
    </xf>
    <xf numFmtId="2" fontId="15" fillId="4" borderId="5" xfId="0" applyNumberFormat="1" applyFont="1" applyFill="1" applyBorder="1" applyAlignment="1">
      <alignment horizontal="center"/>
    </xf>
    <xf numFmtId="0" fontId="13" fillId="4" borderId="5" xfId="0" applyFont="1" applyFill="1" applyBorder="1" applyAlignment="1">
      <alignment vertical="top" wrapText="1"/>
    </xf>
    <xf numFmtId="9" fontId="7" fillId="4" borderId="5" xfId="8" applyFont="1" applyFill="1" applyBorder="1" applyAlignment="1">
      <alignment horizontal="left" vertical="center"/>
    </xf>
    <xf numFmtId="9" fontId="7" fillId="4" borderId="5" xfId="8" applyFont="1" applyFill="1" applyBorder="1" applyAlignment="1">
      <alignment horizontal="center" vertical="center"/>
    </xf>
    <xf numFmtId="0" fontId="7" fillId="4" borderId="5" xfId="0" applyFont="1" applyFill="1" applyBorder="1" applyAlignment="1">
      <alignment vertical="top" wrapText="1"/>
    </xf>
    <xf numFmtId="9" fontId="24" fillId="2" borderId="8" xfId="8" applyFont="1" applyFill="1" applyBorder="1" applyAlignment="1">
      <alignment horizontal="center" vertical="center"/>
    </xf>
    <xf numFmtId="9" fontId="24" fillId="2" borderId="9" xfId="8" applyFont="1" applyFill="1" applyBorder="1" applyAlignment="1">
      <alignment horizontal="center" vertical="center"/>
    </xf>
    <xf numFmtId="0" fontId="24" fillId="2" borderId="10" xfId="3" applyFont="1" applyFill="1" applyBorder="1" applyAlignment="1">
      <alignment wrapText="1"/>
    </xf>
    <xf numFmtId="9" fontId="24" fillId="2" borderId="10" xfId="8" applyFont="1" applyFill="1" applyBorder="1" applyAlignment="1">
      <alignment horizontal="center" vertical="center"/>
    </xf>
    <xf numFmtId="0" fontId="24" fillId="2" borderId="10" xfId="0" applyFont="1" applyFill="1" applyBorder="1" applyAlignment="1">
      <alignment wrapText="1"/>
    </xf>
    <xf numFmtId="0" fontId="12" fillId="4" borderId="5" xfId="6" applyFont="1" applyFill="1" applyBorder="1" applyAlignment="1">
      <alignment horizontal="left" vertical="top" wrapText="1"/>
    </xf>
    <xf numFmtId="3" fontId="7" fillId="4" borderId="5" xfId="0" applyNumberFormat="1" applyFont="1" applyFill="1" applyBorder="1" applyAlignment="1">
      <alignment horizontal="center" vertical="center"/>
    </xf>
    <xf numFmtId="0" fontId="12" fillId="2" borderId="0" xfId="0" applyFont="1" applyFill="1"/>
    <xf numFmtId="0" fontId="25" fillId="9" borderId="46" xfId="9" applyFont="1" applyFill="1" applyBorder="1" applyAlignment="1">
      <alignment vertical="top" wrapText="1"/>
    </xf>
    <xf numFmtId="3" fontId="19" fillId="9" borderId="8" xfId="0" applyNumberFormat="1" applyFont="1" applyFill="1" applyBorder="1" applyAlignment="1">
      <alignment horizontal="center" vertical="center"/>
    </xf>
    <xf numFmtId="4" fontId="19" fillId="9" borderId="8" xfId="0" applyNumberFormat="1" applyFont="1" applyFill="1" applyBorder="1" applyAlignment="1">
      <alignment horizontal="center" vertical="center"/>
    </xf>
    <xf numFmtId="4" fontId="18" fillId="9" borderId="8" xfId="0" applyNumberFormat="1" applyFont="1" applyFill="1" applyBorder="1" applyAlignment="1">
      <alignment horizontal="center" vertical="center"/>
    </xf>
    <xf numFmtId="0" fontId="25" fillId="9" borderId="47" xfId="9" applyFont="1" applyFill="1" applyBorder="1" applyAlignment="1">
      <alignment vertical="top" wrapText="1"/>
    </xf>
    <xf numFmtId="3" fontId="19" fillId="9" borderId="11" xfId="0" applyNumberFormat="1" applyFont="1" applyFill="1" applyBorder="1" applyAlignment="1">
      <alignment horizontal="center" vertical="center"/>
    </xf>
    <xf numFmtId="4" fontId="19" fillId="9" borderId="11" xfId="0" applyNumberFormat="1" applyFont="1" applyFill="1" applyBorder="1" applyAlignment="1">
      <alignment horizontal="center" vertical="center"/>
    </xf>
    <xf numFmtId="4" fontId="19" fillId="9" borderId="10" xfId="0" applyNumberFormat="1" applyFont="1" applyFill="1" applyBorder="1" applyAlignment="1">
      <alignment horizontal="center" vertical="center"/>
    </xf>
    <xf numFmtId="4" fontId="18" fillId="9" borderId="10" xfId="0" applyNumberFormat="1" applyFont="1" applyFill="1" applyBorder="1" applyAlignment="1">
      <alignment horizontal="center" vertical="center"/>
    </xf>
    <xf numFmtId="0" fontId="24" fillId="9" borderId="10" xfId="0" applyFont="1" applyFill="1" applyBorder="1" applyAlignment="1">
      <alignment vertical="top" wrapText="1"/>
    </xf>
    <xf numFmtId="0" fontId="20" fillId="10" borderId="71" xfId="6" applyFont="1" applyFill="1" applyBorder="1" applyAlignment="1">
      <alignment horizontal="left" vertical="top" wrapText="1"/>
    </xf>
    <xf numFmtId="165" fontId="12" fillId="10" borderId="71" xfId="3" quotePrefix="1" applyNumberFormat="1" applyFont="1" applyFill="1" applyBorder="1" applyAlignment="1">
      <alignment horizontal="center"/>
    </xf>
    <xf numFmtId="165" fontId="12" fillId="10" borderId="71" xfId="0" applyNumberFormat="1" applyFont="1" applyFill="1" applyBorder="1" applyAlignment="1">
      <alignment horizontal="center"/>
    </xf>
    <xf numFmtId="165" fontId="14" fillId="10" borderId="71" xfId="0" applyNumberFormat="1" applyFont="1" applyFill="1" applyBorder="1" applyAlignment="1">
      <alignment horizontal="center"/>
    </xf>
    <xf numFmtId="165" fontId="73" fillId="10" borderId="71" xfId="0" applyNumberFormat="1" applyFont="1" applyFill="1" applyBorder="1" applyAlignment="1">
      <alignment horizontal="center"/>
    </xf>
    <xf numFmtId="0" fontId="7" fillId="10" borderId="71" xfId="0" applyFont="1" applyFill="1" applyBorder="1"/>
    <xf numFmtId="0" fontId="7" fillId="10" borderId="71" xfId="0" applyFont="1" applyFill="1" applyBorder="1" applyAlignment="1">
      <alignment horizontal="center"/>
    </xf>
    <xf numFmtId="0" fontId="20" fillId="10" borderId="71" xfId="0" applyFont="1" applyFill="1" applyBorder="1"/>
    <xf numFmtId="0" fontId="25" fillId="2" borderId="72" xfId="9" applyFont="1" applyFill="1" applyBorder="1" applyAlignment="1">
      <alignment vertical="top" wrapText="1"/>
    </xf>
    <xf numFmtId="165" fontId="12" fillId="2" borderId="72" xfId="3" quotePrefix="1" applyNumberFormat="1" applyFont="1" applyFill="1" applyBorder="1" applyAlignment="1">
      <alignment horizontal="center"/>
    </xf>
    <xf numFmtId="165" fontId="12" fillId="2" borderId="72" xfId="0" applyNumberFormat="1" applyFont="1" applyFill="1" applyBorder="1" applyAlignment="1">
      <alignment horizontal="center"/>
    </xf>
    <xf numFmtId="165" fontId="14" fillId="2" borderId="72" xfId="0" applyNumberFormat="1" applyFont="1" applyFill="1" applyBorder="1" applyAlignment="1">
      <alignment horizontal="center"/>
    </xf>
    <xf numFmtId="165" fontId="73" fillId="2" borderId="72" xfId="0" applyNumberFormat="1" applyFont="1" applyFill="1" applyBorder="1" applyAlignment="1">
      <alignment horizontal="center"/>
    </xf>
    <xf numFmtId="3" fontId="25" fillId="2" borderId="72" xfId="0" applyNumberFormat="1" applyFont="1" applyFill="1" applyBorder="1" applyAlignment="1">
      <alignment horizontal="center"/>
    </xf>
    <xf numFmtId="4" fontId="61" fillId="2" borderId="72" xfId="0" applyNumberFormat="1" applyFont="1" applyFill="1" applyBorder="1" applyAlignment="1">
      <alignment horizontal="center" wrapText="1"/>
    </xf>
    <xf numFmtId="3" fontId="22" fillId="2" borderId="72" xfId="0" applyNumberFormat="1" applyFont="1" applyFill="1" applyBorder="1" applyAlignment="1">
      <alignment horizontal="center"/>
    </xf>
    <xf numFmtId="3" fontId="22" fillId="2" borderId="72" xfId="0" applyNumberFormat="1" applyFont="1" applyFill="1" applyBorder="1"/>
    <xf numFmtId="3" fontId="30" fillId="2" borderId="72" xfId="0" applyNumberFormat="1" applyFont="1" applyFill="1" applyBorder="1" applyAlignment="1">
      <alignment horizontal="center"/>
    </xf>
    <xf numFmtId="0" fontId="24" fillId="2" borderId="72" xfId="0" applyFont="1" applyFill="1" applyBorder="1" applyAlignment="1">
      <alignment vertical="top"/>
    </xf>
    <xf numFmtId="0" fontId="24" fillId="0" borderId="72" xfId="9" applyFont="1" applyBorder="1" applyAlignment="1">
      <alignment vertical="top" wrapText="1"/>
    </xf>
    <xf numFmtId="4" fontId="14" fillId="2" borderId="72" xfId="0" applyNumberFormat="1" applyFont="1" applyFill="1" applyBorder="1" applyAlignment="1">
      <alignment horizontal="center" wrapText="1"/>
    </xf>
    <xf numFmtId="0" fontId="24" fillId="0" borderId="72" xfId="10" applyFont="1" applyBorder="1" applyAlignment="1">
      <alignment vertical="top" wrapText="1"/>
    </xf>
    <xf numFmtId="9" fontId="83" fillId="2" borderId="72" xfId="2" applyFont="1" applyFill="1" applyBorder="1" applyAlignment="1">
      <alignment horizontal="center"/>
    </xf>
    <xf numFmtId="9" fontId="25" fillId="2" borderId="72" xfId="2" applyFont="1" applyFill="1" applyBorder="1" applyAlignment="1">
      <alignment horizontal="center"/>
    </xf>
    <xf numFmtId="9" fontId="30" fillId="2" borderId="72" xfId="2" applyFont="1" applyFill="1" applyBorder="1" applyAlignment="1">
      <alignment horizontal="center"/>
    </xf>
    <xf numFmtId="0" fontId="24" fillId="2" borderId="72" xfId="9" applyFont="1" applyFill="1" applyBorder="1" applyAlignment="1">
      <alignment vertical="top" wrapText="1"/>
    </xf>
    <xf numFmtId="0" fontId="20" fillId="2" borderId="72" xfId="6" applyFont="1" applyFill="1" applyBorder="1" applyAlignment="1">
      <alignment horizontal="left" vertical="top" wrapText="1"/>
    </xf>
    <xf numFmtId="9" fontId="24" fillId="2" borderId="72" xfId="0" applyNumberFormat="1" applyFont="1" applyFill="1" applyBorder="1" applyAlignment="1">
      <alignment horizontal="center"/>
    </xf>
    <xf numFmtId="165" fontId="20" fillId="2" borderId="72" xfId="0" applyNumberFormat="1" applyFont="1" applyFill="1" applyBorder="1" applyAlignment="1">
      <alignment horizontal="center"/>
    </xf>
    <xf numFmtId="0" fontId="24" fillId="2" borderId="72" xfId="0" applyFont="1" applyFill="1" applyBorder="1"/>
    <xf numFmtId="0" fontId="24" fillId="2" borderId="72" xfId="0" applyFont="1" applyFill="1" applyBorder="1" applyAlignment="1">
      <alignment horizontal="center"/>
    </xf>
    <xf numFmtId="0" fontId="20" fillId="0" borderId="72" xfId="9" quotePrefix="1" applyFont="1" applyBorder="1" applyAlignment="1">
      <alignment horizontal="left" vertical="top" wrapText="1"/>
    </xf>
    <xf numFmtId="0" fontId="24" fillId="2" borderId="72" xfId="9" quotePrefix="1" applyFont="1" applyFill="1" applyBorder="1" applyAlignment="1">
      <alignment horizontal="left" vertical="top" wrapText="1"/>
    </xf>
    <xf numFmtId="4" fontId="83" fillId="2" borderId="72" xfId="0" applyNumberFormat="1" applyFont="1" applyFill="1" applyBorder="1" applyAlignment="1">
      <alignment horizontal="center"/>
    </xf>
    <xf numFmtId="9" fontId="24" fillId="2" borderId="72" xfId="2" applyFont="1" applyFill="1" applyBorder="1" applyAlignment="1">
      <alignment horizontal="center"/>
    </xf>
    <xf numFmtId="0" fontId="24" fillId="0" borderId="72" xfId="0" applyFont="1" applyBorder="1" applyAlignment="1">
      <alignment vertical="top" wrapText="1"/>
    </xf>
    <xf numFmtId="0" fontId="24" fillId="2" borderId="47" xfId="10" applyFont="1" applyFill="1" applyBorder="1" applyAlignment="1">
      <alignment vertical="top" wrapText="1"/>
    </xf>
    <xf numFmtId="165" fontId="12" fillId="2" borderId="47" xfId="3" quotePrefix="1" applyNumberFormat="1" applyFont="1" applyFill="1" applyBorder="1" applyAlignment="1">
      <alignment horizontal="center"/>
    </xf>
    <xf numFmtId="165" fontId="12" fillId="2" borderId="47" xfId="0" applyNumberFormat="1" applyFont="1" applyFill="1" applyBorder="1" applyAlignment="1">
      <alignment horizontal="center"/>
    </xf>
    <xf numFmtId="165" fontId="14" fillId="2" borderId="47" xfId="0" applyNumberFormat="1" applyFont="1" applyFill="1" applyBorder="1" applyAlignment="1">
      <alignment horizontal="center"/>
    </xf>
    <xf numFmtId="165" fontId="73" fillId="2" borderId="47" xfId="0" applyNumberFormat="1" applyFont="1" applyFill="1" applyBorder="1" applyAlignment="1">
      <alignment horizontal="center"/>
    </xf>
    <xf numFmtId="4" fontId="83" fillId="2" borderId="47" xfId="0" applyNumberFormat="1" applyFont="1" applyFill="1" applyBorder="1" applyAlignment="1">
      <alignment horizontal="center"/>
    </xf>
    <xf numFmtId="165" fontId="20" fillId="2" borderId="47" xfId="0" applyNumberFormat="1" applyFont="1" applyFill="1" applyBorder="1" applyAlignment="1">
      <alignment horizontal="center"/>
    </xf>
    <xf numFmtId="9" fontId="24" fillId="2" borderId="47" xfId="2" applyFont="1" applyFill="1" applyBorder="1" applyAlignment="1">
      <alignment horizontal="center"/>
    </xf>
    <xf numFmtId="9" fontId="30" fillId="2" borderId="47" xfId="2" applyFont="1" applyFill="1" applyBorder="1" applyAlignment="1">
      <alignment horizontal="center"/>
    </xf>
    <xf numFmtId="0" fontId="24" fillId="0" borderId="47" xfId="10" applyFont="1" applyBorder="1" applyAlignment="1">
      <alignment vertical="top" wrapText="1"/>
    </xf>
    <xf numFmtId="0" fontId="5" fillId="2" borderId="6" xfId="3" applyFont="1" applyFill="1" applyBorder="1"/>
    <xf numFmtId="0" fontId="5" fillId="2" borderId="6" xfId="0" applyFont="1" applyFill="1" applyBorder="1"/>
    <xf numFmtId="165" fontId="32" fillId="4" borderId="5" xfId="0" applyNumberFormat="1" applyFont="1" applyFill="1" applyBorder="1" applyAlignment="1">
      <alignment horizontal="center"/>
    </xf>
    <xf numFmtId="1" fontId="24" fillId="2" borderId="8" xfId="4" quotePrefix="1" applyNumberFormat="1" applyFont="1" applyFill="1" applyBorder="1" applyAlignment="1">
      <alignment horizontal="center" vertical="center" wrapText="1"/>
    </xf>
    <xf numFmtId="0" fontId="24" fillId="2" borderId="9" xfId="3" applyFont="1" applyFill="1" applyBorder="1" applyAlignment="1">
      <alignment vertical="top" wrapText="1"/>
    </xf>
    <xf numFmtId="1" fontId="24" fillId="2" borderId="9" xfId="4" quotePrefix="1" applyNumberFormat="1" applyFont="1" applyFill="1" applyBorder="1" applyAlignment="1">
      <alignment horizontal="center" vertical="center" wrapText="1"/>
    </xf>
    <xf numFmtId="2" fontId="21" fillId="2" borderId="9" xfId="0" applyNumberFormat="1" applyFont="1" applyFill="1" applyBorder="1" applyAlignment="1">
      <alignment horizontal="center"/>
    </xf>
    <xf numFmtId="2" fontId="23" fillId="2" borderId="9" xfId="0" applyNumberFormat="1" applyFont="1" applyFill="1" applyBorder="1" applyAlignment="1">
      <alignment horizontal="center"/>
    </xf>
    <xf numFmtId="2" fontId="22" fillId="2" borderId="9" xfId="0" applyNumberFormat="1" applyFont="1" applyFill="1" applyBorder="1" applyAlignment="1">
      <alignment horizontal="center"/>
    </xf>
    <xf numFmtId="0" fontId="24" fillId="2" borderId="9" xfId="0" applyFont="1" applyFill="1" applyBorder="1" applyAlignment="1">
      <alignment vertical="top" wrapText="1"/>
    </xf>
    <xf numFmtId="1" fontId="24" fillId="2" borderId="16" xfId="4" quotePrefix="1" applyNumberFormat="1" applyFont="1" applyFill="1" applyBorder="1" applyAlignment="1">
      <alignment horizontal="center" vertical="center" wrapText="1"/>
    </xf>
    <xf numFmtId="2" fontId="20" fillId="2" borderId="16" xfId="0" applyNumberFormat="1" applyFont="1" applyFill="1" applyBorder="1" applyAlignment="1">
      <alignment horizontal="center" vertical="center"/>
    </xf>
    <xf numFmtId="2" fontId="22" fillId="2" borderId="19" xfId="0" applyNumberFormat="1" applyFont="1" applyFill="1" applyBorder="1" applyAlignment="1">
      <alignment horizontal="center"/>
    </xf>
    <xf numFmtId="2" fontId="22" fillId="2" borderId="21" xfId="0" applyNumberFormat="1" applyFont="1" applyFill="1" applyBorder="1" applyAlignment="1">
      <alignment horizontal="center"/>
    </xf>
    <xf numFmtId="0" fontId="24" fillId="2" borderId="11" xfId="3" applyFont="1" applyFill="1" applyBorder="1" applyAlignment="1">
      <alignment vertical="top" wrapText="1"/>
    </xf>
    <xf numFmtId="1" fontId="24" fillId="2" borderId="6" xfId="4" quotePrefix="1" applyNumberFormat="1" applyFont="1" applyFill="1" applyBorder="1" applyAlignment="1">
      <alignment horizontal="center" vertical="center" wrapText="1"/>
    </xf>
    <xf numFmtId="2" fontId="23" fillId="2" borderId="21" xfId="0" applyNumberFormat="1" applyFont="1" applyFill="1" applyBorder="1" applyAlignment="1">
      <alignment horizontal="center"/>
    </xf>
    <xf numFmtId="165" fontId="12" fillId="4" borderId="5" xfId="0" quotePrefix="1" applyNumberFormat="1" applyFont="1" applyFill="1" applyBorder="1" applyAlignment="1">
      <alignment horizontal="center"/>
    </xf>
    <xf numFmtId="165" fontId="36" fillId="4" borderId="5" xfId="0" applyNumberFormat="1" applyFont="1" applyFill="1" applyBorder="1" applyAlignment="1">
      <alignment horizontal="center"/>
    </xf>
    <xf numFmtId="1" fontId="24" fillId="2" borderId="8" xfId="2" quotePrefix="1" applyNumberFormat="1" applyFont="1" applyFill="1" applyBorder="1" applyAlignment="1">
      <alignment horizontal="center" vertical="center" wrapText="1"/>
    </xf>
    <xf numFmtId="2" fontId="22" fillId="2" borderId="8" xfId="0" applyNumberFormat="1" applyFont="1" applyFill="1" applyBorder="1" applyAlignment="1">
      <alignment horizontal="center"/>
    </xf>
    <xf numFmtId="2" fontId="23" fillId="2" borderId="8" xfId="0" quotePrefix="1" applyNumberFormat="1" applyFont="1" applyFill="1" applyBorder="1" applyAlignment="1">
      <alignment horizontal="center"/>
    </xf>
    <xf numFmtId="1" fontId="24" fillId="2" borderId="9" xfId="2" quotePrefix="1" applyNumberFormat="1" applyFont="1" applyFill="1" applyBorder="1" applyAlignment="1">
      <alignment horizontal="center" vertical="center" wrapText="1"/>
    </xf>
    <xf numFmtId="2" fontId="23" fillId="2" borderId="9" xfId="0" quotePrefix="1" applyNumberFormat="1" applyFont="1" applyFill="1" applyBorder="1" applyAlignment="1">
      <alignment horizontal="center"/>
    </xf>
    <xf numFmtId="0" fontId="24" fillId="2" borderId="10" xfId="3" applyFont="1" applyFill="1" applyBorder="1" applyAlignment="1">
      <alignment vertical="top" wrapText="1"/>
    </xf>
    <xf numFmtId="0" fontId="24" fillId="2" borderId="10" xfId="3" applyFont="1" applyFill="1" applyBorder="1" applyAlignment="1">
      <alignment horizontal="center"/>
    </xf>
    <xf numFmtId="0" fontId="24" fillId="2" borderId="10" xfId="0" applyFont="1" applyFill="1" applyBorder="1" applyAlignment="1">
      <alignment horizontal="center"/>
    </xf>
    <xf numFmtId="2" fontId="22" fillId="2" borderId="10" xfId="0" applyNumberFormat="1" applyFont="1" applyFill="1" applyBorder="1" applyAlignment="1">
      <alignment horizontal="center"/>
    </xf>
    <xf numFmtId="2" fontId="23" fillId="2" borderId="10" xfId="0" applyNumberFormat="1" applyFont="1" applyFill="1" applyBorder="1" applyAlignment="1">
      <alignment horizontal="center"/>
    </xf>
    <xf numFmtId="2" fontId="23" fillId="2" borderId="10" xfId="0" quotePrefix="1" applyNumberFormat="1" applyFont="1" applyFill="1" applyBorder="1" applyAlignment="1">
      <alignment horizontal="center"/>
    </xf>
    <xf numFmtId="0" fontId="24" fillId="2" borderId="10" xfId="0" applyFont="1" applyFill="1" applyBorder="1" applyAlignment="1">
      <alignment vertical="top" wrapText="1"/>
    </xf>
    <xf numFmtId="1" fontId="24" fillId="2" borderId="11" xfId="4" quotePrefix="1" applyNumberFormat="1" applyFont="1" applyFill="1" applyBorder="1" applyAlignment="1">
      <alignment horizontal="center" vertical="center" wrapText="1"/>
    </xf>
    <xf numFmtId="1" fontId="24" fillId="2" borderId="11" xfId="2" quotePrefix="1" applyNumberFormat="1" applyFont="1" applyFill="1" applyBorder="1" applyAlignment="1">
      <alignment horizontal="center" vertical="center" wrapText="1"/>
    </xf>
    <xf numFmtId="2" fontId="25" fillId="2" borderId="11" xfId="0" applyNumberFormat="1" applyFont="1" applyFill="1" applyBorder="1" applyAlignment="1">
      <alignment horizontal="center"/>
    </xf>
    <xf numFmtId="2" fontId="30" fillId="2" borderId="11" xfId="0" applyNumberFormat="1" applyFont="1" applyFill="1" applyBorder="1" applyAlignment="1">
      <alignment horizontal="center"/>
    </xf>
    <xf numFmtId="0" fontId="24" fillId="2" borderId="11" xfId="0" applyFont="1" applyFill="1" applyBorder="1" applyAlignment="1">
      <alignment vertical="top" wrapText="1"/>
    </xf>
    <xf numFmtId="0" fontId="3" fillId="2" borderId="0" xfId="11" applyFont="1" applyFill="1"/>
    <xf numFmtId="0" fontId="84" fillId="2" borderId="0" xfId="12" applyFill="1"/>
    <xf numFmtId="0" fontId="24" fillId="2" borderId="0" xfId="3" applyFont="1" applyFill="1"/>
    <xf numFmtId="0" fontId="89" fillId="2" borderId="0" xfId="0" applyFont="1" applyFill="1"/>
    <xf numFmtId="1" fontId="89" fillId="2" borderId="0" xfId="0" applyNumberFormat="1" applyFont="1" applyFill="1"/>
    <xf numFmtId="0" fontId="90" fillId="2" borderId="0" xfId="0" applyFont="1" applyFill="1"/>
    <xf numFmtId="2" fontId="89" fillId="2" borderId="0" xfId="0" applyNumberFormat="1" applyFont="1" applyFill="1"/>
    <xf numFmtId="0" fontId="91" fillId="3" borderId="77" xfId="0" applyFont="1" applyFill="1" applyBorder="1" applyAlignment="1">
      <alignment horizontal="left" vertical="top" wrapText="1"/>
    </xf>
    <xf numFmtId="0" fontId="91" fillId="3" borderId="78" xfId="0" applyFont="1" applyFill="1" applyBorder="1" applyAlignment="1">
      <alignment horizontal="center"/>
    </xf>
    <xf numFmtId="0" fontId="91" fillId="3" borderId="79" xfId="0" applyFont="1" applyFill="1" applyBorder="1" applyAlignment="1">
      <alignment horizontal="center"/>
    </xf>
    <xf numFmtId="0" fontId="91" fillId="3" borderId="80" xfId="0" applyFont="1" applyFill="1" applyBorder="1" applyAlignment="1">
      <alignment horizontal="center"/>
    </xf>
    <xf numFmtId="0" fontId="91" fillId="3" borderId="81" xfId="0" applyFont="1" applyFill="1" applyBorder="1" applyAlignment="1">
      <alignment horizontal="left" vertical="top" wrapText="1"/>
    </xf>
    <xf numFmtId="0" fontId="12" fillId="4" borderId="77" xfId="0" applyFont="1" applyFill="1" applyBorder="1" applyAlignment="1">
      <alignment horizontal="left"/>
    </xf>
    <xf numFmtId="2" fontId="12" fillId="4" borderId="82" xfId="2" applyNumberFormat="1" applyFont="1" applyFill="1" applyBorder="1" applyAlignment="1">
      <alignment horizontal="center"/>
    </xf>
    <xf numFmtId="2" fontId="14" fillId="4" borderId="82" xfId="2" applyNumberFormat="1" applyFont="1" applyFill="1" applyBorder="1" applyAlignment="1">
      <alignment horizontal="center"/>
    </xf>
    <xf numFmtId="164" fontId="14" fillId="4" borderId="82" xfId="2" applyNumberFormat="1" applyFont="1" applyFill="1" applyBorder="1" applyAlignment="1">
      <alignment horizontal="center"/>
    </xf>
    <xf numFmtId="1" fontId="15" fillId="4" borderId="82" xfId="2" applyNumberFormat="1" applyFont="1" applyFill="1" applyBorder="1" applyAlignment="1">
      <alignment horizontal="center"/>
    </xf>
    <xf numFmtId="1" fontId="14" fillId="4" borderId="82" xfId="2" applyNumberFormat="1" applyFont="1" applyFill="1" applyBorder="1" applyAlignment="1">
      <alignment horizontal="center"/>
    </xf>
    <xf numFmtId="0" fontId="14" fillId="4" borderId="82" xfId="0" applyFont="1" applyFill="1" applyBorder="1" applyAlignment="1">
      <alignment horizontal="center"/>
    </xf>
    <xf numFmtId="0" fontId="14" fillId="4" borderId="83" xfId="0" applyFont="1" applyFill="1" applyBorder="1" applyAlignment="1">
      <alignment horizontal="center"/>
    </xf>
    <xf numFmtId="0" fontId="12" fillId="4" borderId="84" xfId="0" applyFont="1" applyFill="1" applyBorder="1" applyAlignment="1">
      <alignment horizontal="left"/>
    </xf>
    <xf numFmtId="0" fontId="16" fillId="4" borderId="85" xfId="0" applyFont="1" applyFill="1" applyBorder="1" applyAlignment="1">
      <alignment horizontal="left" vertical="center"/>
    </xf>
    <xf numFmtId="2" fontId="12" fillId="4" borderId="50" xfId="2" applyNumberFormat="1" applyFont="1" applyFill="1" applyBorder="1" applyAlignment="1">
      <alignment horizontal="center"/>
    </xf>
    <xf numFmtId="2" fontId="14" fillId="4" borderId="50" xfId="2" applyNumberFormat="1" applyFont="1" applyFill="1" applyBorder="1" applyAlignment="1">
      <alignment horizontal="center"/>
    </xf>
    <xf numFmtId="1" fontId="17" fillId="4" borderId="50" xfId="2" applyNumberFormat="1" applyFont="1" applyFill="1" applyBorder="1" applyAlignment="1">
      <alignment horizontal="center"/>
    </xf>
    <xf numFmtId="1" fontId="28" fillId="4" borderId="50" xfId="2" applyNumberFormat="1" applyFont="1" applyFill="1" applyBorder="1" applyAlignment="1">
      <alignment horizontal="center"/>
    </xf>
    <xf numFmtId="1" fontId="15" fillId="4" borderId="50" xfId="2" applyNumberFormat="1" applyFont="1" applyFill="1" applyBorder="1" applyAlignment="1">
      <alignment horizontal="center"/>
    </xf>
    <xf numFmtId="1" fontId="14" fillId="4" borderId="50" xfId="2" applyNumberFormat="1" applyFont="1" applyFill="1" applyBorder="1" applyAlignment="1">
      <alignment horizontal="center"/>
    </xf>
    <xf numFmtId="0" fontId="11" fillId="4" borderId="50" xfId="0" applyFont="1" applyFill="1" applyBorder="1" applyAlignment="1">
      <alignment horizontal="center"/>
    </xf>
    <xf numFmtId="0" fontId="11" fillId="4" borderId="37" xfId="0" applyFont="1" applyFill="1" applyBorder="1" applyAlignment="1">
      <alignment horizontal="center"/>
    </xf>
    <xf numFmtId="0" fontId="16" fillId="4" borderId="86" xfId="0" applyFont="1" applyFill="1" applyBorder="1" applyAlignment="1">
      <alignment horizontal="left"/>
    </xf>
    <xf numFmtId="0" fontId="12" fillId="4" borderId="85" xfId="0" applyFont="1" applyFill="1" applyBorder="1" applyAlignment="1">
      <alignment horizontal="left"/>
    </xf>
    <xf numFmtId="1" fontId="12" fillId="4" borderId="50" xfId="2" applyNumberFormat="1" applyFont="1" applyFill="1" applyBorder="1" applyAlignment="1">
      <alignment horizontal="center"/>
    </xf>
    <xf numFmtId="1" fontId="14" fillId="4" borderId="37" xfId="2" applyNumberFormat="1" applyFont="1" applyFill="1" applyBorder="1" applyAlignment="1">
      <alignment horizontal="center"/>
    </xf>
    <xf numFmtId="0" fontId="12" fillId="4" borderId="86" xfId="0" applyFont="1" applyFill="1" applyBorder="1" applyAlignment="1">
      <alignment horizontal="left"/>
    </xf>
    <xf numFmtId="0" fontId="20" fillId="5" borderId="87" xfId="0" applyFont="1" applyFill="1" applyBorder="1"/>
    <xf numFmtId="9" fontId="20" fillId="5" borderId="51" xfId="0" applyNumberFormat="1" applyFont="1" applyFill="1" applyBorder="1" applyAlignment="1">
      <alignment horizontal="center"/>
    </xf>
    <xf numFmtId="9" fontId="21" fillId="5" borderId="51" xfId="0" applyNumberFormat="1" applyFont="1" applyFill="1" applyBorder="1" applyAlignment="1">
      <alignment horizontal="center"/>
    </xf>
    <xf numFmtId="9" fontId="23" fillId="5" borderId="51" xfId="0" applyNumberFormat="1" applyFont="1" applyFill="1" applyBorder="1" applyAlignment="1">
      <alignment horizontal="center"/>
    </xf>
    <xf numFmtId="9" fontId="64" fillId="5" borderId="51" xfId="0" applyNumberFormat="1" applyFont="1" applyFill="1" applyBorder="1" applyAlignment="1">
      <alignment horizontal="center"/>
    </xf>
    <xf numFmtId="9" fontId="23" fillId="5" borderId="88" xfId="0" applyNumberFormat="1" applyFont="1" applyFill="1" applyBorder="1" applyAlignment="1">
      <alignment horizontal="center"/>
    </xf>
    <xf numFmtId="0" fontId="20" fillId="5" borderId="89" xfId="0" applyFont="1" applyFill="1" applyBorder="1" applyAlignment="1">
      <alignment horizontal="left"/>
    </xf>
    <xf numFmtId="0" fontId="20" fillId="2" borderId="90" xfId="0" applyFont="1" applyFill="1" applyBorder="1"/>
    <xf numFmtId="9" fontId="24" fillId="2" borderId="12" xfId="0" quotePrefix="1" applyNumberFormat="1" applyFont="1" applyFill="1" applyBorder="1" applyAlignment="1">
      <alignment horizontal="center"/>
    </xf>
    <xf numFmtId="9" fontId="67" fillId="2" borderId="12" xfId="0" quotePrefix="1" applyNumberFormat="1" applyFont="1" applyFill="1" applyBorder="1" applyAlignment="1">
      <alignment horizontal="center"/>
    </xf>
    <xf numFmtId="9" fontId="24" fillId="2" borderId="91" xfId="0" quotePrefix="1" applyNumberFormat="1" applyFont="1" applyFill="1" applyBorder="1" applyAlignment="1">
      <alignment horizontal="center"/>
    </xf>
    <xf numFmtId="0" fontId="20" fillId="2" borderId="92" xfId="0" applyFont="1" applyFill="1" applyBorder="1"/>
    <xf numFmtId="0" fontId="24" fillId="5" borderId="93" xfId="0" applyFont="1" applyFill="1" applyBorder="1"/>
    <xf numFmtId="2" fontId="23" fillId="5" borderId="7" xfId="0" applyNumberFormat="1" applyFont="1" applyFill="1" applyBorder="1" applyAlignment="1">
      <alignment horizontal="center" vertical="center" wrapText="1"/>
    </xf>
    <xf numFmtId="1" fontId="22" fillId="5" borderId="7" xfId="0" applyNumberFormat="1" applyFont="1" applyFill="1" applyBorder="1" applyAlignment="1">
      <alignment horizontal="center" vertical="center" wrapText="1"/>
    </xf>
    <xf numFmtId="1" fontId="20" fillId="5" borderId="7" xfId="0" applyNumberFormat="1" applyFont="1" applyFill="1" applyBorder="1" applyAlignment="1">
      <alignment horizontal="center" vertical="center" wrapText="1"/>
    </xf>
    <xf numFmtId="0" fontId="24" fillId="5" borderId="7" xfId="0" applyFont="1" applyFill="1" applyBorder="1" applyAlignment="1">
      <alignment horizontal="center" vertical="center"/>
    </xf>
    <xf numFmtId="0" fontId="24" fillId="5" borderId="45" xfId="0" applyFont="1" applyFill="1" applyBorder="1" applyAlignment="1">
      <alignment horizontal="center" vertical="center"/>
    </xf>
    <xf numFmtId="0" fontId="24" fillId="5" borderId="94" xfId="0" applyFont="1" applyFill="1" applyBorder="1"/>
    <xf numFmtId="0" fontId="16" fillId="5" borderId="95" xfId="0" applyFont="1" applyFill="1" applyBorder="1" applyAlignment="1">
      <alignment horizontal="left" vertical="center"/>
    </xf>
    <xf numFmtId="1" fontId="16" fillId="5" borderId="16" xfId="0" applyNumberFormat="1" applyFont="1" applyFill="1" applyBorder="1" applyAlignment="1">
      <alignment horizontal="center"/>
    </xf>
    <xf numFmtId="1" fontId="17" fillId="5" borderId="16" xfId="0" applyNumberFormat="1" applyFont="1" applyFill="1" applyBorder="1" applyAlignment="1">
      <alignment horizontal="center"/>
    </xf>
    <xf numFmtId="1" fontId="28" fillId="5" borderId="16" xfId="0" applyNumberFormat="1" applyFont="1" applyFill="1" applyBorder="1" applyAlignment="1">
      <alignment horizontal="center"/>
    </xf>
    <xf numFmtId="0" fontId="17" fillId="5" borderId="16"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25" xfId="0" applyFont="1" applyFill="1" applyBorder="1" applyAlignment="1">
      <alignment horizontal="center" vertical="center"/>
    </xf>
    <xf numFmtId="0" fontId="16" fillId="5" borderId="96" xfId="0" applyFont="1" applyFill="1" applyBorder="1" applyAlignment="1">
      <alignment horizontal="left" vertical="center"/>
    </xf>
    <xf numFmtId="0" fontId="29" fillId="5" borderId="97" xfId="0" applyFont="1" applyFill="1" applyBorder="1" applyAlignment="1">
      <alignment horizontal="left" vertical="center"/>
    </xf>
    <xf numFmtId="1" fontId="29" fillId="5" borderId="17" xfId="0" applyNumberFormat="1" applyFont="1" applyFill="1" applyBorder="1" applyAlignment="1">
      <alignment horizontal="center"/>
    </xf>
    <xf numFmtId="0" fontId="29" fillId="5" borderId="17" xfId="0" applyFont="1" applyFill="1" applyBorder="1" applyAlignment="1">
      <alignment horizontal="center" vertical="center"/>
    </xf>
    <xf numFmtId="0" fontId="29" fillId="5" borderId="76" xfId="0" applyFont="1" applyFill="1" applyBorder="1" applyAlignment="1">
      <alignment horizontal="center" vertical="center"/>
    </xf>
    <xf numFmtId="0" fontId="29" fillId="5" borderId="98" xfId="0" applyFont="1" applyFill="1" applyBorder="1" applyAlignment="1">
      <alignment horizontal="left" vertical="center"/>
    </xf>
    <xf numFmtId="0" fontId="34" fillId="5" borderId="99" xfId="0" applyFont="1" applyFill="1" applyBorder="1" applyAlignment="1">
      <alignment horizontal="left" vertical="top" wrapText="1" readingOrder="1"/>
    </xf>
    <xf numFmtId="0" fontId="21" fillId="5" borderId="19" xfId="0" applyFont="1" applyFill="1" applyBorder="1" applyAlignment="1">
      <alignment horizontal="center" vertical="top" readingOrder="1"/>
    </xf>
    <xf numFmtId="0" fontId="23" fillId="5" borderId="19" xfId="0" applyFont="1" applyFill="1" applyBorder="1" applyAlignment="1">
      <alignment horizontal="center" vertical="top" readingOrder="1"/>
    </xf>
    <xf numFmtId="0" fontId="23" fillId="5" borderId="100" xfId="0" applyFont="1" applyFill="1" applyBorder="1" applyAlignment="1">
      <alignment horizontal="center" vertical="top" readingOrder="1"/>
    </xf>
    <xf numFmtId="0" fontId="34" fillId="5" borderId="101" xfId="0" applyFont="1" applyFill="1" applyBorder="1" applyAlignment="1">
      <alignment horizontal="left" vertical="top" wrapText="1" readingOrder="1"/>
    </xf>
    <xf numFmtId="0" fontId="34" fillId="5" borderId="102" xfId="0" applyFont="1" applyFill="1" applyBorder="1" applyAlignment="1">
      <alignment horizontal="left" vertical="top" wrapText="1" readingOrder="1"/>
    </xf>
    <xf numFmtId="0" fontId="22" fillId="5" borderId="21" xfId="0" applyFont="1" applyFill="1" applyBorder="1" applyAlignment="1">
      <alignment horizontal="center" vertical="top" readingOrder="1"/>
    </xf>
    <xf numFmtId="0" fontId="23" fillId="5" borderId="21" xfId="0" applyFont="1" applyFill="1" applyBorder="1" applyAlignment="1">
      <alignment horizontal="center" vertical="top" readingOrder="1"/>
    </xf>
    <xf numFmtId="0" fontId="23" fillId="5" borderId="103" xfId="0" applyFont="1" applyFill="1" applyBorder="1" applyAlignment="1">
      <alignment horizontal="center" vertical="top" readingOrder="1"/>
    </xf>
    <xf numFmtId="0" fontId="34" fillId="5" borderId="104" xfId="0" applyFont="1" applyFill="1" applyBorder="1" applyAlignment="1">
      <alignment horizontal="left" vertical="top" wrapText="1" readingOrder="1"/>
    </xf>
    <xf numFmtId="3" fontId="25" fillId="5" borderId="21" xfId="0" applyNumberFormat="1" applyFont="1" applyFill="1" applyBorder="1" applyAlignment="1">
      <alignment horizontal="center" vertical="top" wrapText="1" readingOrder="1"/>
    </xf>
    <xf numFmtId="3" fontId="25" fillId="5" borderId="103" xfId="0" applyNumberFormat="1" applyFont="1" applyFill="1" applyBorder="1" applyAlignment="1">
      <alignment horizontal="center" vertical="top" wrapText="1" readingOrder="1"/>
    </xf>
    <xf numFmtId="0" fontId="34" fillId="5" borderId="105" xfId="0" applyFont="1" applyFill="1" applyBorder="1" applyAlignment="1">
      <alignment horizontal="left" vertical="top" wrapText="1" readingOrder="1"/>
    </xf>
    <xf numFmtId="1" fontId="20" fillId="5" borderId="11" xfId="0" applyNumberFormat="1" applyFont="1" applyFill="1" applyBorder="1" applyAlignment="1">
      <alignment horizontal="center" vertical="top" readingOrder="1"/>
    </xf>
    <xf numFmtId="1" fontId="22" fillId="5" borderId="11" xfId="0" applyNumberFormat="1" applyFont="1" applyFill="1" applyBorder="1" applyAlignment="1">
      <alignment horizontal="center" vertical="top" readingOrder="1"/>
    </xf>
    <xf numFmtId="1" fontId="22" fillId="5" borderId="11" xfId="0" applyNumberFormat="1" applyFont="1" applyFill="1" applyBorder="1" applyAlignment="1">
      <alignment horizontal="center" vertical="top" wrapText="1" readingOrder="1"/>
    </xf>
    <xf numFmtId="1" fontId="23" fillId="5" borderId="11" xfId="0" applyNumberFormat="1" applyFont="1" applyFill="1" applyBorder="1" applyAlignment="1">
      <alignment horizontal="center" vertical="top" readingOrder="1"/>
    </xf>
    <xf numFmtId="1" fontId="23" fillId="5" borderId="11" xfId="0" applyNumberFormat="1" applyFont="1" applyFill="1" applyBorder="1" applyAlignment="1">
      <alignment horizontal="center" vertical="top" wrapText="1" readingOrder="1"/>
    </xf>
    <xf numFmtId="0" fontId="21" fillId="5" borderId="11" xfId="0" applyFont="1" applyFill="1" applyBorder="1" applyAlignment="1">
      <alignment horizontal="center" vertical="top" readingOrder="1"/>
    </xf>
    <xf numFmtId="3" fontId="28" fillId="5" borderId="108" xfId="0" applyNumberFormat="1" applyFont="1" applyFill="1" applyBorder="1" applyAlignment="1">
      <alignment horizontal="center" vertical="top" wrapText="1" readingOrder="1"/>
    </xf>
    <xf numFmtId="0" fontId="34" fillId="5" borderId="109" xfId="0" applyFont="1" applyFill="1" applyBorder="1" applyAlignment="1">
      <alignment horizontal="left" vertical="top" wrapText="1" readingOrder="1"/>
    </xf>
    <xf numFmtId="0" fontId="24" fillId="0" borderId="110" xfId="0" applyFont="1" applyBorder="1" applyAlignment="1">
      <alignment vertical="center" wrapText="1"/>
    </xf>
    <xf numFmtId="2" fontId="20" fillId="2" borderId="13" xfId="0" applyNumberFormat="1" applyFont="1" applyFill="1" applyBorder="1" applyAlignment="1">
      <alignment horizontal="center" vertical="center"/>
    </xf>
    <xf numFmtId="2" fontId="22" fillId="2" borderId="13" xfId="0" applyNumberFormat="1" applyFont="1" applyFill="1" applyBorder="1" applyAlignment="1">
      <alignment horizontal="center" vertical="center"/>
    </xf>
    <xf numFmtId="164" fontId="23" fillId="2" borderId="13" xfId="5" applyNumberFormat="1" applyFont="1" applyFill="1" applyBorder="1" applyAlignment="1">
      <alignment horizontal="center" vertical="center"/>
    </xf>
    <xf numFmtId="1" fontId="22" fillId="2" borderId="13" xfId="5" applyNumberFormat="1" applyFont="1" applyFill="1" applyBorder="1" applyAlignment="1">
      <alignment horizontal="center" vertical="center"/>
    </xf>
    <xf numFmtId="1" fontId="23" fillId="2" borderId="13" xfId="5" applyNumberFormat="1" applyFont="1" applyFill="1" applyBorder="1" applyAlignment="1">
      <alignment horizontal="center" vertical="center"/>
    </xf>
    <xf numFmtId="1" fontId="22" fillId="2" borderId="13" xfId="9" applyNumberFormat="1" applyFont="1" applyFill="1" applyBorder="1" applyAlignment="1">
      <alignment horizontal="center" vertical="center" wrapText="1"/>
    </xf>
    <xf numFmtId="1" fontId="23" fillId="2" borderId="13" xfId="9" applyNumberFormat="1" applyFont="1" applyFill="1" applyBorder="1" applyAlignment="1">
      <alignment horizontal="center" vertical="center" wrapText="1"/>
    </xf>
    <xf numFmtId="1" fontId="23" fillId="2" borderId="111" xfId="9" applyNumberFormat="1" applyFont="1" applyFill="1" applyBorder="1" applyAlignment="1">
      <alignment horizontal="center" vertical="center" wrapText="1"/>
    </xf>
    <xf numFmtId="0" fontId="39" fillId="2" borderId="112" xfId="0" applyFont="1" applyFill="1" applyBorder="1" applyAlignment="1">
      <alignment horizontal="left" vertical="center" wrapText="1" readingOrder="1"/>
    </xf>
    <xf numFmtId="0" fontId="16" fillId="2" borderId="113" xfId="0" applyFont="1" applyFill="1" applyBorder="1" applyAlignment="1">
      <alignment horizontal="left" vertical="center"/>
    </xf>
    <xf numFmtId="1" fontId="19" fillId="2" borderId="6" xfId="0" applyNumberFormat="1" applyFont="1" applyFill="1" applyBorder="1" applyAlignment="1">
      <alignment horizontal="center" vertical="center"/>
    </xf>
    <xf numFmtId="1" fontId="18" fillId="2" borderId="6" xfId="0" applyNumberFormat="1" applyFont="1" applyFill="1" applyBorder="1" applyAlignment="1">
      <alignment horizontal="center" vertical="center"/>
    </xf>
    <xf numFmtId="1" fontId="26" fillId="2" borderId="6" xfId="0" applyNumberFormat="1" applyFont="1" applyFill="1" applyBorder="1" applyAlignment="1">
      <alignment horizontal="center" vertical="center"/>
    </xf>
    <xf numFmtId="0" fontId="18" fillId="2" borderId="6" xfId="0" applyFont="1" applyFill="1" applyBorder="1" applyAlignment="1">
      <alignment horizontal="center" vertical="center"/>
    </xf>
    <xf numFmtId="0" fontId="18" fillId="2" borderId="27" xfId="0" applyFont="1" applyFill="1" applyBorder="1" applyAlignment="1">
      <alignment horizontal="center" vertical="center"/>
    </xf>
    <xf numFmtId="0" fontId="34" fillId="2" borderId="114" xfId="0" applyFont="1" applyFill="1" applyBorder="1" applyAlignment="1">
      <alignment horizontal="left" vertical="center" readingOrder="1"/>
    </xf>
    <xf numFmtId="0" fontId="34" fillId="2" borderId="102" xfId="0" applyFont="1" applyFill="1" applyBorder="1" applyAlignment="1">
      <alignment horizontal="left" wrapText="1" readingOrder="1"/>
    </xf>
    <xf numFmtId="1" fontId="19" fillId="2" borderId="21" xfId="0" applyNumberFormat="1" applyFont="1" applyFill="1" applyBorder="1" applyAlignment="1">
      <alignment horizontal="center" vertical="center"/>
    </xf>
    <xf numFmtId="1" fontId="18" fillId="2" borderId="21" xfId="0" applyNumberFormat="1" applyFont="1" applyFill="1" applyBorder="1" applyAlignment="1">
      <alignment horizontal="center" vertical="center"/>
    </xf>
    <xf numFmtId="1" fontId="17" fillId="2" borderId="21" xfId="0" applyNumberFormat="1" applyFont="1" applyFill="1" applyBorder="1" applyAlignment="1">
      <alignment horizontal="center" vertical="center"/>
    </xf>
    <xf numFmtId="1" fontId="28" fillId="2" borderId="21" xfId="0" applyNumberFormat="1" applyFont="1" applyFill="1" applyBorder="1" applyAlignment="1">
      <alignment horizontal="center" vertical="center"/>
    </xf>
    <xf numFmtId="1" fontId="26" fillId="2" borderId="21" xfId="0" applyNumberFormat="1" applyFont="1" applyFill="1" applyBorder="1" applyAlignment="1">
      <alignment horizontal="center" vertical="center"/>
    </xf>
    <xf numFmtId="3" fontId="26" fillId="2" borderId="21" xfId="0" applyNumberFormat="1" applyFont="1" applyFill="1" applyBorder="1" applyAlignment="1">
      <alignment horizontal="center" vertical="center" wrapText="1"/>
    </xf>
    <xf numFmtId="0" fontId="21" fillId="2" borderId="21" xfId="0" applyFont="1" applyFill="1" applyBorder="1" applyAlignment="1">
      <alignment horizontal="center"/>
    </xf>
    <xf numFmtId="0" fontId="23" fillId="2" borderId="21" xfId="0" applyFont="1" applyFill="1" applyBorder="1" applyAlignment="1">
      <alignment horizontal="center"/>
    </xf>
    <xf numFmtId="0" fontId="23" fillId="2" borderId="103" xfId="0" applyFont="1" applyFill="1" applyBorder="1" applyAlignment="1">
      <alignment horizontal="center"/>
    </xf>
    <xf numFmtId="0" fontId="34" fillId="2" borderId="104" xfId="0" applyFont="1" applyFill="1" applyBorder="1" applyAlignment="1">
      <alignment horizontal="left" wrapText="1" readingOrder="1"/>
    </xf>
    <xf numFmtId="3" fontId="25" fillId="2" borderId="21" xfId="0" applyNumberFormat="1" applyFont="1" applyFill="1" applyBorder="1" applyAlignment="1">
      <alignment horizontal="center" wrapText="1"/>
    </xf>
    <xf numFmtId="3" fontId="25" fillId="2" borderId="103" xfId="0" applyNumberFormat="1" applyFont="1" applyFill="1" applyBorder="1" applyAlignment="1">
      <alignment horizontal="center" wrapText="1"/>
    </xf>
    <xf numFmtId="0" fontId="34" fillId="2" borderId="105" xfId="0" applyFont="1" applyFill="1" applyBorder="1" applyAlignment="1">
      <alignment horizontal="left" wrapText="1" readingOrder="1"/>
    </xf>
    <xf numFmtId="1" fontId="19" fillId="2" borderId="15" xfId="0" applyNumberFormat="1" applyFont="1" applyFill="1" applyBorder="1" applyAlignment="1">
      <alignment horizontal="center" vertical="center"/>
    </xf>
    <xf numFmtId="1" fontId="18" fillId="2" borderId="15" xfId="0" applyNumberFormat="1" applyFont="1" applyFill="1" applyBorder="1" applyAlignment="1">
      <alignment horizontal="center" vertical="center"/>
    </xf>
    <xf numFmtId="1" fontId="17" fillId="2" borderId="15" xfId="0" applyNumberFormat="1" applyFont="1" applyFill="1" applyBorder="1" applyAlignment="1">
      <alignment horizontal="center" vertical="center"/>
    </xf>
    <xf numFmtId="1" fontId="28" fillId="2" borderId="15" xfId="0" applyNumberFormat="1" applyFont="1" applyFill="1" applyBorder="1" applyAlignment="1">
      <alignment horizontal="center" vertical="center"/>
    </xf>
    <xf numFmtId="1" fontId="26" fillId="2" borderId="15" xfId="0" applyNumberFormat="1" applyFont="1" applyFill="1" applyBorder="1" applyAlignment="1">
      <alignment horizontal="center" vertical="center"/>
    </xf>
    <xf numFmtId="3" fontId="26" fillId="2" borderId="15" xfId="0" applyNumberFormat="1" applyFont="1" applyFill="1" applyBorder="1" applyAlignment="1">
      <alignment horizontal="center" vertical="center" wrapText="1"/>
    </xf>
    <xf numFmtId="3" fontId="25" fillId="2" borderId="15" xfId="0" applyNumberFormat="1" applyFont="1" applyFill="1" applyBorder="1" applyAlignment="1">
      <alignment horizontal="center" wrapText="1"/>
    </xf>
    <xf numFmtId="3" fontId="25" fillId="2" borderId="108" xfId="0" applyNumberFormat="1" applyFont="1" applyFill="1" applyBorder="1" applyAlignment="1">
      <alignment horizontal="center" wrapText="1"/>
    </xf>
    <xf numFmtId="0" fontId="34" fillId="2" borderId="109" xfId="0" applyFont="1" applyFill="1" applyBorder="1" applyAlignment="1">
      <alignment horizontal="left" wrapText="1" readingOrder="1"/>
    </xf>
    <xf numFmtId="0" fontId="24" fillId="5" borderId="97" xfId="0" applyFont="1" applyFill="1" applyBorder="1" applyAlignment="1">
      <alignment horizontal="left" vertical="center" wrapText="1"/>
    </xf>
    <xf numFmtId="0" fontId="32" fillId="5" borderId="17" xfId="0" applyFont="1" applyFill="1" applyBorder="1" applyAlignment="1">
      <alignment horizontal="center" vertical="center"/>
    </xf>
    <xf numFmtId="0" fontId="32" fillId="5" borderId="76" xfId="0" applyFont="1" applyFill="1" applyBorder="1" applyAlignment="1">
      <alignment horizontal="center" vertical="center"/>
    </xf>
    <xf numFmtId="0" fontId="24" fillId="5" borderId="76" xfId="0" applyFont="1" applyFill="1" applyBorder="1" applyAlignment="1">
      <alignment horizontal="left" vertical="center" wrapText="1"/>
    </xf>
    <xf numFmtId="0" fontId="16" fillId="5" borderId="95" xfId="0" applyFont="1" applyFill="1" applyBorder="1" applyAlignment="1">
      <alignment horizontal="left" vertical="center" wrapText="1"/>
    </xf>
    <xf numFmtId="1" fontId="18" fillId="5" borderId="16" xfId="0" applyNumberFormat="1" applyFont="1" applyFill="1" applyBorder="1" applyAlignment="1">
      <alignment horizontal="center" vertical="center"/>
    </xf>
    <xf numFmtId="1" fontId="19" fillId="5" borderId="16" xfId="0" applyNumberFormat="1" applyFont="1" applyFill="1" applyBorder="1" applyAlignment="1">
      <alignment horizontal="center" vertical="center"/>
    </xf>
    <xf numFmtId="0" fontId="18" fillId="5" borderId="16" xfId="0" applyFont="1" applyFill="1" applyBorder="1" applyAlignment="1">
      <alignment horizontal="center" vertical="center"/>
    </xf>
    <xf numFmtId="0" fontId="18" fillId="5" borderId="25" xfId="0" applyFont="1" applyFill="1" applyBorder="1" applyAlignment="1">
      <alignment horizontal="center" vertical="center"/>
    </xf>
    <xf numFmtId="0" fontId="34" fillId="5" borderId="96" xfId="0" applyFont="1" applyFill="1" applyBorder="1" applyAlignment="1">
      <alignment horizontal="left" vertical="center" readingOrder="1"/>
    </xf>
    <xf numFmtId="0" fontId="31" fillId="5" borderId="16" xfId="0" applyFont="1" applyFill="1" applyBorder="1" applyAlignment="1">
      <alignment horizontal="center" vertical="center"/>
    </xf>
    <xf numFmtId="0" fontId="32" fillId="5" borderId="16" xfId="0" applyFont="1" applyFill="1" applyBorder="1" applyAlignment="1">
      <alignment horizontal="center" vertical="center"/>
    </xf>
    <xf numFmtId="0" fontId="32" fillId="5" borderId="25" xfId="0" applyFont="1" applyFill="1" applyBorder="1" applyAlignment="1">
      <alignment horizontal="center" vertical="center"/>
    </xf>
    <xf numFmtId="0" fontId="26" fillId="5" borderId="96" xfId="0" applyFont="1" applyFill="1" applyBorder="1" applyAlignment="1">
      <alignment horizontal="left" vertical="center" wrapText="1" readingOrder="1"/>
    </xf>
    <xf numFmtId="0" fontId="24" fillId="2" borderId="97" xfId="0" applyFont="1" applyFill="1" applyBorder="1" applyAlignment="1">
      <alignment horizontal="left" vertical="center" wrapText="1"/>
    </xf>
    <xf numFmtId="1" fontId="16" fillId="5" borderId="7" xfId="0" applyNumberFormat="1" applyFont="1" applyFill="1" applyBorder="1" applyAlignment="1">
      <alignment horizontal="center"/>
    </xf>
    <xf numFmtId="1" fontId="17" fillId="5" borderId="7" xfId="0" applyNumberFormat="1" applyFont="1" applyFill="1" applyBorder="1" applyAlignment="1">
      <alignment horizontal="center"/>
    </xf>
    <xf numFmtId="1" fontId="28" fillId="5" borderId="7" xfId="0" applyNumberFormat="1" applyFont="1" applyFill="1" applyBorder="1" applyAlignment="1">
      <alignment horizontal="center"/>
    </xf>
    <xf numFmtId="1" fontId="18" fillId="5" borderId="7" xfId="0" applyNumberFormat="1" applyFont="1" applyFill="1" applyBorder="1" applyAlignment="1">
      <alignment horizontal="center" vertical="center"/>
    </xf>
    <xf numFmtId="1" fontId="19" fillId="5" borderId="7" xfId="0" applyNumberFormat="1" applyFont="1" applyFill="1" applyBorder="1" applyAlignment="1">
      <alignment horizontal="center" vertical="center"/>
    </xf>
    <xf numFmtId="0" fontId="19" fillId="5" borderId="7"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45" xfId="0" applyFont="1" applyFill="1" applyBorder="1" applyAlignment="1">
      <alignment horizontal="center" vertical="center"/>
    </xf>
    <xf numFmtId="0" fontId="20" fillId="2" borderId="98" xfId="0" applyFont="1" applyFill="1" applyBorder="1" applyAlignment="1">
      <alignment horizontal="left" vertical="center" wrapText="1"/>
    </xf>
    <xf numFmtId="0" fontId="16" fillId="2" borderId="113" xfId="0" applyFont="1" applyFill="1" applyBorder="1" applyAlignment="1">
      <alignment horizontal="left" vertical="center" wrapText="1"/>
    </xf>
    <xf numFmtId="1" fontId="16" fillId="5" borderId="6" xfId="0" applyNumberFormat="1" applyFont="1" applyFill="1" applyBorder="1" applyAlignment="1">
      <alignment horizontal="center"/>
    </xf>
    <xf numFmtId="1" fontId="17" fillId="5" borderId="6" xfId="0" applyNumberFormat="1" applyFont="1" applyFill="1" applyBorder="1" applyAlignment="1">
      <alignment horizontal="center"/>
    </xf>
    <xf numFmtId="1" fontId="28" fillId="5" borderId="6" xfId="0" applyNumberFormat="1" applyFont="1" applyFill="1" applyBorder="1" applyAlignment="1">
      <alignment horizontal="center"/>
    </xf>
    <xf numFmtId="0" fontId="18" fillId="5" borderId="27" xfId="0" applyFont="1" applyFill="1" applyBorder="1" applyAlignment="1">
      <alignment horizontal="center" vertical="center"/>
    </xf>
    <xf numFmtId="0" fontId="20" fillId="2" borderId="97" xfId="0" applyFont="1" applyFill="1" applyBorder="1" applyAlignment="1">
      <alignment horizontal="left" vertical="center" wrapText="1"/>
    </xf>
    <xf numFmtId="0" fontId="23" fillId="2" borderId="17" xfId="0" applyFont="1" applyFill="1" applyBorder="1" applyAlignment="1">
      <alignment horizontal="center" vertical="center"/>
    </xf>
    <xf numFmtId="0" fontId="23" fillId="2" borderId="76" xfId="0" applyFont="1" applyFill="1" applyBorder="1" applyAlignment="1">
      <alignment horizontal="center" vertical="center"/>
    </xf>
    <xf numFmtId="0" fontId="16" fillId="9" borderId="95" xfId="0" applyFont="1" applyFill="1" applyBorder="1"/>
    <xf numFmtId="1" fontId="19" fillId="9" borderId="16" xfId="0" applyNumberFormat="1" applyFont="1" applyFill="1" applyBorder="1" applyAlignment="1">
      <alignment horizontal="center" vertical="center"/>
    </xf>
    <xf numFmtId="1" fontId="18" fillId="9" borderId="16" xfId="0" applyNumberFormat="1" applyFont="1" applyFill="1" applyBorder="1" applyAlignment="1">
      <alignment horizontal="center" vertical="center"/>
    </xf>
    <xf numFmtId="1" fontId="26" fillId="9" borderId="16" xfId="0" applyNumberFormat="1" applyFont="1" applyFill="1" applyBorder="1" applyAlignment="1">
      <alignment horizontal="center" vertical="center"/>
    </xf>
    <xf numFmtId="0" fontId="18" fillId="9" borderId="16" xfId="0" applyFont="1" applyFill="1" applyBorder="1" applyAlignment="1">
      <alignment horizontal="center" vertical="center"/>
    </xf>
    <xf numFmtId="0" fontId="18" fillId="9" borderId="25" xfId="0" applyFont="1" applyFill="1" applyBorder="1" applyAlignment="1">
      <alignment horizontal="center" vertical="center"/>
    </xf>
    <xf numFmtId="0" fontId="34" fillId="2" borderId="96" xfId="0" applyFont="1" applyFill="1" applyBorder="1" applyAlignment="1">
      <alignment horizontal="left" vertical="center" readingOrder="1"/>
    </xf>
    <xf numFmtId="0" fontId="23" fillId="5" borderId="110" xfId="5" applyFont="1" applyFill="1" applyBorder="1" applyAlignment="1">
      <alignment vertical="center" wrapText="1"/>
    </xf>
    <xf numFmtId="1" fontId="19" fillId="5" borderId="13" xfId="0" applyNumberFormat="1" applyFont="1" applyFill="1" applyBorder="1" applyAlignment="1">
      <alignment horizontal="center" vertical="center"/>
    </xf>
    <xf numFmtId="1" fontId="18" fillId="5" borderId="13" xfId="0" applyNumberFormat="1" applyFont="1" applyFill="1" applyBorder="1" applyAlignment="1">
      <alignment horizontal="center" vertical="center"/>
    </xf>
    <xf numFmtId="1" fontId="17" fillId="5" borderId="13" xfId="0" applyNumberFormat="1" applyFont="1" applyFill="1" applyBorder="1" applyAlignment="1">
      <alignment horizontal="center" vertical="center"/>
    </xf>
    <xf numFmtId="1" fontId="28" fillId="5" borderId="13" xfId="0" applyNumberFormat="1" applyFont="1" applyFill="1" applyBorder="1" applyAlignment="1">
      <alignment horizontal="center" vertical="center"/>
    </xf>
    <xf numFmtId="1" fontId="26" fillId="5" borderId="13" xfId="0" applyNumberFormat="1" applyFont="1" applyFill="1" applyBorder="1" applyAlignment="1">
      <alignment horizontal="center" vertical="center"/>
    </xf>
    <xf numFmtId="0" fontId="18" fillId="5" borderId="13" xfId="0" applyFont="1" applyFill="1" applyBorder="1" applyAlignment="1">
      <alignment horizontal="center" vertical="center"/>
    </xf>
    <xf numFmtId="0" fontId="18" fillId="5" borderId="111" xfId="0" applyFont="1" applyFill="1" applyBorder="1" applyAlignment="1">
      <alignment horizontal="center" vertical="center"/>
    </xf>
    <xf numFmtId="0" fontId="39" fillId="5" borderId="112" xfId="0" applyFont="1" applyFill="1" applyBorder="1" applyAlignment="1">
      <alignment horizontal="left" vertical="center" readingOrder="1"/>
    </xf>
    <xf numFmtId="0" fontId="25" fillId="5" borderId="102" xfId="6" applyFont="1" applyFill="1" applyBorder="1" applyAlignment="1">
      <alignment horizontal="left" wrapText="1"/>
    </xf>
    <xf numFmtId="9" fontId="19" fillId="5" borderId="21" xfId="2" applyFont="1" applyFill="1" applyBorder="1" applyAlignment="1">
      <alignment horizontal="center" vertical="center" wrapText="1"/>
    </xf>
    <xf numFmtId="169" fontId="21" fillId="5" borderId="117" xfId="0" applyNumberFormat="1" applyFont="1" applyFill="1" applyBorder="1" applyAlignment="1">
      <alignment horizontal="center" vertical="center" wrapText="1"/>
    </xf>
    <xf numFmtId="0" fontId="40" fillId="5" borderId="104" xfId="0" applyFont="1" applyFill="1" applyBorder="1" applyAlignment="1">
      <alignment horizontal="left" vertical="top" wrapText="1" readingOrder="1"/>
    </xf>
    <xf numFmtId="0" fontId="28" fillId="5" borderId="102" xfId="6" applyFont="1" applyFill="1" applyBorder="1" applyAlignment="1">
      <alignment wrapText="1"/>
    </xf>
    <xf numFmtId="1" fontId="19" fillId="5" borderId="21" xfId="0" applyNumberFormat="1" applyFont="1" applyFill="1" applyBorder="1" applyAlignment="1">
      <alignment horizontal="center" vertical="center"/>
    </xf>
    <xf numFmtId="1" fontId="19" fillId="5" borderId="14" xfId="0" applyNumberFormat="1" applyFont="1" applyFill="1" applyBorder="1" applyAlignment="1">
      <alignment horizontal="center" vertical="center"/>
    </xf>
    <xf numFmtId="1" fontId="18" fillId="5" borderId="14" xfId="0" applyNumberFormat="1" applyFont="1" applyFill="1" applyBorder="1" applyAlignment="1">
      <alignment horizontal="center" vertical="center"/>
    </xf>
    <xf numFmtId="3" fontId="17" fillId="5" borderId="14" xfId="0" applyNumberFormat="1" applyFont="1" applyFill="1" applyBorder="1" applyAlignment="1">
      <alignment horizontal="center" vertical="center"/>
    </xf>
    <xf numFmtId="3" fontId="28" fillId="5" borderId="14" xfId="0" applyNumberFormat="1" applyFont="1" applyFill="1" applyBorder="1" applyAlignment="1">
      <alignment horizontal="center" vertical="center"/>
    </xf>
    <xf numFmtId="1" fontId="26" fillId="5" borderId="41" xfId="0" applyNumberFormat="1" applyFont="1" applyFill="1" applyBorder="1" applyAlignment="1">
      <alignment vertical="center"/>
    </xf>
    <xf numFmtId="1" fontId="26" fillId="5" borderId="117" xfId="0" applyNumberFormat="1" applyFont="1" applyFill="1" applyBorder="1" applyAlignment="1">
      <alignment vertical="center"/>
    </xf>
    <xf numFmtId="1" fontId="26" fillId="5" borderId="103" xfId="0" applyNumberFormat="1" applyFont="1" applyFill="1" applyBorder="1" applyAlignment="1">
      <alignment vertical="center"/>
    </xf>
    <xf numFmtId="0" fontId="34" fillId="5" borderId="118" xfId="0" applyFont="1" applyFill="1" applyBorder="1" applyAlignment="1">
      <alignment horizontal="left" vertical="center" wrapText="1" readingOrder="1"/>
    </xf>
    <xf numFmtId="0" fontId="25" fillId="5" borderId="102" xfId="6" applyFont="1" applyFill="1" applyBorder="1" applyAlignment="1">
      <alignment wrapText="1"/>
    </xf>
    <xf numFmtId="9" fontId="19" fillId="5" borderId="14" xfId="2" applyFont="1" applyFill="1" applyBorder="1" applyAlignment="1">
      <alignment horizontal="center" vertical="center" wrapText="1"/>
    </xf>
    <xf numFmtId="9" fontId="19" fillId="5" borderId="15" xfId="2" applyFont="1" applyFill="1" applyBorder="1" applyAlignment="1">
      <alignment horizontal="center" vertical="center" wrapText="1"/>
    </xf>
    <xf numFmtId="169" fontId="22" fillId="5" borderId="120" xfId="0" applyNumberFormat="1" applyFont="1" applyFill="1" applyBorder="1" applyAlignment="1">
      <alignment horizontal="center" vertical="center" wrapText="1"/>
    </xf>
    <xf numFmtId="0" fontId="25" fillId="5" borderId="113" xfId="6" applyFont="1" applyFill="1" applyBorder="1" applyAlignment="1">
      <alignment wrapText="1"/>
    </xf>
    <xf numFmtId="9" fontId="19" fillId="5" borderId="6" xfId="2" applyFont="1" applyFill="1" applyBorder="1" applyAlignment="1">
      <alignment horizontal="center" vertical="center" wrapText="1"/>
    </xf>
    <xf numFmtId="9" fontId="19" fillId="5" borderId="36" xfId="2" applyFont="1" applyFill="1" applyBorder="1" applyAlignment="1">
      <alignment horizontal="center" vertical="center"/>
    </xf>
    <xf numFmtId="0" fontId="92" fillId="5" borderId="86" xfId="0" applyFont="1" applyFill="1" applyBorder="1" applyAlignment="1">
      <alignment horizontal="left" vertical="top" wrapText="1" readingOrder="1"/>
    </xf>
    <xf numFmtId="0" fontId="12" fillId="4" borderId="77" xfId="0" applyFont="1" applyFill="1" applyBorder="1"/>
    <xf numFmtId="1" fontId="12" fillId="4" borderId="82" xfId="2" applyNumberFormat="1" applyFont="1" applyFill="1" applyBorder="1" applyAlignment="1">
      <alignment horizontal="center"/>
    </xf>
    <xf numFmtId="10" fontId="93" fillId="4" borderId="38" xfId="6" applyNumberFormat="1" applyFont="1" applyFill="1" applyBorder="1" applyAlignment="1">
      <alignment horizontal="center"/>
    </xf>
    <xf numFmtId="1" fontId="14" fillId="4" borderId="83" xfId="2" applyNumberFormat="1" applyFont="1" applyFill="1" applyBorder="1" applyAlignment="1">
      <alignment horizontal="center"/>
    </xf>
    <xf numFmtId="0" fontId="12" fillId="4" borderId="122" xfId="0" applyFont="1" applyFill="1" applyBorder="1" applyAlignment="1">
      <alignment horizontal="right"/>
    </xf>
    <xf numFmtId="0" fontId="20" fillId="2" borderId="123" xfId="0" applyFont="1" applyFill="1" applyBorder="1"/>
    <xf numFmtId="165" fontId="20" fillId="2" borderId="124" xfId="2" applyNumberFormat="1" applyFont="1" applyFill="1" applyBorder="1" applyAlignment="1">
      <alignment horizontal="center"/>
    </xf>
    <xf numFmtId="165" fontId="20" fillId="2" borderId="125" xfId="2" applyNumberFormat="1" applyFont="1" applyFill="1" applyBorder="1" applyAlignment="1">
      <alignment horizontal="center"/>
    </xf>
    <xf numFmtId="0" fontId="20" fillId="2" borderId="126" xfId="0" applyFont="1" applyFill="1" applyBorder="1" applyAlignment="1">
      <alignment horizontal="left"/>
    </xf>
    <xf numFmtId="0" fontId="20" fillId="2" borderId="113" xfId="0" applyFont="1" applyFill="1" applyBorder="1"/>
    <xf numFmtId="165" fontId="24" fillId="2" borderId="6" xfId="2" applyNumberFormat="1" applyFont="1" applyFill="1" applyBorder="1" applyAlignment="1">
      <alignment horizontal="center"/>
    </xf>
    <xf numFmtId="165" fontId="24" fillId="2" borderId="27" xfId="2" applyNumberFormat="1" applyFont="1" applyFill="1" applyBorder="1" applyAlignment="1">
      <alignment horizontal="center"/>
    </xf>
    <xf numFmtId="0" fontId="20" fillId="2" borderId="114" xfId="0" applyFont="1" applyFill="1" applyBorder="1" applyAlignment="1">
      <alignment horizontal="left"/>
    </xf>
    <xf numFmtId="0" fontId="20" fillId="5" borderId="127" xfId="0" applyFont="1" applyFill="1" applyBorder="1"/>
    <xf numFmtId="165" fontId="23" fillId="5" borderId="14" xfId="0" applyNumberFormat="1" applyFont="1" applyFill="1" applyBorder="1" applyAlignment="1">
      <alignment horizontal="center"/>
    </xf>
    <xf numFmtId="165" fontId="22" fillId="5" borderId="14" xfId="0" applyNumberFormat="1" applyFont="1" applyFill="1" applyBorder="1" applyAlignment="1">
      <alignment horizontal="center"/>
    </xf>
    <xf numFmtId="165" fontId="21" fillId="5" borderId="14" xfId="0" applyNumberFormat="1" applyFont="1" applyFill="1" applyBorder="1" applyAlignment="1">
      <alignment horizontal="center"/>
    </xf>
    <xf numFmtId="165" fontId="23" fillId="5" borderId="121" xfId="0" applyNumberFormat="1" applyFont="1" applyFill="1" applyBorder="1" applyAlignment="1">
      <alignment horizontal="center"/>
    </xf>
    <xf numFmtId="0" fontId="20" fillId="5" borderId="128" xfId="0" applyFont="1" applyFill="1" applyBorder="1"/>
    <xf numFmtId="0" fontId="60" fillId="5" borderId="113" xfId="0" applyFont="1" applyFill="1" applyBorder="1"/>
    <xf numFmtId="165" fontId="62" fillId="5" borderId="6" xfId="0" applyNumberFormat="1" applyFont="1" applyFill="1" applyBorder="1" applyAlignment="1">
      <alignment horizontal="center"/>
    </xf>
    <xf numFmtId="165" fontId="61" fillId="5" borderId="6" xfId="0" applyNumberFormat="1" applyFont="1" applyFill="1" applyBorder="1" applyAlignment="1">
      <alignment horizontal="center"/>
    </xf>
    <xf numFmtId="165" fontId="9" fillId="5" borderId="6" xfId="8" applyNumberFormat="1" applyFont="1" applyFill="1" applyBorder="1" applyAlignment="1">
      <alignment horizontal="center" vertical="center" wrapText="1"/>
    </xf>
    <xf numFmtId="165" fontId="94" fillId="5" borderId="6" xfId="0" applyNumberFormat="1" applyFont="1" applyFill="1" applyBorder="1" applyAlignment="1">
      <alignment horizontal="center"/>
    </xf>
    <xf numFmtId="0" fontId="9" fillId="5" borderId="6" xfId="0" applyFont="1" applyFill="1" applyBorder="1"/>
    <xf numFmtId="1" fontId="61" fillId="5" borderId="6" xfId="2" applyNumberFormat="1" applyFont="1" applyFill="1" applyBorder="1" applyAlignment="1">
      <alignment horizontal="center"/>
    </xf>
    <xf numFmtId="1" fontId="61" fillId="5" borderId="27" xfId="2" applyNumberFormat="1" applyFont="1" applyFill="1" applyBorder="1" applyAlignment="1">
      <alignment horizontal="center"/>
    </xf>
    <xf numFmtId="0" fontId="60" fillId="5" borderId="114" xfId="0" applyFont="1" applyFill="1" applyBorder="1"/>
    <xf numFmtId="0" fontId="20" fillId="5" borderId="113" xfId="0" applyFont="1" applyFill="1" applyBorder="1"/>
    <xf numFmtId="165" fontId="23" fillId="5" borderId="6" xfId="0" applyNumberFormat="1" applyFont="1" applyFill="1" applyBorder="1" applyAlignment="1">
      <alignment horizontal="center"/>
    </xf>
    <xf numFmtId="165" fontId="22" fillId="5" borderId="6" xfId="0" applyNumberFormat="1" applyFont="1" applyFill="1" applyBorder="1" applyAlignment="1">
      <alignment horizontal="center"/>
    </xf>
    <xf numFmtId="165" fontId="21" fillId="5" borderId="6" xfId="0" applyNumberFormat="1" applyFont="1" applyFill="1" applyBorder="1" applyAlignment="1">
      <alignment horizontal="center"/>
    </xf>
    <xf numFmtId="0" fontId="24" fillId="5" borderId="6" xfId="0" applyFont="1" applyFill="1" applyBorder="1"/>
    <xf numFmtId="1" fontId="22" fillId="5" borderId="6" xfId="2" applyNumberFormat="1" applyFont="1" applyFill="1" applyBorder="1" applyAlignment="1">
      <alignment horizontal="center"/>
    </xf>
    <xf numFmtId="1" fontId="22" fillId="5" borderId="27" xfId="2" applyNumberFormat="1" applyFont="1" applyFill="1" applyBorder="1" applyAlignment="1">
      <alignment horizontal="center"/>
    </xf>
    <xf numFmtId="0" fontId="20" fillId="5" borderId="114" xfId="0" applyFont="1" applyFill="1" applyBorder="1"/>
    <xf numFmtId="0" fontId="60" fillId="5" borderId="90" xfId="0" applyFont="1" applyFill="1" applyBorder="1"/>
    <xf numFmtId="165" fontId="62" fillId="5" borderId="12" xfId="0" applyNumberFormat="1" applyFont="1" applyFill="1" applyBorder="1" applyAlignment="1">
      <alignment horizontal="center"/>
    </xf>
    <xf numFmtId="165" fontId="61" fillId="5" borderId="12" xfId="0" applyNumberFormat="1" applyFont="1" applyFill="1" applyBorder="1" applyAlignment="1">
      <alignment horizontal="center"/>
    </xf>
    <xf numFmtId="165" fontId="9" fillId="5" borderId="12" xfId="8" applyNumberFormat="1" applyFont="1" applyFill="1" applyBorder="1" applyAlignment="1">
      <alignment horizontal="center" vertical="center" wrapText="1"/>
    </xf>
    <xf numFmtId="165" fontId="94" fillId="5" borderId="12" xfId="0" applyNumberFormat="1" applyFont="1" applyFill="1" applyBorder="1" applyAlignment="1">
      <alignment horizontal="center"/>
    </xf>
    <xf numFmtId="1" fontId="61" fillId="5" borderId="12" xfId="2" applyNumberFormat="1" applyFont="1" applyFill="1" applyBorder="1" applyAlignment="1">
      <alignment horizontal="center"/>
    </xf>
    <xf numFmtId="1" fontId="61" fillId="5" borderId="91" xfId="2" applyNumberFormat="1" applyFont="1" applyFill="1" applyBorder="1" applyAlignment="1">
      <alignment horizontal="center"/>
    </xf>
    <xf numFmtId="0" fontId="60" fillId="5" borderId="92" xfId="0" applyFont="1" applyFill="1" applyBorder="1"/>
    <xf numFmtId="0" fontId="24" fillId="2" borderId="127" xfId="0" applyFont="1" applyFill="1" applyBorder="1"/>
    <xf numFmtId="165" fontId="20" fillId="2" borderId="14" xfId="0" applyNumberFormat="1" applyFont="1" applyFill="1" applyBorder="1" applyAlignment="1">
      <alignment horizontal="center"/>
    </xf>
    <xf numFmtId="165" fontId="21" fillId="2" borderId="14" xfId="0" applyNumberFormat="1" applyFont="1" applyFill="1" applyBorder="1" applyAlignment="1">
      <alignment horizontal="center"/>
    </xf>
    <xf numFmtId="165" fontId="22" fillId="2" borderId="14" xfId="8" applyNumberFormat="1" applyFont="1" applyFill="1" applyBorder="1" applyAlignment="1">
      <alignment horizontal="center" vertical="center" wrapText="1"/>
    </xf>
    <xf numFmtId="165" fontId="23" fillId="2" borderId="121" xfId="0" applyNumberFormat="1" applyFont="1" applyFill="1" applyBorder="1" applyAlignment="1">
      <alignment horizontal="center"/>
    </xf>
    <xf numFmtId="0" fontId="24" fillId="2" borderId="128" xfId="0" applyFont="1" applyFill="1" applyBorder="1"/>
    <xf numFmtId="0" fontId="75" fillId="2" borderId="0" xfId="0" applyFont="1" applyFill="1"/>
    <xf numFmtId="0" fontId="75" fillId="2" borderId="113" xfId="0" applyFont="1" applyFill="1" applyBorder="1"/>
    <xf numFmtId="165" fontId="60" fillId="2" borderId="6" xfId="0" applyNumberFormat="1" applyFont="1" applyFill="1" applyBorder="1" applyAlignment="1">
      <alignment horizontal="center"/>
    </xf>
    <xf numFmtId="165" fontId="61" fillId="2" borderId="6" xfId="0" applyNumberFormat="1" applyFont="1" applyFill="1" applyBorder="1" applyAlignment="1">
      <alignment horizontal="center"/>
    </xf>
    <xf numFmtId="165" fontId="94" fillId="2" borderId="6" xfId="0" applyNumberFormat="1" applyFont="1" applyFill="1" applyBorder="1" applyAlignment="1">
      <alignment horizontal="center"/>
    </xf>
    <xf numFmtId="165" fontId="9" fillId="2" borderId="6" xfId="8" applyNumberFormat="1" applyFont="1" applyFill="1" applyBorder="1" applyAlignment="1">
      <alignment horizontal="center" vertical="center" wrapText="1"/>
    </xf>
    <xf numFmtId="165" fontId="62" fillId="2" borderId="6" xfId="0" applyNumberFormat="1" applyFont="1" applyFill="1" applyBorder="1" applyAlignment="1">
      <alignment horizontal="center"/>
    </xf>
    <xf numFmtId="0" fontId="75" fillId="2" borderId="6" xfId="0" applyFont="1" applyFill="1" applyBorder="1"/>
    <xf numFmtId="0" fontId="75" fillId="2" borderId="27" xfId="0" applyFont="1" applyFill="1" applyBorder="1"/>
    <xf numFmtId="0" fontId="75" fillId="2" borderId="114" xfId="0" applyFont="1" applyFill="1" applyBorder="1"/>
    <xf numFmtId="0" fontId="29" fillId="2" borderId="113" xfId="0" applyFont="1" applyFill="1" applyBorder="1"/>
    <xf numFmtId="165" fontId="20" fillId="2" borderId="6" xfId="0" applyNumberFormat="1" applyFont="1" applyFill="1" applyBorder="1" applyAlignment="1">
      <alignment horizontal="center"/>
    </xf>
    <xf numFmtId="165" fontId="22" fillId="2" borderId="6" xfId="0" applyNumberFormat="1" applyFont="1" applyFill="1" applyBorder="1" applyAlignment="1">
      <alignment horizontal="center"/>
    </xf>
    <xf numFmtId="165" fontId="21" fillId="2" borderId="6" xfId="0" applyNumberFormat="1" applyFont="1" applyFill="1" applyBorder="1" applyAlignment="1">
      <alignment horizontal="center"/>
    </xf>
    <xf numFmtId="165" fontId="22" fillId="2" borderId="6" xfId="8" applyNumberFormat="1" applyFont="1" applyFill="1" applyBorder="1" applyAlignment="1">
      <alignment horizontal="center" vertical="center" wrapText="1"/>
    </xf>
    <xf numFmtId="165" fontId="23" fillId="2" borderId="6" xfId="0" applyNumberFormat="1" applyFont="1" applyFill="1" applyBorder="1" applyAlignment="1">
      <alignment horizontal="center"/>
    </xf>
    <xf numFmtId="0" fontId="29" fillId="2" borderId="6" xfId="0" applyFont="1" applyFill="1" applyBorder="1"/>
    <xf numFmtId="0" fontId="29" fillId="2" borderId="27" xfId="0" applyFont="1" applyFill="1" applyBorder="1"/>
    <xf numFmtId="0" fontId="29" fillId="2" borderId="114" xfId="0" applyFont="1" applyFill="1" applyBorder="1"/>
    <xf numFmtId="0" fontId="75" fillId="2" borderId="90" xfId="0" applyFont="1" applyFill="1" applyBorder="1"/>
    <xf numFmtId="165" fontId="60" fillId="2" borderId="12" xfId="0" applyNumberFormat="1" applyFont="1" applyFill="1" applyBorder="1" applyAlignment="1">
      <alignment horizontal="center"/>
    </xf>
    <xf numFmtId="165" fontId="61" fillId="2" borderId="12" xfId="0" applyNumberFormat="1" applyFont="1" applyFill="1" applyBorder="1" applyAlignment="1">
      <alignment horizontal="center"/>
    </xf>
    <xf numFmtId="165" fontId="94" fillId="2" borderId="12" xfId="0" applyNumberFormat="1" applyFont="1" applyFill="1" applyBorder="1" applyAlignment="1">
      <alignment horizontal="center"/>
    </xf>
    <xf numFmtId="165" fontId="9" fillId="2" borderId="12" xfId="8" applyNumberFormat="1" applyFont="1" applyFill="1" applyBorder="1" applyAlignment="1">
      <alignment horizontal="center" vertical="center" wrapText="1"/>
    </xf>
    <xf numFmtId="165" fontId="62" fillId="2" borderId="12" xfId="0" applyNumberFormat="1" applyFont="1" applyFill="1" applyBorder="1" applyAlignment="1">
      <alignment horizontal="center"/>
    </xf>
    <xf numFmtId="0" fontId="75" fillId="2" borderId="12" xfId="0" applyFont="1" applyFill="1" applyBorder="1"/>
    <xf numFmtId="0" fontId="75" fillId="2" borderId="91" xfId="0" applyFont="1" applyFill="1" applyBorder="1"/>
    <xf numFmtId="0" fontId="75" fillId="2" borderId="92" xfId="0" applyFont="1" applyFill="1" applyBorder="1"/>
    <xf numFmtId="0" fontId="16" fillId="5" borderId="127" xfId="0" applyFont="1" applyFill="1" applyBorder="1"/>
    <xf numFmtId="165" fontId="16" fillId="5" borderId="21" xfId="8" applyNumberFormat="1" applyFont="1" applyFill="1" applyBorder="1" applyAlignment="1">
      <alignment horizontal="center"/>
    </xf>
    <xf numFmtId="165" fontId="16" fillId="5" borderId="121" xfId="8" applyNumberFormat="1" applyFont="1" applyFill="1" applyBorder="1" applyAlignment="1">
      <alignment horizontal="center"/>
    </xf>
    <xf numFmtId="0" fontId="16" fillId="5" borderId="128" xfId="0" applyFont="1" applyFill="1" applyBorder="1"/>
    <xf numFmtId="0" fontId="16" fillId="5" borderId="127" xfId="0" applyFont="1" applyFill="1" applyBorder="1" applyAlignment="1">
      <alignment vertical="top"/>
    </xf>
    <xf numFmtId="165" fontId="20" fillId="5" borderId="14" xfId="0" applyNumberFormat="1" applyFont="1" applyFill="1" applyBorder="1" applyAlignment="1">
      <alignment horizontal="center" vertical="center"/>
    </xf>
    <xf numFmtId="165" fontId="17" fillId="5" borderId="14" xfId="0" applyNumberFormat="1" applyFont="1" applyFill="1" applyBorder="1" applyAlignment="1">
      <alignment horizontal="center" vertical="center"/>
    </xf>
    <xf numFmtId="165" fontId="28" fillId="5" borderId="14" xfId="0" applyNumberFormat="1" applyFont="1" applyFill="1" applyBorder="1" applyAlignment="1">
      <alignment horizontal="center" vertical="center"/>
    </xf>
    <xf numFmtId="165" fontId="37" fillId="5" borderId="14" xfId="8" applyNumberFormat="1" applyFont="1" applyFill="1" applyBorder="1" applyAlignment="1">
      <alignment horizontal="center" vertical="center"/>
    </xf>
    <xf numFmtId="165" fontId="16" fillId="5" borderId="14" xfId="8" applyNumberFormat="1" applyFont="1" applyFill="1" applyBorder="1" applyAlignment="1">
      <alignment horizontal="center" vertical="center"/>
    </xf>
    <xf numFmtId="165" fontId="17" fillId="5" borderId="14" xfId="8" applyNumberFormat="1" applyFont="1" applyFill="1" applyBorder="1" applyAlignment="1">
      <alignment horizontal="center" vertical="center" wrapText="1"/>
    </xf>
    <xf numFmtId="165" fontId="16" fillId="5" borderId="121" xfId="8" applyNumberFormat="1" applyFont="1" applyFill="1" applyBorder="1" applyAlignment="1">
      <alignment horizontal="center" vertical="center"/>
    </xf>
    <xf numFmtId="0" fontId="16" fillId="5" borderId="128" xfId="0" applyFont="1" applyFill="1" applyBorder="1" applyAlignment="1">
      <alignment vertical="top"/>
    </xf>
    <xf numFmtId="0" fontId="75" fillId="5" borderId="113" xfId="0" applyFont="1" applyFill="1" applyBorder="1" applyAlignment="1">
      <alignment vertical="top"/>
    </xf>
    <xf numFmtId="165" fontId="60" fillId="5" borderId="6" xfId="0" applyNumberFormat="1" applyFont="1" applyFill="1" applyBorder="1" applyAlignment="1">
      <alignment horizontal="center" vertical="center"/>
    </xf>
    <xf numFmtId="165" fontId="96" fillId="5" borderId="6" xfId="0" applyNumberFormat="1" applyFont="1" applyFill="1" applyBorder="1" applyAlignment="1">
      <alignment horizontal="center" vertical="center"/>
    </xf>
    <xf numFmtId="165" fontId="78" fillId="5" borderId="6" xfId="0" applyNumberFormat="1" applyFont="1" applyFill="1" applyBorder="1" applyAlignment="1">
      <alignment horizontal="center" vertical="center"/>
    </xf>
    <xf numFmtId="165" fontId="97" fillId="5" borderId="6" xfId="8" applyNumberFormat="1" applyFont="1" applyFill="1" applyBorder="1" applyAlignment="1">
      <alignment horizontal="center" vertical="center"/>
    </xf>
    <xf numFmtId="165" fontId="75" fillId="5" borderId="6" xfId="8" applyNumberFormat="1" applyFont="1" applyFill="1" applyBorder="1" applyAlignment="1">
      <alignment horizontal="center" vertical="center"/>
    </xf>
    <xf numFmtId="0" fontId="75" fillId="5" borderId="6" xfId="0" applyFont="1" applyFill="1" applyBorder="1"/>
    <xf numFmtId="0" fontId="75" fillId="5" borderId="27" xfId="0" applyFont="1" applyFill="1" applyBorder="1"/>
    <xf numFmtId="0" fontId="75" fillId="5" borderId="114" xfId="0" applyFont="1" applyFill="1" applyBorder="1" applyAlignment="1">
      <alignment vertical="top"/>
    </xf>
    <xf numFmtId="0" fontId="16" fillId="5" borderId="113" xfId="0" applyFont="1" applyFill="1" applyBorder="1" applyAlignment="1">
      <alignment vertical="top"/>
    </xf>
    <xf numFmtId="165" fontId="20" fillId="5" borderId="6" xfId="0" applyNumberFormat="1" applyFont="1" applyFill="1" applyBorder="1" applyAlignment="1">
      <alignment horizontal="center" vertical="center"/>
    </xf>
    <xf numFmtId="165" fontId="17" fillId="5" borderId="6" xfId="0" applyNumberFormat="1" applyFont="1" applyFill="1" applyBorder="1" applyAlignment="1">
      <alignment horizontal="center" vertical="center"/>
    </xf>
    <xf numFmtId="165" fontId="28" fillId="5" borderId="6" xfId="0" applyNumberFormat="1" applyFont="1" applyFill="1" applyBorder="1" applyAlignment="1">
      <alignment horizontal="center" vertical="center"/>
    </xf>
    <xf numFmtId="165" fontId="37" fillId="5" borderId="6" xfId="8" applyNumberFormat="1" applyFont="1" applyFill="1" applyBorder="1" applyAlignment="1">
      <alignment horizontal="center" vertical="center"/>
    </xf>
    <xf numFmtId="165" fontId="16" fillId="5" borderId="6" xfId="8" applyNumberFormat="1" applyFont="1" applyFill="1" applyBorder="1" applyAlignment="1">
      <alignment horizontal="center" vertical="center"/>
    </xf>
    <xf numFmtId="165" fontId="17" fillId="5" borderId="6" xfId="8" applyNumberFormat="1" applyFont="1" applyFill="1" applyBorder="1" applyAlignment="1">
      <alignment horizontal="center" vertical="center" wrapText="1"/>
    </xf>
    <xf numFmtId="0" fontId="29" fillId="5" borderId="6" xfId="0" applyFont="1" applyFill="1" applyBorder="1"/>
    <xf numFmtId="0" fontId="29" fillId="5" borderId="27" xfId="0" applyFont="1" applyFill="1" applyBorder="1"/>
    <xf numFmtId="0" fontId="16" fillId="5" borderId="114" xfId="0" applyFont="1" applyFill="1" applyBorder="1" applyAlignment="1">
      <alignment vertical="top"/>
    </xf>
    <xf numFmtId="0" fontId="75" fillId="5" borderId="90" xfId="0" applyFont="1" applyFill="1" applyBorder="1" applyAlignment="1">
      <alignment vertical="top"/>
    </xf>
    <xf numFmtId="165" fontId="60" fillId="5" borderId="12" xfId="0" applyNumberFormat="1" applyFont="1" applyFill="1" applyBorder="1" applyAlignment="1">
      <alignment horizontal="center" vertical="center"/>
    </xf>
    <xf numFmtId="165" fontId="96" fillId="5" borderId="12" xfId="0" applyNumberFormat="1" applyFont="1" applyFill="1" applyBorder="1" applyAlignment="1">
      <alignment horizontal="center" vertical="center"/>
    </xf>
    <xf numFmtId="165" fontId="78" fillId="5" borderId="12" xfId="0" applyNumberFormat="1" applyFont="1" applyFill="1" applyBorder="1" applyAlignment="1">
      <alignment horizontal="center" vertical="center"/>
    </xf>
    <xf numFmtId="165" fontId="97" fillId="5" borderId="12" xfId="8" applyNumberFormat="1" applyFont="1" applyFill="1" applyBorder="1" applyAlignment="1">
      <alignment horizontal="center" vertical="center"/>
    </xf>
    <xf numFmtId="165" fontId="75" fillId="5" borderId="12" xfId="8" applyNumberFormat="1" applyFont="1" applyFill="1" applyBorder="1" applyAlignment="1">
      <alignment horizontal="center" vertical="center"/>
    </xf>
    <xf numFmtId="0" fontId="75" fillId="5" borderId="12" xfId="0" applyFont="1" applyFill="1" applyBorder="1"/>
    <xf numFmtId="0" fontId="75" fillId="5" borderId="91" xfId="0" applyFont="1" applyFill="1" applyBorder="1"/>
    <xf numFmtId="0" fontId="75" fillId="5" borderId="92" xfId="0" applyFont="1" applyFill="1" applyBorder="1" applyAlignment="1">
      <alignment vertical="top"/>
    </xf>
    <xf numFmtId="0" fontId="20" fillId="2" borderId="127" xfId="0" applyFont="1" applyFill="1" applyBorder="1"/>
    <xf numFmtId="0" fontId="76" fillId="2" borderId="113" xfId="0" applyFont="1" applyFill="1" applyBorder="1"/>
    <xf numFmtId="0" fontId="76" fillId="2" borderId="90" xfId="0" applyFont="1" applyFill="1" applyBorder="1"/>
    <xf numFmtId="165" fontId="20" fillId="2" borderId="12" xfId="0" applyNumberFormat="1" applyFont="1" applyFill="1" applyBorder="1" applyAlignment="1">
      <alignment horizontal="center"/>
    </xf>
    <xf numFmtId="165" fontId="21" fillId="2" borderId="12" xfId="0" applyNumberFormat="1" applyFont="1" applyFill="1" applyBorder="1" applyAlignment="1">
      <alignment horizontal="center"/>
    </xf>
    <xf numFmtId="0" fontId="29" fillId="2" borderId="12" xfId="0" applyFont="1" applyFill="1" applyBorder="1"/>
    <xf numFmtId="0" fontId="29" fillId="2" borderId="91" xfId="0" applyFont="1" applyFill="1" applyBorder="1"/>
    <xf numFmtId="0" fontId="29" fillId="2" borderId="92" xfId="0" applyFont="1" applyFill="1" applyBorder="1"/>
    <xf numFmtId="165" fontId="37" fillId="5" borderId="14" xfId="0" applyNumberFormat="1" applyFont="1" applyFill="1" applyBorder="1" applyAlignment="1">
      <alignment horizontal="center" vertical="center"/>
    </xf>
    <xf numFmtId="165" fontId="28" fillId="5" borderId="121" xfId="0" applyNumberFormat="1" applyFont="1" applyFill="1" applyBorder="1" applyAlignment="1">
      <alignment horizontal="center" vertical="center"/>
    </xf>
    <xf numFmtId="165" fontId="97" fillId="5" borderId="6" xfId="0" applyNumberFormat="1" applyFont="1" applyFill="1" applyBorder="1" applyAlignment="1">
      <alignment horizontal="center" vertical="center"/>
    </xf>
    <xf numFmtId="10" fontId="98" fillId="5" borderId="6" xfId="0" applyNumberFormat="1" applyFont="1" applyFill="1" applyBorder="1" applyAlignment="1">
      <alignment horizontal="center"/>
    </xf>
    <xf numFmtId="165" fontId="37" fillId="5" borderId="6" xfId="0" applyNumberFormat="1" applyFont="1" applyFill="1" applyBorder="1" applyAlignment="1">
      <alignment horizontal="center" vertical="center"/>
    </xf>
    <xf numFmtId="10" fontId="10" fillId="5" borderId="6" xfId="0" applyNumberFormat="1" applyFont="1" applyFill="1" applyBorder="1" applyAlignment="1">
      <alignment horizontal="center"/>
    </xf>
    <xf numFmtId="0" fontId="75" fillId="5" borderId="129" xfId="0" applyFont="1" applyFill="1" applyBorder="1" applyAlignment="1">
      <alignment vertical="top"/>
    </xf>
    <xf numFmtId="165" fontId="60" fillId="5" borderId="11" xfId="0" applyNumberFormat="1" applyFont="1" applyFill="1" applyBorder="1" applyAlignment="1">
      <alignment horizontal="center" vertical="center"/>
    </xf>
    <xf numFmtId="165" fontId="96" fillId="5" borderId="11" xfId="0" applyNumberFormat="1" applyFont="1" applyFill="1" applyBorder="1" applyAlignment="1">
      <alignment horizontal="center" vertical="center"/>
    </xf>
    <xf numFmtId="165" fontId="78" fillId="5" borderId="11" xfId="0" applyNumberFormat="1" applyFont="1" applyFill="1" applyBorder="1" applyAlignment="1">
      <alignment horizontal="center" vertical="center"/>
    </xf>
    <xf numFmtId="165" fontId="97" fillId="5" borderId="11" xfId="0" applyNumberFormat="1" applyFont="1" applyFill="1" applyBorder="1" applyAlignment="1">
      <alignment horizontal="center" vertical="center"/>
    </xf>
    <xf numFmtId="165" fontId="9" fillId="5" borderId="11" xfId="8" applyNumberFormat="1" applyFont="1" applyFill="1" applyBorder="1" applyAlignment="1">
      <alignment horizontal="center" vertical="center" wrapText="1"/>
    </xf>
    <xf numFmtId="10" fontId="98" fillId="5" borderId="11" xfId="0" applyNumberFormat="1" applyFont="1" applyFill="1" applyBorder="1" applyAlignment="1">
      <alignment horizontal="center"/>
    </xf>
    <xf numFmtId="0" fontId="75" fillId="5" borderId="11" xfId="0" applyFont="1" applyFill="1" applyBorder="1"/>
    <xf numFmtId="0" fontId="75" fillId="5" borderId="55" xfId="0" applyFont="1" applyFill="1" applyBorder="1"/>
    <xf numFmtId="0" fontId="75" fillId="5" borderId="130" xfId="0" applyFont="1" applyFill="1" applyBorder="1" applyAlignment="1">
      <alignment vertical="top"/>
    </xf>
    <xf numFmtId="165" fontId="20" fillId="5" borderId="14" xfId="0" applyNumberFormat="1" applyFont="1" applyFill="1" applyBorder="1" applyAlignment="1">
      <alignment horizontal="center"/>
    </xf>
    <xf numFmtId="165" fontId="17" fillId="5" borderId="14" xfId="0" applyNumberFormat="1" applyFont="1" applyFill="1" applyBorder="1" applyAlignment="1">
      <alignment horizontal="center"/>
    </xf>
    <xf numFmtId="165" fontId="28" fillId="5" borderId="14" xfId="0" applyNumberFormat="1" applyFont="1" applyFill="1" applyBorder="1" applyAlignment="1">
      <alignment horizontal="center"/>
    </xf>
    <xf numFmtId="165" fontId="28" fillId="5" borderId="121" xfId="0" applyNumberFormat="1" applyFont="1" applyFill="1" applyBorder="1" applyAlignment="1">
      <alignment horizontal="center"/>
    </xf>
    <xf numFmtId="0" fontId="24" fillId="4" borderId="5" xfId="0" applyFont="1" applyFill="1" applyBorder="1" applyAlignment="1">
      <alignment wrapText="1"/>
    </xf>
    <xf numFmtId="9" fontId="23" fillId="4" borderId="5" xfId="2" applyFont="1" applyFill="1" applyBorder="1" applyAlignment="1">
      <alignment horizontal="center" vertical="center"/>
    </xf>
    <xf numFmtId="9" fontId="23" fillId="4" borderId="74" xfId="2" applyFont="1" applyFill="1" applyBorder="1" applyAlignment="1">
      <alignment horizontal="center" vertical="center"/>
    </xf>
    <xf numFmtId="0" fontId="23" fillId="4" borderId="74" xfId="0" applyFont="1" applyFill="1" applyBorder="1" applyAlignment="1">
      <alignment horizontal="left" vertical="center"/>
    </xf>
    <xf numFmtId="0" fontId="24" fillId="2" borderId="131" xfId="0" applyFont="1" applyFill="1" applyBorder="1"/>
    <xf numFmtId="3" fontId="20" fillId="2" borderId="6" xfId="0" applyNumberFormat="1" applyFont="1" applyFill="1" applyBorder="1" applyAlignment="1">
      <alignment horizontal="center" vertical="center"/>
    </xf>
    <xf numFmtId="169" fontId="20" fillId="2" borderId="6" xfId="0" applyNumberFormat="1" applyFont="1" applyFill="1" applyBorder="1" applyAlignment="1">
      <alignment horizontal="center" vertical="center"/>
    </xf>
    <xf numFmtId="169" fontId="22" fillId="2" borderId="6" xfId="0" applyNumberFormat="1" applyFont="1" applyFill="1" applyBorder="1" applyAlignment="1">
      <alignment horizontal="center" vertical="center"/>
    </xf>
    <xf numFmtId="3" fontId="22" fillId="2" borderId="6" xfId="0" applyNumberFormat="1" applyFont="1" applyFill="1" applyBorder="1" applyAlignment="1">
      <alignment horizontal="center" vertical="center"/>
    </xf>
    <xf numFmtId="3" fontId="23" fillId="2" borderId="27" xfId="0" applyNumberFormat="1" applyFont="1" applyFill="1" applyBorder="1" applyAlignment="1">
      <alignment horizontal="center" vertical="center"/>
    </xf>
    <xf numFmtId="3" fontId="22" fillId="2" borderId="27" xfId="0" applyNumberFormat="1" applyFont="1" applyFill="1" applyBorder="1" applyAlignment="1">
      <alignment horizontal="center" vertical="center"/>
    </xf>
    <xf numFmtId="0" fontId="23" fillId="2" borderId="114" xfId="0" applyFont="1" applyFill="1" applyBorder="1" applyAlignment="1">
      <alignment horizontal="left" vertical="center" wrapText="1"/>
    </xf>
    <xf numFmtId="0" fontId="24" fillId="2" borderId="132" xfId="0" applyFont="1" applyFill="1" applyBorder="1" applyAlignment="1">
      <alignment wrapText="1"/>
    </xf>
    <xf numFmtId="4" fontId="20" fillId="2" borderId="133" xfId="0" applyNumberFormat="1" applyFont="1" applyFill="1" applyBorder="1" applyAlignment="1">
      <alignment horizontal="center" vertical="center"/>
    </xf>
    <xf numFmtId="3" fontId="20" fillId="2" borderId="133" xfId="8" applyNumberFormat="1" applyFont="1" applyFill="1" applyBorder="1" applyAlignment="1">
      <alignment horizontal="center" vertical="center"/>
    </xf>
    <xf numFmtId="3" fontId="22" fillId="2" borderId="133" xfId="8" applyNumberFormat="1" applyFont="1" applyFill="1" applyBorder="1" applyAlignment="1">
      <alignment horizontal="center" vertical="center"/>
    </xf>
    <xf numFmtId="3" fontId="23" fillId="2" borderId="133" xfId="8" applyNumberFormat="1" applyFont="1" applyFill="1" applyBorder="1" applyAlignment="1">
      <alignment horizontal="center" vertical="center"/>
    </xf>
    <xf numFmtId="3" fontId="23" fillId="2" borderId="134" xfId="8" applyNumberFormat="1" applyFont="1" applyFill="1" applyBorder="1" applyAlignment="1">
      <alignment horizontal="center" vertical="center"/>
    </xf>
    <xf numFmtId="3" fontId="22" fillId="2" borderId="134" xfId="8" applyNumberFormat="1" applyFont="1" applyFill="1" applyBorder="1" applyAlignment="1">
      <alignment horizontal="center" vertical="center"/>
    </xf>
    <xf numFmtId="0" fontId="23" fillId="2" borderId="135" xfId="0" applyFont="1" applyFill="1" applyBorder="1" applyAlignment="1">
      <alignment horizontal="left" vertical="center"/>
    </xf>
    <xf numFmtId="0" fontId="16" fillId="2" borderId="113" xfId="0" applyFont="1" applyFill="1" applyBorder="1" applyAlignment="1">
      <alignment wrapText="1"/>
    </xf>
    <xf numFmtId="3" fontId="19" fillId="2" borderId="6" xfId="0" applyNumberFormat="1" applyFont="1" applyFill="1" applyBorder="1" applyAlignment="1">
      <alignment horizontal="center" vertical="center"/>
    </xf>
    <xf numFmtId="3" fontId="99" fillId="2" borderId="6" xfId="0" applyNumberFormat="1" applyFont="1" applyFill="1" applyBorder="1" applyAlignment="1">
      <alignment horizontal="center" vertical="center"/>
    </xf>
    <xf numFmtId="3" fontId="26" fillId="2" borderId="6" xfId="0" applyNumberFormat="1" applyFont="1" applyFill="1" applyBorder="1" applyAlignment="1">
      <alignment horizontal="center" vertical="center"/>
    </xf>
    <xf numFmtId="3" fontId="18" fillId="2" borderId="6" xfId="0" applyNumberFormat="1" applyFont="1" applyFill="1" applyBorder="1" applyAlignment="1">
      <alignment horizontal="center" vertical="center"/>
    </xf>
    <xf numFmtId="3" fontId="28" fillId="2" borderId="9" xfId="0" applyNumberFormat="1" applyFont="1" applyFill="1" applyBorder="1" applyAlignment="1">
      <alignment horizontal="center" vertical="center"/>
    </xf>
    <xf numFmtId="3" fontId="17" fillId="2" borderId="9" xfId="0" applyNumberFormat="1" applyFont="1" applyFill="1" applyBorder="1" applyAlignment="1">
      <alignment horizontal="center" vertical="center"/>
    </xf>
    <xf numFmtId="3" fontId="56" fillId="2" borderId="9" xfId="0" applyNumberFormat="1" applyFont="1" applyFill="1" applyBorder="1" applyAlignment="1">
      <alignment horizontal="center" vertical="center"/>
    </xf>
    <xf numFmtId="0" fontId="16" fillId="2" borderId="6" xfId="0" applyFont="1" applyFill="1" applyBorder="1"/>
    <xf numFmtId="0" fontId="28" fillId="2" borderId="27" xfId="0" applyFont="1" applyFill="1" applyBorder="1"/>
    <xf numFmtId="0" fontId="16" fillId="2" borderId="27" xfId="0" applyFont="1" applyFill="1" applyBorder="1"/>
    <xf numFmtId="0" fontId="34" fillId="2" borderId="136" xfId="0" applyFont="1" applyFill="1" applyBorder="1" applyAlignment="1">
      <alignment horizontal="left" vertical="center" readingOrder="1"/>
    </xf>
    <xf numFmtId="0" fontId="24" fillId="2" borderId="137" xfId="0" applyFont="1" applyFill="1" applyBorder="1"/>
    <xf numFmtId="3" fontId="20" fillId="2" borderId="16" xfId="0" applyNumberFormat="1" applyFont="1" applyFill="1" applyBorder="1" applyAlignment="1">
      <alignment horizontal="center" vertical="center"/>
    </xf>
    <xf numFmtId="4" fontId="23" fillId="2" borderId="16" xfId="0" applyNumberFormat="1" applyFont="1" applyFill="1" applyBorder="1" applyAlignment="1">
      <alignment horizontal="center" vertical="center"/>
    </xf>
    <xf numFmtId="4" fontId="22" fillId="2" borderId="16" xfId="0" applyNumberFormat="1" applyFont="1" applyFill="1" applyBorder="1" applyAlignment="1">
      <alignment horizontal="center" vertical="center"/>
    </xf>
    <xf numFmtId="169" fontId="22" fillId="2" borderId="16" xfId="0" applyNumberFormat="1" applyFont="1" applyFill="1" applyBorder="1" applyAlignment="1">
      <alignment horizontal="center" vertical="center"/>
    </xf>
    <xf numFmtId="4" fontId="23" fillId="2" borderId="25" xfId="0" applyNumberFormat="1" applyFont="1" applyFill="1" applyBorder="1" applyAlignment="1">
      <alignment horizontal="center" vertical="center"/>
    </xf>
    <xf numFmtId="4" fontId="22" fillId="2" borderId="25" xfId="0" applyNumberFormat="1" applyFont="1" applyFill="1" applyBorder="1" applyAlignment="1">
      <alignment horizontal="center" vertical="center"/>
    </xf>
    <xf numFmtId="0" fontId="23" fillId="2" borderId="96" xfId="0" applyFont="1" applyFill="1" applyBorder="1" applyAlignment="1">
      <alignment horizontal="left" vertical="center" wrapText="1"/>
    </xf>
    <xf numFmtId="3" fontId="20" fillId="2" borderId="25" xfId="0" applyNumberFormat="1" applyFont="1" applyFill="1" applyBorder="1" applyAlignment="1">
      <alignment horizontal="center" vertical="center"/>
    </xf>
    <xf numFmtId="3" fontId="22" fillId="2" borderId="16" xfId="0" applyNumberFormat="1" applyFont="1" applyFill="1" applyBorder="1" applyAlignment="1">
      <alignment horizontal="center" vertical="center"/>
    </xf>
    <xf numFmtId="3" fontId="22" fillId="2" borderId="25" xfId="0" applyNumberFormat="1" applyFont="1" applyFill="1" applyBorder="1" applyAlignment="1">
      <alignment horizontal="center" vertical="center"/>
    </xf>
    <xf numFmtId="0" fontId="12" fillId="4" borderId="138" xfId="0" applyFont="1" applyFill="1" applyBorder="1"/>
    <xf numFmtId="1" fontId="12" fillId="4" borderId="83" xfId="2" applyNumberFormat="1" applyFont="1" applyFill="1" applyBorder="1" applyAlignment="1">
      <alignment horizontal="center"/>
    </xf>
    <xf numFmtId="0" fontId="12" fillId="4" borderId="122" xfId="0" applyFont="1" applyFill="1" applyBorder="1"/>
    <xf numFmtId="0" fontId="20" fillId="5" borderId="123" xfId="0" applyFont="1" applyFill="1" applyBorder="1"/>
    <xf numFmtId="9" fontId="20" fillId="5" borderId="124" xfId="0" applyNumberFormat="1" applyFont="1" applyFill="1" applyBorder="1" applyAlignment="1">
      <alignment horizontal="center"/>
    </xf>
    <xf numFmtId="9" fontId="21" fillId="5" borderId="124" xfId="0" applyNumberFormat="1" applyFont="1" applyFill="1" applyBorder="1" applyAlignment="1">
      <alignment horizontal="center"/>
    </xf>
    <xf numFmtId="9" fontId="20" fillId="5" borderId="125" xfId="0" applyNumberFormat="1" applyFont="1" applyFill="1" applyBorder="1" applyAlignment="1">
      <alignment horizontal="center"/>
    </xf>
    <xf numFmtId="0" fontId="20" fillId="5" borderId="126" xfId="0" applyFont="1" applyFill="1" applyBorder="1"/>
    <xf numFmtId="0" fontId="20" fillId="5" borderId="139" xfId="0" applyFont="1" applyFill="1" applyBorder="1"/>
    <xf numFmtId="9" fontId="12" fillId="5" borderId="50" xfId="0" applyNumberFormat="1" applyFont="1" applyFill="1" applyBorder="1" applyAlignment="1">
      <alignment horizontal="center"/>
    </xf>
    <xf numFmtId="9" fontId="12" fillId="5" borderId="140" xfId="0" applyNumberFormat="1" applyFont="1" applyFill="1" applyBorder="1" applyAlignment="1">
      <alignment horizontal="center"/>
    </xf>
    <xf numFmtId="0" fontId="20" fillId="5" borderId="140" xfId="0" applyFont="1" applyFill="1" applyBorder="1" applyAlignment="1">
      <alignment horizontal="center"/>
    </xf>
    <xf numFmtId="0" fontId="21" fillId="5" borderId="140" xfId="0" applyFont="1" applyFill="1" applyBorder="1" applyAlignment="1">
      <alignment horizontal="center"/>
    </xf>
    <xf numFmtId="0" fontId="64" fillId="5" borderId="140" xfId="0" applyFont="1" applyFill="1" applyBorder="1" applyAlignment="1">
      <alignment horizontal="center"/>
    </xf>
    <xf numFmtId="9" fontId="20" fillId="5" borderId="140" xfId="0" quotePrefix="1" applyNumberFormat="1" applyFont="1" applyFill="1" applyBorder="1" applyAlignment="1">
      <alignment horizontal="center"/>
    </xf>
    <xf numFmtId="9" fontId="20" fillId="5" borderId="141" xfId="0" quotePrefix="1" applyNumberFormat="1" applyFont="1" applyFill="1" applyBorder="1" applyAlignment="1">
      <alignment horizontal="center"/>
    </xf>
    <xf numFmtId="0" fontId="20" fillId="5" borderId="142" xfId="0" applyFont="1" applyFill="1" applyBorder="1"/>
    <xf numFmtId="0" fontId="20" fillId="4" borderId="137" xfId="0" applyFont="1" applyFill="1" applyBorder="1"/>
    <xf numFmtId="9" fontId="12" fillId="4" borderId="6" xfId="0" applyNumberFormat="1" applyFont="1" applyFill="1" applyBorder="1" applyAlignment="1">
      <alignment horizontal="center"/>
    </xf>
    <xf numFmtId="0" fontId="20" fillId="4" borderId="6" xfId="0" applyFont="1" applyFill="1" applyBorder="1" applyAlignment="1">
      <alignment horizontal="center"/>
    </xf>
    <xf numFmtId="0" fontId="21" fillId="4" borderId="6" xfId="0" applyFont="1" applyFill="1" applyBorder="1" applyAlignment="1">
      <alignment horizontal="center"/>
    </xf>
    <xf numFmtId="0" fontId="64" fillId="4" borderId="6" xfId="0" applyFont="1" applyFill="1" applyBorder="1" applyAlignment="1">
      <alignment horizontal="center"/>
    </xf>
    <xf numFmtId="9" fontId="20" fillId="4" borderId="6" xfId="0" quotePrefix="1" applyNumberFormat="1" applyFont="1" applyFill="1" applyBorder="1" applyAlignment="1">
      <alignment horizontal="center"/>
    </xf>
    <xf numFmtId="9" fontId="20" fillId="4" borderId="27" xfId="0" quotePrefix="1" applyNumberFormat="1" applyFont="1" applyFill="1" applyBorder="1" applyAlignment="1">
      <alignment horizontal="center"/>
    </xf>
    <xf numFmtId="0" fontId="20" fillId="4" borderId="53" xfId="0" applyFont="1" applyFill="1" applyBorder="1"/>
    <xf numFmtId="10" fontId="100" fillId="2" borderId="0" xfId="8" applyNumberFormat="1" applyFont="1" applyFill="1" applyBorder="1" applyAlignment="1"/>
    <xf numFmtId="9" fontId="12" fillId="2" borderId="6" xfId="0" applyNumberFormat="1" applyFont="1" applyFill="1" applyBorder="1" applyAlignment="1">
      <alignment horizontal="center"/>
    </xf>
    <xf numFmtId="0" fontId="20" fillId="2" borderId="6" xfId="0" applyFont="1" applyFill="1" applyBorder="1" applyAlignment="1">
      <alignment horizontal="center"/>
    </xf>
    <xf numFmtId="0" fontId="21" fillId="2" borderId="6" xfId="0" applyFont="1" applyFill="1" applyBorder="1" applyAlignment="1">
      <alignment horizontal="center"/>
    </xf>
    <xf numFmtId="0" fontId="64" fillId="2" borderId="6" xfId="0" applyFont="1" applyFill="1" applyBorder="1" applyAlignment="1">
      <alignment horizontal="center"/>
    </xf>
    <xf numFmtId="9" fontId="20" fillId="2" borderId="6" xfId="0" quotePrefix="1" applyNumberFormat="1" applyFont="1" applyFill="1" applyBorder="1" applyAlignment="1">
      <alignment horizontal="center"/>
    </xf>
    <xf numFmtId="9" fontId="20" fillId="2" borderId="27" xfId="0" quotePrefix="1" applyNumberFormat="1" applyFont="1" applyFill="1" applyBorder="1" applyAlignment="1">
      <alignment horizontal="center"/>
    </xf>
    <xf numFmtId="0" fontId="24" fillId="2" borderId="53" xfId="0" applyFont="1" applyFill="1" applyBorder="1"/>
    <xf numFmtId="0" fontId="12" fillId="4" borderId="129" xfId="0" applyFont="1" applyFill="1" applyBorder="1"/>
    <xf numFmtId="1" fontId="12" fillId="4" borderId="6" xfId="2" applyNumberFormat="1" applyFont="1" applyFill="1" applyBorder="1" applyAlignment="1">
      <alignment horizontal="center"/>
    </xf>
    <xf numFmtId="1" fontId="14" fillId="4" borderId="6" xfId="2" applyNumberFormat="1" applyFont="1" applyFill="1" applyBorder="1" applyAlignment="1">
      <alignment horizontal="center"/>
    </xf>
    <xf numFmtId="10" fontId="93" fillId="4" borderId="6" xfId="6" applyNumberFormat="1" applyFont="1" applyFill="1" applyBorder="1" applyAlignment="1">
      <alignment horizontal="center"/>
    </xf>
    <xf numFmtId="1" fontId="12" fillId="4" borderId="27" xfId="2" applyNumberFormat="1" applyFont="1" applyFill="1" applyBorder="1" applyAlignment="1">
      <alignment horizontal="center"/>
    </xf>
    <xf numFmtId="0" fontId="12" fillId="4" borderId="55" xfId="0" applyFont="1" applyFill="1" applyBorder="1"/>
    <xf numFmtId="0" fontId="20" fillId="5" borderId="77" xfId="0" applyFont="1" applyFill="1" applyBorder="1"/>
    <xf numFmtId="9" fontId="20" fillId="5" borderId="82" xfId="0" applyNumberFormat="1" applyFont="1" applyFill="1" applyBorder="1" applyAlignment="1">
      <alignment horizontal="center"/>
    </xf>
    <xf numFmtId="9" fontId="23" fillId="5" borderId="82" xfId="0" applyNumberFormat="1" applyFont="1" applyFill="1" applyBorder="1" applyAlignment="1">
      <alignment horizontal="center"/>
    </xf>
    <xf numFmtId="9" fontId="22" fillId="5" borderId="82" xfId="0" applyNumberFormat="1" applyFont="1" applyFill="1" applyBorder="1" applyAlignment="1">
      <alignment horizontal="center"/>
    </xf>
    <xf numFmtId="9" fontId="23" fillId="5" borderId="83" xfId="0" applyNumberFormat="1" applyFont="1" applyFill="1" applyBorder="1" applyAlignment="1">
      <alignment horizontal="center"/>
    </xf>
    <xf numFmtId="9" fontId="22" fillId="5" borderId="83" xfId="0" applyNumberFormat="1" applyFont="1" applyFill="1" applyBorder="1" applyAlignment="1">
      <alignment horizontal="center"/>
    </xf>
    <xf numFmtId="0" fontId="20" fillId="5" borderId="84" xfId="0" applyFont="1" applyFill="1" applyBorder="1"/>
    <xf numFmtId="0" fontId="60" fillId="5" borderId="129" xfId="0" applyFont="1" applyFill="1" applyBorder="1"/>
    <xf numFmtId="9" fontId="60" fillId="5" borderId="11" xfId="0" applyNumberFormat="1" applyFont="1" applyFill="1" applyBorder="1" applyAlignment="1">
      <alignment horizontal="center"/>
    </xf>
    <xf numFmtId="9" fontId="94" fillId="5" borderId="11" xfId="0" applyNumberFormat="1" applyFont="1" applyFill="1" applyBorder="1" applyAlignment="1">
      <alignment horizontal="center"/>
    </xf>
    <xf numFmtId="0" fontId="9" fillId="5" borderId="11" xfId="0" applyFont="1" applyFill="1" applyBorder="1"/>
    <xf numFmtId="0" fontId="9" fillId="5" borderId="55" xfId="0" applyFont="1" applyFill="1" applyBorder="1"/>
    <xf numFmtId="0" fontId="60" fillId="5" borderId="130" xfId="0" applyFont="1" applyFill="1" applyBorder="1"/>
    <xf numFmtId="0" fontId="24" fillId="2" borderId="93" xfId="0" applyFont="1" applyFill="1" applyBorder="1"/>
    <xf numFmtId="9" fontId="20" fillId="2" borderId="7" xfId="0" applyNumberFormat="1" applyFont="1" applyFill="1" applyBorder="1" applyAlignment="1">
      <alignment horizontal="center"/>
    </xf>
    <xf numFmtId="9" fontId="22" fillId="2" borderId="7" xfId="0" applyNumberFormat="1" applyFont="1" applyFill="1" applyBorder="1" applyAlignment="1">
      <alignment horizontal="center"/>
    </xf>
    <xf numFmtId="9" fontId="23" fillId="2" borderId="7" xfId="0" applyNumberFormat="1" applyFont="1" applyFill="1" applyBorder="1" applyAlignment="1">
      <alignment horizontal="center"/>
    </xf>
    <xf numFmtId="9" fontId="23" fillId="2" borderId="45" xfId="0" applyNumberFormat="1" applyFont="1" applyFill="1" applyBorder="1" applyAlignment="1">
      <alignment horizontal="center"/>
    </xf>
    <xf numFmtId="0" fontId="23" fillId="0" borderId="94" xfId="0" applyFont="1" applyBorder="1" applyAlignment="1">
      <alignment horizontal="justify" vertical="center" wrapText="1"/>
    </xf>
    <xf numFmtId="0" fontId="9" fillId="2" borderId="90" xfId="0" applyFont="1" applyFill="1" applyBorder="1"/>
    <xf numFmtId="9" fontId="60" fillId="2" borderId="12" xfId="0" applyNumberFormat="1" applyFont="1" applyFill="1" applyBorder="1" applyAlignment="1">
      <alignment horizontal="center"/>
    </xf>
    <xf numFmtId="9" fontId="60" fillId="2" borderId="91" xfId="0" applyNumberFormat="1" applyFont="1" applyFill="1" applyBorder="1" applyAlignment="1">
      <alignment horizontal="center"/>
    </xf>
    <xf numFmtId="0" fontId="62" fillId="0" borderId="92" xfId="0" applyFont="1" applyBorder="1" applyAlignment="1">
      <alignment horizontal="justify" vertical="center" wrapText="1"/>
    </xf>
    <xf numFmtId="0" fontId="24" fillId="2" borderId="102" xfId="0" applyFont="1" applyFill="1" applyBorder="1"/>
    <xf numFmtId="9" fontId="24" fillId="2" borderId="21" xfId="0" applyNumberFormat="1" applyFont="1" applyFill="1" applyBorder="1" applyAlignment="1">
      <alignment horizontal="center"/>
    </xf>
    <xf numFmtId="9" fontId="30" fillId="2" borderId="12" xfId="0" applyNumberFormat="1" applyFont="1" applyFill="1" applyBorder="1" applyAlignment="1">
      <alignment horizontal="center"/>
    </xf>
    <xf numFmtId="9" fontId="25" fillId="2" borderId="12" xfId="0" applyNumberFormat="1" applyFont="1" applyFill="1" applyBorder="1" applyAlignment="1">
      <alignment horizontal="center"/>
    </xf>
    <xf numFmtId="9" fontId="25" fillId="2" borderId="91" xfId="0" applyNumberFormat="1" applyFont="1" applyFill="1" applyBorder="1" applyAlignment="1">
      <alignment horizontal="center"/>
    </xf>
    <xf numFmtId="0" fontId="25" fillId="0" borderId="104" xfId="0" applyFont="1" applyBorder="1"/>
    <xf numFmtId="0" fontId="24" fillId="2" borderId="102" xfId="0" applyFont="1" applyFill="1" applyBorder="1" applyAlignment="1">
      <alignment vertical="top"/>
    </xf>
    <xf numFmtId="9" fontId="24" fillId="2" borderId="21" xfId="0" applyNumberFormat="1" applyFont="1" applyFill="1" applyBorder="1" applyAlignment="1">
      <alignment horizontal="center" vertical="top"/>
    </xf>
    <xf numFmtId="9" fontId="30" fillId="2" borderId="12" xfId="0" applyNumberFormat="1" applyFont="1" applyFill="1" applyBorder="1" applyAlignment="1">
      <alignment horizontal="center" vertical="top"/>
    </xf>
    <xf numFmtId="9" fontId="25" fillId="2" borderId="12" xfId="0" applyNumberFormat="1" applyFont="1" applyFill="1" applyBorder="1" applyAlignment="1">
      <alignment horizontal="center" vertical="top"/>
    </xf>
    <xf numFmtId="9" fontId="25" fillId="2" borderId="91" xfId="0" applyNumberFormat="1" applyFont="1" applyFill="1" applyBorder="1" applyAlignment="1">
      <alignment horizontal="center" vertical="top"/>
    </xf>
    <xf numFmtId="0" fontId="25" fillId="2" borderId="104" xfId="0" applyFont="1" applyFill="1" applyBorder="1" applyAlignment="1">
      <alignment wrapText="1"/>
    </xf>
    <xf numFmtId="0" fontId="24" fillId="2" borderId="102" xfId="0" applyFont="1" applyFill="1" applyBorder="1" applyAlignment="1">
      <alignment vertical="top" wrapText="1"/>
    </xf>
    <xf numFmtId="0" fontId="25" fillId="2" borderId="104" xfId="0" applyFont="1" applyFill="1" applyBorder="1" applyAlignment="1">
      <alignment vertical="top"/>
    </xf>
    <xf numFmtId="9" fontId="25" fillId="2" borderId="12" xfId="0" applyNumberFormat="1" applyFont="1" applyFill="1" applyBorder="1" applyAlignment="1">
      <alignment horizontal="center" vertical="top" wrapText="1"/>
    </xf>
    <xf numFmtId="9" fontId="25" fillId="2" borderId="91" xfId="0" applyNumberFormat="1" applyFont="1" applyFill="1" applyBorder="1" applyAlignment="1">
      <alignment horizontal="center" vertical="top" wrapText="1"/>
    </xf>
    <xf numFmtId="0" fontId="101" fillId="2" borderId="104" xfId="0" quotePrefix="1" applyFont="1" applyFill="1" applyBorder="1" applyAlignment="1">
      <alignment vertical="center" wrapText="1"/>
    </xf>
    <xf numFmtId="0" fontId="25" fillId="2" borderId="104" xfId="0" applyFont="1" applyFill="1" applyBorder="1" applyAlignment="1">
      <alignment vertical="center" wrapText="1"/>
    </xf>
    <xf numFmtId="0" fontId="25" fillId="2" borderId="104" xfId="0" applyFont="1" applyFill="1" applyBorder="1"/>
    <xf numFmtId="9" fontId="103" fillId="2" borderId="21" xfId="0" applyNumberFormat="1" applyFont="1" applyFill="1" applyBorder="1" applyAlignment="1">
      <alignment horizontal="center"/>
    </xf>
    <xf numFmtId="9" fontId="21" fillId="2" borderId="21" xfId="0" applyNumberFormat="1" applyFont="1" applyFill="1" applyBorder="1" applyAlignment="1">
      <alignment horizontal="center"/>
    </xf>
    <xf numFmtId="9" fontId="20" fillId="2" borderId="21" xfId="0" applyNumberFormat="1" applyFont="1" applyFill="1" applyBorder="1" applyAlignment="1">
      <alignment horizontal="center"/>
    </xf>
    <xf numFmtId="9" fontId="68" fillId="2" borderId="21" xfId="0" applyNumberFormat="1" applyFont="1" applyFill="1" applyBorder="1" applyAlignment="1">
      <alignment horizontal="center"/>
    </xf>
    <xf numFmtId="9" fontId="104" fillId="2" borderId="21" xfId="0" applyNumberFormat="1" applyFont="1" applyFill="1" applyBorder="1" applyAlignment="1">
      <alignment horizontal="center"/>
    </xf>
    <xf numFmtId="9" fontId="104" fillId="2" borderId="103" xfId="0" applyNumberFormat="1" applyFont="1" applyFill="1" applyBorder="1" applyAlignment="1">
      <alignment horizontal="center"/>
    </xf>
    <xf numFmtId="0" fontId="24" fillId="2" borderId="104" xfId="0" applyFont="1" applyFill="1" applyBorder="1"/>
    <xf numFmtId="9" fontId="104" fillId="2" borderId="121" xfId="0" applyNumberFormat="1" applyFont="1" applyFill="1" applyBorder="1" applyAlignment="1">
      <alignment horizontal="center"/>
    </xf>
    <xf numFmtId="0" fontId="24" fillId="2" borderId="93" xfId="0" applyFont="1" applyFill="1" applyBorder="1" applyAlignment="1">
      <alignment vertical="top"/>
    </xf>
    <xf numFmtId="9" fontId="24" fillId="2" borderId="7" xfId="0" applyNumberFormat="1" applyFont="1" applyFill="1" applyBorder="1" applyAlignment="1">
      <alignment horizontal="center"/>
    </xf>
    <xf numFmtId="9" fontId="24" fillId="2" borderId="7" xfId="0" quotePrefix="1" applyNumberFormat="1" applyFont="1" applyFill="1" applyBorder="1" applyAlignment="1">
      <alignment horizontal="center"/>
    </xf>
    <xf numFmtId="9" fontId="30" fillId="2" borderId="7" xfId="0" applyNumberFormat="1" applyFont="1" applyFill="1" applyBorder="1" applyAlignment="1">
      <alignment horizontal="center"/>
    </xf>
    <xf numFmtId="9" fontId="67" fillId="2" borderId="7" xfId="0" applyNumberFormat="1" applyFont="1" applyFill="1" applyBorder="1" applyAlignment="1">
      <alignment horizontal="center"/>
    </xf>
    <xf numFmtId="3" fontId="23" fillId="2" borderId="7" xfId="13" applyNumberFormat="1" applyFont="1" applyFill="1" applyBorder="1" applyAlignment="1">
      <alignment horizontal="center" vertical="center"/>
    </xf>
    <xf numFmtId="3" fontId="22" fillId="2" borderId="7" xfId="13" applyNumberFormat="1" applyFont="1" applyFill="1" applyBorder="1" applyAlignment="1">
      <alignment horizontal="center" vertical="center"/>
    </xf>
    <xf numFmtId="3" fontId="23" fillId="2" borderId="45" xfId="13" applyNumberFormat="1" applyFont="1" applyFill="1" applyBorder="1" applyAlignment="1">
      <alignment horizontal="center" vertical="center"/>
    </xf>
    <xf numFmtId="0" fontId="20" fillId="2" borderId="94" xfId="0" applyFont="1" applyFill="1" applyBorder="1" applyAlignment="1">
      <alignment wrapText="1"/>
    </xf>
    <xf numFmtId="0" fontId="16" fillId="2" borderId="85" xfId="0" applyFont="1" applyFill="1" applyBorder="1"/>
    <xf numFmtId="9" fontId="19" fillId="2" borderId="50" xfId="0" applyNumberFormat="1" applyFont="1" applyFill="1" applyBorder="1" applyAlignment="1">
      <alignment horizontal="center"/>
    </xf>
    <xf numFmtId="9" fontId="19" fillId="2" borderId="50" xfId="0" quotePrefix="1" applyNumberFormat="1" applyFont="1" applyFill="1" applyBorder="1" applyAlignment="1">
      <alignment horizontal="center"/>
    </xf>
    <xf numFmtId="9" fontId="18" fillId="2" borderId="50" xfId="0" applyNumberFormat="1" applyFont="1" applyFill="1" applyBorder="1" applyAlignment="1">
      <alignment horizontal="center"/>
    </xf>
    <xf numFmtId="9" fontId="99" fillId="2" borderId="50" xfId="0" applyNumberFormat="1" applyFont="1" applyFill="1" applyBorder="1" applyAlignment="1">
      <alignment horizontal="center"/>
    </xf>
    <xf numFmtId="3" fontId="28" fillId="2" borderId="50" xfId="13" applyNumberFormat="1" applyFont="1" applyFill="1" applyBorder="1" applyAlignment="1">
      <alignment horizontal="center" vertical="center"/>
    </xf>
    <xf numFmtId="3" fontId="32" fillId="2" borderId="50" xfId="13" applyNumberFormat="1" applyFont="1" applyFill="1" applyBorder="1" applyAlignment="1">
      <alignment horizontal="center" vertical="center"/>
    </xf>
    <xf numFmtId="0" fontId="19" fillId="2" borderId="50" xfId="0" applyFont="1" applyFill="1" applyBorder="1"/>
    <xf numFmtId="0" fontId="19" fillId="2" borderId="37" xfId="0" applyFont="1" applyFill="1" applyBorder="1"/>
    <xf numFmtId="0" fontId="16" fillId="2" borderId="86" xfId="0" applyFont="1" applyFill="1" applyBorder="1" applyAlignment="1">
      <alignment wrapText="1"/>
    </xf>
    <xf numFmtId="9" fontId="7" fillId="4" borderId="38" xfId="0" quotePrefix="1" applyNumberFormat="1" applyFont="1" applyFill="1" applyBorder="1" applyAlignment="1">
      <alignment horizontal="center"/>
    </xf>
    <xf numFmtId="9" fontId="105" fillId="4" borderId="38" xfId="0" applyNumberFormat="1" applyFont="1" applyFill="1" applyBorder="1" applyAlignment="1">
      <alignment horizontal="center"/>
    </xf>
    <xf numFmtId="9" fontId="83" fillId="4" borderId="38" xfId="0" applyNumberFormat="1" applyFont="1" applyFill="1" applyBorder="1" applyAlignment="1">
      <alignment horizontal="center"/>
    </xf>
    <xf numFmtId="9" fontId="106" fillId="4" borderId="38" xfId="0" applyNumberFormat="1" applyFont="1" applyFill="1" applyBorder="1" applyAlignment="1">
      <alignment horizontal="center"/>
    </xf>
    <xf numFmtId="0" fontId="7" fillId="4" borderId="38" xfId="0" applyFont="1" applyFill="1" applyBorder="1"/>
    <xf numFmtId="0" fontId="7" fillId="4" borderId="143" xfId="0" applyFont="1" applyFill="1" applyBorder="1"/>
    <xf numFmtId="0" fontId="24" fillId="5" borderId="138" xfId="0" applyFont="1" applyFill="1" applyBorder="1"/>
    <xf numFmtId="9" fontId="24" fillId="5" borderId="38" xfId="0" quotePrefix="1" applyNumberFormat="1" applyFont="1" applyFill="1" applyBorder="1" applyAlignment="1">
      <alignment horizontal="center"/>
    </xf>
    <xf numFmtId="9" fontId="30" fillId="5" borderId="38" xfId="0" applyNumberFormat="1" applyFont="1" applyFill="1" applyBorder="1" applyAlignment="1">
      <alignment horizontal="center"/>
    </xf>
    <xf numFmtId="9" fontId="25" fillId="5" borderId="38" xfId="0" applyNumberFormat="1" applyFont="1" applyFill="1" applyBorder="1" applyAlignment="1">
      <alignment horizontal="center"/>
    </xf>
    <xf numFmtId="9" fontId="107" fillId="5" borderId="38" xfId="0" applyNumberFormat="1" applyFont="1" applyFill="1" applyBorder="1" applyAlignment="1">
      <alignment horizontal="center"/>
    </xf>
    <xf numFmtId="0" fontId="24" fillId="5" borderId="38" xfId="0" applyFont="1" applyFill="1" applyBorder="1" applyAlignment="1">
      <alignment horizontal="center"/>
    </xf>
    <xf numFmtId="0" fontId="24" fillId="5" borderId="143" xfId="0" applyFont="1" applyFill="1" applyBorder="1" applyAlignment="1">
      <alignment horizontal="center"/>
    </xf>
    <xf numFmtId="0" fontId="22" fillId="5" borderId="143" xfId="0" applyFont="1" applyFill="1" applyBorder="1" applyAlignment="1">
      <alignment horizontal="center"/>
    </xf>
    <xf numFmtId="0" fontId="24" fillId="5" borderId="122" xfId="0" applyFont="1" applyFill="1" applyBorder="1"/>
    <xf numFmtId="165" fontId="12" fillId="4" borderId="38" xfId="0" quotePrefix="1" applyNumberFormat="1" applyFont="1" applyFill="1" applyBorder="1" applyAlignment="1">
      <alignment horizontal="center"/>
    </xf>
    <xf numFmtId="165" fontId="12" fillId="4" borderId="38" xfId="0" applyNumberFormat="1" applyFont="1" applyFill="1" applyBorder="1" applyAlignment="1">
      <alignment horizontal="center"/>
    </xf>
    <xf numFmtId="165" fontId="14" fillId="4" borderId="38" xfId="0" applyNumberFormat="1" applyFont="1" applyFill="1" applyBorder="1" applyAlignment="1">
      <alignment horizontal="center"/>
    </xf>
    <xf numFmtId="165" fontId="73" fillId="4" borderId="38" xfId="0" applyNumberFormat="1" applyFont="1" applyFill="1" applyBorder="1" applyAlignment="1">
      <alignment horizontal="center"/>
    </xf>
    <xf numFmtId="0" fontId="12" fillId="8" borderId="87" xfId="0" applyFont="1" applyFill="1" applyBorder="1"/>
    <xf numFmtId="165" fontId="12" fillId="8" borderId="51" xfId="0" quotePrefix="1" applyNumberFormat="1" applyFont="1" applyFill="1" applyBorder="1" applyAlignment="1">
      <alignment horizontal="center"/>
    </xf>
    <xf numFmtId="0" fontId="12" fillId="8" borderId="88" xfId="0" applyFont="1" applyFill="1" applyBorder="1"/>
    <xf numFmtId="0" fontId="12" fillId="8" borderId="89" xfId="0" applyFont="1" applyFill="1" applyBorder="1"/>
    <xf numFmtId="1" fontId="23" fillId="2" borderId="45" xfId="0" applyNumberFormat="1" applyFont="1" applyFill="1" applyBorder="1" applyAlignment="1">
      <alignment horizontal="center" vertical="center"/>
    </xf>
    <xf numFmtId="0" fontId="24" fillId="2" borderId="94" xfId="0" applyFont="1" applyFill="1" applyBorder="1" applyAlignment="1">
      <alignment vertical="top"/>
    </xf>
    <xf numFmtId="0" fontId="9" fillId="2" borderId="131" xfId="0" applyFont="1" applyFill="1" applyBorder="1" applyAlignment="1">
      <alignment vertical="top"/>
    </xf>
    <xf numFmtId="2" fontId="62" fillId="2" borderId="8" xfId="0" applyNumberFormat="1" applyFont="1" applyFill="1" applyBorder="1" applyAlignment="1">
      <alignment horizontal="center" vertical="center"/>
    </xf>
    <xf numFmtId="2" fontId="61" fillId="2" borderId="8" xfId="0" applyNumberFormat="1" applyFont="1" applyFill="1" applyBorder="1" applyAlignment="1">
      <alignment horizontal="center" vertical="center"/>
    </xf>
    <xf numFmtId="2" fontId="61" fillId="2" borderId="6" xfId="0" applyNumberFormat="1" applyFont="1" applyFill="1" applyBorder="1" applyAlignment="1">
      <alignment horizontal="center" vertical="center"/>
    </xf>
    <xf numFmtId="2" fontId="62" fillId="2" borderId="6" xfId="0" applyNumberFormat="1" applyFont="1" applyFill="1" applyBorder="1" applyAlignment="1">
      <alignment horizontal="center" vertical="center"/>
    </xf>
    <xf numFmtId="1" fontId="61" fillId="2" borderId="8" xfId="0" applyNumberFormat="1" applyFont="1" applyFill="1" applyBorder="1" applyAlignment="1">
      <alignment horizontal="center" vertical="center"/>
    </xf>
    <xf numFmtId="1" fontId="62" fillId="2" borderId="8" xfId="0" applyNumberFormat="1" applyFont="1" applyFill="1" applyBorder="1" applyAlignment="1">
      <alignment horizontal="center" vertical="center"/>
    </xf>
    <xf numFmtId="1" fontId="61" fillId="2" borderId="32" xfId="0" applyNumberFormat="1" applyFont="1" applyFill="1" applyBorder="1" applyAlignment="1">
      <alignment horizontal="center" vertical="center"/>
    </xf>
    <xf numFmtId="0" fontId="9" fillId="2" borderId="144" xfId="0" applyFont="1" applyFill="1" applyBorder="1" applyAlignment="1">
      <alignment vertical="top"/>
    </xf>
    <xf numFmtId="0" fontId="16" fillId="2" borderId="95" xfId="0" applyFont="1" applyFill="1" applyBorder="1" applyAlignment="1">
      <alignment vertical="top" wrapText="1"/>
    </xf>
    <xf numFmtId="3" fontId="17" fillId="2" borderId="14" xfId="0" applyNumberFormat="1" applyFont="1" applyFill="1" applyBorder="1" applyAlignment="1">
      <alignment horizontal="center"/>
    </xf>
    <xf numFmtId="3" fontId="16" fillId="2" borderId="14" xfId="0" applyNumberFormat="1" applyFont="1" applyFill="1" applyBorder="1" applyAlignment="1">
      <alignment horizontal="center"/>
    </xf>
    <xf numFmtId="1" fontId="16" fillId="2" borderId="25" xfId="0" applyNumberFormat="1" applyFont="1" applyFill="1" applyBorder="1" applyAlignment="1">
      <alignment horizontal="center" vertical="center"/>
    </xf>
    <xf numFmtId="0" fontId="16" fillId="2" borderId="96" xfId="0" applyFont="1" applyFill="1" applyBorder="1" applyAlignment="1">
      <alignment vertical="top" wrapText="1"/>
    </xf>
    <xf numFmtId="0" fontId="75" fillId="2" borderId="129" xfId="0" applyFont="1" applyFill="1" applyBorder="1" applyAlignment="1">
      <alignment vertical="top" wrapText="1"/>
    </xf>
    <xf numFmtId="1" fontId="75" fillId="2" borderId="11" xfId="2" quotePrefix="1" applyNumberFormat="1" applyFont="1" applyFill="1" applyBorder="1" applyAlignment="1">
      <alignment horizontal="center" vertical="center" wrapText="1"/>
    </xf>
    <xf numFmtId="1" fontId="96" fillId="2" borderId="11" xfId="0" applyNumberFormat="1" applyFont="1" applyFill="1" applyBorder="1" applyAlignment="1">
      <alignment horizontal="center" vertical="center"/>
    </xf>
    <xf numFmtId="1" fontId="75" fillId="2" borderId="11" xfId="0" applyNumberFormat="1" applyFont="1" applyFill="1" applyBorder="1" applyAlignment="1">
      <alignment horizontal="center" vertical="center"/>
    </xf>
    <xf numFmtId="1" fontId="78" fillId="2" borderId="11" xfId="0" applyNumberFormat="1" applyFont="1" applyFill="1" applyBorder="1" applyAlignment="1">
      <alignment horizontal="center" vertical="center"/>
    </xf>
    <xf numFmtId="1" fontId="75" fillId="2" borderId="11" xfId="2" quotePrefix="1" applyNumberFormat="1" applyFont="1" applyFill="1" applyBorder="1" applyAlignment="1">
      <alignment horizontal="center" wrapText="1"/>
    </xf>
    <xf numFmtId="1" fontId="75" fillId="2" borderId="55" xfId="0" applyNumberFormat="1" applyFont="1" applyFill="1" applyBorder="1" applyAlignment="1">
      <alignment horizontal="center" vertical="center"/>
    </xf>
    <xf numFmtId="0" fontId="75" fillId="2" borderId="130" xfId="0" applyFont="1" applyFill="1" applyBorder="1" applyAlignment="1">
      <alignment vertical="top" wrapText="1"/>
    </xf>
    <xf numFmtId="0" fontId="24" fillId="9" borderId="93" xfId="0" applyFont="1" applyFill="1" applyBorder="1" applyAlignment="1">
      <alignment vertical="top"/>
    </xf>
    <xf numFmtId="1" fontId="22" fillId="9" borderId="7" xfId="0" applyNumberFormat="1" applyFont="1" applyFill="1" applyBorder="1" applyAlignment="1">
      <alignment horizontal="center" vertical="center"/>
    </xf>
    <xf numFmtId="1" fontId="23" fillId="9" borderId="45" xfId="0" applyNumberFormat="1" applyFont="1" applyFill="1" applyBorder="1" applyAlignment="1">
      <alignment horizontal="center" vertical="center"/>
    </xf>
    <xf numFmtId="0" fontId="24" fillId="9" borderId="94" xfId="0" applyFont="1" applyFill="1" applyBorder="1" applyAlignment="1">
      <alignment vertical="top"/>
    </xf>
    <xf numFmtId="0" fontId="24" fillId="9" borderId="131" xfId="0" applyFont="1" applyFill="1" applyBorder="1" applyAlignment="1">
      <alignment vertical="top"/>
    </xf>
    <xf numFmtId="1" fontId="20" fillId="9" borderId="32" xfId="0" quotePrefix="1" applyNumberFormat="1" applyFont="1" applyFill="1" applyBorder="1" applyAlignment="1">
      <alignment horizontal="center" vertical="center"/>
    </xf>
    <xf numFmtId="0" fontId="24" fillId="9" borderId="144" xfId="0" applyFont="1" applyFill="1" applyBorder="1" applyAlignment="1">
      <alignment vertical="top"/>
    </xf>
    <xf numFmtId="0" fontId="16" fillId="9" borderId="95" xfId="0" applyFont="1" applyFill="1" applyBorder="1" applyAlignment="1">
      <alignment vertical="top" wrapText="1"/>
    </xf>
    <xf numFmtId="3" fontId="17" fillId="9" borderId="14" xfId="0" applyNumberFormat="1" applyFont="1" applyFill="1" applyBorder="1" applyAlignment="1">
      <alignment horizontal="center"/>
    </xf>
    <xf numFmtId="3" fontId="16" fillId="9" borderId="14" xfId="0" applyNumberFormat="1" applyFont="1" applyFill="1" applyBorder="1" applyAlignment="1">
      <alignment horizontal="center"/>
    </xf>
    <xf numFmtId="1" fontId="16" fillId="9" borderId="25" xfId="0" applyNumberFormat="1" applyFont="1" applyFill="1" applyBorder="1" applyAlignment="1">
      <alignment horizontal="center" vertical="center"/>
    </xf>
    <xf numFmtId="1" fontId="16" fillId="9" borderId="23" xfId="0" applyNumberFormat="1" applyFont="1" applyFill="1" applyBorder="1" applyAlignment="1">
      <alignment horizontal="center" vertical="center"/>
    </xf>
    <xf numFmtId="0" fontId="16" fillId="9" borderId="96" xfId="0" applyFont="1" applyFill="1" applyBorder="1" applyAlignment="1">
      <alignment vertical="top" wrapText="1"/>
    </xf>
    <xf numFmtId="0" fontId="75" fillId="9" borderId="129" xfId="0" applyFont="1" applyFill="1" applyBorder="1" applyAlignment="1">
      <alignment vertical="top" wrapText="1"/>
    </xf>
    <xf numFmtId="1" fontId="75" fillId="9" borderId="11" xfId="0" applyNumberFormat="1" applyFont="1" applyFill="1" applyBorder="1" applyAlignment="1">
      <alignment horizontal="center" vertical="center"/>
    </xf>
    <xf numFmtId="1" fontId="96" fillId="9" borderId="11" xfId="0" applyNumberFormat="1" applyFont="1" applyFill="1" applyBorder="1" applyAlignment="1">
      <alignment horizontal="center" vertical="center"/>
    </xf>
    <xf numFmtId="1" fontId="78" fillId="9" borderId="11" xfId="0" applyNumberFormat="1" applyFont="1" applyFill="1" applyBorder="1" applyAlignment="1">
      <alignment horizontal="center" vertical="center"/>
    </xf>
    <xf numFmtId="1" fontId="75" fillId="9" borderId="11" xfId="2" quotePrefix="1" applyNumberFormat="1" applyFont="1" applyFill="1" applyBorder="1" applyAlignment="1">
      <alignment horizontal="center" wrapText="1"/>
    </xf>
    <xf numFmtId="1" fontId="75" fillId="9" borderId="54" xfId="0" applyNumberFormat="1" applyFont="1" applyFill="1" applyBorder="1" applyAlignment="1">
      <alignment horizontal="center" vertical="center"/>
    </xf>
    <xf numFmtId="1" fontId="75" fillId="9" borderId="55" xfId="0" applyNumberFormat="1" applyFont="1" applyFill="1" applyBorder="1" applyAlignment="1">
      <alignment horizontal="center" vertical="center"/>
    </xf>
    <xf numFmtId="0" fontId="75" fillId="9" borderId="130" xfId="0" applyFont="1" applyFill="1" applyBorder="1" applyAlignment="1">
      <alignment vertical="top" wrapText="1"/>
    </xf>
    <xf numFmtId="1" fontId="75" fillId="2" borderId="7" xfId="0" applyNumberFormat="1" applyFont="1" applyFill="1" applyBorder="1" applyAlignment="1">
      <alignment horizontal="center" vertical="center"/>
    </xf>
    <xf numFmtId="1" fontId="9" fillId="2" borderId="7" xfId="0" quotePrefix="1" applyNumberFormat="1" applyFont="1" applyFill="1" applyBorder="1" applyAlignment="1">
      <alignment horizontal="center" wrapText="1"/>
    </xf>
    <xf numFmtId="1" fontId="96" fillId="2" borderId="7" xfId="0" applyNumberFormat="1" applyFont="1" applyFill="1" applyBorder="1" applyAlignment="1">
      <alignment horizontal="center" vertical="center"/>
    </xf>
    <xf numFmtId="1" fontId="78" fillId="2" borderId="7" xfId="0" applyNumberFormat="1" applyFont="1" applyFill="1" applyBorder="1" applyAlignment="1">
      <alignment horizontal="center" vertical="center"/>
    </xf>
    <xf numFmtId="1" fontId="75" fillId="2" borderId="7" xfId="2" quotePrefix="1" applyNumberFormat="1" applyFont="1" applyFill="1" applyBorder="1" applyAlignment="1">
      <alignment horizontal="center" wrapText="1"/>
    </xf>
    <xf numFmtId="2" fontId="23" fillId="2" borderId="7" xfId="6" applyNumberFormat="1" applyFont="1" applyFill="1" applyBorder="1" applyAlignment="1">
      <alignment horizontal="center" vertical="center" wrapText="1"/>
    </xf>
    <xf numFmtId="1" fontId="22" fillId="2" borderId="7" xfId="6" applyNumberFormat="1" applyFont="1" applyFill="1" applyBorder="1" applyAlignment="1">
      <alignment horizontal="center" vertical="center" wrapText="1"/>
    </xf>
    <xf numFmtId="1" fontId="23" fillId="2" borderId="7" xfId="6" applyNumberFormat="1" applyFont="1" applyFill="1" applyBorder="1" applyAlignment="1">
      <alignment horizontal="center" vertical="center" wrapText="1"/>
    </xf>
    <xf numFmtId="1" fontId="23" fillId="2" borderId="45" xfId="6" applyNumberFormat="1" applyFont="1" applyFill="1" applyBorder="1" applyAlignment="1">
      <alignment horizontal="center" vertical="center" wrapText="1"/>
    </xf>
    <xf numFmtId="2" fontId="108" fillId="2" borderId="11" xfId="6" applyNumberFormat="1" applyFont="1" applyFill="1" applyBorder="1" applyAlignment="1">
      <alignment horizontal="center" vertical="center" wrapText="1"/>
    </xf>
    <xf numFmtId="2" fontId="20" fillId="9" borderId="7" xfId="0" quotePrefix="1" applyNumberFormat="1" applyFont="1" applyFill="1" applyBorder="1" applyAlignment="1">
      <alignment horizontal="center" vertical="center" wrapText="1"/>
    </xf>
    <xf numFmtId="1" fontId="23" fillId="9" borderId="45" xfId="0" applyNumberFormat="1" applyFont="1" applyFill="1" applyBorder="1" applyAlignment="1">
      <alignment horizontal="center" vertical="center" wrapText="1"/>
    </xf>
    <xf numFmtId="1" fontId="22" fillId="9" borderId="45" xfId="0" applyNumberFormat="1" applyFont="1" applyFill="1" applyBorder="1" applyAlignment="1">
      <alignment horizontal="center" vertical="center" wrapText="1"/>
    </xf>
    <xf numFmtId="0" fontId="9" fillId="9" borderId="131" xfId="0" applyFont="1" applyFill="1" applyBorder="1" applyAlignment="1">
      <alignment vertical="top"/>
    </xf>
    <xf numFmtId="1" fontId="9" fillId="9" borderId="8" xfId="0" quotePrefix="1" applyNumberFormat="1" applyFont="1" applyFill="1" applyBorder="1" applyAlignment="1">
      <alignment horizontal="center" vertical="center" wrapText="1"/>
    </xf>
    <xf numFmtId="2" fontId="60" fillId="9" borderId="8" xfId="0" quotePrefix="1" applyNumberFormat="1" applyFont="1" applyFill="1" applyBorder="1" applyAlignment="1">
      <alignment horizontal="center" vertical="center"/>
    </xf>
    <xf numFmtId="1" fontId="60" fillId="9" borderId="8" xfId="0" quotePrefix="1" applyNumberFormat="1" applyFont="1" applyFill="1" applyBorder="1" applyAlignment="1">
      <alignment horizontal="center" wrapText="1"/>
    </xf>
    <xf numFmtId="2" fontId="61" fillId="9" borderId="8" xfId="0" applyNumberFormat="1" applyFont="1" applyFill="1" applyBorder="1" applyAlignment="1">
      <alignment horizontal="center" vertical="center"/>
    </xf>
    <xf numFmtId="2" fontId="62" fillId="9" borderId="8" xfId="0" applyNumberFormat="1" applyFont="1" applyFill="1" applyBorder="1" applyAlignment="1">
      <alignment horizontal="center" vertical="center"/>
    </xf>
    <xf numFmtId="2" fontId="61" fillId="9" borderId="8" xfId="0" quotePrefix="1" applyNumberFormat="1" applyFont="1" applyFill="1" applyBorder="1" applyAlignment="1">
      <alignment horizontal="center" vertical="center"/>
    </xf>
    <xf numFmtId="2" fontId="62" fillId="9" borderId="8" xfId="0" quotePrefix="1" applyNumberFormat="1" applyFont="1" applyFill="1" applyBorder="1" applyAlignment="1">
      <alignment horizontal="center" vertical="center"/>
    </xf>
    <xf numFmtId="1" fontId="61" fillId="9" borderId="8" xfId="0" applyNumberFormat="1" applyFont="1" applyFill="1" applyBorder="1" applyAlignment="1">
      <alignment horizontal="center" vertical="center"/>
    </xf>
    <xf numFmtId="1" fontId="60" fillId="9" borderId="8" xfId="0" applyNumberFormat="1" applyFont="1" applyFill="1" applyBorder="1" applyAlignment="1">
      <alignment horizontal="center" vertical="center"/>
    </xf>
    <xf numFmtId="1" fontId="9" fillId="9" borderId="27" xfId="0" quotePrefix="1" applyNumberFormat="1" applyFont="1" applyFill="1" applyBorder="1" applyAlignment="1">
      <alignment horizontal="center" wrapText="1"/>
    </xf>
    <xf numFmtId="0" fontId="9" fillId="9" borderId="144" xfId="0" applyFont="1" applyFill="1" applyBorder="1" applyAlignment="1">
      <alignment vertical="top"/>
    </xf>
    <xf numFmtId="1" fontId="16" fillId="9" borderId="16" xfId="2" quotePrefix="1" applyNumberFormat="1" applyFont="1" applyFill="1" applyBorder="1" applyAlignment="1">
      <alignment horizontal="center" vertical="center" wrapText="1"/>
    </xf>
    <xf numFmtId="1" fontId="16" fillId="9" borderId="23" xfId="0" applyNumberFormat="1" applyFont="1" applyFill="1" applyBorder="1" applyAlignment="1">
      <alignment vertical="center"/>
    </xf>
    <xf numFmtId="1" fontId="16" fillId="9" borderId="25" xfId="0" applyNumberFormat="1" applyFont="1" applyFill="1" applyBorder="1" applyAlignment="1">
      <alignment vertical="center"/>
    </xf>
    <xf numFmtId="1" fontId="9" fillId="9" borderId="11" xfId="0" quotePrefix="1" applyNumberFormat="1" applyFont="1" applyFill="1" applyBorder="1" applyAlignment="1">
      <alignment horizontal="center" vertical="center" wrapText="1"/>
    </xf>
    <xf numFmtId="1" fontId="75" fillId="9" borderId="11" xfId="0" applyNumberFormat="1" applyFont="1" applyFill="1" applyBorder="1" applyAlignment="1">
      <alignment vertical="center"/>
    </xf>
    <xf numFmtId="1" fontId="75" fillId="9" borderId="54" xfId="0" applyNumberFormat="1" applyFont="1" applyFill="1" applyBorder="1" applyAlignment="1">
      <alignment vertical="center"/>
    </xf>
    <xf numFmtId="1" fontId="75" fillId="9" borderId="55" xfId="0" applyNumberFormat="1" applyFont="1" applyFill="1" applyBorder="1" applyAlignment="1">
      <alignment vertical="center"/>
    </xf>
    <xf numFmtId="2" fontId="20" fillId="2" borderId="7" xfId="0" quotePrefix="1" applyNumberFormat="1" applyFont="1" applyFill="1" applyBorder="1" applyAlignment="1">
      <alignment horizontal="center" vertical="center" wrapText="1"/>
    </xf>
    <xf numFmtId="164" fontId="22" fillId="2" borderId="7" xfId="0" quotePrefix="1" applyNumberFormat="1" applyFont="1" applyFill="1" applyBorder="1" applyAlignment="1">
      <alignment horizontal="center" vertical="center"/>
    </xf>
    <xf numFmtId="164" fontId="23" fillId="2" borderId="7" xfId="0" quotePrefix="1" applyNumberFormat="1" applyFont="1" applyFill="1" applyBorder="1" applyAlignment="1">
      <alignment horizontal="center" vertical="center"/>
    </xf>
    <xf numFmtId="164" fontId="23" fillId="2" borderId="45" xfId="0" quotePrefix="1" applyNumberFormat="1" applyFont="1" applyFill="1" applyBorder="1" applyAlignment="1">
      <alignment horizontal="center" vertical="center"/>
    </xf>
    <xf numFmtId="3" fontId="28" fillId="2" borderId="14" xfId="0" applyNumberFormat="1" applyFont="1" applyFill="1" applyBorder="1" applyAlignment="1">
      <alignment horizontal="center"/>
    </xf>
    <xf numFmtId="1" fontId="16" fillId="2" borderId="23" xfId="0" applyNumberFormat="1" applyFont="1" applyFill="1" applyBorder="1"/>
    <xf numFmtId="1" fontId="16" fillId="2" borderId="25" xfId="0" applyNumberFormat="1" applyFont="1" applyFill="1" applyBorder="1"/>
    <xf numFmtId="0" fontId="16" fillId="2" borderId="118" xfId="0" applyFont="1" applyFill="1" applyBorder="1" applyAlignment="1">
      <alignment vertical="top" wrapText="1"/>
    </xf>
    <xf numFmtId="9" fontId="24" fillId="9" borderId="93" xfId="2" applyFont="1" applyFill="1" applyBorder="1"/>
    <xf numFmtId="9" fontId="24" fillId="9" borderId="7" xfId="2" quotePrefix="1" applyFont="1" applyFill="1" applyBorder="1" applyAlignment="1">
      <alignment horizontal="center"/>
    </xf>
    <xf numFmtId="1" fontId="23" fillId="9" borderId="45" xfId="2" applyNumberFormat="1" applyFont="1" applyFill="1" applyBorder="1" applyAlignment="1">
      <alignment horizontal="center" vertical="center"/>
    </xf>
    <xf numFmtId="9" fontId="24" fillId="9" borderId="94" xfId="2" applyFont="1" applyFill="1" applyBorder="1" applyAlignment="1">
      <alignment vertical="top"/>
    </xf>
    <xf numFmtId="9" fontId="9" fillId="9" borderId="113" xfId="2" applyFont="1" applyFill="1" applyBorder="1"/>
    <xf numFmtId="9" fontId="9" fillId="9" borderId="6" xfId="2" quotePrefix="1" applyFont="1" applyFill="1" applyBorder="1" applyAlignment="1">
      <alignment horizontal="center"/>
    </xf>
    <xf numFmtId="9" fontId="9" fillId="9" borderId="6" xfId="2" applyFont="1" applyFill="1" applyBorder="1" applyAlignment="1">
      <alignment horizontal="center"/>
    </xf>
    <xf numFmtId="2" fontId="60" fillId="9" borderId="6" xfId="2" applyNumberFormat="1" applyFont="1" applyFill="1" applyBorder="1" applyAlignment="1">
      <alignment horizontal="center" vertical="center"/>
    </xf>
    <xf numFmtId="2" fontId="61" fillId="9" borderId="6" xfId="2" quotePrefix="1" applyNumberFormat="1" applyFont="1" applyFill="1" applyBorder="1" applyAlignment="1">
      <alignment horizontal="center" wrapText="1"/>
    </xf>
    <xf numFmtId="2" fontId="61" fillId="9" borderId="6" xfId="2" applyNumberFormat="1" applyFont="1" applyFill="1" applyBorder="1" applyAlignment="1">
      <alignment horizontal="center" vertical="center"/>
    </xf>
    <xf numFmtId="2" fontId="62" fillId="9" borderId="6" xfId="2" applyNumberFormat="1" applyFont="1" applyFill="1" applyBorder="1" applyAlignment="1">
      <alignment horizontal="center" vertical="center"/>
    </xf>
    <xf numFmtId="2" fontId="61" fillId="9" borderId="6" xfId="0" applyNumberFormat="1" applyFont="1" applyFill="1" applyBorder="1" applyAlignment="1">
      <alignment horizontal="center" vertical="center"/>
    </xf>
    <xf numFmtId="2" fontId="62" fillId="9" borderId="6" xfId="0" applyNumberFormat="1" applyFont="1" applyFill="1" applyBorder="1" applyAlignment="1">
      <alignment horizontal="center" vertical="center"/>
    </xf>
    <xf numFmtId="1" fontId="62" fillId="9" borderId="6" xfId="2" applyNumberFormat="1" applyFont="1" applyFill="1" applyBorder="1" applyAlignment="1">
      <alignment horizontal="center" vertical="center"/>
    </xf>
    <xf numFmtId="1" fontId="61" fillId="9" borderId="6" xfId="2" applyNumberFormat="1" applyFont="1" applyFill="1" applyBorder="1" applyAlignment="1">
      <alignment horizontal="center" vertical="center"/>
    </xf>
    <xf numFmtId="1" fontId="61" fillId="9" borderId="27" xfId="2" applyNumberFormat="1" applyFont="1" applyFill="1" applyBorder="1" applyAlignment="1">
      <alignment horizontal="center" vertical="center"/>
    </xf>
    <xf numFmtId="9" fontId="9" fillId="9" borderId="114" xfId="2" applyFont="1" applyFill="1" applyBorder="1" applyAlignment="1">
      <alignment vertical="top"/>
    </xf>
    <xf numFmtId="9" fontId="16" fillId="9" borderId="95" xfId="2" applyFont="1" applyFill="1" applyBorder="1" applyAlignment="1">
      <alignment wrapText="1"/>
    </xf>
    <xf numFmtId="9" fontId="16" fillId="9" borderId="16" xfId="2" quotePrefix="1" applyFont="1" applyFill="1" applyBorder="1" applyAlignment="1">
      <alignment horizontal="center"/>
    </xf>
    <xf numFmtId="3" fontId="28" fillId="9" borderId="14" xfId="0" applyNumberFormat="1" applyFont="1" applyFill="1" applyBorder="1" applyAlignment="1">
      <alignment horizontal="center"/>
    </xf>
    <xf numFmtId="1" fontId="28" fillId="9" borderId="25" xfId="2" applyNumberFormat="1" applyFont="1" applyFill="1" applyBorder="1" applyAlignment="1">
      <alignment horizontal="center" vertical="center"/>
    </xf>
    <xf numFmtId="9" fontId="16" fillId="9" borderId="96" xfId="2" applyFont="1" applyFill="1" applyBorder="1" applyAlignment="1">
      <alignment vertical="top" wrapText="1"/>
    </xf>
    <xf numFmtId="9" fontId="75" fillId="9" borderId="113" xfId="2" applyFont="1" applyFill="1" applyBorder="1" applyAlignment="1">
      <alignment wrapText="1"/>
    </xf>
    <xf numFmtId="9" fontId="75" fillId="9" borderId="6" xfId="2" quotePrefix="1" applyFont="1" applyFill="1" applyBorder="1" applyAlignment="1">
      <alignment horizontal="center"/>
    </xf>
    <xf numFmtId="9" fontId="75" fillId="9" borderId="6" xfId="2" applyFont="1" applyFill="1" applyBorder="1" applyAlignment="1">
      <alignment horizontal="center"/>
    </xf>
    <xf numFmtId="1" fontId="75" fillId="9" borderId="6" xfId="2" applyNumberFormat="1" applyFont="1" applyFill="1" applyBorder="1" applyAlignment="1">
      <alignment horizontal="center" vertical="center"/>
    </xf>
    <xf numFmtId="1" fontId="96" fillId="9" borderId="6" xfId="2" quotePrefix="1" applyNumberFormat="1" applyFont="1" applyFill="1" applyBorder="1" applyAlignment="1">
      <alignment horizontal="center" wrapText="1"/>
    </xf>
    <xf numFmtId="1" fontId="96" fillId="9" borderId="6" xfId="2" applyNumberFormat="1" applyFont="1" applyFill="1" applyBorder="1" applyAlignment="1">
      <alignment horizontal="center" vertical="center"/>
    </xf>
    <xf numFmtId="1" fontId="78" fillId="9" borderId="6" xfId="2" applyNumberFormat="1" applyFont="1" applyFill="1" applyBorder="1" applyAlignment="1">
      <alignment horizontal="center" vertical="center"/>
    </xf>
    <xf numFmtId="3" fontId="96" fillId="9" borderId="6" xfId="0" applyNumberFormat="1" applyFont="1" applyFill="1" applyBorder="1" applyAlignment="1">
      <alignment horizontal="center"/>
    </xf>
    <xf numFmtId="3" fontId="78" fillId="9" borderId="6" xfId="0" applyNumberFormat="1" applyFont="1" applyFill="1" applyBorder="1" applyAlignment="1">
      <alignment horizontal="center"/>
    </xf>
    <xf numFmtId="1" fontId="78" fillId="9" borderId="27" xfId="2" applyNumberFormat="1" applyFont="1" applyFill="1" applyBorder="1" applyAlignment="1">
      <alignment horizontal="center" vertical="center"/>
    </xf>
    <xf numFmtId="9" fontId="75" fillId="9" borderId="114" xfId="2" applyFont="1" applyFill="1" applyBorder="1" applyAlignment="1">
      <alignment vertical="top" wrapText="1"/>
    </xf>
    <xf numFmtId="9" fontId="24" fillId="2" borderId="127" xfId="2" applyFont="1" applyFill="1" applyBorder="1" applyAlignment="1">
      <alignment wrapText="1"/>
    </xf>
    <xf numFmtId="1" fontId="96" fillId="2" borderId="14" xfId="2" quotePrefix="1" applyNumberFormat="1" applyFont="1" applyFill="1" applyBorder="1" applyAlignment="1">
      <alignment horizontal="center" wrapText="1"/>
    </xf>
    <xf numFmtId="1" fontId="96" fillId="2" borderId="14" xfId="2" applyNumberFormat="1" applyFont="1" applyFill="1" applyBorder="1" applyAlignment="1">
      <alignment horizontal="center" vertical="center"/>
    </xf>
    <xf numFmtId="1" fontId="78" fillId="2" borderId="14" xfId="2" applyNumberFormat="1" applyFont="1" applyFill="1" applyBorder="1" applyAlignment="1">
      <alignment horizontal="center" vertical="center"/>
    </xf>
    <xf numFmtId="2" fontId="23" fillId="2" borderId="14" xfId="2" applyNumberFormat="1" applyFont="1" applyFill="1" applyBorder="1" applyAlignment="1">
      <alignment horizontal="center" vertical="center"/>
    </xf>
    <xf numFmtId="2" fontId="23" fillId="2" borderId="14" xfId="2" applyNumberFormat="1" applyFont="1" applyFill="1" applyBorder="1" applyAlignment="1">
      <alignment horizontal="center" vertical="center" wrapText="1"/>
    </xf>
    <xf numFmtId="164" fontId="23" fillId="2" borderId="14" xfId="2" applyNumberFormat="1" applyFont="1" applyFill="1" applyBorder="1" applyAlignment="1">
      <alignment horizontal="center" vertical="center"/>
    </xf>
    <xf numFmtId="164" fontId="22" fillId="2" borderId="121" xfId="2" applyNumberFormat="1" applyFont="1" applyFill="1" applyBorder="1" applyAlignment="1">
      <alignment horizontal="center" vertical="center" wrapText="1"/>
    </xf>
    <xf numFmtId="1" fontId="25" fillId="2" borderId="121" xfId="2" applyNumberFormat="1" applyFont="1" applyFill="1" applyBorder="1" applyAlignment="1">
      <alignment horizontal="left" vertical="center" wrapText="1"/>
    </xf>
    <xf numFmtId="1" fontId="24" fillId="2" borderId="7" xfId="0" quotePrefix="1" applyNumberFormat="1" applyFont="1" applyFill="1" applyBorder="1" applyAlignment="1">
      <alignment horizontal="center"/>
    </xf>
    <xf numFmtId="164" fontId="23" fillId="2" borderId="45" xfId="0" applyNumberFormat="1" applyFont="1" applyFill="1" applyBorder="1" applyAlignment="1">
      <alignment horizontal="center" vertical="center"/>
    </xf>
    <xf numFmtId="0" fontId="16" fillId="2" borderId="95" xfId="0" applyFont="1" applyFill="1" applyBorder="1" applyAlignment="1">
      <alignment wrapText="1"/>
    </xf>
    <xf numFmtId="1" fontId="16" fillId="2" borderId="16" xfId="2" quotePrefix="1" applyNumberFormat="1" applyFont="1" applyFill="1" applyBorder="1" applyAlignment="1">
      <alignment horizontal="center"/>
    </xf>
    <xf numFmtId="0" fontId="24" fillId="9" borderId="93" xfId="0" applyFont="1" applyFill="1" applyBorder="1" applyAlignment="1">
      <alignment horizontal="left" vertical="top" wrapText="1"/>
    </xf>
    <xf numFmtId="1" fontId="24" fillId="9" borderId="7" xfId="0" quotePrefix="1" applyNumberFormat="1" applyFont="1" applyFill="1" applyBorder="1" applyAlignment="1">
      <alignment horizontal="center"/>
    </xf>
    <xf numFmtId="1" fontId="24" fillId="9" borderId="8" xfId="0" quotePrefix="1" applyNumberFormat="1" applyFont="1" applyFill="1" applyBorder="1" applyAlignment="1">
      <alignment horizontal="center"/>
    </xf>
    <xf numFmtId="1" fontId="16" fillId="9" borderId="16" xfId="2" quotePrefix="1" applyNumberFormat="1" applyFont="1" applyFill="1" applyBorder="1" applyAlignment="1">
      <alignment horizontal="center"/>
    </xf>
    <xf numFmtId="1" fontId="16" fillId="9" borderId="25" xfId="0" applyNumberFormat="1" applyFont="1" applyFill="1" applyBorder="1"/>
    <xf numFmtId="0" fontId="28" fillId="9" borderId="96" xfId="0" applyFont="1" applyFill="1" applyBorder="1" applyAlignment="1">
      <alignment vertical="top" wrapText="1"/>
    </xf>
    <xf numFmtId="164" fontId="23" fillId="2" borderId="7" xfId="0" quotePrefix="1" applyNumberFormat="1" applyFont="1" applyFill="1" applyBorder="1" applyAlignment="1">
      <alignment horizontal="center" vertical="center" wrapText="1"/>
    </xf>
    <xf numFmtId="164" fontId="23" fillId="2" borderId="45" xfId="0" quotePrefix="1" applyNumberFormat="1" applyFont="1" applyFill="1" applyBorder="1" applyAlignment="1">
      <alignment horizontal="center" vertical="center" wrapText="1"/>
    </xf>
    <xf numFmtId="164" fontId="22" fillId="2" borderId="7" xfId="0" quotePrefix="1" applyNumberFormat="1" applyFont="1" applyFill="1" applyBorder="1" applyAlignment="1">
      <alignment horizontal="center" vertical="center" wrapText="1"/>
    </xf>
    <xf numFmtId="164" fontId="20" fillId="2" borderId="8" xfId="0" applyNumberFormat="1" applyFont="1" applyFill="1" applyBorder="1" applyAlignment="1">
      <alignment horizontal="center" vertical="center"/>
    </xf>
    <xf numFmtId="1" fontId="9" fillId="2" borderId="27" xfId="0" quotePrefix="1" applyNumberFormat="1" applyFont="1" applyFill="1" applyBorder="1" applyAlignment="1">
      <alignment horizontal="center" wrapText="1"/>
    </xf>
    <xf numFmtId="0" fontId="16" fillId="2" borderId="129" xfId="0" applyFont="1" applyFill="1" applyBorder="1" applyAlignment="1">
      <alignment wrapText="1"/>
    </xf>
    <xf numFmtId="1" fontId="16" fillId="2" borderId="11" xfId="2" quotePrefix="1" applyNumberFormat="1" applyFont="1" applyFill="1" applyBorder="1" applyAlignment="1">
      <alignment horizontal="center"/>
    </xf>
    <xf numFmtId="1" fontId="17" fillId="2" borderId="11" xfId="0" applyNumberFormat="1" applyFont="1" applyFill="1" applyBorder="1" applyAlignment="1">
      <alignment horizontal="center"/>
    </xf>
    <xf numFmtId="1" fontId="16" fillId="2" borderId="50" xfId="0" applyNumberFormat="1" applyFont="1" applyFill="1" applyBorder="1"/>
    <xf numFmtId="1" fontId="16" fillId="2" borderId="27" xfId="0" applyNumberFormat="1" applyFont="1" applyFill="1" applyBorder="1"/>
    <xf numFmtId="0" fontId="16" fillId="2" borderId="130" xfId="0" applyFont="1" applyFill="1" applyBorder="1" applyAlignment="1">
      <alignment vertical="top" wrapText="1"/>
    </xf>
    <xf numFmtId="0" fontId="12" fillId="8" borderId="145" xfId="0" applyFont="1" applyFill="1" applyBorder="1"/>
    <xf numFmtId="0" fontId="24" fillId="2" borderId="93" xfId="0" applyFont="1" applyFill="1" applyBorder="1" applyAlignment="1">
      <alignment vertical="top" wrapText="1"/>
    </xf>
    <xf numFmtId="2" fontId="22" fillId="2" borderId="45" xfId="0" applyNumberFormat="1" applyFont="1" applyFill="1" applyBorder="1" applyAlignment="1">
      <alignment horizontal="center" vertical="center"/>
    </xf>
    <xf numFmtId="0" fontId="24" fillId="2" borderId="94" xfId="0" applyFont="1" applyFill="1" applyBorder="1" applyAlignment="1">
      <alignment vertical="top" wrapText="1"/>
    </xf>
    <xf numFmtId="0" fontId="24" fillId="2" borderId="113" xfId="0" applyFont="1" applyFill="1" applyBorder="1" applyAlignment="1">
      <alignment vertical="top" wrapText="1"/>
    </xf>
    <xf numFmtId="1" fontId="24" fillId="2" borderId="6" xfId="0" quotePrefix="1" applyNumberFormat="1" applyFont="1" applyFill="1" applyBorder="1" applyAlignment="1">
      <alignment horizontal="center"/>
    </xf>
    <xf numFmtId="1" fontId="59" fillId="2" borderId="6" xfId="0" quotePrefix="1" applyNumberFormat="1" applyFont="1" applyFill="1" applyBorder="1" applyAlignment="1">
      <alignment horizontal="center" wrapText="1"/>
    </xf>
    <xf numFmtId="1" fontId="59" fillId="2" borderId="27" xfId="0" quotePrefix="1" applyNumberFormat="1" applyFont="1" applyFill="1" applyBorder="1" applyAlignment="1">
      <alignment horizontal="center" wrapText="1"/>
    </xf>
    <xf numFmtId="0" fontId="24" fillId="2" borderId="114" xfId="0" applyFont="1" applyFill="1" applyBorder="1" applyAlignment="1">
      <alignment vertical="top" wrapText="1"/>
    </xf>
    <xf numFmtId="0" fontId="24" fillId="2" borderId="131" xfId="0" applyFont="1" applyFill="1" applyBorder="1" applyAlignment="1">
      <alignment vertical="top" wrapText="1"/>
    </xf>
    <xf numFmtId="1" fontId="24" fillId="2" borderId="8" xfId="0" quotePrefix="1" applyNumberFormat="1" applyFont="1" applyFill="1" applyBorder="1" applyAlignment="1">
      <alignment horizontal="center"/>
    </xf>
    <xf numFmtId="1" fontId="25" fillId="2" borderId="32" xfId="0" applyNumberFormat="1" applyFont="1" applyFill="1" applyBorder="1" applyAlignment="1">
      <alignment horizontal="center" vertical="center" wrapText="1"/>
    </xf>
    <xf numFmtId="0" fontId="24" fillId="2" borderId="144" xfId="0" applyFont="1" applyFill="1" applyBorder="1" applyAlignment="1">
      <alignment vertical="top" wrapText="1"/>
    </xf>
    <xf numFmtId="1" fontId="28" fillId="2" borderId="25" xfId="0" applyNumberFormat="1" applyFont="1" applyFill="1" applyBorder="1"/>
    <xf numFmtId="1" fontId="28" fillId="2" borderId="9" xfId="0" applyNumberFormat="1" applyFont="1" applyFill="1" applyBorder="1"/>
    <xf numFmtId="0" fontId="16" fillId="2" borderId="96" xfId="0" applyFont="1" applyFill="1" applyBorder="1" applyAlignment="1">
      <alignment horizontal="right" vertical="top"/>
    </xf>
    <xf numFmtId="0" fontId="19" fillId="2" borderId="137" xfId="0" applyFont="1" applyFill="1" applyBorder="1" applyAlignment="1">
      <alignment vertical="top" wrapText="1"/>
    </xf>
    <xf numFmtId="1" fontId="19" fillId="2" borderId="9" xfId="0" quotePrefix="1" applyNumberFormat="1" applyFont="1" applyFill="1" applyBorder="1" applyAlignment="1">
      <alignment horizontal="center"/>
    </xf>
    <xf numFmtId="2" fontId="32" fillId="0" borderId="9" xfId="0" applyNumberFormat="1" applyFont="1" applyBorder="1" applyAlignment="1">
      <alignment horizontal="center" vertical="center"/>
    </xf>
    <xf numFmtId="2" fontId="32" fillId="2" borderId="53" xfId="0" applyNumberFormat="1" applyFont="1" applyFill="1" applyBorder="1" applyAlignment="1">
      <alignment horizontal="center" vertical="center"/>
    </xf>
    <xf numFmtId="0" fontId="19" fillId="2" borderId="136" xfId="0" applyFont="1" applyFill="1" applyBorder="1" applyAlignment="1">
      <alignment vertical="top" wrapText="1"/>
    </xf>
    <xf numFmtId="0" fontId="16" fillId="2" borderId="146" xfId="0" applyFont="1" applyFill="1" applyBorder="1" applyAlignment="1">
      <alignment vertical="top" wrapText="1"/>
    </xf>
    <xf numFmtId="1" fontId="16" fillId="2" borderId="10" xfId="2" quotePrefix="1" applyNumberFormat="1" applyFont="1" applyFill="1" applyBorder="1" applyAlignment="1">
      <alignment horizontal="center" vertical="center" wrapText="1"/>
    </xf>
    <xf numFmtId="2" fontId="17" fillId="2" borderId="10" xfId="2" quotePrefix="1" applyNumberFormat="1" applyFont="1" applyFill="1" applyBorder="1" applyAlignment="1">
      <alignment horizontal="center" vertical="center" wrapText="1"/>
    </xf>
    <xf numFmtId="2" fontId="28" fillId="2" borderId="10" xfId="2" quotePrefix="1" applyNumberFormat="1" applyFont="1" applyFill="1" applyBorder="1" applyAlignment="1">
      <alignment horizontal="center" vertical="center" wrapText="1"/>
    </xf>
    <xf numFmtId="2" fontId="17" fillId="2" borderId="10" xfId="0" applyNumberFormat="1" applyFont="1" applyFill="1" applyBorder="1" applyAlignment="1">
      <alignment horizontal="center" wrapText="1"/>
    </xf>
    <xf numFmtId="2" fontId="28" fillId="2" borderId="10" xfId="0" applyNumberFormat="1" applyFont="1" applyFill="1" applyBorder="1" applyAlignment="1">
      <alignment horizontal="center" wrapText="1"/>
    </xf>
    <xf numFmtId="1" fontId="28" fillId="0" borderId="10" xfId="0" applyNumberFormat="1" applyFont="1" applyBorder="1"/>
    <xf numFmtId="1" fontId="28" fillId="2" borderId="10" xfId="0" applyNumberFormat="1" applyFont="1" applyFill="1" applyBorder="1"/>
    <xf numFmtId="1" fontId="28" fillId="2" borderId="147" xfId="0" applyNumberFormat="1" applyFont="1" applyFill="1" applyBorder="1"/>
    <xf numFmtId="2" fontId="22" fillId="9" borderId="45" xfId="0" applyNumberFormat="1" applyFont="1" applyFill="1" applyBorder="1" applyAlignment="1">
      <alignment horizontal="center" vertical="center"/>
    </xf>
    <xf numFmtId="1" fontId="9" fillId="9" borderId="6" xfId="0" quotePrefix="1" applyNumberFormat="1" applyFont="1" applyFill="1" applyBorder="1" applyAlignment="1">
      <alignment horizontal="center" vertical="center"/>
    </xf>
    <xf numFmtId="1" fontId="66" fillId="9" borderId="6" xfId="0" quotePrefix="1" applyNumberFormat="1" applyFont="1" applyFill="1" applyBorder="1" applyAlignment="1">
      <alignment horizontal="center" wrapText="1"/>
    </xf>
    <xf numFmtId="1" fontId="59" fillId="9" borderId="6" xfId="0" quotePrefix="1" applyNumberFormat="1" applyFont="1" applyFill="1" applyBorder="1" applyAlignment="1">
      <alignment horizontal="center" wrapText="1"/>
    </xf>
    <xf numFmtId="1" fontId="59" fillId="9" borderId="27" xfId="0" quotePrefix="1" applyNumberFormat="1" applyFont="1" applyFill="1" applyBorder="1" applyAlignment="1">
      <alignment horizontal="center" wrapText="1"/>
    </xf>
    <xf numFmtId="1" fontId="25" fillId="9" borderId="6" xfId="0" applyNumberFormat="1" applyFont="1" applyFill="1" applyBorder="1" applyAlignment="1">
      <alignment horizontal="center" vertical="center" wrapText="1"/>
    </xf>
    <xf numFmtId="1" fontId="25" fillId="9" borderId="27" xfId="0" applyNumberFormat="1" applyFont="1" applyFill="1" applyBorder="1" applyAlignment="1">
      <alignment horizontal="center" vertical="center" wrapText="1"/>
    </xf>
    <xf numFmtId="1" fontId="9" fillId="9" borderId="8" xfId="0" quotePrefix="1" applyNumberFormat="1" applyFont="1" applyFill="1" applyBorder="1" applyAlignment="1">
      <alignment horizontal="center" vertical="center"/>
    </xf>
    <xf numFmtId="1" fontId="66" fillId="9" borderId="8" xfId="0" quotePrefix="1" applyNumberFormat="1" applyFont="1" applyFill="1" applyBorder="1" applyAlignment="1">
      <alignment horizontal="center" wrapText="1"/>
    </xf>
    <xf numFmtId="1" fontId="59" fillId="9" borderId="32" xfId="0" applyNumberFormat="1" applyFont="1" applyFill="1" applyBorder="1" applyAlignment="1">
      <alignment horizontal="center" vertical="center" wrapText="1"/>
    </xf>
    <xf numFmtId="0" fontId="16" fillId="9" borderId="95" xfId="0" applyFont="1" applyFill="1" applyBorder="1" applyAlignment="1">
      <alignment horizontal="right" vertical="top"/>
    </xf>
    <xf numFmtId="164" fontId="17" fillId="9" borderId="16" xfId="2" quotePrefix="1" applyNumberFormat="1" applyFont="1" applyFill="1" applyBorder="1" applyAlignment="1">
      <alignment horizontal="center" vertical="center" wrapText="1"/>
    </xf>
    <xf numFmtId="2" fontId="28" fillId="9" borderId="10" xfId="2" quotePrefix="1" applyNumberFormat="1" applyFont="1" applyFill="1" applyBorder="1" applyAlignment="1">
      <alignment horizontal="center" wrapText="1"/>
    </xf>
    <xf numFmtId="2" fontId="28" fillId="9" borderId="16" xfId="2" quotePrefix="1" applyNumberFormat="1" applyFont="1" applyFill="1" applyBorder="1" applyAlignment="1">
      <alignment horizontal="center" wrapText="1"/>
    </xf>
    <xf numFmtId="2" fontId="28" fillId="9" borderId="25" xfId="2" quotePrefix="1" applyNumberFormat="1" applyFont="1" applyFill="1" applyBorder="1" applyAlignment="1">
      <alignment horizontal="center" wrapText="1"/>
    </xf>
    <xf numFmtId="0" fontId="16" fillId="9" borderId="96" xfId="0" applyFont="1" applyFill="1" applyBorder="1" applyAlignment="1">
      <alignment horizontal="right" vertical="top"/>
    </xf>
    <xf numFmtId="1" fontId="9" fillId="2" borderId="6" xfId="0" quotePrefix="1" applyNumberFormat="1" applyFont="1" applyFill="1" applyBorder="1" applyAlignment="1">
      <alignment horizontal="center"/>
    </xf>
    <xf numFmtId="2" fontId="60" fillId="2" borderId="6" xfId="0" applyNumberFormat="1" applyFont="1" applyFill="1" applyBorder="1" applyAlignment="1">
      <alignment horizontal="center" vertical="center"/>
    </xf>
    <xf numFmtId="0" fontId="24" fillId="2" borderId="27" xfId="0" applyFont="1" applyFill="1" applyBorder="1"/>
    <xf numFmtId="1" fontId="9" fillId="2" borderId="12" xfId="0" quotePrefix="1" applyNumberFormat="1" applyFont="1" applyFill="1" applyBorder="1" applyAlignment="1">
      <alignment horizontal="center"/>
    </xf>
    <xf numFmtId="1" fontId="9" fillId="2" borderId="12" xfId="0" applyNumberFormat="1" applyFont="1" applyFill="1" applyBorder="1" applyAlignment="1">
      <alignment horizontal="center"/>
    </xf>
    <xf numFmtId="1" fontId="9" fillId="2" borderId="12" xfId="0" quotePrefix="1" applyNumberFormat="1" applyFont="1" applyFill="1" applyBorder="1" applyAlignment="1">
      <alignment horizontal="center" wrapText="1"/>
    </xf>
    <xf numFmtId="2" fontId="60" fillId="2" borderId="12" xfId="0" applyNumberFormat="1" applyFont="1" applyFill="1" applyBorder="1" applyAlignment="1">
      <alignment horizontal="center" vertical="center"/>
    </xf>
    <xf numFmtId="1" fontId="59" fillId="2" borderId="12" xfId="0" quotePrefix="1" applyNumberFormat="1" applyFont="1" applyFill="1" applyBorder="1" applyAlignment="1">
      <alignment horizontal="center" wrapText="1"/>
    </xf>
    <xf numFmtId="1" fontId="59" fillId="2" borderId="27" xfId="0" applyNumberFormat="1" applyFont="1" applyFill="1" applyBorder="1" applyAlignment="1">
      <alignment horizontal="center" vertical="center" wrapText="1"/>
    </xf>
    <xf numFmtId="0" fontId="16" fillId="2" borderId="113" xfId="0" applyFont="1" applyFill="1" applyBorder="1" applyAlignment="1">
      <alignment vertical="top" wrapText="1"/>
    </xf>
    <xf numFmtId="1" fontId="17" fillId="2" borderId="6" xfId="2" quotePrefix="1" applyNumberFormat="1" applyFont="1" applyFill="1" applyBorder="1" applyAlignment="1">
      <alignment horizontal="center" vertical="center" wrapText="1"/>
    </xf>
    <xf numFmtId="3" fontId="17" fillId="2" borderId="6" xfId="0" applyNumberFormat="1" applyFont="1" applyFill="1" applyBorder="1" applyAlignment="1">
      <alignment horizontal="center"/>
    </xf>
    <xf numFmtId="3" fontId="28" fillId="2" borderId="6" xfId="0" applyNumberFormat="1" applyFont="1" applyFill="1" applyBorder="1" applyAlignment="1">
      <alignment horizontal="center"/>
    </xf>
    <xf numFmtId="1" fontId="28" fillId="2" borderId="27" xfId="0" applyNumberFormat="1" applyFont="1" applyFill="1" applyBorder="1"/>
    <xf numFmtId="0" fontId="16" fillId="2" borderId="114" xfId="0" applyFont="1" applyFill="1" applyBorder="1" applyAlignment="1">
      <alignment vertical="top" wrapText="1"/>
    </xf>
    <xf numFmtId="0" fontId="16" fillId="2" borderId="129" xfId="0" applyFont="1" applyFill="1" applyBorder="1" applyAlignment="1">
      <alignment vertical="top" wrapText="1"/>
    </xf>
    <xf numFmtId="1" fontId="28" fillId="2" borderId="55" xfId="0" applyNumberFormat="1" applyFont="1" applyFill="1" applyBorder="1"/>
    <xf numFmtId="1" fontId="9" fillId="9" borderId="6" xfId="0" quotePrefix="1" applyNumberFormat="1" applyFont="1" applyFill="1" applyBorder="1" applyAlignment="1">
      <alignment horizontal="center"/>
    </xf>
    <xf numFmtId="1" fontId="9" fillId="9" borderId="6" xfId="0" applyNumberFormat="1" applyFont="1" applyFill="1" applyBorder="1" applyAlignment="1">
      <alignment horizontal="center"/>
    </xf>
    <xf numFmtId="2" fontId="60" fillId="9" borderId="6" xfId="0" applyNumberFormat="1" applyFont="1" applyFill="1" applyBorder="1" applyAlignment="1">
      <alignment horizontal="center" vertical="center"/>
    </xf>
    <xf numFmtId="2" fontId="62" fillId="9" borderId="27" xfId="0" applyNumberFormat="1" applyFont="1" applyFill="1" applyBorder="1" applyAlignment="1">
      <alignment horizontal="center" vertical="center"/>
    </xf>
    <xf numFmtId="0" fontId="16" fillId="9" borderId="146" xfId="0" applyFont="1" applyFill="1" applyBorder="1" applyAlignment="1">
      <alignment vertical="top" wrapText="1"/>
    </xf>
    <xf numFmtId="1" fontId="16" fillId="9" borderId="10" xfId="2" quotePrefix="1" applyNumberFormat="1" applyFont="1" applyFill="1" applyBorder="1" applyAlignment="1">
      <alignment horizontal="center" vertical="center" wrapText="1"/>
    </xf>
    <xf numFmtId="1" fontId="16" fillId="9" borderId="10" xfId="0" applyNumberFormat="1" applyFont="1" applyFill="1" applyBorder="1" applyAlignment="1">
      <alignment horizontal="center" vertical="center"/>
    </xf>
    <xf numFmtId="1" fontId="17" fillId="9" borderId="10" xfId="2" quotePrefix="1" applyNumberFormat="1" applyFont="1" applyFill="1" applyBorder="1" applyAlignment="1">
      <alignment horizontal="center" vertical="center" wrapText="1"/>
    </xf>
    <xf numFmtId="1" fontId="28" fillId="9" borderId="10" xfId="0" applyNumberFormat="1" applyFont="1" applyFill="1" applyBorder="1" applyAlignment="1">
      <alignment horizontal="center" vertical="center"/>
    </xf>
    <xf numFmtId="3" fontId="17" fillId="9" borderId="10" xfId="0" applyNumberFormat="1" applyFont="1" applyFill="1" applyBorder="1" applyAlignment="1">
      <alignment horizontal="center"/>
    </xf>
    <xf numFmtId="3" fontId="28" fillId="9" borderId="10" xfId="0" applyNumberFormat="1" applyFont="1" applyFill="1" applyBorder="1" applyAlignment="1">
      <alignment horizontal="center"/>
    </xf>
    <xf numFmtId="1" fontId="28" fillId="9" borderId="10" xfId="0" applyNumberFormat="1" applyFont="1" applyFill="1" applyBorder="1" applyAlignment="1">
      <alignment horizontal="center"/>
    </xf>
    <xf numFmtId="1" fontId="28" fillId="9" borderId="10" xfId="0" applyNumberFormat="1" applyFont="1" applyFill="1" applyBorder="1"/>
    <xf numFmtId="1" fontId="28" fillId="9" borderId="147" xfId="0" applyNumberFormat="1" applyFont="1" applyFill="1" applyBorder="1"/>
    <xf numFmtId="0" fontId="16" fillId="9" borderId="118" xfId="0" applyFont="1" applyFill="1" applyBorder="1" applyAlignment="1">
      <alignment vertical="top" wrapText="1"/>
    </xf>
    <xf numFmtId="164" fontId="23" fillId="2" borderId="6" xfId="0" applyNumberFormat="1" applyFont="1" applyFill="1" applyBorder="1" applyAlignment="1">
      <alignment horizontal="center" vertical="center" wrapText="1"/>
    </xf>
    <xf numFmtId="164" fontId="23" fillId="2" borderId="27" xfId="0" applyNumberFormat="1" applyFont="1" applyFill="1" applyBorder="1" applyAlignment="1">
      <alignment horizontal="center" vertical="center" wrapText="1"/>
    </xf>
    <xf numFmtId="1" fontId="59" fillId="2" borderId="8" xfId="0" quotePrefix="1" applyNumberFormat="1" applyFont="1" applyFill="1" applyBorder="1" applyAlignment="1">
      <alignment horizontal="center" wrapText="1"/>
    </xf>
    <xf numFmtId="1" fontId="59" fillId="2" borderId="32" xfId="0" quotePrefix="1" applyNumberFormat="1" applyFont="1" applyFill="1" applyBorder="1" applyAlignment="1">
      <alignment horizontal="center" wrapText="1"/>
    </xf>
    <xf numFmtId="169" fontId="22" fillId="9" borderId="7" xfId="0" applyNumberFormat="1" applyFont="1" applyFill="1" applyBorder="1" applyAlignment="1">
      <alignment horizontal="center" vertical="center"/>
    </xf>
    <xf numFmtId="169" fontId="23" fillId="9" borderId="7" xfId="0" applyNumberFormat="1" applyFont="1" applyFill="1" applyBorder="1" applyAlignment="1">
      <alignment horizontal="center" vertical="center"/>
    </xf>
    <xf numFmtId="3" fontId="22" fillId="9" borderId="7" xfId="0" applyNumberFormat="1" applyFont="1" applyFill="1" applyBorder="1" applyAlignment="1">
      <alignment horizontal="center" vertical="center"/>
    </xf>
    <xf numFmtId="164" fontId="22" fillId="9" borderId="45" xfId="0" applyNumberFormat="1" applyFont="1" applyFill="1" applyBorder="1" applyAlignment="1">
      <alignment horizontal="center" vertical="center"/>
    </xf>
    <xf numFmtId="1" fontId="24" fillId="9" borderId="6" xfId="0" quotePrefix="1" applyNumberFormat="1" applyFont="1" applyFill="1" applyBorder="1" applyAlignment="1">
      <alignment horizontal="center"/>
    </xf>
    <xf numFmtId="1" fontId="26" fillId="9" borderId="6" xfId="0" quotePrefix="1" applyNumberFormat="1" applyFont="1" applyFill="1" applyBorder="1" applyAlignment="1">
      <alignment horizontal="center" wrapText="1"/>
    </xf>
    <xf numFmtId="1" fontId="26" fillId="9" borderId="27" xfId="0" quotePrefix="1" applyNumberFormat="1" applyFont="1" applyFill="1" applyBorder="1" applyAlignment="1">
      <alignment horizontal="center" wrapText="1"/>
    </xf>
    <xf numFmtId="0" fontId="24" fillId="9" borderId="0" xfId="0" applyFont="1" applyFill="1"/>
    <xf numFmtId="2" fontId="31" fillId="9" borderId="6" xfId="0" applyNumberFormat="1" applyFont="1" applyFill="1" applyBorder="1" applyAlignment="1">
      <alignment horizontal="center" vertical="center" wrapText="1"/>
    </xf>
    <xf numFmtId="1" fontId="26" fillId="9" borderId="27" xfId="0" applyNumberFormat="1" applyFont="1" applyFill="1" applyBorder="1" applyAlignment="1">
      <alignment horizontal="center" vertical="center" wrapText="1"/>
    </xf>
    <xf numFmtId="1" fontId="25" fillId="9" borderId="8" xfId="0" applyNumberFormat="1" applyFont="1" applyFill="1" applyBorder="1" applyAlignment="1">
      <alignment horizontal="center" vertical="center" wrapText="1"/>
    </xf>
    <xf numFmtId="3" fontId="17" fillId="9" borderId="6" xfId="0" applyNumberFormat="1" applyFont="1" applyFill="1" applyBorder="1" applyAlignment="1">
      <alignment horizontal="center"/>
    </xf>
    <xf numFmtId="3" fontId="28" fillId="9" borderId="6" xfId="0" applyNumberFormat="1" applyFont="1" applyFill="1" applyBorder="1" applyAlignment="1">
      <alignment horizontal="center"/>
    </xf>
    <xf numFmtId="0" fontId="16" fillId="9" borderId="113" xfId="0" applyFont="1" applyFill="1" applyBorder="1" applyAlignment="1">
      <alignment vertical="top" wrapText="1"/>
    </xf>
    <xf numFmtId="1" fontId="16" fillId="9" borderId="27" xfId="0" applyNumberFormat="1" applyFont="1" applyFill="1" applyBorder="1"/>
    <xf numFmtId="0" fontId="16" fillId="9" borderId="114" xfId="0" applyFont="1" applyFill="1" applyBorder="1" applyAlignment="1">
      <alignment vertical="top" wrapText="1"/>
    </xf>
    <xf numFmtId="0" fontId="16" fillId="9" borderId="85" xfId="0" applyFont="1" applyFill="1" applyBorder="1" applyAlignment="1">
      <alignment vertical="top" wrapText="1"/>
    </xf>
    <xf numFmtId="1" fontId="16" fillId="9" borderId="50" xfId="2" quotePrefix="1" applyNumberFormat="1" applyFont="1" applyFill="1" applyBorder="1" applyAlignment="1">
      <alignment horizontal="center" vertical="center" wrapText="1"/>
    </xf>
    <xf numFmtId="1" fontId="16" fillId="9" borderId="50" xfId="0" applyNumberFormat="1" applyFont="1" applyFill="1" applyBorder="1" applyAlignment="1">
      <alignment horizontal="center" vertical="center"/>
    </xf>
    <xf numFmtId="2" fontId="17" fillId="9" borderId="50" xfId="2" quotePrefix="1" applyNumberFormat="1" applyFont="1" applyFill="1" applyBorder="1" applyAlignment="1">
      <alignment horizontal="center" vertical="center" wrapText="1"/>
    </xf>
    <xf numFmtId="1" fontId="28" fillId="9" borderId="50" xfId="0" applyNumberFormat="1" applyFont="1" applyFill="1" applyBorder="1" applyAlignment="1">
      <alignment horizontal="center" vertical="center"/>
    </xf>
    <xf numFmtId="1" fontId="17" fillId="9" borderId="50" xfId="0" applyNumberFormat="1" applyFont="1" applyFill="1" applyBorder="1" applyAlignment="1">
      <alignment horizontal="center" vertical="center"/>
    </xf>
    <xf numFmtId="1" fontId="25" fillId="9" borderId="50" xfId="0" applyNumberFormat="1" applyFont="1" applyFill="1" applyBorder="1" applyAlignment="1">
      <alignment horizontal="center" vertical="center" wrapText="1"/>
    </xf>
    <xf numFmtId="1" fontId="28" fillId="9" borderId="50" xfId="0" applyNumberFormat="1" applyFont="1" applyFill="1" applyBorder="1" applyAlignment="1">
      <alignment horizontal="center"/>
    </xf>
    <xf numFmtId="1" fontId="16" fillId="9" borderId="50" xfId="0" applyNumberFormat="1" applyFont="1" applyFill="1" applyBorder="1"/>
    <xf numFmtId="1" fontId="16" fillId="9" borderId="37" xfId="0" applyNumberFormat="1" applyFont="1" applyFill="1" applyBorder="1"/>
    <xf numFmtId="0" fontId="16" fillId="9" borderId="86" xfId="0" applyFont="1" applyFill="1" applyBorder="1" applyAlignment="1">
      <alignment vertical="top" wrapText="1"/>
    </xf>
    <xf numFmtId="0" fontId="20" fillId="2" borderId="97" xfId="0" applyFont="1" applyFill="1" applyBorder="1" applyAlignment="1">
      <alignment vertical="top" wrapText="1"/>
    </xf>
    <xf numFmtId="1" fontId="20" fillId="2" borderId="17" xfId="2" quotePrefix="1" applyNumberFormat="1" applyFont="1" applyFill="1" applyBorder="1" applyAlignment="1">
      <alignment horizontal="center" vertical="center" wrapText="1"/>
    </xf>
    <xf numFmtId="1" fontId="20" fillId="2" borderId="75" xfId="0" applyNumberFormat="1" applyFont="1" applyFill="1" applyBorder="1"/>
    <xf numFmtId="0" fontId="20" fillId="2" borderId="98" xfId="0" applyFont="1" applyFill="1" applyBorder="1" applyAlignment="1">
      <alignment vertical="top" wrapText="1"/>
    </xf>
    <xf numFmtId="0" fontId="29" fillId="2" borderId="95" xfId="0" applyFont="1" applyFill="1" applyBorder="1" applyAlignment="1">
      <alignment vertical="top" wrapText="1"/>
    </xf>
    <xf numFmtId="2" fontId="22" fillId="2" borderId="23" xfId="2" quotePrefix="1" applyNumberFormat="1" applyFont="1" applyFill="1" applyBorder="1" applyAlignment="1">
      <alignment horizontal="center" vertical="center" wrapText="1"/>
    </xf>
    <xf numFmtId="0" fontId="29" fillId="2" borderId="96" xfId="0" applyFont="1" applyFill="1" applyBorder="1" applyAlignment="1">
      <alignment vertical="top"/>
    </xf>
    <xf numFmtId="0" fontId="29" fillId="2" borderId="113" xfId="0" applyFont="1" applyFill="1" applyBorder="1" applyAlignment="1">
      <alignment vertical="top" wrapText="1"/>
    </xf>
    <xf numFmtId="2" fontId="23" fillId="2" borderId="6" xfId="2" quotePrefix="1" applyNumberFormat="1" applyFont="1" applyFill="1" applyBorder="1" applyAlignment="1">
      <alignment vertical="center" wrapText="1"/>
    </xf>
    <xf numFmtId="2" fontId="23" fillId="2" borderId="26" xfId="2" quotePrefix="1" applyNumberFormat="1" applyFont="1" applyFill="1" applyBorder="1" applyAlignment="1">
      <alignment vertical="center" wrapText="1"/>
    </xf>
    <xf numFmtId="0" fontId="29" fillId="2" borderId="114" xfId="0" applyFont="1" applyFill="1" applyBorder="1" applyAlignment="1">
      <alignment vertical="top"/>
    </xf>
    <xf numFmtId="2" fontId="16" fillId="2" borderId="23" xfId="2" quotePrefix="1" applyNumberFormat="1" applyFont="1" applyFill="1" applyBorder="1" applyAlignment="1">
      <alignment horizontal="center" vertical="center" wrapText="1"/>
    </xf>
    <xf numFmtId="2" fontId="59" fillId="2" borderId="8" xfId="2" quotePrefix="1" applyNumberFormat="1" applyFont="1" applyFill="1" applyBorder="1" applyAlignment="1">
      <alignment horizontal="center" vertical="center" wrapText="1"/>
    </xf>
    <xf numFmtId="2" fontId="16" fillId="2" borderId="26" xfId="2" quotePrefix="1" applyNumberFormat="1" applyFont="1" applyFill="1" applyBorder="1" applyAlignment="1">
      <alignment horizontal="center" vertical="center" wrapText="1"/>
    </xf>
    <xf numFmtId="9" fontId="22" fillId="2" borderId="16" xfId="2" quotePrefix="1" applyFont="1" applyFill="1" applyBorder="1" applyAlignment="1">
      <alignment horizontal="center" vertical="center" wrapText="1"/>
    </xf>
    <xf numFmtId="9" fontId="22" fillId="2" borderId="16" xfId="2" applyFont="1" applyFill="1" applyBorder="1" applyAlignment="1">
      <alignment horizontal="center" vertical="center" wrapText="1"/>
    </xf>
    <xf numFmtId="9" fontId="22" fillId="2" borderId="16" xfId="2" applyFont="1" applyFill="1" applyBorder="1" applyAlignment="1">
      <alignment horizontal="center" vertical="center"/>
    </xf>
    <xf numFmtId="9" fontId="23" fillId="2" borderId="16" xfId="2" applyFont="1" applyFill="1" applyBorder="1" applyAlignment="1">
      <alignment horizontal="center" vertical="center"/>
    </xf>
    <xf numFmtId="9" fontId="23" fillId="2" borderId="23" xfId="2" applyFont="1" applyFill="1" applyBorder="1" applyAlignment="1">
      <alignment horizontal="center" vertical="center"/>
    </xf>
    <xf numFmtId="0" fontId="24" fillId="2" borderId="96" xfId="0" applyFont="1" applyFill="1" applyBorder="1" applyAlignment="1">
      <alignment horizontal="left" vertical="top" wrapText="1"/>
    </xf>
    <xf numFmtId="165" fontId="23" fillId="2" borderId="26" xfId="2" applyNumberFormat="1" applyFont="1" applyFill="1" applyBorder="1" applyAlignment="1">
      <alignment vertical="center" wrapText="1"/>
    </xf>
    <xf numFmtId="164" fontId="23" fillId="2" borderId="16" xfId="2" quotePrefix="1" applyNumberFormat="1" applyFont="1" applyFill="1" applyBorder="1" applyAlignment="1">
      <alignment horizontal="center" vertical="center" wrapText="1"/>
    </xf>
    <xf numFmtId="0" fontId="29" fillId="2" borderId="96" xfId="0" applyFont="1" applyFill="1" applyBorder="1" applyAlignment="1">
      <alignment horizontal="left" vertical="top" wrapText="1"/>
    </xf>
    <xf numFmtId="0" fontId="29" fillId="9" borderId="93" xfId="0" applyFont="1" applyFill="1" applyBorder="1" applyAlignment="1">
      <alignment vertical="top" wrapText="1"/>
    </xf>
    <xf numFmtId="1" fontId="22" fillId="9" borderId="17" xfId="0" applyNumberFormat="1" applyFont="1" applyFill="1" applyBorder="1" applyAlignment="1">
      <alignment horizontal="center" vertical="center"/>
    </xf>
    <xf numFmtId="1" fontId="23" fillId="9" borderId="17" xfId="0" applyNumberFormat="1" applyFont="1" applyFill="1" applyBorder="1" applyAlignment="1">
      <alignment horizontal="center" vertical="center"/>
    </xf>
    <xf numFmtId="1" fontId="23" fillId="9" borderId="75" xfId="0" applyNumberFormat="1" applyFont="1" applyFill="1" applyBorder="1" applyAlignment="1">
      <alignment horizontal="center" vertical="center"/>
    </xf>
    <xf numFmtId="0" fontId="29" fillId="9" borderId="94" xfId="0" applyFont="1" applyFill="1" applyBorder="1" applyAlignment="1">
      <alignment horizontal="left" vertical="top" wrapText="1"/>
    </xf>
    <xf numFmtId="0" fontId="16" fillId="9" borderId="99" xfId="0" applyFont="1" applyFill="1" applyBorder="1" applyAlignment="1">
      <alignment vertical="top" wrapText="1"/>
    </xf>
    <xf numFmtId="1" fontId="16" fillId="9" borderId="19" xfId="2" quotePrefix="1" applyNumberFormat="1" applyFont="1" applyFill="1" applyBorder="1" applyAlignment="1">
      <alignment horizontal="center" vertical="center" wrapText="1"/>
    </xf>
    <xf numFmtId="164" fontId="16" fillId="9" borderId="19" xfId="0" applyNumberFormat="1" applyFont="1" applyFill="1" applyBorder="1" applyAlignment="1">
      <alignment horizontal="center" vertical="center"/>
    </xf>
    <xf numFmtId="3" fontId="28" fillId="9" borderId="19" xfId="0" applyNumberFormat="1" applyFont="1" applyFill="1" applyBorder="1" applyAlignment="1">
      <alignment horizontal="center" vertical="center"/>
    </xf>
    <xf numFmtId="1" fontId="17" fillId="9" borderId="19" xfId="0" applyNumberFormat="1" applyFont="1" applyFill="1" applyBorder="1" applyAlignment="1">
      <alignment horizontal="center" vertical="center"/>
    </xf>
    <xf numFmtId="164" fontId="17" fillId="9" borderId="19" xfId="0" applyNumberFormat="1" applyFont="1" applyFill="1" applyBorder="1" applyAlignment="1">
      <alignment horizontal="center" wrapText="1"/>
    </xf>
    <xf numFmtId="164" fontId="28" fillId="9" borderId="19" xfId="0" applyNumberFormat="1" applyFont="1" applyFill="1" applyBorder="1" applyAlignment="1">
      <alignment horizontal="center" vertical="center"/>
    </xf>
    <xf numFmtId="164" fontId="22" fillId="9" borderId="19" xfId="0" quotePrefix="1" applyNumberFormat="1" applyFont="1" applyFill="1" applyBorder="1" applyAlignment="1">
      <alignment horizontal="center" vertical="center"/>
    </xf>
    <xf numFmtId="164" fontId="23" fillId="9" borderId="19" xfId="0" quotePrefix="1" applyNumberFormat="1" applyFont="1" applyFill="1" applyBorder="1" applyAlignment="1">
      <alignment horizontal="center" vertical="center"/>
    </xf>
    <xf numFmtId="9" fontId="23" fillId="9" borderId="19" xfId="2" quotePrefix="1" applyFont="1" applyFill="1" applyBorder="1" applyAlignment="1">
      <alignment horizontal="center" vertical="center"/>
    </xf>
    <xf numFmtId="9" fontId="23" fillId="9" borderId="148" xfId="2" quotePrefix="1" applyFont="1" applyFill="1" applyBorder="1" applyAlignment="1">
      <alignment horizontal="center" vertical="center"/>
    </xf>
    <xf numFmtId="0" fontId="16" fillId="9" borderId="101" xfId="0" applyFont="1" applyFill="1" applyBorder="1" applyAlignment="1">
      <alignment horizontal="left" vertical="top" wrapText="1"/>
    </xf>
    <xf numFmtId="0" fontId="16" fillId="9" borderId="105" xfId="0" applyFont="1" applyFill="1" applyBorder="1" applyAlignment="1">
      <alignment vertical="top" wrapText="1"/>
    </xf>
    <xf numFmtId="1" fontId="16" fillId="9" borderId="15" xfId="2" quotePrefix="1" applyNumberFormat="1" applyFont="1" applyFill="1" applyBorder="1" applyAlignment="1">
      <alignment horizontal="center" vertical="center" wrapText="1"/>
    </xf>
    <xf numFmtId="1" fontId="22" fillId="9" borderId="15" xfId="0" quotePrefix="1" applyNumberFormat="1" applyFont="1" applyFill="1" applyBorder="1" applyAlignment="1">
      <alignment horizontal="center" vertical="center"/>
    </xf>
    <xf numFmtId="1" fontId="23" fillId="9" borderId="15" xfId="0" quotePrefix="1" applyNumberFormat="1" applyFont="1" applyFill="1" applyBorder="1" applyAlignment="1">
      <alignment horizontal="center" vertical="center"/>
    </xf>
    <xf numFmtId="1" fontId="23" fillId="9" borderId="106" xfId="0" quotePrefix="1" applyNumberFormat="1" applyFont="1" applyFill="1" applyBorder="1" applyAlignment="1">
      <alignment horizontal="center" vertical="center"/>
    </xf>
    <xf numFmtId="0" fontId="16" fillId="9" borderId="109" xfId="0" applyFont="1" applyFill="1" applyBorder="1" applyAlignment="1">
      <alignment horizontal="left" vertical="top" wrapText="1"/>
    </xf>
    <xf numFmtId="0" fontId="29" fillId="2" borderId="97" xfId="0" applyFont="1" applyFill="1" applyBorder="1" applyAlignment="1">
      <alignment vertical="top" wrapText="1"/>
    </xf>
    <xf numFmtId="1" fontId="29" fillId="2" borderId="17" xfId="2" quotePrefix="1" applyNumberFormat="1" applyFont="1" applyFill="1" applyBorder="1" applyAlignment="1">
      <alignment horizontal="center" vertical="center" wrapText="1"/>
    </xf>
    <xf numFmtId="2" fontId="23" fillId="2" borderId="17" xfId="0" applyNumberFormat="1" applyFont="1" applyFill="1" applyBorder="1" applyAlignment="1">
      <alignment horizontal="center" vertical="center"/>
    </xf>
    <xf numFmtId="2" fontId="22" fillId="2" borderId="17" xfId="0" applyNumberFormat="1" applyFont="1" applyFill="1" applyBorder="1" applyAlignment="1">
      <alignment horizontal="center" vertical="center"/>
    </xf>
    <xf numFmtId="1" fontId="23" fillId="2" borderId="75" xfId="0" applyNumberFormat="1" applyFont="1" applyFill="1" applyBorder="1" applyAlignment="1">
      <alignment horizontal="center" vertical="center"/>
    </xf>
    <xf numFmtId="0" fontId="29" fillId="2" borderId="98" xfId="0" applyFont="1" applyFill="1" applyBorder="1" applyAlignment="1">
      <alignment horizontal="left" vertical="top" wrapText="1"/>
    </xf>
    <xf numFmtId="0" fontId="16" fillId="2" borderId="99" xfId="0" applyFont="1" applyFill="1" applyBorder="1" applyAlignment="1">
      <alignment vertical="top" wrapText="1"/>
    </xf>
    <xf numFmtId="1" fontId="16" fillId="2" borderId="19" xfId="2" quotePrefix="1" applyNumberFormat="1" applyFont="1" applyFill="1" applyBorder="1" applyAlignment="1">
      <alignment horizontal="center" vertical="center" wrapText="1"/>
    </xf>
    <xf numFmtId="164" fontId="16" fillId="2" borderId="19" xfId="0" applyNumberFormat="1" applyFont="1" applyFill="1" applyBorder="1" applyAlignment="1">
      <alignment horizontal="center" vertical="center"/>
    </xf>
    <xf numFmtId="3" fontId="28" fillId="2" borderId="19" xfId="0" applyNumberFormat="1" applyFont="1" applyFill="1" applyBorder="1" applyAlignment="1">
      <alignment horizontal="center" vertical="center"/>
    </xf>
    <xf numFmtId="1" fontId="17" fillId="2" borderId="19" xfId="0" applyNumberFormat="1" applyFont="1" applyFill="1" applyBorder="1" applyAlignment="1">
      <alignment horizontal="center" vertical="center"/>
    </xf>
    <xf numFmtId="164" fontId="17" fillId="2" borderId="19" xfId="0" applyNumberFormat="1" applyFont="1" applyFill="1" applyBorder="1" applyAlignment="1">
      <alignment horizontal="center" wrapText="1"/>
    </xf>
    <xf numFmtId="164" fontId="28" fillId="2" borderId="19" xfId="0" applyNumberFormat="1" applyFont="1" applyFill="1" applyBorder="1" applyAlignment="1">
      <alignment horizontal="center" vertical="center"/>
    </xf>
    <xf numFmtId="164" fontId="22" fillId="2" borderId="19" xfId="0" quotePrefix="1" applyNumberFormat="1" applyFont="1" applyFill="1" applyBorder="1" applyAlignment="1">
      <alignment horizontal="center" vertical="center"/>
    </xf>
    <xf numFmtId="164" fontId="23" fillId="2" borderId="19" xfId="0" quotePrefix="1" applyNumberFormat="1" applyFont="1" applyFill="1" applyBorder="1" applyAlignment="1">
      <alignment horizontal="center" vertical="center"/>
    </xf>
    <xf numFmtId="9" fontId="23" fillId="2" borderId="19" xfId="2" quotePrefix="1" applyFont="1" applyFill="1" applyBorder="1" applyAlignment="1">
      <alignment horizontal="center" vertical="center"/>
    </xf>
    <xf numFmtId="9" fontId="23" fillId="2" borderId="148" xfId="2" quotePrefix="1" applyFont="1" applyFill="1" applyBorder="1" applyAlignment="1">
      <alignment horizontal="center" vertical="center"/>
    </xf>
    <xf numFmtId="0" fontId="16" fillId="2" borderId="101" xfId="0" applyFont="1" applyFill="1" applyBorder="1" applyAlignment="1">
      <alignment horizontal="left" vertical="top" wrapText="1"/>
    </xf>
    <xf numFmtId="0" fontId="16" fillId="2" borderId="105" xfId="0" applyFont="1" applyFill="1" applyBorder="1" applyAlignment="1">
      <alignment vertical="top" wrapText="1"/>
    </xf>
    <xf numFmtId="1" fontId="16" fillId="2" borderId="15" xfId="2" quotePrefix="1" applyNumberFormat="1" applyFont="1" applyFill="1" applyBorder="1" applyAlignment="1">
      <alignment horizontal="center" vertical="center" wrapText="1"/>
    </xf>
    <xf numFmtId="1" fontId="22" fillId="2" borderId="15" xfId="0" quotePrefix="1" applyNumberFormat="1" applyFont="1" applyFill="1" applyBorder="1" applyAlignment="1">
      <alignment horizontal="center" vertical="center"/>
    </xf>
    <xf numFmtId="1" fontId="23" fillId="2" borderId="15" xfId="0" quotePrefix="1" applyNumberFormat="1" applyFont="1" applyFill="1" applyBorder="1" applyAlignment="1">
      <alignment horizontal="center" vertical="center"/>
    </xf>
    <xf numFmtId="1" fontId="23" fillId="2" borderId="106" xfId="0" quotePrefix="1" applyNumberFormat="1" applyFont="1" applyFill="1" applyBorder="1" applyAlignment="1">
      <alignment horizontal="center" vertical="center"/>
    </xf>
    <xf numFmtId="1" fontId="22" fillId="2" borderId="6" xfId="0" quotePrefix="1" applyNumberFormat="1" applyFont="1" applyFill="1" applyBorder="1" applyAlignment="1">
      <alignment horizontal="center" vertical="center"/>
    </xf>
    <xf numFmtId="2" fontId="22" fillId="9" borderId="26" xfId="0" applyNumberFormat="1" applyFont="1" applyFill="1" applyBorder="1" applyAlignment="1">
      <alignment horizontal="center" vertical="top"/>
    </xf>
    <xf numFmtId="2" fontId="22" fillId="9" borderId="6" xfId="0" applyNumberFormat="1" applyFont="1" applyFill="1" applyBorder="1" applyAlignment="1">
      <alignment horizontal="center" vertical="top"/>
    </xf>
    <xf numFmtId="0" fontId="29" fillId="9" borderId="113" xfId="0" applyFont="1" applyFill="1" applyBorder="1" applyAlignment="1">
      <alignment vertical="top" wrapText="1"/>
    </xf>
    <xf numFmtId="2" fontId="23" fillId="9" borderId="12" xfId="0" applyNumberFormat="1" applyFont="1" applyFill="1" applyBorder="1" applyAlignment="1">
      <alignment horizontal="center" vertical="center"/>
    </xf>
    <xf numFmtId="0" fontId="29" fillId="9" borderId="114" xfId="0" applyFont="1" applyFill="1" applyBorder="1" applyAlignment="1">
      <alignment horizontal="left" vertical="top" wrapText="1"/>
    </xf>
    <xf numFmtId="164" fontId="28" fillId="9" borderId="16" xfId="2" quotePrefix="1" applyNumberFormat="1" applyFont="1" applyFill="1" applyBorder="1" applyAlignment="1">
      <alignment horizontal="center" vertical="center" wrapText="1"/>
    </xf>
    <xf numFmtId="0" fontId="24" fillId="9" borderId="14" xfId="0" applyFont="1" applyFill="1" applyBorder="1"/>
    <xf numFmtId="164" fontId="28" fillId="9" borderId="23" xfId="0" applyNumberFormat="1" applyFont="1" applyFill="1" applyBorder="1" applyAlignment="1">
      <alignment horizontal="center" vertical="top"/>
    </xf>
    <xf numFmtId="164" fontId="28" fillId="9" borderId="16" xfId="0" applyNumberFormat="1" applyFont="1" applyFill="1" applyBorder="1" applyAlignment="1">
      <alignment horizontal="center" vertical="top"/>
    </xf>
    <xf numFmtId="0" fontId="16" fillId="9" borderId="96" xfId="0" applyFont="1" applyFill="1" applyBorder="1" applyAlignment="1">
      <alignment horizontal="left" vertical="top" wrapText="1"/>
    </xf>
    <xf numFmtId="164" fontId="28" fillId="9" borderId="26" xfId="0" applyNumberFormat="1" applyFont="1" applyFill="1" applyBorder="1" applyAlignment="1">
      <alignment horizontal="center" vertical="top"/>
    </xf>
    <xf numFmtId="164" fontId="28" fillId="9" borderId="6" xfId="0" applyNumberFormat="1" applyFont="1" applyFill="1" applyBorder="1" applyAlignment="1">
      <alignment horizontal="center" vertical="top"/>
    </xf>
    <xf numFmtId="0" fontId="16" fillId="9" borderId="114" xfId="0" applyFont="1" applyFill="1" applyBorder="1" applyAlignment="1">
      <alignment horizontal="center" vertical="top" wrapText="1"/>
    </xf>
    <xf numFmtId="2" fontId="32" fillId="0" borderId="5" xfId="0" applyNumberFormat="1" applyFont="1" applyBorder="1" applyAlignment="1">
      <alignment horizontal="left" vertical="center" wrapText="1"/>
    </xf>
    <xf numFmtId="1" fontId="29" fillId="0" borderId="5" xfId="2" quotePrefix="1" applyNumberFormat="1" applyFont="1" applyFill="1" applyBorder="1" applyAlignment="1">
      <alignment horizontal="center" vertical="center" wrapText="1"/>
    </xf>
    <xf numFmtId="2" fontId="31" fillId="0" borderId="5" xfId="0" applyNumberFormat="1" applyFont="1" applyBorder="1" applyAlignment="1">
      <alignment horizontal="center" vertical="center"/>
    </xf>
    <xf numFmtId="2" fontId="31" fillId="2" borderId="5" xfId="0" applyNumberFormat="1" applyFont="1" applyFill="1" applyBorder="1" applyAlignment="1">
      <alignment horizontal="center" vertical="center"/>
    </xf>
    <xf numFmtId="2" fontId="31" fillId="2" borderId="73" xfId="0" applyNumberFormat="1" applyFont="1" applyFill="1" applyBorder="1" applyAlignment="1">
      <alignment horizontal="center" vertical="center"/>
    </xf>
    <xf numFmtId="0" fontId="32" fillId="0" borderId="149" xfId="0" applyFont="1" applyBorder="1" applyAlignment="1">
      <alignment horizontal="left" vertical="center" wrapText="1"/>
    </xf>
    <xf numFmtId="0" fontId="29" fillId="9" borderId="150" xfId="0" applyFont="1" applyFill="1" applyBorder="1" applyAlignment="1">
      <alignment vertical="top" wrapText="1"/>
    </xf>
    <xf numFmtId="1" fontId="29" fillId="9" borderId="50" xfId="2" quotePrefix="1" applyNumberFormat="1" applyFont="1" applyFill="1" applyBorder="1" applyAlignment="1">
      <alignment horizontal="center" vertical="center" wrapText="1"/>
    </xf>
    <xf numFmtId="1" fontId="29" fillId="9" borderId="151" xfId="2" quotePrefix="1" applyNumberFormat="1" applyFont="1" applyFill="1" applyBorder="1" applyAlignment="1">
      <alignment horizontal="center" vertical="center" wrapText="1"/>
    </xf>
    <xf numFmtId="164" fontId="22" fillId="9" borderId="151" xfId="0" applyNumberFormat="1" applyFont="1" applyFill="1" applyBorder="1" applyAlignment="1">
      <alignment horizontal="center" vertical="center"/>
    </xf>
    <xf numFmtId="164" fontId="23" fillId="9" borderId="151" xfId="0" applyNumberFormat="1" applyFont="1" applyFill="1" applyBorder="1" applyAlignment="1">
      <alignment horizontal="center" vertical="center"/>
    </xf>
    <xf numFmtId="1" fontId="33" fillId="9" borderId="151" xfId="2" quotePrefix="1" applyNumberFormat="1" applyFont="1" applyFill="1" applyBorder="1" applyAlignment="1">
      <alignment horizontal="center" vertical="center" wrapText="1"/>
    </xf>
    <xf numFmtId="2" fontId="41" fillId="9" borderId="152" xfId="2" quotePrefix="1" applyNumberFormat="1" applyFont="1" applyFill="1" applyBorder="1" applyAlignment="1">
      <alignment horizontal="center" vertical="center" wrapText="1"/>
    </xf>
    <xf numFmtId="2" fontId="41" fillId="9" borderId="151" xfId="2" quotePrefix="1" applyNumberFormat="1" applyFont="1" applyFill="1" applyBorder="1" applyAlignment="1">
      <alignment horizontal="center" vertical="center" wrapText="1"/>
    </xf>
    <xf numFmtId="0" fontId="29" fillId="9" borderId="153" xfId="0" applyFont="1" applyFill="1" applyBorder="1" applyAlignment="1">
      <alignment vertical="top" wrapText="1"/>
    </xf>
    <xf numFmtId="1" fontId="29" fillId="2" borderId="17" xfId="0" applyNumberFormat="1" applyFont="1" applyFill="1" applyBorder="1" applyAlignment="1">
      <alignment horizontal="center" vertical="center"/>
    </xf>
    <xf numFmtId="1" fontId="29" fillId="2" borderId="17" xfId="2" quotePrefix="1" applyNumberFormat="1" applyFont="1" applyFill="1" applyBorder="1" applyAlignment="1">
      <alignment horizontal="center" wrapText="1"/>
    </xf>
    <xf numFmtId="1" fontId="41" fillId="2" borderId="17" xfId="0" applyNumberFormat="1" applyFont="1" applyFill="1" applyBorder="1" applyAlignment="1">
      <alignment horizontal="center" vertical="center"/>
    </xf>
    <xf numFmtId="1" fontId="48" fillId="2" borderId="17" xfId="0" applyNumberFormat="1" applyFont="1" applyFill="1" applyBorder="1" applyAlignment="1">
      <alignment horizontal="center" vertical="center"/>
    </xf>
    <xf numFmtId="1" fontId="48" fillId="2" borderId="17" xfId="0" applyNumberFormat="1" applyFont="1" applyFill="1" applyBorder="1" applyAlignment="1">
      <alignment horizontal="center"/>
    </xf>
    <xf numFmtId="1" fontId="29" fillId="2" borderId="17" xfId="0" applyNumberFormat="1" applyFont="1" applyFill="1" applyBorder="1"/>
    <xf numFmtId="1" fontId="29" fillId="2" borderId="75" xfId="0" applyNumberFormat="1" applyFont="1" applyFill="1" applyBorder="1"/>
    <xf numFmtId="0" fontId="24" fillId="2" borderId="95" xfId="0" applyFont="1" applyFill="1" applyBorder="1" applyAlignment="1">
      <alignment horizontal="left" vertical="top" wrapText="1"/>
    </xf>
    <xf numFmtId="2" fontId="62" fillId="2" borderId="16" xfId="2" quotePrefix="1" applyNumberFormat="1" applyFont="1" applyFill="1" applyBorder="1" applyAlignment="1">
      <alignment horizontal="center" vertical="center" wrapText="1"/>
    </xf>
    <xf numFmtId="2" fontId="23" fillId="2" borderId="23" xfId="2" quotePrefix="1" applyNumberFormat="1" applyFont="1" applyFill="1" applyBorder="1" applyAlignment="1">
      <alignment horizontal="center" vertical="center" wrapText="1"/>
    </xf>
    <xf numFmtId="1" fontId="9" fillId="2" borderId="26" xfId="0" applyNumberFormat="1" applyFont="1" applyFill="1" applyBorder="1" applyAlignment="1">
      <alignment horizontal="center"/>
    </xf>
    <xf numFmtId="1" fontId="37" fillId="2" borderId="16" xfId="0" applyNumberFormat="1" applyFont="1" applyFill="1" applyBorder="1" applyAlignment="1">
      <alignment horizontal="center" vertical="center"/>
    </xf>
    <xf numFmtId="0" fontId="16" fillId="2" borderId="24" xfId="0" applyFont="1" applyFill="1" applyBorder="1"/>
    <xf numFmtId="0" fontId="16" fillId="2" borderId="154" xfId="0" applyFont="1" applyFill="1" applyBorder="1" applyAlignment="1">
      <alignment vertical="top" wrapText="1"/>
    </xf>
    <xf numFmtId="1" fontId="16" fillId="2" borderId="40" xfId="2" quotePrefix="1" applyNumberFormat="1" applyFont="1" applyFill="1" applyBorder="1" applyAlignment="1">
      <alignment horizontal="center" vertical="center" wrapText="1"/>
    </xf>
    <xf numFmtId="1" fontId="17" fillId="2" borderId="40" xfId="0" applyNumberFormat="1" applyFont="1" applyFill="1" applyBorder="1" applyAlignment="1">
      <alignment horizontal="center" vertical="center"/>
    </xf>
    <xf numFmtId="1" fontId="9" fillId="2" borderId="40" xfId="0" quotePrefix="1" applyNumberFormat="1" applyFont="1" applyFill="1" applyBorder="1" applyAlignment="1">
      <alignment horizontal="center" wrapText="1"/>
    </xf>
    <xf numFmtId="1" fontId="37" fillId="2" borderId="40" xfId="0" applyNumberFormat="1" applyFont="1" applyFill="1" applyBorder="1" applyAlignment="1">
      <alignment horizontal="center" vertical="center"/>
    </xf>
    <xf numFmtId="1" fontId="28" fillId="2" borderId="40" xfId="0" applyNumberFormat="1" applyFont="1" applyFill="1" applyBorder="1" applyAlignment="1">
      <alignment horizontal="center" vertical="center"/>
    </xf>
    <xf numFmtId="1" fontId="28" fillId="2" borderId="40" xfId="0" applyNumberFormat="1" applyFont="1" applyFill="1" applyBorder="1" applyAlignment="1">
      <alignment horizontal="center"/>
    </xf>
    <xf numFmtId="0" fontId="16" fillId="2" borderId="155" xfId="0" applyFont="1" applyFill="1" applyBorder="1"/>
    <xf numFmtId="1" fontId="16" fillId="2" borderId="40" xfId="0" applyNumberFormat="1" applyFont="1" applyFill="1" applyBorder="1"/>
    <xf numFmtId="1" fontId="16" fillId="2" borderId="156" xfId="0" applyNumberFormat="1" applyFont="1" applyFill="1" applyBorder="1"/>
    <xf numFmtId="0" fontId="16" fillId="2" borderId="157" xfId="0" applyFont="1" applyFill="1" applyBorder="1" applyAlignment="1">
      <alignment vertical="top" wrapText="1"/>
    </xf>
    <xf numFmtId="0" fontId="29" fillId="2" borderId="11" xfId="0" applyFont="1" applyFill="1" applyBorder="1" applyAlignment="1">
      <alignment horizontal="center" vertical="top" wrapText="1"/>
    </xf>
    <xf numFmtId="1" fontId="37" fillId="2" borderId="11" xfId="0" applyNumberFormat="1" applyFont="1" applyFill="1" applyBorder="1" applyAlignment="1">
      <alignment horizontal="center" vertical="center"/>
    </xf>
    <xf numFmtId="0" fontId="16" fillId="2" borderId="11" xfId="0" applyFont="1" applyFill="1" applyBorder="1"/>
    <xf numFmtId="164" fontId="57" fillId="2" borderId="11" xfId="0" applyNumberFormat="1" applyFont="1" applyFill="1" applyBorder="1" applyAlignment="1">
      <alignment horizontal="center" vertical="center"/>
    </xf>
    <xf numFmtId="164" fontId="57" fillId="2" borderId="54" xfId="0" applyNumberFormat="1" applyFont="1" applyFill="1" applyBorder="1" applyAlignment="1">
      <alignment horizontal="center" vertical="center"/>
    </xf>
    <xf numFmtId="0" fontId="19" fillId="2" borderId="55" xfId="0" applyFont="1" applyFill="1" applyBorder="1" applyAlignment="1">
      <alignment horizontal="center" vertical="top" wrapText="1"/>
    </xf>
    <xf numFmtId="2" fontId="22" fillId="9" borderId="7" xfId="6" applyNumberFormat="1" applyFont="1" applyFill="1" applyBorder="1" applyAlignment="1">
      <alignment horizontal="center" vertical="center"/>
    </xf>
    <xf numFmtId="2" fontId="20" fillId="9" borderId="7" xfId="6" applyNumberFormat="1" applyFont="1" applyFill="1" applyBorder="1" applyAlignment="1">
      <alignment horizontal="center" vertical="center"/>
    </xf>
    <xf numFmtId="2" fontId="20" fillId="9" borderId="44" xfId="6" applyNumberFormat="1" applyFont="1" applyFill="1" applyBorder="1" applyAlignment="1">
      <alignment horizontal="center" vertical="center"/>
    </xf>
    <xf numFmtId="0" fontId="29" fillId="9" borderId="94" xfId="0" applyFont="1" applyFill="1" applyBorder="1" applyAlignment="1">
      <alignment vertical="top" wrapText="1"/>
    </xf>
    <xf numFmtId="1" fontId="75" fillId="9" borderId="11" xfId="2" quotePrefix="1" applyNumberFormat="1" applyFont="1" applyFill="1" applyBorder="1" applyAlignment="1">
      <alignment horizontal="center" vertical="center" wrapText="1"/>
    </xf>
    <xf numFmtId="2" fontId="61" fillId="9" borderId="11" xfId="6" applyNumberFormat="1" applyFont="1" applyFill="1" applyBorder="1" applyAlignment="1">
      <alignment horizontal="center" vertical="center"/>
    </xf>
    <xf numFmtId="2" fontId="60" fillId="9" borderId="11" xfId="6" applyNumberFormat="1" applyFont="1" applyFill="1" applyBorder="1" applyAlignment="1">
      <alignment horizontal="center" vertical="center"/>
    </xf>
    <xf numFmtId="1" fontId="9" fillId="9" borderId="8" xfId="0" quotePrefix="1" applyNumberFormat="1" applyFont="1" applyFill="1" applyBorder="1" applyAlignment="1">
      <alignment horizontal="center" vertical="top" wrapText="1"/>
    </xf>
    <xf numFmtId="1" fontId="78" fillId="9" borderId="11" xfId="0" applyNumberFormat="1" applyFont="1" applyFill="1" applyBorder="1" applyAlignment="1">
      <alignment horizontal="center"/>
    </xf>
    <xf numFmtId="1" fontId="75" fillId="9" borderId="11" xfId="0" applyNumberFormat="1" applyFont="1" applyFill="1" applyBorder="1"/>
    <xf numFmtId="1" fontId="75" fillId="9" borderId="54" xfId="0" applyNumberFormat="1" applyFont="1" applyFill="1" applyBorder="1"/>
    <xf numFmtId="0" fontId="29" fillId="2" borderId="93" xfId="0" applyFont="1" applyFill="1" applyBorder="1" applyAlignment="1">
      <alignment vertical="top" wrapText="1"/>
    </xf>
    <xf numFmtId="2" fontId="23" fillId="2" borderId="7" xfId="2" quotePrefix="1" applyNumberFormat="1" applyFont="1" applyFill="1" applyBorder="1" applyAlignment="1">
      <alignment horizontal="center" wrapText="1"/>
    </xf>
    <xf numFmtId="2" fontId="23" fillId="2" borderId="44" xfId="2" quotePrefix="1" applyNumberFormat="1" applyFont="1" applyFill="1" applyBorder="1" applyAlignment="1">
      <alignment horizontal="center" wrapText="1"/>
    </xf>
    <xf numFmtId="0" fontId="29" fillId="2" borderId="94" xfId="0" applyFont="1" applyFill="1" applyBorder="1" applyAlignment="1">
      <alignment vertical="top" wrapText="1"/>
    </xf>
    <xf numFmtId="2" fontId="20" fillId="2" borderId="6" xfId="2" quotePrefix="1" applyNumberFormat="1" applyFont="1" applyFill="1" applyBorder="1" applyAlignment="1">
      <alignment horizontal="center" wrapText="1"/>
    </xf>
    <xf numFmtId="0" fontId="30" fillId="2" borderId="6" xfId="0" applyFont="1" applyFill="1" applyBorder="1"/>
    <xf numFmtId="1" fontId="48" fillId="2" borderId="6" xfId="0" applyNumberFormat="1" applyFont="1" applyFill="1" applyBorder="1" applyAlignment="1">
      <alignment horizontal="center"/>
    </xf>
    <xf numFmtId="0" fontId="29" fillId="2" borderId="114" xfId="0" applyFont="1" applyFill="1" applyBorder="1" applyAlignment="1">
      <alignment vertical="top" wrapText="1"/>
    </xf>
    <xf numFmtId="2" fontId="17" fillId="2" borderId="16" xfId="0" applyNumberFormat="1" applyFont="1" applyFill="1" applyBorder="1" applyAlignment="1">
      <alignment horizontal="center" vertical="center"/>
    </xf>
    <xf numFmtId="1" fontId="16" fillId="2" borderId="6" xfId="2" quotePrefix="1" applyNumberFormat="1" applyFont="1" applyFill="1" applyBorder="1" applyAlignment="1">
      <alignment horizontal="center" wrapText="1"/>
    </xf>
    <xf numFmtId="1" fontId="16" fillId="2" borderId="12" xfId="2" quotePrefix="1" applyNumberFormat="1" applyFont="1" applyFill="1" applyBorder="1" applyAlignment="1">
      <alignment horizontal="center" wrapText="1"/>
    </xf>
    <xf numFmtId="0" fontId="24" fillId="2" borderId="12" xfId="0" applyFont="1" applyFill="1" applyBorder="1"/>
    <xf numFmtId="1" fontId="28" fillId="2" borderId="12" xfId="0" applyNumberFormat="1" applyFont="1" applyFill="1" applyBorder="1" applyAlignment="1">
      <alignment horizontal="center" vertical="center"/>
    </xf>
    <xf numFmtId="1" fontId="28" fillId="2" borderId="12" xfId="0" applyNumberFormat="1" applyFont="1" applyFill="1" applyBorder="1" applyAlignment="1">
      <alignment horizontal="center"/>
    </xf>
    <xf numFmtId="1" fontId="16" fillId="2" borderId="12" xfId="0" applyNumberFormat="1" applyFont="1" applyFill="1" applyBorder="1"/>
    <xf numFmtId="1" fontId="16" fillId="2" borderId="158" xfId="0" applyNumberFormat="1" applyFont="1" applyFill="1" applyBorder="1"/>
    <xf numFmtId="0" fontId="16" fillId="2" borderId="92" xfId="0" applyFont="1" applyFill="1" applyBorder="1" applyAlignment="1">
      <alignment vertical="top" wrapText="1"/>
    </xf>
    <xf numFmtId="0" fontId="24" fillId="2" borderId="146" xfId="0" applyFont="1" applyFill="1" applyBorder="1" applyAlignment="1">
      <alignment horizontal="left" vertical="top" wrapText="1"/>
    </xf>
    <xf numFmtId="1" fontId="16" fillId="2" borderId="5" xfId="2" quotePrefix="1" applyNumberFormat="1" applyFont="1" applyFill="1" applyBorder="1" applyAlignment="1">
      <alignment horizontal="center" vertical="center" wrapText="1"/>
    </xf>
    <xf numFmtId="1" fontId="16" fillId="2" borderId="5" xfId="0" applyNumberFormat="1" applyFont="1" applyFill="1" applyBorder="1" applyAlignment="1">
      <alignment horizontal="center" vertical="center"/>
    </xf>
    <xf numFmtId="1" fontId="16" fillId="2" borderId="5" xfId="2" quotePrefix="1" applyNumberFormat="1" applyFont="1" applyFill="1" applyBorder="1" applyAlignment="1">
      <alignment horizontal="center" wrapText="1"/>
    </xf>
    <xf numFmtId="0" fontId="24" fillId="2" borderId="11" xfId="0" applyFont="1" applyFill="1" applyBorder="1"/>
    <xf numFmtId="2" fontId="31" fillId="2" borderId="11" xfId="0" applyNumberFormat="1" applyFont="1" applyFill="1" applyBorder="1" applyAlignment="1">
      <alignment horizontal="center"/>
    </xf>
    <xf numFmtId="2" fontId="23" fillId="2" borderId="11" xfId="2" quotePrefix="1" applyNumberFormat="1" applyFont="1" applyFill="1" applyBorder="1" applyAlignment="1">
      <alignment horizontal="center" wrapText="1"/>
    </xf>
    <xf numFmtId="2" fontId="23" fillId="2" borderId="54" xfId="2" quotePrefix="1" applyNumberFormat="1" applyFont="1" applyFill="1" applyBorder="1" applyAlignment="1">
      <alignment horizontal="center" wrapText="1"/>
    </xf>
    <xf numFmtId="0" fontId="24" fillId="2" borderId="159" xfId="0" applyFont="1" applyFill="1" applyBorder="1"/>
    <xf numFmtId="0" fontId="16" fillId="2" borderId="0" xfId="0" applyFont="1" applyFill="1" applyAlignment="1">
      <alignment vertical="top" wrapText="1"/>
    </xf>
    <xf numFmtId="1" fontId="16" fillId="2" borderId="0" xfId="2" quotePrefix="1" applyNumberFormat="1" applyFont="1" applyFill="1" applyBorder="1" applyAlignment="1">
      <alignment horizontal="center" vertical="center" wrapText="1"/>
    </xf>
    <xf numFmtId="1" fontId="16" fillId="2" borderId="0" xfId="0" applyNumberFormat="1" applyFont="1" applyFill="1" applyAlignment="1">
      <alignment horizontal="center" vertical="center"/>
    </xf>
    <xf numFmtId="1" fontId="16" fillId="2" borderId="0" xfId="2" quotePrefix="1" applyNumberFormat="1" applyFont="1" applyFill="1" applyBorder="1" applyAlignment="1">
      <alignment horizontal="center" wrapText="1"/>
    </xf>
    <xf numFmtId="1" fontId="9" fillId="2" borderId="0" xfId="0" quotePrefix="1" applyNumberFormat="1" applyFont="1" applyFill="1" applyAlignment="1">
      <alignment horizontal="center" wrapText="1"/>
    </xf>
    <xf numFmtId="1" fontId="28" fillId="2" borderId="0" xfId="0" applyNumberFormat="1" applyFont="1" applyFill="1" applyAlignment="1">
      <alignment horizontal="center" vertical="center"/>
    </xf>
    <xf numFmtId="1" fontId="28" fillId="2" borderId="0" xfId="0" applyNumberFormat="1" applyFont="1" applyFill="1" applyAlignment="1">
      <alignment horizontal="center"/>
    </xf>
    <xf numFmtId="1" fontId="16" fillId="2" borderId="0" xfId="0" applyNumberFormat="1" applyFont="1" applyFill="1"/>
    <xf numFmtId="0" fontId="16" fillId="2" borderId="36" xfId="0" applyFont="1" applyFill="1" applyBorder="1" applyAlignment="1">
      <alignment vertical="top" wrapText="1"/>
    </xf>
    <xf numFmtId="0" fontId="12" fillId="4" borderId="87" xfId="0" applyFont="1" applyFill="1" applyBorder="1"/>
    <xf numFmtId="165" fontId="12" fillId="4" borderId="82" xfId="0" applyNumberFormat="1" applyFont="1" applyFill="1" applyBorder="1" applyAlignment="1">
      <alignment horizontal="center"/>
    </xf>
    <xf numFmtId="165" fontId="12" fillId="4" borderId="160" xfId="0" applyNumberFormat="1" applyFont="1" applyFill="1" applyBorder="1" applyAlignment="1">
      <alignment horizontal="center"/>
    </xf>
    <xf numFmtId="165" fontId="12" fillId="4" borderId="161" xfId="0" applyNumberFormat="1" applyFont="1" applyFill="1" applyBorder="1" applyAlignment="1">
      <alignment horizontal="center"/>
    </xf>
    <xf numFmtId="165" fontId="12" fillId="4" borderId="162" xfId="0" applyNumberFormat="1" applyFont="1" applyFill="1" applyBorder="1" applyAlignment="1">
      <alignment horizontal="center"/>
    </xf>
    <xf numFmtId="0" fontId="12" fillId="4" borderId="163" xfId="0" applyFont="1" applyFill="1" applyBorder="1"/>
    <xf numFmtId="0" fontId="20" fillId="2" borderId="164" xfId="0" applyFont="1" applyFill="1" applyBorder="1" applyAlignment="1">
      <alignment horizontal="left" vertical="center" wrapText="1"/>
    </xf>
    <xf numFmtId="1" fontId="29" fillId="9" borderId="16" xfId="2" quotePrefix="1" applyNumberFormat="1" applyFont="1" applyFill="1" applyBorder="1" applyAlignment="1">
      <alignment horizontal="center" vertical="center" wrapText="1"/>
    </xf>
    <xf numFmtId="4" fontId="111" fillId="9" borderId="167" xfId="14" applyNumberFormat="1" applyFont="1" applyFill="1" applyBorder="1" applyAlignment="1">
      <alignment horizontal="center" wrapText="1"/>
    </xf>
    <xf numFmtId="0" fontId="20" fillId="9" borderId="168" xfId="0" applyFont="1" applyFill="1" applyBorder="1"/>
    <xf numFmtId="0" fontId="25" fillId="2" borderId="169" xfId="9" applyFont="1" applyFill="1" applyBorder="1" applyAlignment="1">
      <alignment vertical="center" wrapText="1"/>
    </xf>
    <xf numFmtId="1" fontId="24" fillId="2" borderId="16" xfId="2" quotePrefix="1" applyNumberFormat="1" applyFont="1" applyFill="1" applyBorder="1" applyAlignment="1">
      <alignment horizontal="center" vertical="center" wrapText="1"/>
    </xf>
    <xf numFmtId="3" fontId="2" fillId="2" borderId="170" xfId="14" applyNumberFormat="1" applyFont="1" applyFill="1" applyBorder="1" applyAlignment="1">
      <alignment horizontal="center" wrapText="1"/>
    </xf>
    <xf numFmtId="0" fontId="24" fillId="2" borderId="168" xfId="0" applyFont="1" applyFill="1" applyBorder="1" applyAlignment="1">
      <alignment vertical="center"/>
    </xf>
    <xf numFmtId="0" fontId="24" fillId="2" borderId="169" xfId="9" applyFont="1" applyFill="1" applyBorder="1" applyAlignment="1">
      <alignment vertical="center" wrapText="1"/>
    </xf>
    <xf numFmtId="4" fontId="111" fillId="2" borderId="28" xfId="14" applyNumberFormat="1" applyFont="1" applyFill="1" applyBorder="1" applyAlignment="1">
      <alignment horizontal="center" wrapText="1"/>
    </xf>
    <xf numFmtId="4" fontId="112" fillId="2" borderId="172" xfId="14" applyNumberFormat="1" applyFont="1" applyFill="1" applyBorder="1" applyAlignment="1">
      <alignment horizontal="center" wrapText="1"/>
    </xf>
    <xf numFmtId="9" fontId="2" fillId="2" borderId="173" xfId="2" applyFont="1" applyFill="1" applyBorder="1" applyAlignment="1">
      <alignment horizontal="center" wrapText="1"/>
    </xf>
    <xf numFmtId="0" fontId="24" fillId="2" borderId="168" xfId="9" applyFont="1" applyFill="1" applyBorder="1" applyAlignment="1">
      <alignment vertical="center" wrapText="1"/>
    </xf>
    <xf numFmtId="0" fontId="24" fillId="2" borderId="169" xfId="14" applyFont="1" applyFill="1" applyBorder="1" applyAlignment="1">
      <alignment vertical="center" wrapText="1"/>
    </xf>
    <xf numFmtId="0" fontId="24" fillId="2" borderId="168" xfId="14" applyFont="1" applyFill="1" applyBorder="1" applyAlignment="1">
      <alignment vertical="center" wrapText="1"/>
    </xf>
    <xf numFmtId="0" fontId="24" fillId="2" borderId="174" xfId="9" quotePrefix="1" applyFont="1" applyFill="1" applyBorder="1" applyAlignment="1">
      <alignment horizontal="left" vertical="center" wrapText="1"/>
    </xf>
    <xf numFmtId="4" fontId="111" fillId="2" borderId="33" xfId="14" applyNumberFormat="1" applyFont="1" applyFill="1" applyBorder="1" applyAlignment="1">
      <alignment horizontal="center" wrapText="1"/>
    </xf>
    <xf numFmtId="9" fontId="2" fillId="2" borderId="177" xfId="14" applyNumberFormat="1" applyFont="1" applyFill="1" applyBorder="1" applyAlignment="1">
      <alignment horizontal="center" wrapText="1"/>
    </xf>
    <xf numFmtId="0" fontId="24" fillId="2" borderId="178" xfId="0" applyFont="1" applyFill="1" applyBorder="1" applyAlignment="1">
      <alignment vertical="center" wrapText="1"/>
    </xf>
    <xf numFmtId="0" fontId="24" fillId="2" borderId="179" xfId="0" applyFont="1" applyFill="1" applyBorder="1"/>
    <xf numFmtId="0" fontId="5" fillId="2" borderId="36" xfId="0" applyFont="1" applyFill="1" applyBorder="1"/>
    <xf numFmtId="0" fontId="7" fillId="4" borderId="180" xfId="0" applyFont="1" applyFill="1" applyBorder="1"/>
    <xf numFmtId="0" fontId="24" fillId="2" borderId="181" xfId="0" applyFont="1" applyFill="1" applyBorder="1" applyAlignment="1">
      <alignment vertical="top" wrapText="1"/>
    </xf>
    <xf numFmtId="1" fontId="24" fillId="2" borderId="39" xfId="2" quotePrefix="1" applyNumberFormat="1" applyFont="1" applyFill="1" applyBorder="1" applyAlignment="1">
      <alignment horizontal="center" vertical="center" wrapText="1"/>
    </xf>
    <xf numFmtId="1" fontId="24" fillId="2" borderId="39" xfId="0" applyNumberFormat="1" applyFont="1" applyFill="1" applyBorder="1" applyAlignment="1">
      <alignment horizontal="center" vertical="center"/>
    </xf>
    <xf numFmtId="2" fontId="20" fillId="2" borderId="39" xfId="2" quotePrefix="1" applyNumberFormat="1" applyFont="1" applyFill="1" applyBorder="1" applyAlignment="1">
      <alignment horizontal="center" wrapText="1"/>
    </xf>
    <xf numFmtId="2" fontId="22" fillId="2" borderId="39" xfId="2" quotePrefix="1" applyNumberFormat="1" applyFont="1" applyFill="1" applyBorder="1" applyAlignment="1">
      <alignment horizontal="center" wrapText="1"/>
    </xf>
    <xf numFmtId="2" fontId="23" fillId="2" borderId="39" xfId="0" applyNumberFormat="1" applyFont="1" applyFill="1" applyBorder="1" applyAlignment="1">
      <alignment horizontal="center"/>
    </xf>
    <xf numFmtId="164" fontId="23" fillId="2" borderId="124" xfId="0" applyNumberFormat="1" applyFont="1" applyFill="1" applyBorder="1" applyAlignment="1">
      <alignment horizontal="center"/>
    </xf>
    <xf numFmtId="164" fontId="22" fillId="2" borderId="124" xfId="0" applyNumberFormat="1" applyFont="1" applyFill="1" applyBorder="1" applyAlignment="1">
      <alignment horizontal="center"/>
    </xf>
    <xf numFmtId="164" fontId="23" fillId="2" borderId="82" xfId="0" applyNumberFormat="1" applyFont="1" applyFill="1" applyBorder="1" applyAlignment="1">
      <alignment horizontal="center"/>
    </xf>
    <xf numFmtId="0" fontId="24" fillId="2" borderId="182" xfId="0" applyFont="1" applyFill="1" applyBorder="1" applyAlignment="1">
      <alignment vertical="top" wrapText="1"/>
    </xf>
    <xf numFmtId="0" fontId="24" fillId="2" borderId="137" xfId="0" applyFont="1" applyFill="1" applyBorder="1" applyAlignment="1">
      <alignment vertical="top" wrapText="1"/>
    </xf>
    <xf numFmtId="1" fontId="24" fillId="2" borderId="9" xfId="0" applyNumberFormat="1" applyFont="1" applyFill="1" applyBorder="1" applyAlignment="1">
      <alignment horizontal="center" vertical="center"/>
    </xf>
    <xf numFmtId="2" fontId="20" fillId="2" borderId="9" xfId="2" quotePrefix="1" applyNumberFormat="1" applyFont="1" applyFill="1" applyBorder="1" applyAlignment="1">
      <alignment horizontal="center" wrapText="1"/>
    </xf>
    <xf numFmtId="1" fontId="59" fillId="2" borderId="9" xfId="0" applyNumberFormat="1" applyFont="1" applyFill="1" applyBorder="1" applyAlignment="1">
      <alignment horizontal="center" vertical="center" wrapText="1"/>
    </xf>
    <xf numFmtId="1" fontId="25" fillId="2" borderId="9" xfId="0" applyNumberFormat="1" applyFont="1" applyFill="1" applyBorder="1" applyAlignment="1">
      <alignment horizontal="center" vertical="center"/>
    </xf>
    <xf numFmtId="1" fontId="25" fillId="2" borderId="9" xfId="0" applyNumberFormat="1" applyFont="1" applyFill="1" applyBorder="1" applyAlignment="1">
      <alignment horizontal="center"/>
    </xf>
    <xf numFmtId="164" fontId="23" fillId="2" borderId="43" xfId="0" applyNumberFormat="1" applyFont="1" applyFill="1" applyBorder="1" applyAlignment="1">
      <alignment horizontal="center"/>
    </xf>
    <xf numFmtId="164" fontId="22" fillId="2" borderId="43" xfId="0" applyNumberFormat="1" applyFont="1" applyFill="1" applyBorder="1" applyAlignment="1">
      <alignment horizontal="center"/>
    </xf>
    <xf numFmtId="0" fontId="24" fillId="2" borderId="136" xfId="0" applyFont="1" applyFill="1" applyBorder="1" applyAlignment="1">
      <alignment vertical="top" wrapText="1"/>
    </xf>
    <xf numFmtId="0" fontId="24" fillId="2" borderId="95" xfId="0" applyFont="1" applyFill="1" applyBorder="1" applyAlignment="1">
      <alignment vertical="top" wrapText="1"/>
    </xf>
    <xf numFmtId="1" fontId="24" fillId="2" borderId="16" xfId="0" applyNumberFormat="1" applyFont="1" applyFill="1" applyBorder="1" applyAlignment="1">
      <alignment horizontal="center" vertical="center"/>
    </xf>
    <xf numFmtId="2" fontId="20" fillId="2" borderId="16" xfId="2" quotePrefix="1" applyNumberFormat="1" applyFont="1" applyFill="1" applyBorder="1" applyAlignment="1">
      <alignment horizontal="center" wrapText="1"/>
    </xf>
    <xf numFmtId="1" fontId="59" fillId="2" borderId="16" xfId="0" applyNumberFormat="1" applyFont="1" applyFill="1" applyBorder="1" applyAlignment="1">
      <alignment horizontal="center" vertical="center" wrapText="1"/>
    </xf>
    <xf numFmtId="1" fontId="25" fillId="2" borderId="16" xfId="0" applyNumberFormat="1" applyFont="1" applyFill="1" applyBorder="1" applyAlignment="1">
      <alignment horizontal="center" vertical="center"/>
    </xf>
    <xf numFmtId="1" fontId="25" fillId="2" borderId="16" xfId="0" applyNumberFormat="1" applyFont="1" applyFill="1" applyBorder="1" applyAlignment="1">
      <alignment horizontal="center"/>
    </xf>
    <xf numFmtId="164" fontId="23" fillId="2" borderId="16" xfId="0" applyNumberFormat="1" applyFont="1" applyFill="1" applyBorder="1" applyAlignment="1">
      <alignment horizontal="center"/>
    </xf>
    <xf numFmtId="165" fontId="9" fillId="4" borderId="38" xfId="0" applyNumberFormat="1" applyFont="1" applyFill="1" applyBorder="1" applyAlignment="1">
      <alignment horizontal="center"/>
    </xf>
    <xf numFmtId="0" fontId="20" fillId="2" borderId="181" xfId="0" applyFont="1" applyFill="1" applyBorder="1" applyAlignment="1">
      <alignment vertical="top" wrapText="1"/>
    </xf>
    <xf numFmtId="0" fontId="24" fillId="2" borderId="124" xfId="0" applyFont="1" applyFill="1" applyBorder="1"/>
    <xf numFmtId="1" fontId="24" fillId="2" borderId="39" xfId="0" applyNumberFormat="1" applyFont="1" applyFill="1" applyBorder="1"/>
    <xf numFmtId="1" fontId="24" fillId="2" borderId="183" xfId="0" applyNumberFormat="1" applyFont="1" applyFill="1" applyBorder="1"/>
    <xf numFmtId="0" fontId="20" fillId="2" borderId="182" xfId="0" applyFont="1" applyFill="1" applyBorder="1" applyAlignment="1">
      <alignment vertical="top" wrapText="1"/>
    </xf>
    <xf numFmtId="1" fontId="24" fillId="2" borderId="43" xfId="2" quotePrefix="1" applyNumberFormat="1" applyFont="1" applyFill="1" applyBorder="1" applyAlignment="1">
      <alignment horizontal="center" vertical="center" wrapText="1"/>
    </xf>
    <xf numFmtId="164" fontId="22" fillId="2" borderId="9" xfId="0" applyNumberFormat="1" applyFont="1" applyFill="1" applyBorder="1" applyAlignment="1">
      <alignment horizontal="center"/>
    </xf>
    <xf numFmtId="164" fontId="23" fillId="2" borderId="9" xfId="0" applyNumberFormat="1" applyFont="1" applyFill="1" applyBorder="1" applyAlignment="1">
      <alignment horizontal="center"/>
    </xf>
    <xf numFmtId="164" fontId="22" fillId="2" borderId="52" xfId="0" applyNumberFormat="1" applyFont="1" applyFill="1" applyBorder="1" applyAlignment="1">
      <alignment horizontal="center"/>
    </xf>
    <xf numFmtId="0" fontId="24" fillId="2" borderId="184" xfId="0" applyFont="1" applyFill="1" applyBorder="1" applyAlignment="1">
      <alignment vertical="top" wrapText="1"/>
    </xf>
    <xf numFmtId="1" fontId="24" fillId="2" borderId="185" xfId="2" quotePrefix="1" applyNumberFormat="1" applyFont="1" applyFill="1" applyBorder="1" applyAlignment="1">
      <alignment horizontal="center" vertical="center" wrapText="1"/>
    </xf>
    <xf numFmtId="2" fontId="22" fillId="2" borderId="185" xfId="0" applyNumberFormat="1" applyFont="1" applyFill="1" applyBorder="1" applyAlignment="1">
      <alignment horizontal="center"/>
    </xf>
    <xf numFmtId="164" fontId="23" fillId="2" borderId="64" xfId="0" applyNumberFormat="1" applyFont="1" applyFill="1" applyBorder="1" applyAlignment="1">
      <alignment horizontal="center"/>
    </xf>
    <xf numFmtId="164" fontId="22" fillId="2" borderId="23" xfId="0" applyNumberFormat="1" applyFont="1" applyFill="1" applyBorder="1" applyAlignment="1">
      <alignment horizontal="center"/>
    </xf>
    <xf numFmtId="164" fontId="22" fillId="2" borderId="16" xfId="0" applyNumberFormat="1" applyFont="1" applyFill="1" applyBorder="1" applyAlignment="1">
      <alignment horizontal="center"/>
    </xf>
    <xf numFmtId="0" fontId="24" fillId="2" borderId="186" xfId="0" applyFont="1" applyFill="1" applyBorder="1" applyAlignment="1">
      <alignment vertical="top" wrapText="1"/>
    </xf>
    <xf numFmtId="0" fontId="24" fillId="2" borderId="187" xfId="0" applyFont="1" applyFill="1" applyBorder="1" applyAlignment="1">
      <alignment vertical="top" wrapText="1"/>
    </xf>
    <xf numFmtId="1" fontId="24" fillId="2" borderId="66" xfId="2" quotePrefix="1" applyNumberFormat="1" applyFont="1" applyFill="1" applyBorder="1" applyAlignment="1">
      <alignment horizontal="center" vertical="center" wrapText="1"/>
    </xf>
    <xf numFmtId="2" fontId="26" fillId="2" borderId="66" xfId="0" applyNumberFormat="1" applyFont="1" applyFill="1" applyBorder="1" applyAlignment="1">
      <alignment horizontal="center" vertical="top" wrapText="1"/>
    </xf>
    <xf numFmtId="164" fontId="26" fillId="2" borderId="6" xfId="0" applyNumberFormat="1" applyFont="1" applyFill="1" applyBorder="1" applyAlignment="1">
      <alignment horizontal="center" vertical="top" wrapText="1"/>
    </xf>
    <xf numFmtId="164" fontId="26" fillId="2" borderId="0" xfId="0" applyNumberFormat="1" applyFont="1" applyFill="1" applyAlignment="1">
      <alignment horizontal="center" vertical="top" wrapText="1"/>
    </xf>
    <xf numFmtId="0" fontId="24" fillId="2" borderId="190" xfId="0" applyFont="1" applyFill="1" applyBorder="1" applyAlignment="1">
      <alignment vertical="top" wrapText="1"/>
    </xf>
    <xf numFmtId="2" fontId="22" fillId="2" borderId="66" xfId="0" applyNumberFormat="1" applyFont="1" applyFill="1" applyBorder="1" applyAlignment="1">
      <alignment horizontal="center"/>
    </xf>
    <xf numFmtId="164" fontId="23" fillId="2" borderId="5" xfId="0" quotePrefix="1" applyNumberFormat="1" applyFont="1" applyFill="1" applyBorder="1" applyAlignment="1">
      <alignment horizontal="center"/>
    </xf>
    <xf numFmtId="0" fontId="24" fillId="2" borderId="146" xfId="0" applyFont="1" applyFill="1" applyBorder="1" applyAlignment="1">
      <alignment vertical="top" wrapText="1"/>
    </xf>
    <xf numFmtId="2" fontId="22" fillId="2" borderId="11" xfId="0" applyNumberFormat="1" applyFont="1" applyFill="1" applyBorder="1" applyAlignment="1">
      <alignment horizontal="center"/>
    </xf>
    <xf numFmtId="0" fontId="24" fillId="2" borderId="118" xfId="0" applyFont="1" applyFill="1" applyBorder="1" applyAlignment="1">
      <alignment vertical="top" wrapText="1"/>
    </xf>
    <xf numFmtId="0" fontId="3" fillId="2" borderId="0" xfId="6" applyFont="1" applyFill="1"/>
    <xf numFmtId="0" fontId="3" fillId="2" borderId="0" xfId="15" applyFont="1" applyFill="1"/>
    <xf numFmtId="164" fontId="26" fillId="2" borderId="55" xfId="0" applyNumberFormat="1" applyFont="1" applyFill="1" applyBorder="1" applyAlignment="1">
      <alignment horizontal="center" vertical="top" wrapText="1"/>
    </xf>
    <xf numFmtId="0" fontId="123" fillId="2" borderId="0" xfId="0" applyFont="1" applyFill="1" applyAlignment="1">
      <alignment horizontal="left"/>
    </xf>
    <xf numFmtId="0" fontId="91" fillId="3" borderId="191" xfId="0" applyFont="1" applyFill="1" applyBorder="1" applyAlignment="1">
      <alignment horizontal="left" vertical="top" wrapText="1"/>
    </xf>
    <xf numFmtId="0" fontId="91" fillId="3" borderId="192" xfId="0" applyFont="1" applyFill="1" applyBorder="1" applyAlignment="1">
      <alignment horizontal="center"/>
    </xf>
    <xf numFmtId="0" fontId="91" fillId="3" borderId="193" xfId="0" applyFont="1" applyFill="1" applyBorder="1" applyAlignment="1">
      <alignment horizontal="center"/>
    </xf>
    <xf numFmtId="0" fontId="91" fillId="3" borderId="194" xfId="0" applyFont="1" applyFill="1" applyBorder="1" applyAlignment="1">
      <alignment horizontal="left" vertical="top" wrapText="1"/>
    </xf>
    <xf numFmtId="0" fontId="124" fillId="4" borderId="82" xfId="0" applyFont="1" applyFill="1" applyBorder="1" applyAlignment="1">
      <alignment horizontal="center"/>
    </xf>
    <xf numFmtId="0" fontId="14" fillId="4" borderId="179" xfId="0" applyFont="1" applyFill="1" applyBorder="1" applyAlignment="1">
      <alignment horizontal="center"/>
    </xf>
    <xf numFmtId="0" fontId="12" fillId="4" borderId="195" xfId="0" applyFont="1" applyFill="1" applyBorder="1" applyAlignment="1">
      <alignment horizontal="left"/>
    </xf>
    <xf numFmtId="0" fontId="60" fillId="4" borderId="113" xfId="0" applyFont="1" applyFill="1" applyBorder="1" applyAlignment="1">
      <alignment horizontal="left"/>
    </xf>
    <xf numFmtId="2" fontId="60" fillId="4" borderId="6" xfId="2" applyNumberFormat="1" applyFont="1" applyFill="1" applyBorder="1" applyAlignment="1">
      <alignment horizontal="center"/>
    </xf>
    <xf numFmtId="2" fontId="61" fillId="4" borderId="6" xfId="2" applyNumberFormat="1" applyFont="1" applyFill="1" applyBorder="1" applyAlignment="1">
      <alignment horizontal="center"/>
    </xf>
    <xf numFmtId="1" fontId="59" fillId="4" borderId="6" xfId="2" applyNumberFormat="1" applyFont="1" applyFill="1" applyBorder="1" applyAlignment="1">
      <alignment horizontal="center"/>
    </xf>
    <xf numFmtId="1" fontId="60" fillId="4" borderId="6" xfId="2" applyNumberFormat="1" applyFont="1" applyFill="1" applyBorder="1" applyAlignment="1">
      <alignment horizontal="center"/>
    </xf>
    <xf numFmtId="1" fontId="61" fillId="4" borderId="6" xfId="2" applyNumberFormat="1" applyFont="1" applyFill="1" applyBorder="1" applyAlignment="1">
      <alignment horizontal="center"/>
    </xf>
    <xf numFmtId="0" fontId="125" fillId="4" borderId="6" xfId="0" applyFont="1" applyFill="1" applyBorder="1" applyAlignment="1">
      <alignment horizontal="center"/>
    </xf>
    <xf numFmtId="0" fontId="125" fillId="4" borderId="27" xfId="0" applyFont="1" applyFill="1" applyBorder="1" applyAlignment="1">
      <alignment horizontal="center"/>
    </xf>
    <xf numFmtId="0" fontId="125" fillId="4" borderId="0" xfId="0" applyFont="1" applyFill="1" applyAlignment="1">
      <alignment horizontal="center"/>
    </xf>
    <xf numFmtId="0" fontId="60" fillId="4" borderId="196" xfId="0" applyFont="1" applyFill="1" applyBorder="1" applyAlignment="1">
      <alignment horizontal="left"/>
    </xf>
    <xf numFmtId="0" fontId="12" fillId="4" borderId="113" xfId="0" applyFont="1" applyFill="1" applyBorder="1" applyAlignment="1">
      <alignment horizontal="left"/>
    </xf>
    <xf numFmtId="2" fontId="12" fillId="4" borderId="6" xfId="2" applyNumberFormat="1" applyFont="1" applyFill="1" applyBorder="1" applyAlignment="1">
      <alignment horizontal="center"/>
    </xf>
    <xf numFmtId="2" fontId="14" fillId="4" borderId="6" xfId="2" applyNumberFormat="1" applyFont="1" applyFill="1" applyBorder="1" applyAlignment="1">
      <alignment horizontal="center"/>
    </xf>
    <xf numFmtId="1" fontId="22" fillId="4" borderId="6" xfId="2" applyNumberFormat="1" applyFont="1" applyFill="1" applyBorder="1" applyAlignment="1">
      <alignment horizontal="center"/>
    </xf>
    <xf numFmtId="0" fontId="11" fillId="4" borderId="6" xfId="0" applyFont="1" applyFill="1" applyBorder="1" applyAlignment="1">
      <alignment horizontal="center"/>
    </xf>
    <xf numFmtId="0" fontId="11" fillId="4" borderId="27" xfId="0" applyFont="1" applyFill="1" applyBorder="1" applyAlignment="1">
      <alignment horizontal="center"/>
    </xf>
    <xf numFmtId="0" fontId="11" fillId="4" borderId="0" xfId="0" applyFont="1" applyFill="1" applyAlignment="1">
      <alignment horizontal="center"/>
    </xf>
    <xf numFmtId="0" fontId="12" fillId="4" borderId="196" xfId="0" applyFont="1" applyFill="1" applyBorder="1" applyAlignment="1">
      <alignment horizontal="left"/>
    </xf>
    <xf numFmtId="0" fontId="28" fillId="4" borderId="50"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1" fillId="4" borderId="36" xfId="0" applyFont="1" applyFill="1" applyBorder="1" applyAlignment="1">
      <alignment horizontal="center"/>
    </xf>
    <xf numFmtId="0" fontId="16" fillId="4" borderId="197" xfId="0" applyFont="1" applyFill="1" applyBorder="1" applyAlignment="1">
      <alignment horizontal="left"/>
    </xf>
    <xf numFmtId="1" fontId="14" fillId="4" borderId="36" xfId="2" applyNumberFormat="1" applyFont="1" applyFill="1" applyBorder="1" applyAlignment="1">
      <alignment horizontal="center"/>
    </xf>
    <xf numFmtId="0" fontId="12" fillId="4" borderId="197" xfId="0" applyFont="1" applyFill="1" applyBorder="1" applyAlignment="1">
      <alignment horizontal="left"/>
    </xf>
    <xf numFmtId="9" fontId="20" fillId="5" borderId="82" xfId="8" applyFont="1" applyFill="1" applyBorder="1" applyAlignment="1">
      <alignment horizontal="center"/>
    </xf>
    <xf numFmtId="9" fontId="21" fillId="5" borderId="7" xfId="8" applyFont="1" applyFill="1" applyBorder="1" applyAlignment="1">
      <alignment horizontal="center"/>
    </xf>
    <xf numFmtId="9" fontId="23" fillId="5" borderId="7" xfId="8" applyFont="1" applyFill="1" applyBorder="1" applyAlignment="1">
      <alignment horizontal="center"/>
    </xf>
    <xf numFmtId="9" fontId="20" fillId="5" borderId="7" xfId="8" applyFont="1" applyFill="1" applyBorder="1" applyAlignment="1">
      <alignment horizontal="center"/>
    </xf>
    <xf numFmtId="9" fontId="22" fillId="5" borderId="7" xfId="8" applyFont="1" applyFill="1" applyBorder="1" applyAlignment="1">
      <alignment horizontal="center" wrapText="1"/>
    </xf>
    <xf numFmtId="9" fontId="20" fillId="5" borderId="82" xfId="8" applyFont="1" applyFill="1" applyBorder="1" applyAlignment="1">
      <alignment horizontal="center" wrapText="1"/>
    </xf>
    <xf numFmtId="9" fontId="20" fillId="5" borderId="83" xfId="8" applyFont="1" applyFill="1" applyBorder="1" applyAlignment="1">
      <alignment horizontal="center" wrapText="1"/>
    </xf>
    <xf numFmtId="9" fontId="20" fillId="5" borderId="179" xfId="8" applyFont="1" applyFill="1" applyBorder="1" applyAlignment="1">
      <alignment horizontal="center" wrapText="1"/>
    </xf>
    <xf numFmtId="0" fontId="20" fillId="5" borderId="195" xfId="0" applyFont="1" applyFill="1" applyBorder="1" applyAlignment="1">
      <alignment horizontal="left"/>
    </xf>
    <xf numFmtId="0" fontId="19" fillId="5" borderId="131" xfId="0" applyFont="1" applyFill="1" applyBorder="1"/>
    <xf numFmtId="9" fontId="20" fillId="5" borderId="6" xfId="8" applyFont="1" applyFill="1" applyBorder="1" applyAlignment="1">
      <alignment horizontal="center"/>
    </xf>
    <xf numFmtId="9" fontId="22" fillId="5" borderId="6" xfId="8" applyFont="1" applyFill="1" applyBorder="1" applyAlignment="1">
      <alignment horizontal="center" wrapText="1"/>
    </xf>
    <xf numFmtId="9" fontId="20" fillId="5" borderId="6" xfId="8" applyFont="1" applyFill="1" applyBorder="1" applyAlignment="1">
      <alignment horizontal="center" wrapText="1"/>
    </xf>
    <xf numFmtId="9" fontId="20" fillId="5" borderId="27" xfId="8" applyFont="1" applyFill="1" applyBorder="1" applyAlignment="1">
      <alignment horizontal="center" wrapText="1"/>
    </xf>
    <xf numFmtId="9" fontId="20" fillId="5" borderId="0" xfId="8" applyFont="1" applyFill="1" applyBorder="1" applyAlignment="1">
      <alignment horizontal="center" wrapText="1"/>
    </xf>
    <xf numFmtId="9" fontId="23" fillId="5" borderId="6" xfId="8" applyFont="1" applyFill="1" applyBorder="1" applyAlignment="1">
      <alignment horizontal="center" wrapText="1"/>
    </xf>
    <xf numFmtId="0" fontId="20" fillId="5" borderId="196" xfId="0" applyFont="1" applyFill="1" applyBorder="1" applyAlignment="1">
      <alignment horizontal="left"/>
    </xf>
    <xf numFmtId="0" fontId="26" fillId="11" borderId="137" xfId="0" applyFont="1" applyFill="1" applyBorder="1" applyAlignment="1">
      <alignment wrapText="1"/>
    </xf>
    <xf numFmtId="9" fontId="126" fillId="5" borderId="6" xfId="8" applyFont="1" applyFill="1" applyBorder="1" applyAlignment="1">
      <alignment horizontal="center"/>
    </xf>
    <xf numFmtId="9" fontId="22" fillId="5" borderId="6" xfId="8" applyFont="1" applyFill="1" applyBorder="1" applyAlignment="1">
      <alignment horizontal="center" vertical="center"/>
    </xf>
    <xf numFmtId="9" fontId="20" fillId="5" borderId="6" xfId="8" applyFont="1" applyFill="1" applyBorder="1" applyAlignment="1">
      <alignment horizontal="center" vertical="center"/>
    </xf>
    <xf numFmtId="9" fontId="20" fillId="5" borderId="27" xfId="8" applyFont="1" applyFill="1" applyBorder="1" applyAlignment="1">
      <alignment horizontal="center" vertical="center"/>
    </xf>
    <xf numFmtId="9" fontId="20" fillId="5" borderId="0" xfId="8" applyFont="1" applyFill="1" applyBorder="1" applyAlignment="1">
      <alignment horizontal="center" vertical="center"/>
    </xf>
    <xf numFmtId="9" fontId="23" fillId="5" borderId="6" xfId="8" applyFont="1" applyFill="1" applyBorder="1" applyAlignment="1">
      <alignment horizontal="center" vertical="center"/>
    </xf>
    <xf numFmtId="0" fontId="26" fillId="11" borderId="198" xfId="0" applyFont="1" applyFill="1" applyBorder="1" applyAlignment="1">
      <alignment wrapText="1"/>
    </xf>
    <xf numFmtId="0" fontId="19" fillId="5" borderId="146" xfId="0" applyFont="1" applyFill="1" applyBorder="1" applyAlignment="1">
      <alignment wrapText="1"/>
    </xf>
    <xf numFmtId="9" fontId="20" fillId="5" borderId="11" xfId="8" applyFont="1" applyFill="1" applyBorder="1" applyAlignment="1">
      <alignment horizontal="center"/>
    </xf>
    <xf numFmtId="9" fontId="22" fillId="5" borderId="11" xfId="8" applyFont="1" applyFill="1" applyBorder="1" applyAlignment="1">
      <alignment horizontal="center" wrapText="1"/>
    </xf>
    <xf numFmtId="9" fontId="22" fillId="5" borderId="55" xfId="8" applyFont="1" applyFill="1" applyBorder="1" applyAlignment="1">
      <alignment horizontal="center" wrapText="1"/>
    </xf>
    <xf numFmtId="9" fontId="22" fillId="5" borderId="199" xfId="8" applyFont="1" applyFill="1" applyBorder="1" applyAlignment="1">
      <alignment horizontal="center" wrapText="1"/>
    </xf>
    <xf numFmtId="0" fontId="19" fillId="5" borderId="200" xfId="0" applyFont="1" applyFill="1" applyBorder="1" applyAlignment="1">
      <alignment wrapText="1"/>
    </xf>
    <xf numFmtId="0" fontId="20" fillId="2" borderId="201" xfId="0" applyFont="1" applyFill="1" applyBorder="1"/>
    <xf numFmtId="9" fontId="20" fillId="2" borderId="11" xfId="0" applyNumberFormat="1" applyFont="1" applyFill="1" applyBorder="1" applyAlignment="1">
      <alignment horizontal="center"/>
    </xf>
    <xf numFmtId="9" fontId="22" fillId="2" borderId="11" xfId="0" applyNumberFormat="1" applyFont="1" applyFill="1" applyBorder="1" applyAlignment="1">
      <alignment horizontal="center"/>
    </xf>
    <xf numFmtId="9" fontId="21" fillId="2" borderId="11" xfId="0" applyNumberFormat="1" applyFont="1" applyFill="1" applyBorder="1" applyAlignment="1">
      <alignment horizontal="center"/>
    </xf>
    <xf numFmtId="9" fontId="20" fillId="2" borderId="5" xfId="0" applyNumberFormat="1" applyFont="1" applyFill="1" applyBorder="1" applyAlignment="1">
      <alignment horizontal="center"/>
    </xf>
    <xf numFmtId="9" fontId="20" fillId="2" borderId="73" xfId="0" applyNumberFormat="1" applyFont="1" applyFill="1" applyBorder="1" applyAlignment="1">
      <alignment horizontal="center"/>
    </xf>
    <xf numFmtId="9" fontId="23" fillId="2" borderId="5" xfId="0" applyNumberFormat="1" applyFont="1" applyFill="1" applyBorder="1" applyAlignment="1">
      <alignment horizontal="center"/>
    </xf>
    <xf numFmtId="0" fontId="20" fillId="2" borderId="202" xfId="0" applyFont="1" applyFill="1" applyBorder="1"/>
    <xf numFmtId="0" fontId="20" fillId="5" borderId="113" xfId="0" applyFont="1" applyFill="1" applyBorder="1" applyAlignment="1">
      <alignment vertical="top"/>
    </xf>
    <xf numFmtId="9" fontId="20" fillId="5" borderId="6" xfId="0" applyNumberFormat="1" applyFont="1" applyFill="1" applyBorder="1" applyAlignment="1">
      <alignment horizontal="center" vertical="top"/>
    </xf>
    <xf numFmtId="9" fontId="20" fillId="5" borderId="6" xfId="0" applyNumberFormat="1" applyFont="1" applyFill="1" applyBorder="1" applyAlignment="1">
      <alignment horizontal="center" vertical="center"/>
    </xf>
    <xf numFmtId="10" fontId="24" fillId="5" borderId="203" xfId="8" applyNumberFormat="1" applyFont="1" applyFill="1" applyBorder="1" applyAlignment="1">
      <alignment horizontal="center" vertical="center" wrapText="1"/>
    </xf>
    <xf numFmtId="10" fontId="24" fillId="5" borderId="203" xfId="8" applyNumberFormat="1" applyFont="1" applyFill="1" applyBorder="1" applyAlignment="1">
      <alignment horizontal="center" vertical="center"/>
    </xf>
    <xf numFmtId="10" fontId="24" fillId="5" borderId="203" xfId="8" applyNumberFormat="1" applyFont="1" applyFill="1" applyBorder="1" applyAlignment="1">
      <alignment horizontal="center" vertical="center" wrapText="1" shrinkToFit="1"/>
    </xf>
    <xf numFmtId="10" fontId="25" fillId="5" borderId="203" xfId="8" applyNumberFormat="1" applyFont="1" applyFill="1" applyBorder="1" applyAlignment="1">
      <alignment horizontal="center" vertical="center"/>
    </xf>
    <xf numFmtId="10" fontId="25" fillId="5" borderId="6" xfId="8" applyNumberFormat="1" applyFont="1" applyFill="1" applyBorder="1" applyAlignment="1">
      <alignment horizontal="center" vertical="center"/>
    </xf>
    <xf numFmtId="10" fontId="25" fillId="5" borderId="26" xfId="8" applyNumberFormat="1" applyFont="1" applyFill="1" applyBorder="1" applyAlignment="1">
      <alignment horizontal="center" vertical="center"/>
    </xf>
    <xf numFmtId="0" fontId="20" fillId="5" borderId="196" xfId="0" applyFont="1" applyFill="1" applyBorder="1" applyAlignment="1">
      <alignment vertical="top"/>
    </xf>
    <xf numFmtId="0" fontId="24" fillId="2" borderId="7" xfId="0" applyFont="1" applyFill="1" applyBorder="1" applyAlignment="1">
      <alignment vertical="center"/>
    </xf>
    <xf numFmtId="0" fontId="24" fillId="2" borderId="45" xfId="0" applyFont="1" applyFill="1" applyBorder="1" applyAlignment="1">
      <alignment vertical="center"/>
    </xf>
    <xf numFmtId="0" fontId="24" fillId="2" borderId="204" xfId="0" applyFont="1" applyFill="1" applyBorder="1" applyAlignment="1">
      <alignment vertical="center"/>
    </xf>
    <xf numFmtId="0" fontId="24" fillId="2" borderId="205" xfId="0" applyFont="1" applyFill="1" applyBorder="1"/>
    <xf numFmtId="0" fontId="16" fillId="2" borderId="95" xfId="0" applyFont="1" applyFill="1" applyBorder="1" applyAlignment="1">
      <alignment horizontal="left" vertical="center"/>
    </xf>
    <xf numFmtId="1" fontId="17" fillId="2" borderId="16" xfId="0" applyNumberFormat="1" applyFont="1" applyFill="1" applyBorder="1" applyAlignment="1">
      <alignment horizontal="center"/>
    </xf>
    <xf numFmtId="0" fontId="16" fillId="2" borderId="16"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06" xfId="0" applyFont="1" applyFill="1" applyBorder="1" applyAlignment="1">
      <alignment horizontal="left" vertical="center"/>
    </xf>
    <xf numFmtId="0" fontId="29" fillId="2" borderId="110" xfId="0" applyFont="1" applyFill="1" applyBorder="1" applyAlignment="1">
      <alignment horizontal="left" vertical="center"/>
    </xf>
    <xf numFmtId="1" fontId="29" fillId="2" borderId="13" xfId="0" applyNumberFormat="1" applyFont="1" applyFill="1" applyBorder="1" applyAlignment="1">
      <alignment horizontal="center"/>
    </xf>
    <xf numFmtId="1" fontId="48" fillId="2" borderId="13" xfId="0" applyNumberFormat="1" applyFont="1" applyFill="1" applyBorder="1" applyAlignment="1">
      <alignment horizontal="center"/>
    </xf>
    <xf numFmtId="1" fontId="17" fillId="2" borderId="6" xfId="0" applyNumberFormat="1" applyFont="1" applyFill="1" applyBorder="1" applyAlignment="1">
      <alignment horizontal="center"/>
    </xf>
    <xf numFmtId="3" fontId="16" fillId="2" borderId="16" xfId="0" applyNumberFormat="1" applyFont="1" applyFill="1" applyBorder="1" applyAlignment="1">
      <alignment horizontal="center"/>
    </xf>
    <xf numFmtId="0" fontId="41" fillId="2" borderId="13"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111" xfId="0" applyFont="1" applyFill="1" applyBorder="1" applyAlignment="1">
      <alignment horizontal="center" vertical="center"/>
    </xf>
    <xf numFmtId="0" fontId="29" fillId="2" borderId="116" xfId="0" applyFont="1" applyFill="1" applyBorder="1" applyAlignment="1">
      <alignment horizontal="center" vertical="center"/>
    </xf>
    <xf numFmtId="0" fontId="29" fillId="2" borderId="207" xfId="0" applyFont="1" applyFill="1" applyBorder="1" applyAlignment="1">
      <alignment horizontal="left" vertical="center"/>
    </xf>
    <xf numFmtId="0" fontId="21" fillId="2" borderId="103" xfId="0" applyFont="1" applyFill="1" applyBorder="1" applyAlignment="1">
      <alignment horizontal="center"/>
    </xf>
    <xf numFmtId="0" fontId="21" fillId="2" borderId="117" xfId="0" applyFont="1" applyFill="1" applyBorder="1" applyAlignment="1">
      <alignment horizontal="center"/>
    </xf>
    <xf numFmtId="0" fontId="34" fillId="2" borderId="208" xfId="0" applyFont="1" applyFill="1" applyBorder="1" applyAlignment="1">
      <alignment horizontal="left" wrapText="1" readingOrder="1"/>
    </xf>
    <xf numFmtId="1" fontId="22" fillId="2" borderId="21" xfId="0" applyNumberFormat="1" applyFont="1" applyFill="1" applyBorder="1" applyAlignment="1">
      <alignment horizontal="center"/>
    </xf>
    <xf numFmtId="0" fontId="22" fillId="2" borderId="103" xfId="0" applyFont="1" applyFill="1" applyBorder="1" applyAlignment="1">
      <alignment horizontal="center"/>
    </xf>
    <xf numFmtId="0" fontId="22" fillId="0" borderId="117" xfId="0" applyFont="1" applyBorder="1" applyAlignment="1">
      <alignment horizontal="center"/>
    </xf>
    <xf numFmtId="0" fontId="22" fillId="0" borderId="21" xfId="0" applyFont="1" applyBorder="1" applyAlignment="1">
      <alignment horizontal="center"/>
    </xf>
    <xf numFmtId="170" fontId="104" fillId="2" borderId="0" xfId="0" applyNumberFormat="1" applyFont="1" applyFill="1"/>
    <xf numFmtId="4" fontId="25" fillId="2" borderId="21" xfId="0" applyNumberFormat="1" applyFont="1" applyFill="1" applyBorder="1" applyAlignment="1">
      <alignment horizontal="center" wrapText="1"/>
    </xf>
    <xf numFmtId="3" fontId="22" fillId="2" borderId="21" xfId="0" applyNumberFormat="1" applyFont="1" applyFill="1" applyBorder="1" applyAlignment="1">
      <alignment horizontal="center" wrapText="1"/>
    </xf>
    <xf numFmtId="3" fontId="22" fillId="2" borderId="103" xfId="0" applyNumberFormat="1" applyFont="1" applyFill="1" applyBorder="1" applyAlignment="1">
      <alignment horizontal="center" wrapText="1"/>
    </xf>
    <xf numFmtId="3" fontId="24" fillId="2" borderId="117" xfId="0" applyNumberFormat="1" applyFont="1" applyFill="1" applyBorder="1" applyAlignment="1">
      <alignment horizontal="center" wrapText="1"/>
    </xf>
    <xf numFmtId="3" fontId="30" fillId="2" borderId="21" xfId="0" applyNumberFormat="1" applyFont="1" applyFill="1" applyBorder="1" applyAlignment="1">
      <alignment horizontal="center" wrapText="1"/>
    </xf>
    <xf numFmtId="1" fontId="20" fillId="2" borderId="11" xfId="0" applyNumberFormat="1" applyFont="1" applyFill="1" applyBorder="1" applyAlignment="1">
      <alignment horizontal="center" vertical="center"/>
    </xf>
    <xf numFmtId="1" fontId="22" fillId="2" borderId="11" xfId="0" applyNumberFormat="1" applyFont="1" applyFill="1" applyBorder="1" applyAlignment="1">
      <alignment horizontal="center" vertical="center"/>
    </xf>
    <xf numFmtId="3" fontId="26" fillId="2" borderId="108" xfId="0" applyNumberFormat="1" applyFont="1" applyFill="1" applyBorder="1" applyAlignment="1">
      <alignment horizontal="left" vertical="top" wrapText="1"/>
    </xf>
    <xf numFmtId="3" fontId="26" fillId="0" borderId="107" xfId="0" applyNumberFormat="1" applyFont="1" applyBorder="1" applyAlignment="1">
      <alignment horizontal="left" vertical="top" wrapText="1"/>
    </xf>
    <xf numFmtId="3" fontId="18" fillId="0" borderId="15" xfId="0" applyNumberFormat="1" applyFont="1" applyBorder="1" applyAlignment="1">
      <alignment horizontal="left" vertical="top" wrapText="1"/>
    </xf>
    <xf numFmtId="0" fontId="34" fillId="2" borderId="209" xfId="0" applyFont="1" applyFill="1" applyBorder="1" applyAlignment="1">
      <alignment horizontal="left" wrapText="1" readingOrder="1"/>
    </xf>
    <xf numFmtId="0" fontId="24" fillId="2" borderId="97" xfId="3" applyFont="1" applyFill="1" applyBorder="1" applyAlignment="1">
      <alignment vertical="center" wrapText="1"/>
    </xf>
    <xf numFmtId="2" fontId="20" fillId="2" borderId="45" xfId="0" applyNumberFormat="1" applyFont="1" applyFill="1" applyBorder="1" applyAlignment="1">
      <alignment horizontal="center" vertical="center" wrapText="1"/>
    </xf>
    <xf numFmtId="2" fontId="20" fillId="2" borderId="204" xfId="0" applyNumberFormat="1" applyFont="1" applyFill="1" applyBorder="1" applyAlignment="1">
      <alignment horizontal="center" vertical="center" wrapText="1"/>
    </xf>
    <xf numFmtId="0" fontId="39" fillId="2" borderId="205" xfId="0" applyFont="1" applyFill="1" applyBorder="1" applyAlignment="1">
      <alignment horizontal="left" vertical="center" readingOrder="1"/>
    </xf>
    <xf numFmtId="0" fontId="24" fillId="5" borderId="93" xfId="0" applyFont="1" applyFill="1" applyBorder="1" applyAlignment="1">
      <alignment horizontal="left" vertical="center" wrapText="1"/>
    </xf>
    <xf numFmtId="2" fontId="25" fillId="5" borderId="7" xfId="0" applyNumberFormat="1" applyFont="1" applyFill="1" applyBorder="1" applyAlignment="1">
      <alignment horizontal="center" vertical="center" wrapText="1"/>
    </xf>
    <xf numFmtId="164" fontId="23" fillId="5" borderId="7" xfId="0" applyNumberFormat="1" applyFont="1" applyFill="1" applyBorder="1" applyAlignment="1">
      <alignment horizontal="center" vertical="center"/>
    </xf>
    <xf numFmtId="164" fontId="23" fillId="5" borderId="204" xfId="0" applyNumberFormat="1" applyFont="1" applyFill="1" applyBorder="1" applyAlignment="1">
      <alignment horizontal="center" vertical="center"/>
    </xf>
    <xf numFmtId="0" fontId="24" fillId="5" borderId="210" xfId="0" applyFont="1" applyFill="1" applyBorder="1" applyAlignment="1">
      <alignment horizontal="left" vertical="center" wrapText="1"/>
    </xf>
    <xf numFmtId="0" fontId="24" fillId="5" borderId="113" xfId="0" applyFont="1" applyFill="1" applyBorder="1" applyAlignment="1">
      <alignment horizontal="left" vertical="center" wrapText="1"/>
    </xf>
    <xf numFmtId="1" fontId="9" fillId="5" borderId="6" xfId="0" applyNumberFormat="1" applyFont="1" applyFill="1" applyBorder="1" applyAlignment="1">
      <alignment horizontal="center"/>
    </xf>
    <xf numFmtId="2" fontId="24" fillId="5" borderId="6" xfId="0" applyNumberFormat="1" applyFont="1" applyFill="1" applyBorder="1" applyAlignment="1">
      <alignment horizontal="center" vertical="center" wrapText="1"/>
    </xf>
    <xf numFmtId="2" fontId="24" fillId="5" borderId="6" xfId="0" applyNumberFormat="1" applyFont="1" applyFill="1" applyBorder="1" applyAlignment="1">
      <alignment horizontal="center" wrapText="1"/>
    </xf>
    <xf numFmtId="164" fontId="23" fillId="5" borderId="6" xfId="0" applyNumberFormat="1" applyFont="1" applyFill="1" applyBorder="1" applyAlignment="1">
      <alignment horizontal="center" vertical="center"/>
    </xf>
    <xf numFmtId="0" fontId="22" fillId="5" borderId="27" xfId="0" applyFont="1" applyFill="1" applyBorder="1" applyAlignment="1">
      <alignment horizontal="center" vertical="center"/>
    </xf>
    <xf numFmtId="0" fontId="22" fillId="5" borderId="0" xfId="0" applyFont="1" applyFill="1" applyAlignment="1">
      <alignment horizontal="center" vertical="center"/>
    </xf>
    <xf numFmtId="0" fontId="24" fillId="5" borderId="196" xfId="0" applyFont="1" applyFill="1" applyBorder="1" applyAlignment="1">
      <alignment horizontal="left" vertical="center" wrapText="1"/>
    </xf>
    <xf numFmtId="0" fontId="20" fillId="2" borderId="164" xfId="0" applyFont="1" applyFill="1" applyBorder="1" applyAlignment="1">
      <alignment wrapText="1"/>
    </xf>
    <xf numFmtId="2" fontId="24" fillId="2" borderId="60" xfId="0" applyNumberFormat="1" applyFont="1" applyFill="1" applyBorder="1" applyAlignment="1">
      <alignment horizontal="center" vertical="center" wrapText="1"/>
    </xf>
    <xf numFmtId="2" fontId="30" fillId="2" borderId="211" xfId="0" applyNumberFormat="1" applyFont="1" applyFill="1" applyBorder="1" applyAlignment="1">
      <alignment horizontal="center" vertical="center" wrapText="1"/>
    </xf>
    <xf numFmtId="2" fontId="30" fillId="2" borderId="60" xfId="0" applyNumberFormat="1" applyFont="1" applyFill="1" applyBorder="1" applyAlignment="1">
      <alignment horizontal="center" vertical="center" wrapText="1"/>
    </xf>
    <xf numFmtId="2" fontId="30" fillId="2" borderId="212" xfId="0" applyNumberFormat="1" applyFont="1" applyFill="1" applyBorder="1" applyAlignment="1">
      <alignment horizontal="center" vertical="center" wrapText="1"/>
    </xf>
    <xf numFmtId="2" fontId="30" fillId="2" borderId="213" xfId="0" applyNumberFormat="1" applyFont="1" applyFill="1" applyBorder="1" applyAlignment="1">
      <alignment horizontal="center" vertical="center" wrapText="1"/>
    </xf>
    <xf numFmtId="0" fontId="20" fillId="2" borderId="214" xfId="0" applyFont="1" applyFill="1" applyBorder="1" applyAlignment="1">
      <alignment wrapText="1"/>
    </xf>
    <xf numFmtId="0" fontId="24" fillId="2" borderId="28" xfId="0" applyFont="1" applyFill="1" applyBorder="1" applyAlignment="1">
      <alignment horizontal="left" vertical="center" wrapText="1"/>
    </xf>
    <xf numFmtId="0" fontId="46" fillId="2" borderId="28" xfId="6" applyFill="1" applyBorder="1" applyAlignment="1">
      <alignment horizontal="center" vertical="center"/>
    </xf>
    <xf numFmtId="0" fontId="24" fillId="2" borderId="28" xfId="6" applyFont="1" applyFill="1" applyBorder="1" applyAlignment="1">
      <alignment horizontal="center" vertical="center"/>
    </xf>
    <xf numFmtId="0" fontId="30" fillId="2" borderId="28" xfId="6" applyFont="1" applyFill="1" applyBorder="1" applyAlignment="1">
      <alignment horizontal="center" vertical="center"/>
    </xf>
    <xf numFmtId="0" fontId="25" fillId="2" borderId="28" xfId="6" applyFont="1" applyFill="1" applyBorder="1" applyAlignment="1">
      <alignment horizontal="center" vertical="center"/>
    </xf>
    <xf numFmtId="0" fontId="30" fillId="2" borderId="173" xfId="6" applyFont="1" applyFill="1" applyBorder="1" applyAlignment="1">
      <alignment horizontal="center" vertical="center"/>
    </xf>
    <xf numFmtId="0" fontId="30" fillId="2" borderId="172" xfId="6" applyFont="1" applyFill="1" applyBorder="1" applyAlignment="1">
      <alignment horizontal="center" vertical="center"/>
    </xf>
    <xf numFmtId="0" fontId="24" fillId="2" borderId="215" xfId="0" applyFont="1" applyFill="1" applyBorder="1" applyAlignment="1">
      <alignment horizontal="left" vertical="center" wrapText="1"/>
    </xf>
    <xf numFmtId="0" fontId="24" fillId="2" borderId="61" xfId="0" applyFont="1" applyFill="1" applyBorder="1" applyAlignment="1">
      <alignment horizontal="left" vertical="center" wrapText="1"/>
    </xf>
    <xf numFmtId="0" fontId="46" fillId="2" borderId="61" xfId="6" applyFill="1" applyBorder="1" applyAlignment="1">
      <alignment horizontal="center" vertical="center"/>
    </xf>
    <xf numFmtId="0" fontId="24" fillId="2" borderId="61" xfId="6" applyFont="1" applyFill="1" applyBorder="1" applyAlignment="1">
      <alignment horizontal="center" vertical="center"/>
    </xf>
    <xf numFmtId="0" fontId="30" fillId="2" borderId="61" xfId="6" applyFont="1" applyFill="1" applyBorder="1" applyAlignment="1">
      <alignment horizontal="center" vertical="center"/>
    </xf>
    <xf numFmtId="0" fontId="25" fillId="2" borderId="61" xfId="6" applyFont="1" applyFill="1" applyBorder="1" applyAlignment="1">
      <alignment horizontal="center" vertical="center"/>
    </xf>
    <xf numFmtId="0" fontId="30" fillId="2" borderId="216" xfId="6" applyFont="1" applyFill="1" applyBorder="1" applyAlignment="1">
      <alignment horizontal="center" vertical="center"/>
    </xf>
    <xf numFmtId="0" fontId="30" fillId="2" borderId="217" xfId="6" applyFont="1" applyFill="1" applyBorder="1" applyAlignment="1">
      <alignment horizontal="center" vertical="center"/>
    </xf>
    <xf numFmtId="0" fontId="24" fillId="2" borderId="218" xfId="0" applyFont="1" applyFill="1" applyBorder="1" applyAlignment="1">
      <alignment horizontal="left" vertical="center" wrapText="1"/>
    </xf>
    <xf numFmtId="0" fontId="24" fillId="5" borderId="110" xfId="0" applyFont="1" applyFill="1" applyBorder="1" applyAlignment="1">
      <alignment vertical="center" wrapText="1"/>
    </xf>
    <xf numFmtId="2" fontId="20" fillId="5" borderId="13" xfId="0" applyNumberFormat="1" applyFont="1" applyFill="1" applyBorder="1" applyAlignment="1">
      <alignment horizontal="center" vertical="center"/>
    </xf>
    <xf numFmtId="2" fontId="22" fillId="5" borderId="13" xfId="0" applyNumberFormat="1" applyFont="1" applyFill="1" applyBorder="1" applyAlignment="1">
      <alignment horizontal="center" vertical="center"/>
    </xf>
    <xf numFmtId="164" fontId="23" fillId="5" borderId="13" xfId="5" applyNumberFormat="1" applyFont="1" applyFill="1" applyBorder="1" applyAlignment="1">
      <alignment horizontal="center" vertical="center"/>
    </xf>
    <xf numFmtId="164" fontId="22" fillId="5" borderId="13" xfId="5" applyNumberFormat="1" applyFont="1" applyFill="1" applyBorder="1" applyAlignment="1">
      <alignment horizontal="center" vertical="center"/>
    </xf>
    <xf numFmtId="164" fontId="23" fillId="5" borderId="13" xfId="9" applyNumberFormat="1" applyFont="1" applyFill="1" applyBorder="1" applyAlignment="1">
      <alignment horizontal="center" vertical="center" wrapText="1"/>
    </xf>
    <xf numFmtId="164" fontId="23" fillId="5" borderId="111" xfId="9" applyNumberFormat="1" applyFont="1" applyFill="1" applyBorder="1" applyAlignment="1">
      <alignment horizontal="center" vertical="center" wrapText="1"/>
    </xf>
    <xf numFmtId="164" fontId="23" fillId="5" borderId="116" xfId="9" applyNumberFormat="1" applyFont="1" applyFill="1" applyBorder="1" applyAlignment="1">
      <alignment horizontal="center" vertical="center" wrapText="1"/>
    </xf>
    <xf numFmtId="0" fontId="39" fillId="5" borderId="207" xfId="0" applyFont="1" applyFill="1" applyBorder="1" applyAlignment="1">
      <alignment horizontal="left" vertical="top" wrapText="1" readingOrder="1"/>
    </xf>
    <xf numFmtId="0" fontId="29" fillId="5" borderId="102" xfId="0" applyFont="1" applyFill="1" applyBorder="1" applyAlignment="1">
      <alignment vertical="center" wrapText="1"/>
    </xf>
    <xf numFmtId="2" fontId="20" fillId="5" borderId="21" xfId="0" applyNumberFormat="1" applyFont="1" applyFill="1" applyBorder="1" applyAlignment="1">
      <alignment horizontal="center" vertical="top"/>
    </xf>
    <xf numFmtId="2" fontId="22" fillId="5" borderId="21" xfId="0" applyNumberFormat="1" applyFont="1" applyFill="1" applyBorder="1" applyAlignment="1">
      <alignment horizontal="center" vertical="top"/>
    </xf>
    <xf numFmtId="2" fontId="23" fillId="5" borderId="21" xfId="0" applyNumberFormat="1" applyFont="1" applyFill="1" applyBorder="1" applyAlignment="1">
      <alignment horizontal="center" vertical="top"/>
    </xf>
    <xf numFmtId="1" fontId="22" fillId="5" borderId="21" xfId="5" applyNumberFormat="1" applyFont="1" applyFill="1" applyBorder="1" applyAlignment="1">
      <alignment horizontal="center" vertical="top"/>
    </xf>
    <xf numFmtId="1" fontId="23" fillId="5" borderId="21" xfId="5" applyNumberFormat="1" applyFont="1" applyFill="1" applyBorder="1" applyAlignment="1">
      <alignment horizontal="center" vertical="top"/>
    </xf>
    <xf numFmtId="1" fontId="22" fillId="5" borderId="103" xfId="5" applyNumberFormat="1" applyFont="1" applyFill="1" applyBorder="1" applyAlignment="1">
      <alignment horizontal="center" vertical="top"/>
    </xf>
    <xf numFmtId="1" fontId="22" fillId="5" borderId="117" xfId="5" applyNumberFormat="1" applyFont="1" applyFill="1" applyBorder="1" applyAlignment="1">
      <alignment horizontal="center" vertical="top"/>
    </xf>
    <xf numFmtId="0" fontId="39" fillId="5" borderId="208" xfId="0" applyFont="1" applyFill="1" applyBorder="1" applyAlignment="1">
      <alignment horizontal="left" vertical="center" wrapText="1" readingOrder="1"/>
    </xf>
    <xf numFmtId="0" fontId="16" fillId="5" borderId="102" xfId="0" applyFont="1" applyFill="1" applyBorder="1" applyAlignment="1">
      <alignment horizontal="left" vertical="center"/>
    </xf>
    <xf numFmtId="1" fontId="16" fillId="5" borderId="21" xfId="0" applyNumberFormat="1" applyFont="1" applyFill="1" applyBorder="1" applyAlignment="1">
      <alignment horizontal="center" vertical="center"/>
    </xf>
    <xf numFmtId="1" fontId="17" fillId="5" borderId="21" xfId="0" applyNumberFormat="1" applyFont="1" applyFill="1" applyBorder="1" applyAlignment="1">
      <alignment horizontal="center" vertical="center"/>
    </xf>
    <xf numFmtId="1" fontId="28" fillId="5" borderId="21" xfId="0" applyNumberFormat="1" applyFont="1" applyFill="1" applyBorder="1" applyAlignment="1">
      <alignment horizontal="center" vertical="center"/>
    </xf>
    <xf numFmtId="1" fontId="31" fillId="5" borderId="21" xfId="5" applyNumberFormat="1" applyFont="1" applyFill="1" applyBorder="1" applyAlignment="1">
      <alignment horizontal="center" vertical="center"/>
    </xf>
    <xf numFmtId="164" fontId="31" fillId="5" borderId="21" xfId="5" applyNumberFormat="1" applyFont="1" applyFill="1" applyBorder="1" applyAlignment="1">
      <alignment horizontal="center" vertical="center"/>
    </xf>
    <xf numFmtId="164" fontId="32" fillId="5" borderId="21" xfId="9" applyNumberFormat="1" applyFont="1" applyFill="1" applyBorder="1" applyAlignment="1">
      <alignment horizontal="center" vertical="center" wrapText="1"/>
    </xf>
    <xf numFmtId="164" fontId="32" fillId="5" borderId="103" xfId="9" applyNumberFormat="1" applyFont="1" applyFill="1" applyBorder="1" applyAlignment="1">
      <alignment horizontal="center" vertical="center" wrapText="1"/>
    </xf>
    <xf numFmtId="164" fontId="32" fillId="5" borderId="117" xfId="9" applyNumberFormat="1" applyFont="1" applyFill="1" applyBorder="1" applyAlignment="1">
      <alignment horizontal="center" vertical="center" wrapText="1"/>
    </xf>
    <xf numFmtId="0" fontId="34" fillId="5" borderId="208" xfId="0" applyFont="1" applyFill="1" applyBorder="1" applyAlignment="1">
      <alignment horizontal="left" vertical="center" wrapText="1" readingOrder="1"/>
    </xf>
    <xf numFmtId="0" fontId="40" fillId="5" borderId="208" xfId="0" applyFont="1" applyFill="1" applyBorder="1" applyAlignment="1">
      <alignment horizontal="left" vertical="center" wrapText="1" readingOrder="1"/>
    </xf>
    <xf numFmtId="164" fontId="23" fillId="5" borderId="21" xfId="5" applyNumberFormat="1" applyFont="1" applyFill="1" applyBorder="1" applyAlignment="1">
      <alignment horizontal="center" vertical="center"/>
    </xf>
    <xf numFmtId="164" fontId="22" fillId="5" borderId="21" xfId="5" applyNumberFormat="1" applyFont="1" applyFill="1" applyBorder="1" applyAlignment="1">
      <alignment horizontal="center" vertical="center"/>
    </xf>
    <xf numFmtId="164" fontId="23" fillId="5" borderId="21" xfId="9" applyNumberFormat="1" applyFont="1" applyFill="1" applyBorder="1" applyAlignment="1">
      <alignment horizontal="center" vertical="center" wrapText="1"/>
    </xf>
    <xf numFmtId="164" fontId="23" fillId="5" borderId="103" xfId="9" applyNumberFormat="1" applyFont="1" applyFill="1" applyBorder="1" applyAlignment="1">
      <alignment horizontal="center" vertical="center" wrapText="1"/>
    </xf>
    <xf numFmtId="164" fontId="23" fillId="5" borderId="117" xfId="9" applyNumberFormat="1" applyFont="1" applyFill="1" applyBorder="1" applyAlignment="1">
      <alignment horizontal="center" vertical="center" wrapText="1"/>
    </xf>
    <xf numFmtId="0" fontId="16" fillId="5" borderId="105" xfId="0" applyFont="1" applyFill="1" applyBorder="1" applyAlignment="1">
      <alignment horizontal="left" vertical="center"/>
    </xf>
    <xf numFmtId="1" fontId="16" fillId="5" borderId="15" xfId="0" applyNumberFormat="1" applyFont="1" applyFill="1" applyBorder="1" applyAlignment="1">
      <alignment horizontal="center" vertical="center"/>
    </xf>
    <xf numFmtId="1" fontId="17" fillId="5" borderId="15" xfId="0" applyNumberFormat="1" applyFont="1" applyFill="1" applyBorder="1" applyAlignment="1">
      <alignment horizontal="center" vertical="center"/>
    </xf>
    <xf numFmtId="1" fontId="28" fillId="5" borderId="15" xfId="0" applyNumberFormat="1" applyFont="1" applyFill="1" applyBorder="1" applyAlignment="1">
      <alignment horizontal="center" vertical="center"/>
    </xf>
    <xf numFmtId="1" fontId="26" fillId="5" borderId="15" xfId="0" applyNumberFormat="1" applyFont="1" applyFill="1" applyBorder="1" applyAlignment="1">
      <alignment horizontal="center" vertical="center"/>
    </xf>
    <xf numFmtId="3" fontId="26" fillId="5" borderId="15" xfId="0" applyNumberFormat="1" applyFont="1" applyFill="1" applyBorder="1" applyAlignment="1">
      <alignment horizontal="center" vertical="center" wrapText="1"/>
    </xf>
    <xf numFmtId="0" fontId="18" fillId="5" borderId="15" xfId="0" applyFont="1" applyFill="1" applyBorder="1" applyAlignment="1">
      <alignment horizontal="center" vertical="center"/>
    </xf>
    <xf numFmtId="0" fontId="18" fillId="5" borderId="108" xfId="0" applyFont="1" applyFill="1" applyBorder="1" applyAlignment="1">
      <alignment horizontal="center" vertical="center"/>
    </xf>
    <xf numFmtId="0" fontId="18" fillId="5" borderId="107" xfId="0" applyFont="1" applyFill="1" applyBorder="1" applyAlignment="1">
      <alignment horizontal="center" vertical="center"/>
    </xf>
    <xf numFmtId="0" fontId="34" fillId="5" borderId="209" xfId="0" applyFont="1" applyFill="1" applyBorder="1" applyAlignment="1">
      <alignment horizontal="left" vertical="center" readingOrder="1"/>
    </xf>
    <xf numFmtId="0" fontId="23" fillId="2" borderId="5" xfId="5" applyFont="1" applyFill="1" applyBorder="1" applyAlignment="1">
      <alignment vertical="center" wrapText="1"/>
    </xf>
    <xf numFmtId="1" fontId="19" fillId="2" borderId="5" xfId="0" applyNumberFormat="1" applyFont="1" applyFill="1" applyBorder="1" applyAlignment="1">
      <alignment horizontal="center" vertical="center"/>
    </xf>
    <xf numFmtId="1" fontId="18" fillId="2" borderId="5" xfId="0" applyNumberFormat="1" applyFont="1" applyFill="1" applyBorder="1" applyAlignment="1">
      <alignment horizontal="center" vertical="center"/>
    </xf>
    <xf numFmtId="1" fontId="17" fillId="2" borderId="5" xfId="0" applyNumberFormat="1" applyFont="1" applyFill="1" applyBorder="1" applyAlignment="1">
      <alignment horizontal="center" vertical="center"/>
    </xf>
    <xf numFmtId="1" fontId="28" fillId="2" borderId="5" xfId="0" applyNumberFormat="1" applyFont="1" applyFill="1" applyBorder="1" applyAlignment="1">
      <alignment horizontal="center" vertical="center"/>
    </xf>
    <xf numFmtId="1" fontId="26" fillId="2" borderId="5" xfId="0" applyNumberFormat="1" applyFont="1" applyFill="1" applyBorder="1" applyAlignment="1">
      <alignment horizontal="center" vertical="center"/>
    </xf>
    <xf numFmtId="0" fontId="18" fillId="2" borderId="5" xfId="0" applyFont="1" applyFill="1" applyBorder="1" applyAlignment="1">
      <alignment horizontal="center" vertical="center"/>
    </xf>
    <xf numFmtId="0" fontId="18" fillId="2" borderId="74" xfId="0" applyFont="1" applyFill="1" applyBorder="1" applyAlignment="1">
      <alignment horizontal="center" vertical="center"/>
    </xf>
    <xf numFmtId="0" fontId="18" fillId="2" borderId="159" xfId="0" applyFont="1" applyFill="1" applyBorder="1" applyAlignment="1">
      <alignment horizontal="center" vertical="center"/>
    </xf>
    <xf numFmtId="0" fontId="25" fillId="2" borderId="131" xfId="6" applyFont="1" applyFill="1" applyBorder="1" applyAlignment="1">
      <alignment horizontal="left" wrapText="1"/>
    </xf>
    <xf numFmtId="9" fontId="19" fillId="2" borderId="60" xfId="2" applyFont="1" applyFill="1" applyBorder="1" applyAlignment="1">
      <alignment horizontal="center" vertical="center" wrapText="1"/>
    </xf>
    <xf numFmtId="9" fontId="19" fillId="2" borderId="12" xfId="2" applyFont="1" applyFill="1" applyBorder="1" applyAlignment="1">
      <alignment horizontal="center" vertical="center" wrapText="1"/>
    </xf>
    <xf numFmtId="9" fontId="19" fillId="2" borderId="27" xfId="2" applyFont="1" applyFill="1" applyBorder="1" applyAlignment="1">
      <alignment horizontal="center" vertical="center" wrapText="1"/>
    </xf>
    <xf numFmtId="9" fontId="26" fillId="2" borderId="0" xfId="2" applyFont="1" applyFill="1" applyBorder="1" applyAlignment="1">
      <alignment horizontal="center" vertical="center" wrapText="1"/>
    </xf>
    <xf numFmtId="0" fontId="16" fillId="2" borderId="219" xfId="0" applyFont="1" applyFill="1" applyBorder="1" applyAlignment="1">
      <alignment horizontal="left" wrapText="1"/>
    </xf>
    <xf numFmtId="0" fontId="25" fillId="2" borderId="137" xfId="6" applyFont="1" applyFill="1" applyBorder="1" applyAlignment="1">
      <alignment wrapText="1"/>
    </xf>
    <xf numFmtId="9" fontId="19" fillId="2" borderId="28" xfId="2" applyFont="1" applyFill="1" applyBorder="1" applyAlignment="1">
      <alignment horizontal="center" vertical="center" wrapText="1"/>
    </xf>
    <xf numFmtId="9" fontId="126" fillId="2" borderId="120" xfId="2" applyFont="1" applyFill="1" applyBorder="1" applyAlignment="1">
      <alignment horizontal="center" vertical="center" wrapText="1"/>
    </xf>
    <xf numFmtId="0" fontId="25" fillId="2" borderId="137" xfId="6" quotePrefix="1" applyFont="1" applyFill="1" applyBorder="1" applyAlignment="1">
      <alignment wrapText="1"/>
    </xf>
    <xf numFmtId="9" fontId="126" fillId="2" borderId="0" xfId="2" applyFont="1" applyFill="1" applyBorder="1" applyAlignment="1">
      <alignment horizontal="center" vertical="center" wrapText="1"/>
    </xf>
    <xf numFmtId="0" fontId="54" fillId="0" borderId="14" xfId="0" applyFont="1" applyBorder="1" applyAlignment="1">
      <alignment horizontal="center" vertical="center"/>
    </xf>
    <xf numFmtId="0" fontId="54" fillId="0" borderId="121" xfId="0" applyFont="1" applyBorder="1" applyAlignment="1">
      <alignment horizontal="center" vertical="center"/>
    </xf>
    <xf numFmtId="0" fontId="54" fillId="0" borderId="120" xfId="0" applyFont="1" applyBorder="1" applyAlignment="1">
      <alignment horizontal="center" vertical="center"/>
    </xf>
    <xf numFmtId="0" fontId="25" fillId="2" borderId="95" xfId="6" quotePrefix="1" applyFont="1" applyFill="1" applyBorder="1" applyAlignment="1">
      <alignment wrapText="1"/>
    </xf>
    <xf numFmtId="1" fontId="19" fillId="2" borderId="29" xfId="0" applyNumberFormat="1" applyFont="1" applyFill="1" applyBorder="1" applyAlignment="1">
      <alignment horizontal="center" vertical="center"/>
    </xf>
    <xf numFmtId="9" fontId="19" fillId="2" borderId="29" xfId="2" applyFont="1" applyFill="1" applyBorder="1" applyAlignment="1">
      <alignment horizontal="center" vertical="center"/>
    </xf>
    <xf numFmtId="9" fontId="19" fillId="2" borderId="29" xfId="2" applyFont="1" applyFill="1" applyBorder="1" applyAlignment="1">
      <alignment horizontal="center" vertical="center" wrapText="1"/>
    </xf>
    <xf numFmtId="0" fontId="54" fillId="0" borderId="140" xfId="0" applyFont="1" applyBorder="1" applyAlignment="1">
      <alignment horizontal="center" vertical="center"/>
    </xf>
    <xf numFmtId="0" fontId="12" fillId="4" borderId="138" xfId="0" applyFont="1" applyFill="1" applyBorder="1" applyAlignment="1">
      <alignment wrapText="1"/>
    </xf>
    <xf numFmtId="10" fontId="93" fillId="4" borderId="220" xfId="6" applyNumberFormat="1" applyFont="1" applyFill="1" applyBorder="1" applyAlignment="1">
      <alignment horizontal="center"/>
    </xf>
    <xf numFmtId="10" fontId="93" fillId="4" borderId="221" xfId="6" applyNumberFormat="1" applyFont="1" applyFill="1" applyBorder="1" applyAlignment="1">
      <alignment horizontal="center"/>
    </xf>
    <xf numFmtId="10" fontId="93" fillId="4" borderId="143" xfId="6" applyNumberFormat="1" applyFont="1" applyFill="1" applyBorder="1" applyAlignment="1">
      <alignment horizontal="center"/>
    </xf>
    <xf numFmtId="10" fontId="93" fillId="4" borderId="222" xfId="6" applyNumberFormat="1" applyFont="1" applyFill="1" applyBorder="1" applyAlignment="1">
      <alignment horizontal="center"/>
    </xf>
    <xf numFmtId="0" fontId="12" fillId="4" borderId="38" xfId="0" applyFont="1" applyFill="1" applyBorder="1"/>
    <xf numFmtId="10" fontId="32" fillId="5" borderId="124" xfId="2" applyNumberFormat="1" applyFont="1" applyFill="1" applyBorder="1" applyAlignment="1">
      <alignment horizontal="center"/>
    </xf>
    <xf numFmtId="10" fontId="131" fillId="5" borderId="124" xfId="2" applyNumberFormat="1" applyFont="1" applyFill="1" applyBorder="1" applyAlignment="1">
      <alignment horizontal="center"/>
    </xf>
    <xf numFmtId="10" fontId="32" fillId="5" borderId="223" xfId="2" applyNumberFormat="1" applyFont="1" applyFill="1" applyBorder="1" applyAlignment="1">
      <alignment horizontal="center"/>
    </xf>
    <xf numFmtId="10" fontId="32" fillId="5" borderId="13" xfId="2" applyNumberFormat="1" applyFont="1" applyFill="1" applyBorder="1" applyAlignment="1">
      <alignment horizontal="center"/>
    </xf>
    <xf numFmtId="10" fontId="32" fillId="5" borderId="125" xfId="2" applyNumberFormat="1" applyFont="1" applyFill="1" applyBorder="1" applyAlignment="1">
      <alignment horizontal="center"/>
    </xf>
    <xf numFmtId="10" fontId="32" fillId="5" borderId="224" xfId="2" applyNumberFormat="1" applyFont="1" applyFill="1" applyBorder="1" applyAlignment="1">
      <alignment horizontal="center"/>
    </xf>
    <xf numFmtId="0" fontId="20" fillId="2" borderId="124" xfId="0" applyFont="1" applyFill="1" applyBorder="1"/>
    <xf numFmtId="10" fontId="32" fillId="2" borderId="12" xfId="2" applyNumberFormat="1" applyFont="1" applyFill="1" applyBorder="1" applyAlignment="1">
      <alignment horizontal="center"/>
    </xf>
    <xf numFmtId="10" fontId="131" fillId="2" borderId="12" xfId="2" applyNumberFormat="1" applyFont="1" applyFill="1" applyBorder="1" applyAlignment="1">
      <alignment horizontal="center"/>
    </xf>
    <xf numFmtId="10" fontId="32" fillId="2" borderId="41" xfId="2" applyNumberFormat="1" applyFont="1" applyFill="1" applyBorder="1" applyAlignment="1">
      <alignment horizontal="center"/>
    </xf>
    <xf numFmtId="10" fontId="32" fillId="2" borderId="21" xfId="2" applyNumberFormat="1" applyFont="1" applyFill="1" applyBorder="1" applyAlignment="1">
      <alignment horizontal="center"/>
    </xf>
    <xf numFmtId="10" fontId="32" fillId="2" borderId="91" xfId="2" applyNumberFormat="1" applyFont="1" applyFill="1" applyBorder="1" applyAlignment="1">
      <alignment horizontal="center"/>
    </xf>
    <xf numFmtId="10" fontId="32" fillId="2" borderId="225" xfId="2" applyNumberFormat="1" applyFont="1" applyFill="1" applyBorder="1" applyAlignment="1">
      <alignment horizontal="center"/>
    </xf>
    <xf numFmtId="0" fontId="20" fillId="2" borderId="21" xfId="0" applyFont="1" applyFill="1" applyBorder="1"/>
    <xf numFmtId="0" fontId="16" fillId="2" borderId="102" xfId="0" applyFont="1" applyFill="1" applyBorder="1"/>
    <xf numFmtId="165" fontId="16" fillId="2" borderId="21" xfId="2" applyNumberFormat="1" applyFont="1" applyFill="1" applyBorder="1" applyAlignment="1">
      <alignment horizontal="center"/>
    </xf>
    <xf numFmtId="165" fontId="37" fillId="2" borderId="21" xfId="2" applyNumberFormat="1" applyFont="1" applyFill="1" applyBorder="1" applyAlignment="1">
      <alignment horizontal="center"/>
    </xf>
    <xf numFmtId="165" fontId="17" fillId="2" borderId="21" xfId="2" applyNumberFormat="1" applyFont="1" applyFill="1" applyBorder="1" applyAlignment="1">
      <alignment horizontal="center"/>
    </xf>
    <xf numFmtId="165" fontId="28" fillId="2" borderId="21" xfId="2" applyNumberFormat="1" applyFont="1" applyFill="1" applyBorder="1" applyAlignment="1">
      <alignment horizontal="center"/>
    </xf>
    <xf numFmtId="10" fontId="28" fillId="2" borderId="21" xfId="2" applyNumberFormat="1" applyFont="1" applyFill="1" applyBorder="1" applyAlignment="1">
      <alignment horizontal="center"/>
    </xf>
    <xf numFmtId="10" fontId="56" fillId="2" borderId="21" xfId="2" applyNumberFormat="1" applyFont="1" applyFill="1" applyBorder="1" applyAlignment="1">
      <alignment horizontal="center"/>
    </xf>
    <xf numFmtId="10" fontId="28" fillId="2" borderId="41" xfId="2" applyNumberFormat="1" applyFont="1" applyFill="1" applyBorder="1" applyAlignment="1">
      <alignment horizontal="center"/>
    </xf>
    <xf numFmtId="10" fontId="28" fillId="2" borderId="103" xfId="2" applyNumberFormat="1" applyFont="1" applyFill="1" applyBorder="1" applyAlignment="1">
      <alignment horizontal="center"/>
    </xf>
    <xf numFmtId="10" fontId="28" fillId="2" borderId="117" xfId="2" applyNumberFormat="1" applyFont="1" applyFill="1" applyBorder="1" applyAlignment="1">
      <alignment horizontal="center"/>
    </xf>
    <xf numFmtId="0" fontId="16" fillId="2" borderId="208" xfId="0" applyFont="1" applyFill="1" applyBorder="1" applyAlignment="1">
      <alignment horizontal="left"/>
    </xf>
    <xf numFmtId="165" fontId="20" fillId="2" borderId="14" xfId="2" applyNumberFormat="1" applyFont="1" applyFill="1" applyBorder="1" applyAlignment="1">
      <alignment horizontal="center"/>
    </xf>
    <xf numFmtId="165" fontId="22" fillId="2" borderId="14" xfId="2" applyNumberFormat="1" applyFont="1" applyFill="1" applyBorder="1" applyAlignment="1">
      <alignment horizontal="center"/>
    </xf>
    <xf numFmtId="10" fontId="56" fillId="2" borderId="14" xfId="2" applyNumberFormat="1" applyFont="1" applyFill="1" applyBorder="1" applyAlignment="1">
      <alignment horizontal="center"/>
    </xf>
    <xf numFmtId="10" fontId="28" fillId="2" borderId="14" xfId="2" applyNumberFormat="1" applyFont="1" applyFill="1" applyBorder="1" applyAlignment="1">
      <alignment horizontal="center"/>
    </xf>
    <xf numFmtId="10" fontId="56" fillId="2" borderId="14" xfId="2" applyNumberFormat="1" applyFont="1" applyFill="1" applyBorder="1" applyAlignment="1">
      <alignment horizontal="center" vertical="center" wrapText="1"/>
    </xf>
    <xf numFmtId="10" fontId="28" fillId="2" borderId="119" xfId="2" applyNumberFormat="1" applyFont="1" applyFill="1" applyBorder="1" applyAlignment="1">
      <alignment horizontal="center" vertical="center" wrapText="1"/>
    </xf>
    <xf numFmtId="10" fontId="28" fillId="2" borderId="14" xfId="2" applyNumberFormat="1" applyFont="1" applyFill="1" applyBorder="1" applyAlignment="1">
      <alignment horizontal="center" vertical="center" wrapText="1"/>
    </xf>
    <xf numFmtId="10" fontId="28" fillId="2" borderId="121" xfId="2" applyNumberFormat="1" applyFont="1" applyFill="1" applyBorder="1" applyAlignment="1">
      <alignment horizontal="center" vertical="center" wrapText="1"/>
    </xf>
    <xf numFmtId="10" fontId="28" fillId="2" borderId="120" xfId="2" applyNumberFormat="1" applyFont="1" applyFill="1" applyBorder="1" applyAlignment="1">
      <alignment horizontal="center" vertical="center" wrapText="1"/>
    </xf>
    <xf numFmtId="0" fontId="16" fillId="2" borderId="14" xfId="0" applyFont="1" applyFill="1" applyBorder="1" applyAlignment="1">
      <alignment horizontal="left"/>
    </xf>
    <xf numFmtId="0" fontId="60" fillId="2" borderId="113" xfId="0" applyFont="1" applyFill="1" applyBorder="1"/>
    <xf numFmtId="165" fontId="60" fillId="2" borderId="6" xfId="2" applyNumberFormat="1" applyFont="1" applyFill="1" applyBorder="1" applyAlignment="1">
      <alignment horizontal="center"/>
    </xf>
    <xf numFmtId="165" fontId="61" fillId="2" borderId="6" xfId="2" applyNumberFormat="1" applyFont="1" applyFill="1" applyBorder="1" applyAlignment="1">
      <alignment horizontal="center"/>
    </xf>
    <xf numFmtId="165" fontId="9" fillId="2" borderId="11" xfId="2" applyNumberFormat="1" applyFont="1" applyFill="1" applyBorder="1" applyAlignment="1">
      <alignment horizontal="center"/>
    </xf>
    <xf numFmtId="165" fontId="96" fillId="2" borderId="11" xfId="2" applyNumberFormat="1" applyFont="1" applyFill="1" applyBorder="1" applyAlignment="1">
      <alignment horizontal="center"/>
    </xf>
    <xf numFmtId="10" fontId="56" fillId="2" borderId="11" xfId="2" applyNumberFormat="1" applyFont="1" applyFill="1" applyBorder="1" applyAlignment="1">
      <alignment wrapText="1"/>
    </xf>
    <xf numFmtId="1" fontId="62" fillId="2" borderId="26" xfId="2" applyNumberFormat="1" applyFont="1" applyFill="1" applyBorder="1" applyAlignment="1">
      <alignment horizontal="center"/>
    </xf>
    <xf numFmtId="1" fontId="62" fillId="2" borderId="6" xfId="2" applyNumberFormat="1" applyFont="1" applyFill="1" applyBorder="1" applyAlignment="1">
      <alignment horizontal="center"/>
    </xf>
    <xf numFmtId="1" fontId="62" fillId="0" borderId="11" xfId="2" applyNumberFormat="1" applyFont="1" applyFill="1" applyBorder="1" applyAlignment="1">
      <alignment horizontal="center"/>
    </xf>
    <xf numFmtId="1" fontId="62" fillId="0" borderId="27" xfId="2" applyNumberFormat="1" applyFont="1" applyFill="1" applyBorder="1" applyAlignment="1">
      <alignment horizontal="center"/>
    </xf>
    <xf numFmtId="1" fontId="62" fillId="0" borderId="0" xfId="2" applyNumberFormat="1" applyFont="1" applyFill="1" applyBorder="1" applyAlignment="1">
      <alignment horizontal="center"/>
    </xf>
    <xf numFmtId="1" fontId="62" fillId="0" borderId="6" xfId="2" applyNumberFormat="1" applyFont="1" applyFill="1" applyBorder="1" applyAlignment="1">
      <alignment horizontal="center"/>
    </xf>
    <xf numFmtId="0" fontId="75" fillId="2" borderId="11" xfId="0" applyFont="1" applyFill="1" applyBorder="1" applyAlignment="1">
      <alignment horizontal="left"/>
    </xf>
    <xf numFmtId="0" fontId="20" fillId="5" borderId="93" xfId="0" applyFont="1" applyFill="1" applyBorder="1"/>
    <xf numFmtId="165" fontId="23" fillId="5" borderId="7" xfId="0" applyNumberFormat="1" applyFont="1" applyFill="1" applyBorder="1" applyAlignment="1">
      <alignment horizontal="center"/>
    </xf>
    <xf numFmtId="10" fontId="31" fillId="5" borderId="7" xfId="0" applyNumberFormat="1" applyFont="1" applyFill="1" applyBorder="1" applyAlignment="1">
      <alignment horizontal="center"/>
    </xf>
    <xf numFmtId="10" fontId="32" fillId="5" borderId="44" xfId="0" applyNumberFormat="1" applyFont="1" applyFill="1" applyBorder="1" applyAlignment="1">
      <alignment horizontal="center"/>
    </xf>
    <xf numFmtId="10" fontId="32" fillId="5" borderId="7" xfId="0" applyNumberFormat="1" applyFont="1" applyFill="1" applyBorder="1" applyAlignment="1">
      <alignment horizontal="center"/>
    </xf>
    <xf numFmtId="10" fontId="32" fillId="5" borderId="45" xfId="0" applyNumberFormat="1" applyFont="1" applyFill="1" applyBorder="1" applyAlignment="1">
      <alignment horizontal="center"/>
    </xf>
    <xf numFmtId="10" fontId="32" fillId="5" borderId="204" xfId="0" applyNumberFormat="1" applyFont="1" applyFill="1" applyBorder="1" applyAlignment="1">
      <alignment horizontal="center"/>
    </xf>
    <xf numFmtId="0" fontId="20" fillId="5" borderId="210" xfId="0" applyFont="1" applyFill="1" applyBorder="1"/>
    <xf numFmtId="165" fontId="62" fillId="5" borderId="11" xfId="0" applyNumberFormat="1" applyFont="1" applyFill="1" applyBorder="1" applyAlignment="1">
      <alignment horizontal="center"/>
    </xf>
    <xf numFmtId="165" fontId="9" fillId="5" borderId="12" xfId="2" applyNumberFormat="1" applyFont="1" applyFill="1" applyBorder="1" applyAlignment="1">
      <alignment horizontal="center"/>
    </xf>
    <xf numFmtId="0" fontId="66" fillId="5" borderId="11" xfId="0" applyFont="1" applyFill="1" applyBorder="1"/>
    <xf numFmtId="1" fontId="62" fillId="5" borderId="54" xfId="2" applyNumberFormat="1" applyFont="1" applyFill="1" applyBorder="1" applyAlignment="1">
      <alignment horizontal="center"/>
    </xf>
    <xf numFmtId="1" fontId="62" fillId="5" borderId="11" xfId="2" applyNumberFormat="1" applyFont="1" applyFill="1" applyBorder="1" applyAlignment="1">
      <alignment horizontal="center"/>
    </xf>
    <xf numFmtId="1" fontId="62" fillId="5" borderId="55" xfId="2" applyNumberFormat="1" applyFont="1" applyFill="1" applyBorder="1" applyAlignment="1">
      <alignment horizontal="center"/>
    </xf>
    <xf numFmtId="1" fontId="62" fillId="5" borderId="199" xfId="2" applyNumberFormat="1" applyFont="1" applyFill="1" applyBorder="1" applyAlignment="1">
      <alignment horizontal="center"/>
    </xf>
    <xf numFmtId="0" fontId="60" fillId="5" borderId="200" xfId="0" applyFont="1" applyFill="1" applyBorder="1"/>
    <xf numFmtId="165" fontId="20" fillId="2" borderId="7" xfId="0" applyNumberFormat="1" applyFont="1" applyFill="1" applyBorder="1" applyAlignment="1">
      <alignment horizontal="center"/>
    </xf>
    <xf numFmtId="10" fontId="36" fillId="2" borderId="7" xfId="0" applyNumberFormat="1" applyFont="1" applyFill="1" applyBorder="1" applyAlignment="1">
      <alignment horizontal="center"/>
    </xf>
    <xf numFmtId="10" fontId="22" fillId="2" borderId="7" xfId="0" applyNumberFormat="1" applyFont="1" applyFill="1" applyBorder="1" applyAlignment="1">
      <alignment horizontal="center"/>
    </xf>
    <xf numFmtId="10" fontId="23" fillId="2" borderId="44" xfId="0" applyNumberFormat="1" applyFont="1" applyFill="1" applyBorder="1" applyAlignment="1">
      <alignment horizontal="center"/>
    </xf>
    <xf numFmtId="10" fontId="23" fillId="2" borderId="7" xfId="0" applyNumberFormat="1" applyFont="1" applyFill="1" applyBorder="1" applyAlignment="1">
      <alignment horizontal="center"/>
    </xf>
    <xf numFmtId="10" fontId="23" fillId="0" borderId="7" xfId="0" applyNumberFormat="1" applyFont="1" applyBorder="1" applyAlignment="1">
      <alignment horizontal="center"/>
    </xf>
    <xf numFmtId="10" fontId="23" fillId="0" borderId="45" xfId="0" applyNumberFormat="1" applyFont="1" applyBorder="1" applyAlignment="1">
      <alignment horizontal="center"/>
    </xf>
    <xf numFmtId="10" fontId="23" fillId="0" borderId="204" xfId="0" applyNumberFormat="1" applyFont="1" applyBorder="1" applyAlignment="1">
      <alignment horizontal="center"/>
    </xf>
    <xf numFmtId="0" fontId="24" fillId="2" borderId="210" xfId="0" applyFont="1" applyFill="1" applyBorder="1"/>
    <xf numFmtId="0" fontId="24" fillId="2" borderId="90" xfId="0" applyFont="1" applyFill="1" applyBorder="1"/>
    <xf numFmtId="0" fontId="41" fillId="2" borderId="12" xfId="0" applyFont="1" applyFill="1" applyBorder="1"/>
    <xf numFmtId="0" fontId="25" fillId="2" borderId="158" xfId="0" applyFont="1" applyFill="1" applyBorder="1"/>
    <xf numFmtId="0" fontId="25" fillId="2" borderId="12" xfId="0" applyFont="1" applyFill="1" applyBorder="1"/>
    <xf numFmtId="0" fontId="25" fillId="0" borderId="12" xfId="0" applyFont="1" applyBorder="1"/>
    <xf numFmtId="0" fontId="25" fillId="0" borderId="91" xfId="0" applyFont="1" applyBorder="1"/>
    <xf numFmtId="0" fontId="30" fillId="0" borderId="225" xfId="0" applyFont="1" applyBorder="1"/>
    <xf numFmtId="0" fontId="30" fillId="0" borderId="12" xfId="0" applyFont="1" applyBorder="1"/>
    <xf numFmtId="0" fontId="24" fillId="2" borderId="202" xfId="0" applyFont="1" applyFill="1" applyBorder="1"/>
    <xf numFmtId="165" fontId="16" fillId="5" borderId="14" xfId="8" applyNumberFormat="1" applyFont="1" applyFill="1" applyBorder="1" applyAlignment="1">
      <alignment horizontal="center"/>
    </xf>
    <xf numFmtId="165" fontId="17" fillId="5" borderId="14" xfId="8" applyNumberFormat="1" applyFont="1" applyFill="1" applyBorder="1" applyAlignment="1">
      <alignment horizontal="center"/>
    </xf>
    <xf numFmtId="165" fontId="37" fillId="5" borderId="14" xfId="8" applyNumberFormat="1" applyFont="1" applyFill="1" applyBorder="1" applyAlignment="1">
      <alignment horizontal="center"/>
    </xf>
    <xf numFmtId="165" fontId="37" fillId="5" borderId="14" xfId="0" applyNumberFormat="1" applyFont="1" applyFill="1" applyBorder="1" applyAlignment="1">
      <alignment horizontal="center"/>
    </xf>
    <xf numFmtId="0" fontId="29" fillId="5" borderId="14" xfId="0" applyFont="1" applyFill="1" applyBorder="1" applyAlignment="1">
      <alignment horizontal="center"/>
    </xf>
    <xf numFmtId="0" fontId="48" fillId="5" borderId="119" xfId="0" applyFont="1" applyFill="1" applyBorder="1"/>
    <xf numFmtId="0" fontId="48" fillId="5" borderId="14" xfId="0" applyFont="1" applyFill="1" applyBorder="1"/>
    <xf numFmtId="0" fontId="48" fillId="5" borderId="121" xfId="0" applyFont="1" applyFill="1" applyBorder="1"/>
    <xf numFmtId="0" fontId="41" fillId="5" borderId="120" xfId="0" applyFont="1" applyFill="1" applyBorder="1"/>
    <xf numFmtId="0" fontId="41" fillId="5" borderId="14" xfId="0" applyFont="1" applyFill="1" applyBorder="1"/>
    <xf numFmtId="0" fontId="16" fillId="5" borderId="219" xfId="0" applyFont="1" applyFill="1" applyBorder="1"/>
    <xf numFmtId="0" fontId="16" fillId="5" borderId="90" xfId="0" applyFont="1" applyFill="1" applyBorder="1"/>
    <xf numFmtId="165" fontId="16" fillId="5" borderId="12" xfId="8" applyNumberFormat="1" applyFont="1" applyFill="1" applyBorder="1" applyAlignment="1">
      <alignment horizontal="center"/>
    </xf>
    <xf numFmtId="165" fontId="17" fillId="5" borderId="12" xfId="8" applyNumberFormat="1" applyFont="1" applyFill="1" applyBorder="1" applyAlignment="1">
      <alignment horizontal="center"/>
    </xf>
    <xf numFmtId="165" fontId="37" fillId="5" borderId="12" xfId="8" applyNumberFormat="1" applyFont="1" applyFill="1" applyBorder="1" applyAlignment="1">
      <alignment horizontal="center"/>
    </xf>
    <xf numFmtId="165" fontId="37" fillId="5" borderId="12" xfId="0" applyNumberFormat="1" applyFont="1" applyFill="1" applyBorder="1" applyAlignment="1">
      <alignment horizontal="center"/>
    </xf>
    <xf numFmtId="0" fontId="29" fillId="5" borderId="12" xfId="0" applyFont="1" applyFill="1" applyBorder="1"/>
    <xf numFmtId="0" fontId="48" fillId="5" borderId="158" xfId="0" applyFont="1" applyFill="1" applyBorder="1"/>
    <xf numFmtId="0" fontId="48" fillId="5" borderId="12" xfId="0" applyFont="1" applyFill="1" applyBorder="1"/>
    <xf numFmtId="0" fontId="48" fillId="5" borderId="91" xfId="0" applyFont="1" applyFill="1" applyBorder="1"/>
    <xf numFmtId="0" fontId="41" fillId="5" borderId="225" xfId="0" applyFont="1" applyFill="1" applyBorder="1"/>
    <xf numFmtId="0" fontId="41" fillId="5" borderId="12" xfId="0" applyFont="1" applyFill="1" applyBorder="1"/>
    <xf numFmtId="0" fontId="16" fillId="5" borderId="202" xfId="0" applyFont="1" applyFill="1" applyBorder="1"/>
    <xf numFmtId="165" fontId="17" fillId="5" borderId="21" xfId="8" applyNumberFormat="1" applyFont="1" applyFill="1" applyBorder="1" applyAlignment="1">
      <alignment horizontal="center"/>
    </xf>
    <xf numFmtId="165" fontId="28" fillId="5" borderId="21" xfId="8" applyNumberFormat="1" applyFont="1" applyFill="1" applyBorder="1" applyAlignment="1">
      <alignment horizontal="center"/>
    </xf>
    <xf numFmtId="165" fontId="28" fillId="5" borderId="12" xfId="8" applyNumberFormat="1" applyFont="1" applyFill="1" applyBorder="1" applyAlignment="1">
      <alignment horizontal="center"/>
    </xf>
    <xf numFmtId="10" fontId="48" fillId="5" borderId="119" xfId="0" applyNumberFormat="1" applyFont="1" applyFill="1" applyBorder="1"/>
    <xf numFmtId="10" fontId="48" fillId="5" borderId="14" xfId="0" applyNumberFormat="1" applyFont="1" applyFill="1" applyBorder="1"/>
    <xf numFmtId="10" fontId="48" fillId="5" borderId="121" xfId="0" applyNumberFormat="1" applyFont="1" applyFill="1" applyBorder="1"/>
    <xf numFmtId="10" fontId="41" fillId="5" borderId="120" xfId="0" applyNumberFormat="1" applyFont="1" applyFill="1" applyBorder="1"/>
    <xf numFmtId="10" fontId="41" fillId="5" borderId="14" xfId="0" applyNumberFormat="1" applyFont="1" applyFill="1" applyBorder="1"/>
    <xf numFmtId="165" fontId="16" fillId="5" borderId="14" xfId="0" applyNumberFormat="1" applyFont="1" applyFill="1" applyBorder="1" applyAlignment="1">
      <alignment horizontal="center" vertical="center"/>
    </xf>
    <xf numFmtId="10" fontId="37" fillId="5" borderId="14" xfId="8" applyNumberFormat="1" applyFont="1" applyFill="1" applyBorder="1" applyAlignment="1">
      <alignment horizontal="center" vertical="center"/>
    </xf>
    <xf numFmtId="165" fontId="17" fillId="5" borderId="14" xfId="8" applyNumberFormat="1" applyFont="1" applyFill="1" applyBorder="1" applyAlignment="1">
      <alignment horizontal="center" vertical="center"/>
    </xf>
    <xf numFmtId="165" fontId="28" fillId="5" borderId="14" xfId="8" applyNumberFormat="1" applyFont="1" applyFill="1" applyBorder="1" applyAlignment="1">
      <alignment horizontal="center" vertical="center"/>
    </xf>
    <xf numFmtId="10" fontId="56" fillId="5" borderId="14" xfId="8" applyNumberFormat="1" applyFont="1" applyFill="1" applyBorder="1" applyAlignment="1">
      <alignment horizontal="center" vertical="center"/>
    </xf>
    <xf numFmtId="10" fontId="77" fillId="5" borderId="119" xfId="8" applyNumberFormat="1" applyFont="1" applyFill="1" applyBorder="1" applyAlignment="1">
      <alignment horizontal="center" vertical="center"/>
    </xf>
    <xf numFmtId="10" fontId="77" fillId="5" borderId="14" xfId="8" applyNumberFormat="1" applyFont="1" applyFill="1" applyBorder="1" applyAlignment="1">
      <alignment horizontal="center" vertical="center"/>
    </xf>
    <xf numFmtId="10" fontId="77" fillId="5" borderId="121" xfId="8" applyNumberFormat="1" applyFont="1" applyFill="1" applyBorder="1" applyAlignment="1">
      <alignment horizontal="center" vertical="center"/>
    </xf>
    <xf numFmtId="10" fontId="77" fillId="5" borderId="120" xfId="8" applyNumberFormat="1" applyFont="1" applyFill="1" applyBorder="1" applyAlignment="1">
      <alignment horizontal="center" vertical="center"/>
    </xf>
    <xf numFmtId="0" fontId="16" fillId="5" borderId="219" xfId="0" applyFont="1" applyFill="1" applyBorder="1" applyAlignment="1">
      <alignment vertical="top"/>
    </xf>
    <xf numFmtId="0" fontId="16" fillId="5" borderId="90" xfId="0" applyFont="1" applyFill="1" applyBorder="1" applyAlignment="1">
      <alignment vertical="top"/>
    </xf>
    <xf numFmtId="165" fontId="16" fillId="5" borderId="12" xfId="0" applyNumberFormat="1" applyFont="1" applyFill="1" applyBorder="1" applyAlignment="1">
      <alignment horizontal="center" vertical="center"/>
    </xf>
    <xf numFmtId="10" fontId="37" fillId="5" borderId="12" xfId="8" applyNumberFormat="1" applyFont="1" applyFill="1" applyBorder="1" applyAlignment="1">
      <alignment horizontal="center" vertical="center"/>
    </xf>
    <xf numFmtId="165" fontId="17" fillId="5" borderId="12" xfId="8" applyNumberFormat="1" applyFont="1" applyFill="1" applyBorder="1" applyAlignment="1">
      <alignment horizontal="center" vertical="center" wrapText="1"/>
    </xf>
    <xf numFmtId="165" fontId="17" fillId="5" borderId="12" xfId="8" applyNumberFormat="1" applyFont="1" applyFill="1" applyBorder="1" applyAlignment="1">
      <alignment horizontal="center" vertical="center"/>
    </xf>
    <xf numFmtId="165" fontId="28" fillId="5" borderId="12" xfId="8" applyNumberFormat="1" applyFont="1" applyFill="1" applyBorder="1" applyAlignment="1">
      <alignment horizontal="center" vertical="center"/>
    </xf>
    <xf numFmtId="0" fontId="10" fillId="5" borderId="12" xfId="0" applyFont="1" applyFill="1" applyBorder="1"/>
    <xf numFmtId="0" fontId="16" fillId="5" borderId="202" xfId="0" applyFont="1" applyFill="1" applyBorder="1" applyAlignment="1">
      <alignment vertical="top"/>
    </xf>
    <xf numFmtId="0" fontId="16" fillId="5" borderId="102" xfId="0" applyFont="1" applyFill="1" applyBorder="1" applyAlignment="1">
      <alignment vertical="top"/>
    </xf>
    <xf numFmtId="165" fontId="16" fillId="5" borderId="21" xfId="0" applyNumberFormat="1" applyFont="1" applyFill="1" applyBorder="1" applyAlignment="1">
      <alignment horizontal="center" vertical="center"/>
    </xf>
    <xf numFmtId="165" fontId="16" fillId="5" borderId="21" xfId="8" applyNumberFormat="1" applyFont="1" applyFill="1" applyBorder="1" applyAlignment="1">
      <alignment horizontal="center" vertical="center"/>
    </xf>
    <xf numFmtId="165" fontId="37" fillId="5" borderId="21" xfId="8" applyNumberFormat="1" applyFont="1" applyFill="1" applyBorder="1" applyAlignment="1">
      <alignment horizontal="center" vertical="center"/>
    </xf>
    <xf numFmtId="165" fontId="28" fillId="5" borderId="21" xfId="8" applyNumberFormat="1" applyFont="1" applyFill="1" applyBorder="1" applyAlignment="1">
      <alignment horizontal="center" vertical="center"/>
    </xf>
    <xf numFmtId="10" fontId="28" fillId="5" borderId="21" xfId="8" applyNumberFormat="1" applyFont="1" applyFill="1" applyBorder="1" applyAlignment="1">
      <alignment horizontal="center" vertical="center"/>
    </xf>
    <xf numFmtId="10" fontId="17" fillId="5" borderId="21" xfId="8" applyNumberFormat="1" applyFont="1" applyFill="1" applyBorder="1" applyAlignment="1">
      <alignment horizontal="center" vertical="center"/>
    </xf>
    <xf numFmtId="10" fontId="28" fillId="5" borderId="41" xfId="8" applyNumberFormat="1" applyFont="1" applyFill="1" applyBorder="1" applyAlignment="1">
      <alignment horizontal="center" vertical="center"/>
    </xf>
    <xf numFmtId="10" fontId="28" fillId="5" borderId="103" xfId="8" applyNumberFormat="1" applyFont="1" applyFill="1" applyBorder="1" applyAlignment="1">
      <alignment horizontal="center" vertical="center"/>
    </xf>
    <xf numFmtId="10" fontId="28" fillId="5" borderId="117" xfId="8" applyNumberFormat="1" applyFont="1" applyFill="1" applyBorder="1" applyAlignment="1">
      <alignment horizontal="center" vertical="center"/>
    </xf>
    <xf numFmtId="0" fontId="16" fillId="5" borderId="208" xfId="0" applyFont="1" applyFill="1" applyBorder="1" applyAlignment="1">
      <alignment vertical="top"/>
    </xf>
    <xf numFmtId="0" fontId="132" fillId="5" borderId="113" xfId="0" applyFont="1" applyFill="1" applyBorder="1" applyAlignment="1">
      <alignment vertical="top"/>
    </xf>
    <xf numFmtId="165" fontId="132" fillId="5" borderId="6" xfId="0" applyNumberFormat="1" applyFont="1" applyFill="1" applyBorder="1" applyAlignment="1">
      <alignment horizontal="center" vertical="center"/>
    </xf>
    <xf numFmtId="165" fontId="133" fillId="5" borderId="6" xfId="0" applyNumberFormat="1" applyFont="1" applyFill="1" applyBorder="1" applyAlignment="1">
      <alignment horizontal="center" vertical="center"/>
    </xf>
    <xf numFmtId="10" fontId="132" fillId="5" borderId="6" xfId="0" applyNumberFormat="1" applyFont="1" applyFill="1" applyBorder="1" applyAlignment="1">
      <alignment horizontal="center" vertical="center"/>
    </xf>
    <xf numFmtId="10" fontId="134" fillId="5" borderId="6" xfId="8" applyNumberFormat="1" applyFont="1" applyFill="1" applyBorder="1" applyAlignment="1">
      <alignment horizontal="center" vertical="center"/>
    </xf>
    <xf numFmtId="10" fontId="135" fillId="5" borderId="6" xfId="8" applyNumberFormat="1" applyFont="1" applyFill="1" applyBorder="1" applyAlignment="1">
      <alignment horizontal="center" vertical="center"/>
    </xf>
    <xf numFmtId="10" fontId="136" fillId="5" borderId="6" xfId="8" applyNumberFormat="1" applyFont="1" applyFill="1" applyBorder="1" applyAlignment="1">
      <alignment horizontal="center" vertical="center"/>
    </xf>
    <xf numFmtId="10" fontId="135" fillId="5" borderId="26" xfId="8" applyNumberFormat="1" applyFont="1" applyFill="1" applyBorder="1" applyAlignment="1">
      <alignment horizontal="center" vertical="center"/>
    </xf>
    <xf numFmtId="10" fontId="135" fillId="5" borderId="27" xfId="8" applyNumberFormat="1" applyFont="1" applyFill="1" applyBorder="1" applyAlignment="1">
      <alignment horizontal="center" vertical="center"/>
    </xf>
    <xf numFmtId="10" fontId="135" fillId="5" borderId="0" xfId="8" applyNumberFormat="1" applyFont="1" applyFill="1" applyBorder="1" applyAlignment="1">
      <alignment horizontal="center" vertical="center"/>
    </xf>
    <xf numFmtId="0" fontId="132" fillId="5" borderId="196" xfId="0" applyFont="1" applyFill="1" applyBorder="1" applyAlignment="1">
      <alignment vertical="top"/>
    </xf>
    <xf numFmtId="0" fontId="132" fillId="2" borderId="0" xfId="0" applyFont="1" applyFill="1"/>
    <xf numFmtId="10" fontId="134" fillId="5" borderId="6" xfId="0" applyNumberFormat="1" applyFont="1" applyFill="1" applyBorder="1" applyAlignment="1">
      <alignment horizontal="center" vertical="center"/>
    </xf>
    <xf numFmtId="10" fontId="136" fillId="5" borderId="6" xfId="0" applyNumberFormat="1" applyFont="1" applyFill="1" applyBorder="1" applyAlignment="1">
      <alignment horizontal="center"/>
    </xf>
    <xf numFmtId="10" fontId="136" fillId="5" borderId="27" xfId="8" applyNumberFormat="1" applyFont="1" applyFill="1" applyBorder="1" applyAlignment="1">
      <alignment horizontal="center" vertical="center"/>
    </xf>
    <xf numFmtId="10" fontId="136" fillId="5" borderId="0" xfId="8" applyNumberFormat="1" applyFont="1" applyFill="1" applyBorder="1" applyAlignment="1">
      <alignment horizontal="center" vertical="center"/>
    </xf>
    <xf numFmtId="165" fontId="136" fillId="5" borderId="6" xfId="8" applyNumberFormat="1" applyFont="1" applyFill="1" applyBorder="1" applyAlignment="1">
      <alignment horizontal="center" vertical="center"/>
    </xf>
    <xf numFmtId="165" fontId="135" fillId="5" borderId="6" xfId="8" applyNumberFormat="1" applyFont="1" applyFill="1" applyBorder="1" applyAlignment="1">
      <alignment horizontal="center" vertical="center"/>
    </xf>
    <xf numFmtId="0" fontId="20" fillId="2" borderId="110" xfId="0" applyFont="1" applyFill="1" applyBorder="1"/>
    <xf numFmtId="165" fontId="20" fillId="2" borderId="13" xfId="0" applyNumberFormat="1" applyFont="1" applyFill="1" applyBorder="1" applyAlignment="1">
      <alignment horizontal="center"/>
    </xf>
    <xf numFmtId="165" fontId="22" fillId="2" borderId="13" xfId="0" applyNumberFormat="1" applyFont="1" applyFill="1" applyBorder="1" applyAlignment="1">
      <alignment horizontal="center"/>
    </xf>
    <xf numFmtId="165" fontId="23" fillId="2" borderId="115" xfId="0" applyNumberFormat="1" applyFont="1" applyFill="1" applyBorder="1" applyAlignment="1">
      <alignment horizontal="center"/>
    </xf>
    <xf numFmtId="165" fontId="23" fillId="2" borderId="13" xfId="0" applyNumberFormat="1" applyFont="1" applyFill="1" applyBorder="1" applyAlignment="1">
      <alignment horizontal="center"/>
    </xf>
    <xf numFmtId="165" fontId="23" fillId="0" borderId="13" xfId="0" applyNumberFormat="1" applyFont="1" applyBorder="1" applyAlignment="1">
      <alignment horizontal="center"/>
    </xf>
    <xf numFmtId="165" fontId="23" fillId="0" borderId="111" xfId="0" applyNumberFormat="1" applyFont="1" applyBorder="1" applyAlignment="1">
      <alignment horizontal="center"/>
    </xf>
    <xf numFmtId="165" fontId="23" fillId="0" borderId="116" xfId="0" applyNumberFormat="1" applyFont="1" applyBorder="1" applyAlignment="1">
      <alignment horizontal="center"/>
    </xf>
    <xf numFmtId="0" fontId="24" fillId="2" borderId="207" xfId="0" applyFont="1" applyFill="1" applyBorder="1"/>
    <xf numFmtId="10" fontId="29" fillId="2" borderId="0" xfId="0" applyNumberFormat="1" applyFont="1" applyFill="1"/>
    <xf numFmtId="0" fontId="16" fillId="5" borderId="102" xfId="0" applyFont="1" applyFill="1" applyBorder="1"/>
    <xf numFmtId="165" fontId="16" fillId="5" borderId="21" xfId="0" applyNumberFormat="1" applyFont="1" applyFill="1" applyBorder="1" applyAlignment="1">
      <alignment horizontal="center"/>
    </xf>
    <xf numFmtId="165" fontId="17" fillId="5" borderId="21" xfId="0" applyNumberFormat="1" applyFont="1" applyFill="1" applyBorder="1" applyAlignment="1">
      <alignment horizontal="center"/>
    </xf>
    <xf numFmtId="165" fontId="28" fillId="5" borderId="21" xfId="0" applyNumberFormat="1" applyFont="1" applyFill="1" applyBorder="1" applyAlignment="1">
      <alignment horizontal="center"/>
    </xf>
    <xf numFmtId="0" fontId="28" fillId="5" borderId="208" xfId="0" applyFont="1" applyFill="1" applyBorder="1"/>
    <xf numFmtId="10" fontId="16" fillId="2" borderId="0" xfId="0" applyNumberFormat="1" applyFont="1" applyFill="1"/>
    <xf numFmtId="165" fontId="28" fillId="5" borderId="21" xfId="8" applyNumberFormat="1" applyFont="1" applyFill="1" applyBorder="1" applyAlignment="1">
      <alignment horizontal="center" vertical="center" wrapText="1"/>
    </xf>
    <xf numFmtId="165" fontId="28" fillId="5" borderId="21" xfId="0" applyNumberFormat="1" applyFont="1" applyFill="1" applyBorder="1" applyAlignment="1">
      <alignment horizontal="center" vertical="center"/>
    </xf>
    <xf numFmtId="0" fontId="28" fillId="5" borderId="208" xfId="0" applyFont="1" applyFill="1" applyBorder="1" applyAlignment="1">
      <alignment vertical="top"/>
    </xf>
    <xf numFmtId="165" fontId="36" fillId="5" borderId="14" xfId="0" applyNumberFormat="1" applyFont="1" applyFill="1" applyBorder="1" applyAlignment="1">
      <alignment horizontal="center" vertical="center"/>
    </xf>
    <xf numFmtId="10" fontId="17" fillId="5" borderId="14" xfId="8" applyNumberFormat="1" applyFont="1" applyFill="1" applyBorder="1" applyAlignment="1">
      <alignment horizontal="center" vertical="center"/>
    </xf>
    <xf numFmtId="10" fontId="28" fillId="5" borderId="119" xfId="8" applyNumberFormat="1" applyFont="1" applyFill="1" applyBorder="1" applyAlignment="1">
      <alignment horizontal="center" vertical="center"/>
    </xf>
    <xf numFmtId="10" fontId="28" fillId="5" borderId="14" xfId="8" applyNumberFormat="1" applyFont="1" applyFill="1" applyBorder="1" applyAlignment="1">
      <alignment horizontal="center" vertical="center"/>
    </xf>
    <xf numFmtId="10" fontId="28" fillId="5" borderId="121" xfId="8" applyNumberFormat="1" applyFont="1" applyFill="1" applyBorder="1" applyAlignment="1">
      <alignment horizontal="center" vertical="center"/>
    </xf>
    <xf numFmtId="10" fontId="28" fillId="5" borderId="120" xfId="8" applyNumberFormat="1" applyFont="1" applyFill="1" applyBorder="1" applyAlignment="1">
      <alignment horizontal="center" vertical="center"/>
    </xf>
    <xf numFmtId="10" fontId="28" fillId="5" borderId="15" xfId="8" applyNumberFormat="1" applyFont="1" applyFill="1" applyBorder="1" applyAlignment="1">
      <alignment horizontal="center" vertical="center"/>
    </xf>
    <xf numFmtId="0" fontId="28" fillId="5" borderId="219" xfId="0" applyFont="1" applyFill="1" applyBorder="1" applyAlignment="1">
      <alignment vertical="top"/>
    </xf>
    <xf numFmtId="0" fontId="24" fillId="2" borderId="73" xfId="0" applyFont="1" applyFill="1" applyBorder="1" applyAlignment="1">
      <alignment vertical="center" wrapText="1"/>
    </xf>
    <xf numFmtId="3" fontId="20" fillId="2" borderId="226" xfId="0" applyNumberFormat="1" applyFont="1" applyFill="1" applyBorder="1" applyAlignment="1">
      <alignment horizontal="center" vertical="center"/>
    </xf>
    <xf numFmtId="3" fontId="20" fillId="2" borderId="159" xfId="0" applyNumberFormat="1" applyFont="1" applyFill="1" applyBorder="1" applyAlignment="1">
      <alignment horizontal="center" vertical="center"/>
    </xf>
    <xf numFmtId="169" fontId="20" fillId="0" borderId="5" xfId="0" applyNumberFormat="1" applyFont="1" applyBorder="1" applyAlignment="1">
      <alignment horizontal="center" vertical="center"/>
    </xf>
    <xf numFmtId="169" fontId="20" fillId="2" borderId="74" xfId="0" applyNumberFormat="1" applyFont="1" applyFill="1" applyBorder="1" applyAlignment="1">
      <alignment horizontal="center" vertical="center"/>
    </xf>
    <xf numFmtId="3" fontId="14" fillId="0" borderId="74" xfId="0" applyNumberFormat="1" applyFont="1" applyBorder="1" applyAlignment="1">
      <alignment horizontal="center" vertical="center" wrapText="1"/>
    </xf>
    <xf numFmtId="3" fontId="15" fillId="0" borderId="5" xfId="0" applyNumberFormat="1" applyFont="1" applyBorder="1" applyAlignment="1">
      <alignment horizontal="center" vertical="center" wrapText="1"/>
    </xf>
    <xf numFmtId="3" fontId="15" fillId="0" borderId="74" xfId="0" applyNumberFormat="1" applyFont="1" applyBorder="1" applyAlignment="1">
      <alignment horizontal="center" vertical="center" wrapText="1"/>
    </xf>
    <xf numFmtId="169" fontId="14" fillId="0" borderId="74" xfId="0" applyNumberFormat="1" applyFont="1" applyBorder="1" applyAlignment="1">
      <alignment horizontal="center" vertical="center" wrapText="1"/>
    </xf>
    <xf numFmtId="165" fontId="22" fillId="0" borderId="74" xfId="2" applyNumberFormat="1" applyFont="1" applyFill="1" applyBorder="1" applyAlignment="1">
      <alignment horizontal="center" vertical="center" wrapText="1"/>
    </xf>
    <xf numFmtId="165" fontId="23" fillId="0" borderId="74" xfId="2" applyNumberFormat="1" applyFont="1" applyFill="1" applyBorder="1" applyAlignment="1">
      <alignment horizontal="center" vertical="center" wrapText="1"/>
    </xf>
    <xf numFmtId="0" fontId="16" fillId="2" borderId="227" xfId="0" applyFont="1" applyFill="1" applyBorder="1" applyAlignment="1">
      <alignment vertical="center" wrapText="1"/>
    </xf>
    <xf numFmtId="0" fontId="20" fillId="2" borderId="73" xfId="0" applyFont="1" applyFill="1" applyBorder="1" applyAlignment="1">
      <alignment vertical="center" wrapText="1"/>
    </xf>
    <xf numFmtId="3" fontId="16" fillId="2" borderId="226" xfId="0" applyNumberFormat="1" applyFont="1" applyFill="1" applyBorder="1" applyAlignment="1">
      <alignment horizontal="center" vertical="center"/>
    </xf>
    <xf numFmtId="3" fontId="16" fillId="2" borderId="159" xfId="0" applyNumberFormat="1" applyFont="1" applyFill="1" applyBorder="1" applyAlignment="1">
      <alignment horizontal="center" vertical="center"/>
    </xf>
    <xf numFmtId="3" fontId="17" fillId="2" borderId="159" xfId="0" applyNumberFormat="1" applyFont="1" applyFill="1" applyBorder="1" applyAlignment="1">
      <alignment horizontal="center" vertical="center"/>
    </xf>
    <xf numFmtId="3" fontId="17" fillId="2" borderId="74" xfId="0" applyNumberFormat="1" applyFont="1" applyFill="1" applyBorder="1" applyAlignment="1">
      <alignment horizontal="center" vertical="center"/>
    </xf>
    <xf numFmtId="9" fontId="32" fillId="2" borderId="74" xfId="2" applyFont="1" applyFill="1" applyBorder="1" applyAlignment="1">
      <alignment horizontal="center" vertical="center"/>
    </xf>
    <xf numFmtId="9" fontId="32" fillId="2" borderId="5" xfId="2" applyFont="1" applyFill="1" applyBorder="1" applyAlignment="1">
      <alignment horizontal="center" vertical="center"/>
    </xf>
    <xf numFmtId="9" fontId="31" fillId="2" borderId="5" xfId="2" applyFont="1" applyFill="1" applyBorder="1" applyAlignment="1">
      <alignment horizontal="center" vertical="center"/>
    </xf>
    <xf numFmtId="165" fontId="31" fillId="2" borderId="5" xfId="2" applyNumberFormat="1" applyFont="1" applyFill="1" applyBorder="1" applyAlignment="1">
      <alignment horizontal="center" vertical="center"/>
    </xf>
    <xf numFmtId="165" fontId="32" fillId="2" borderId="5" xfId="2" applyNumberFormat="1" applyFont="1" applyFill="1" applyBorder="1" applyAlignment="1">
      <alignment horizontal="center" vertical="center"/>
    </xf>
    <xf numFmtId="165" fontId="26" fillId="2" borderId="73" xfId="2" applyNumberFormat="1" applyFont="1" applyFill="1" applyBorder="1" applyAlignment="1">
      <alignment horizontal="center"/>
    </xf>
    <xf numFmtId="165" fontId="26" fillId="2" borderId="5" xfId="2" applyNumberFormat="1" applyFont="1" applyFill="1" applyBorder="1" applyAlignment="1">
      <alignment horizontal="center"/>
    </xf>
    <xf numFmtId="165" fontId="26" fillId="2" borderId="74" xfId="2" applyNumberFormat="1" applyFont="1" applyFill="1" applyBorder="1" applyAlignment="1">
      <alignment horizontal="center"/>
    </xf>
    <xf numFmtId="165" fontId="26" fillId="2" borderId="159" xfId="2" applyNumberFormat="1" applyFont="1" applyFill="1" applyBorder="1" applyAlignment="1">
      <alignment horizontal="center"/>
    </xf>
    <xf numFmtId="0" fontId="23" fillId="2" borderId="227" xfId="0" applyFont="1" applyFill="1" applyBorder="1" applyAlignment="1">
      <alignment horizontal="left" vertical="center"/>
    </xf>
    <xf numFmtId="0" fontId="20" fillId="2" borderId="204" xfId="0" applyFont="1" applyFill="1" applyBorder="1" applyAlignment="1">
      <alignment vertical="center"/>
    </xf>
    <xf numFmtId="3" fontId="16" fillId="2" borderId="228" xfId="0" applyNumberFormat="1" applyFont="1" applyFill="1" applyBorder="1" applyAlignment="1">
      <alignment horizontal="center" vertical="center"/>
    </xf>
    <xf numFmtId="3" fontId="16" fillId="2" borderId="204" xfId="0" applyNumberFormat="1" applyFont="1" applyFill="1" applyBorder="1" applyAlignment="1">
      <alignment horizontal="center" vertical="center"/>
    </xf>
    <xf numFmtId="3" fontId="17" fillId="2" borderId="204" xfId="0" applyNumberFormat="1" applyFont="1" applyFill="1" applyBorder="1" applyAlignment="1">
      <alignment horizontal="center" vertical="center"/>
    </xf>
    <xf numFmtId="3" fontId="17" fillId="2" borderId="45" xfId="0" applyNumberFormat="1" applyFont="1" applyFill="1" applyBorder="1" applyAlignment="1">
      <alignment horizontal="center" vertical="center"/>
    </xf>
    <xf numFmtId="0" fontId="16" fillId="2" borderId="204" xfId="0" applyFont="1" applyFill="1" applyBorder="1" applyAlignment="1">
      <alignment horizontal="center" vertical="center" wrapText="1"/>
    </xf>
    <xf numFmtId="0" fontId="23" fillId="2" borderId="210" xfId="0" applyFont="1" applyFill="1" applyBorder="1" applyAlignment="1">
      <alignment horizontal="left" vertical="center"/>
    </xf>
    <xf numFmtId="3" fontId="22" fillId="2" borderId="159" xfId="0" applyNumberFormat="1" applyFont="1" applyFill="1" applyBorder="1" applyAlignment="1">
      <alignment horizontal="center" vertical="center"/>
    </xf>
    <xf numFmtId="3" fontId="22" fillId="2" borderId="74" xfId="0" applyNumberFormat="1" applyFont="1" applyFill="1" applyBorder="1" applyAlignment="1">
      <alignment horizontal="center" vertical="center"/>
    </xf>
    <xf numFmtId="3" fontId="22" fillId="2" borderId="5" xfId="8" applyNumberFormat="1" applyFont="1" applyFill="1" applyBorder="1" applyAlignment="1">
      <alignment horizontal="center" vertical="center"/>
    </xf>
    <xf numFmtId="3" fontId="23" fillId="2" borderId="5" xfId="8" applyNumberFormat="1" applyFont="1" applyFill="1" applyBorder="1" applyAlignment="1">
      <alignment horizontal="center" vertical="center"/>
    </xf>
    <xf numFmtId="3" fontId="22" fillId="2" borderId="73" xfId="8" applyNumberFormat="1" applyFont="1" applyFill="1" applyBorder="1" applyAlignment="1">
      <alignment horizontal="center" vertical="center"/>
    </xf>
    <xf numFmtId="3" fontId="22" fillId="2" borderId="74" xfId="8" applyNumberFormat="1" applyFont="1" applyFill="1" applyBorder="1" applyAlignment="1">
      <alignment horizontal="center" vertical="center"/>
    </xf>
    <xf numFmtId="3" fontId="22" fillId="2" borderId="159" xfId="8" applyNumberFormat="1" applyFont="1" applyFill="1" applyBorder="1" applyAlignment="1">
      <alignment horizontal="center" vertical="center"/>
    </xf>
    <xf numFmtId="10" fontId="24" fillId="2" borderId="0" xfId="0" applyNumberFormat="1" applyFont="1" applyFill="1"/>
    <xf numFmtId="0" fontId="24" fillId="2" borderId="26" xfId="0" applyFont="1" applyFill="1" applyBorder="1" applyAlignment="1">
      <alignment vertical="center"/>
    </xf>
    <xf numFmtId="3" fontId="20" fillId="2" borderId="229" xfId="0" applyNumberFormat="1" applyFont="1" applyFill="1" applyBorder="1" applyAlignment="1">
      <alignment horizontal="center" vertical="center"/>
    </xf>
    <xf numFmtId="3" fontId="20" fillId="2" borderId="0" xfId="0" applyNumberFormat="1" applyFont="1" applyFill="1" applyAlignment="1">
      <alignment horizontal="center" vertical="center"/>
    </xf>
    <xf numFmtId="3" fontId="20" fillId="2" borderId="27" xfId="0" applyNumberFormat="1" applyFont="1" applyFill="1" applyBorder="1" applyAlignment="1">
      <alignment horizontal="center" vertical="center"/>
    </xf>
    <xf numFmtId="3" fontId="22" fillId="2" borderId="6" xfId="0" applyNumberFormat="1" applyFont="1" applyFill="1" applyBorder="1" applyAlignment="1">
      <alignment horizontal="center" wrapText="1"/>
    </xf>
    <xf numFmtId="3" fontId="22" fillId="2" borderId="230" xfId="0" applyNumberFormat="1" applyFont="1" applyFill="1" applyBorder="1" applyAlignment="1">
      <alignment horizontal="center" wrapText="1"/>
    </xf>
    <xf numFmtId="3" fontId="22" fillId="0" borderId="27" xfId="0" applyNumberFormat="1" applyFont="1" applyBorder="1" applyAlignment="1">
      <alignment horizontal="center" wrapText="1"/>
    </xf>
    <xf numFmtId="3" fontId="22" fillId="0" borderId="0" xfId="0" applyNumberFormat="1" applyFont="1" applyAlignment="1">
      <alignment horizontal="center" wrapText="1"/>
    </xf>
    <xf numFmtId="0" fontId="23" fillId="2" borderId="196" xfId="0" applyFont="1" applyFill="1" applyBorder="1" applyAlignment="1">
      <alignment horizontal="left" vertical="center" wrapText="1"/>
    </xf>
    <xf numFmtId="1" fontId="24" fillId="2" borderId="0" xfId="0" applyNumberFormat="1" applyFont="1" applyFill="1"/>
    <xf numFmtId="0" fontId="24" fillId="2" borderId="119" xfId="0" applyFont="1" applyFill="1" applyBorder="1" applyAlignment="1">
      <alignment vertical="center" wrapText="1"/>
    </xf>
    <xf numFmtId="3" fontId="20" fillId="2" borderId="231" xfId="0" applyNumberFormat="1" applyFont="1" applyFill="1" applyBorder="1" applyAlignment="1">
      <alignment horizontal="center" vertical="center"/>
    </xf>
    <xf numFmtId="3" fontId="20" fillId="2" borderId="120" xfId="0" applyNumberFormat="1" applyFont="1" applyFill="1" applyBorder="1" applyAlignment="1">
      <alignment horizontal="center" vertical="center"/>
    </xf>
    <xf numFmtId="3" fontId="20" fillId="2" borderId="121" xfId="0" applyNumberFormat="1" applyFont="1" applyFill="1" applyBorder="1" applyAlignment="1">
      <alignment horizontal="center" vertical="center"/>
    </xf>
    <xf numFmtId="3" fontId="20" fillId="0" borderId="14" xfId="0" applyNumberFormat="1" applyFont="1" applyBorder="1" applyAlignment="1">
      <alignment horizontal="center" vertical="center"/>
    </xf>
    <xf numFmtId="3" fontId="14" fillId="0" borderId="121" xfId="0" applyNumberFormat="1" applyFont="1" applyBorder="1" applyAlignment="1">
      <alignment horizontal="center" vertical="center" wrapText="1"/>
    </xf>
    <xf numFmtId="3" fontId="14" fillId="0" borderId="232" xfId="0" applyNumberFormat="1" applyFont="1" applyBorder="1" applyAlignment="1">
      <alignment horizontal="center" vertical="center" wrapText="1"/>
    </xf>
    <xf numFmtId="3" fontId="14" fillId="0" borderId="120" xfId="0" applyNumberFormat="1" applyFont="1" applyBorder="1" applyAlignment="1">
      <alignment horizontal="center" vertical="center" wrapText="1"/>
    </xf>
    <xf numFmtId="0" fontId="23" fillId="2" borderId="219" xfId="0" applyFont="1" applyFill="1" applyBorder="1" applyAlignment="1">
      <alignment horizontal="left" vertical="center" wrapText="1"/>
    </xf>
    <xf numFmtId="1" fontId="12" fillId="4" borderId="233" xfId="2" applyNumberFormat="1" applyFont="1" applyFill="1" applyBorder="1" applyAlignment="1">
      <alignment horizontal="center"/>
    </xf>
    <xf numFmtId="1" fontId="12" fillId="4" borderId="143" xfId="2" applyNumberFormat="1" applyFont="1" applyFill="1" applyBorder="1" applyAlignment="1">
      <alignment horizontal="center"/>
    </xf>
    <xf numFmtId="9" fontId="14" fillId="4" borderId="143" xfId="2" applyFont="1" applyFill="1" applyBorder="1" applyAlignment="1">
      <alignment horizontal="center"/>
    </xf>
    <xf numFmtId="9" fontId="12" fillId="4" borderId="38" xfId="2" applyFont="1" applyFill="1" applyBorder="1" applyAlignment="1">
      <alignment horizontal="center"/>
    </xf>
    <xf numFmtId="1" fontId="12" fillId="4" borderId="222" xfId="2" applyNumberFormat="1" applyFont="1" applyFill="1" applyBorder="1" applyAlignment="1">
      <alignment horizontal="center"/>
    </xf>
    <xf numFmtId="0" fontId="12" fillId="4" borderId="234" xfId="0" applyFont="1" applyFill="1" applyBorder="1"/>
    <xf numFmtId="0" fontId="12" fillId="4" borderId="113" xfId="0" applyFont="1" applyFill="1" applyBorder="1"/>
    <xf numFmtId="1" fontId="12" fillId="4" borderId="235" xfId="2" applyNumberFormat="1" applyFont="1" applyFill="1" applyBorder="1" applyAlignment="1">
      <alignment horizontal="center"/>
    </xf>
    <xf numFmtId="1" fontId="12" fillId="4" borderId="0" xfId="2" applyNumberFormat="1" applyFont="1" applyFill="1" applyBorder="1" applyAlignment="1">
      <alignment horizontal="center"/>
    </xf>
    <xf numFmtId="0" fontId="12" fillId="4" borderId="197" xfId="0" applyFont="1" applyFill="1" applyBorder="1"/>
    <xf numFmtId="9" fontId="22" fillId="5" borderId="124" xfId="0" applyNumberFormat="1" applyFont="1" applyFill="1" applyBorder="1" applyAlignment="1">
      <alignment horizontal="center"/>
    </xf>
    <xf numFmtId="9" fontId="23" fillId="5" borderId="124" xfId="0" applyNumberFormat="1" applyFont="1" applyFill="1" applyBorder="1" applyAlignment="1">
      <alignment horizontal="center"/>
    </xf>
    <xf numFmtId="9" fontId="23" fillId="5" borderId="224" xfId="0" applyNumberFormat="1" applyFont="1" applyFill="1" applyBorder="1" applyAlignment="1">
      <alignment horizontal="center"/>
    </xf>
    <xf numFmtId="0" fontId="20" fillId="5" borderId="236" xfId="0" applyFont="1" applyFill="1" applyBorder="1"/>
    <xf numFmtId="9" fontId="20" fillId="5" borderId="14" xfId="0" applyNumberFormat="1" applyFont="1" applyFill="1" applyBorder="1" applyAlignment="1">
      <alignment horizontal="center"/>
    </xf>
    <xf numFmtId="9" fontId="22" fillId="5" borderId="14" xfId="0" applyNumberFormat="1" applyFont="1" applyFill="1" applyBorder="1" applyAlignment="1">
      <alignment horizontal="center"/>
    </xf>
    <xf numFmtId="9" fontId="23" fillId="5" borderId="14" xfId="0" applyNumberFormat="1" applyFont="1" applyFill="1" applyBorder="1" applyAlignment="1">
      <alignment horizontal="center"/>
    </xf>
    <xf numFmtId="9" fontId="21" fillId="5" borderId="14" xfId="0" applyNumberFormat="1" applyFont="1" applyFill="1" applyBorder="1" applyAlignment="1">
      <alignment horizontal="center"/>
    </xf>
    <xf numFmtId="9" fontId="20" fillId="5" borderId="121" xfId="0" applyNumberFormat="1" applyFont="1" applyFill="1" applyBorder="1" applyAlignment="1">
      <alignment horizontal="center"/>
    </xf>
    <xf numFmtId="9" fontId="23" fillId="5" borderId="120" xfId="0" applyNumberFormat="1" applyFont="1" applyFill="1" applyBorder="1" applyAlignment="1">
      <alignment horizontal="center"/>
    </xf>
    <xf numFmtId="0" fontId="23" fillId="5" borderId="219" xfId="0" applyFont="1" applyFill="1" applyBorder="1" applyAlignment="1">
      <alignment horizontal="justify" vertical="center"/>
    </xf>
    <xf numFmtId="0" fontId="24" fillId="5" borderId="113" xfId="0" applyFont="1" applyFill="1" applyBorder="1"/>
    <xf numFmtId="3" fontId="20" fillId="5" borderId="6" xfId="0" applyNumberFormat="1" applyFont="1" applyFill="1" applyBorder="1" applyAlignment="1">
      <alignment horizontal="center"/>
    </xf>
    <xf numFmtId="3" fontId="24" fillId="5" borderId="6" xfId="0" applyNumberFormat="1" applyFont="1" applyFill="1" applyBorder="1" applyAlignment="1">
      <alignment horizontal="center"/>
    </xf>
    <xf numFmtId="3" fontId="30" fillId="5" borderId="6" xfId="0" applyNumberFormat="1" applyFont="1" applyFill="1" applyBorder="1" applyAlignment="1">
      <alignment horizontal="center"/>
    </xf>
    <xf numFmtId="3" fontId="25" fillId="5" borderId="6" xfId="0" applyNumberFormat="1" applyFont="1" applyFill="1" applyBorder="1" applyAlignment="1">
      <alignment horizontal="center"/>
    </xf>
    <xf numFmtId="3" fontId="24" fillId="5" borderId="27" xfId="0" applyNumberFormat="1" applyFont="1" applyFill="1" applyBorder="1" applyAlignment="1">
      <alignment horizontal="center"/>
    </xf>
    <xf numFmtId="3" fontId="25" fillId="5" borderId="0" xfId="0" applyNumberFormat="1" applyFont="1" applyFill="1" applyAlignment="1">
      <alignment horizontal="center"/>
    </xf>
    <xf numFmtId="0" fontId="25" fillId="5" borderId="196" xfId="0" applyFont="1" applyFill="1" applyBorder="1" applyAlignment="1">
      <alignment horizontal="justify" vertical="center"/>
    </xf>
    <xf numFmtId="0" fontId="16" fillId="5" borderId="113" xfId="0" applyFont="1" applyFill="1" applyBorder="1"/>
    <xf numFmtId="3" fontId="57" fillId="5" borderId="6" xfId="0" applyNumberFormat="1" applyFont="1" applyFill="1" applyBorder="1" applyAlignment="1">
      <alignment horizontal="center"/>
    </xf>
    <xf numFmtId="3" fontId="19" fillId="5" borderId="6" xfId="0" applyNumberFormat="1" applyFont="1" applyFill="1" applyBorder="1" applyAlignment="1">
      <alignment horizontal="center"/>
    </xf>
    <xf numFmtId="3" fontId="18" fillId="5" borderId="6" xfId="0" applyNumberFormat="1" applyFont="1" applyFill="1" applyBorder="1" applyAlignment="1">
      <alignment horizontal="center"/>
    </xf>
    <xf numFmtId="3" fontId="26" fillId="5" borderId="6" xfId="0" applyNumberFormat="1" applyFont="1" applyFill="1" applyBorder="1" applyAlignment="1">
      <alignment horizontal="center"/>
    </xf>
    <xf numFmtId="3" fontId="137" fillId="5" borderId="6" xfId="0" applyNumberFormat="1" applyFont="1" applyFill="1" applyBorder="1" applyAlignment="1">
      <alignment horizontal="center"/>
    </xf>
    <xf numFmtId="3" fontId="75" fillId="5" borderId="6" xfId="0" applyNumberFormat="1" applyFont="1" applyFill="1" applyBorder="1" applyAlignment="1">
      <alignment horizontal="center"/>
    </xf>
    <xf numFmtId="0" fontId="16" fillId="5" borderId="11" xfId="0" applyFont="1" applyFill="1" applyBorder="1"/>
    <xf numFmtId="0" fontId="17" fillId="5" borderId="11" xfId="0" applyFont="1" applyFill="1" applyBorder="1"/>
    <xf numFmtId="0" fontId="17" fillId="5" borderId="55" xfId="0" applyFont="1" applyFill="1" applyBorder="1"/>
    <xf numFmtId="0" fontId="28" fillId="5" borderId="196" xfId="0" applyFont="1" applyFill="1" applyBorder="1" applyAlignment="1">
      <alignment horizontal="justify" vertical="center"/>
    </xf>
    <xf numFmtId="0" fontId="36" fillId="2" borderId="93" xfId="0" applyFont="1" applyFill="1" applyBorder="1" applyAlignment="1">
      <alignment wrapText="1"/>
    </xf>
    <xf numFmtId="3" fontId="57" fillId="2" borderId="7" xfId="0" applyNumberFormat="1" applyFont="1" applyFill="1" applyBorder="1" applyAlignment="1">
      <alignment horizontal="center"/>
    </xf>
    <xf numFmtId="3" fontId="19" fillId="2" borderId="7" xfId="0" applyNumberFormat="1" applyFont="1" applyFill="1" applyBorder="1" applyAlignment="1">
      <alignment horizontal="center"/>
    </xf>
    <xf numFmtId="3" fontId="18" fillId="2" borderId="7" xfId="0" applyNumberFormat="1" applyFont="1" applyFill="1" applyBorder="1" applyAlignment="1">
      <alignment horizontal="center"/>
    </xf>
    <xf numFmtId="3" fontId="26" fillId="2" borderId="7" xfId="0" applyNumberFormat="1" applyFont="1" applyFill="1" applyBorder="1" applyAlignment="1">
      <alignment horizontal="center"/>
    </xf>
    <xf numFmtId="3" fontId="137" fillId="2" borderId="7" xfId="0" applyNumberFormat="1" applyFont="1" applyFill="1" applyBorder="1" applyAlignment="1">
      <alignment horizontal="center"/>
    </xf>
    <xf numFmtId="3" fontId="75" fillId="2" borderId="7" xfId="0" applyNumberFormat="1" applyFont="1" applyFill="1" applyBorder="1" applyAlignment="1">
      <alignment horizontal="center"/>
    </xf>
    <xf numFmtId="0" fontId="75" fillId="2" borderId="7" xfId="0" applyFont="1" applyFill="1" applyBorder="1"/>
    <xf numFmtId="0" fontId="16" fillId="2" borderId="7" xfId="0" applyFont="1" applyFill="1" applyBorder="1"/>
    <xf numFmtId="3" fontId="14" fillId="0" borderId="55" xfId="0" applyNumberFormat="1" applyFont="1" applyBorder="1" applyAlignment="1">
      <alignment horizontal="center" vertical="center" wrapText="1"/>
    </xf>
    <xf numFmtId="3" fontId="14" fillId="0" borderId="27" xfId="0" applyNumberFormat="1" applyFont="1" applyBorder="1" applyAlignment="1">
      <alignment horizontal="center" vertical="center" wrapText="1"/>
    </xf>
    <xf numFmtId="3" fontId="14" fillId="0" borderId="0" xfId="0" applyNumberFormat="1" applyFont="1" applyAlignment="1">
      <alignment horizontal="center" vertical="center" wrapText="1"/>
    </xf>
    <xf numFmtId="0" fontId="19" fillId="2" borderId="206" xfId="0" applyFont="1" applyFill="1" applyBorder="1" applyAlignment="1">
      <alignment wrapText="1"/>
    </xf>
    <xf numFmtId="0" fontId="19" fillId="2" borderId="237" xfId="0" applyFont="1" applyFill="1" applyBorder="1" applyAlignment="1">
      <alignment wrapText="1"/>
    </xf>
    <xf numFmtId="3" fontId="57" fillId="2" borderId="238" xfId="0" applyNumberFormat="1" applyFont="1" applyFill="1" applyBorder="1" applyAlignment="1">
      <alignment horizontal="center"/>
    </xf>
    <xf numFmtId="3" fontId="19" fillId="2" borderId="238" xfId="0" applyNumberFormat="1" applyFont="1" applyFill="1" applyBorder="1" applyAlignment="1">
      <alignment horizontal="center"/>
    </xf>
    <xf numFmtId="3" fontId="18" fillId="2" borderId="238" xfId="0" applyNumberFormat="1" applyFont="1" applyFill="1" applyBorder="1" applyAlignment="1">
      <alignment horizontal="center"/>
    </xf>
    <xf numFmtId="3" fontId="26" fillId="2" borderId="238" xfId="0" applyNumberFormat="1" applyFont="1" applyFill="1" applyBorder="1" applyAlignment="1">
      <alignment horizontal="center"/>
    </xf>
    <xf numFmtId="3" fontId="137" fillId="2" borderId="238" xfId="0" applyNumberFormat="1" applyFont="1" applyFill="1" applyBorder="1" applyAlignment="1">
      <alignment horizontal="center"/>
    </xf>
    <xf numFmtId="3" fontId="75" fillId="2" borderId="238" xfId="0" applyNumberFormat="1" applyFont="1" applyFill="1" applyBorder="1" applyAlignment="1">
      <alignment horizontal="center"/>
    </xf>
    <xf numFmtId="0" fontId="75" fillId="2" borderId="238" xfId="0" applyFont="1" applyFill="1" applyBorder="1"/>
    <xf numFmtId="0" fontId="16" fillId="2" borderId="241" xfId="0" applyFont="1" applyFill="1" applyBorder="1"/>
    <xf numFmtId="3" fontId="57" fillId="2" borderId="242" xfId="0" applyNumberFormat="1" applyFont="1" applyFill="1" applyBorder="1" applyAlignment="1">
      <alignment horizontal="center"/>
    </xf>
    <xf numFmtId="3" fontId="19" fillId="2" borderId="242" xfId="0" applyNumberFormat="1" applyFont="1" applyFill="1" applyBorder="1" applyAlignment="1">
      <alignment horizontal="center"/>
    </xf>
    <xf numFmtId="3" fontId="18" fillId="2" borderId="242" xfId="0" applyNumberFormat="1" applyFont="1" applyFill="1" applyBorder="1" applyAlignment="1">
      <alignment horizontal="center"/>
    </xf>
    <xf numFmtId="3" fontId="26" fillId="2" borderId="242" xfId="0" applyNumberFormat="1" applyFont="1" applyFill="1" applyBorder="1" applyAlignment="1">
      <alignment horizontal="center"/>
    </xf>
    <xf numFmtId="3" fontId="137" fillId="2" borderId="242" xfId="0" applyNumberFormat="1" applyFont="1" applyFill="1" applyBorder="1" applyAlignment="1">
      <alignment horizontal="center"/>
    </xf>
    <xf numFmtId="3" fontId="75" fillId="2" borderId="242" xfId="0" applyNumberFormat="1" applyFont="1" applyFill="1" applyBorder="1" applyAlignment="1">
      <alignment horizontal="center"/>
    </xf>
    <xf numFmtId="0" fontId="75" fillId="2" borderId="242" xfId="0" applyFont="1" applyFill="1" applyBorder="1"/>
    <xf numFmtId="0" fontId="16" fillId="2" borderId="196" xfId="0" applyFont="1" applyFill="1" applyBorder="1"/>
    <xf numFmtId="0" fontId="16" fillId="2" borderId="244" xfId="0" applyFont="1" applyFill="1" applyBorder="1"/>
    <xf numFmtId="3" fontId="57" fillId="2" borderId="245" xfId="0" applyNumberFormat="1" applyFont="1" applyFill="1" applyBorder="1" applyAlignment="1">
      <alignment horizontal="center"/>
    </xf>
    <xf numFmtId="3" fontId="19" fillId="2" borderId="245" xfId="0" applyNumberFormat="1" applyFont="1" applyFill="1" applyBorder="1" applyAlignment="1">
      <alignment horizontal="center"/>
    </xf>
    <xf numFmtId="3" fontId="18" fillId="2" borderId="245" xfId="0" applyNumberFormat="1" applyFont="1" applyFill="1" applyBorder="1" applyAlignment="1">
      <alignment horizontal="center"/>
    </xf>
    <xf numFmtId="3" fontId="26" fillId="2" borderId="245" xfId="0" applyNumberFormat="1" applyFont="1" applyFill="1" applyBorder="1" applyAlignment="1">
      <alignment horizontal="center"/>
    </xf>
    <xf numFmtId="3" fontId="137" fillId="2" borderId="245" xfId="0" applyNumberFormat="1" applyFont="1" applyFill="1" applyBorder="1" applyAlignment="1">
      <alignment horizontal="center"/>
    </xf>
    <xf numFmtId="3" fontId="75" fillId="2" borderId="245" xfId="0" applyNumberFormat="1" applyFont="1" applyFill="1" applyBorder="1" applyAlignment="1">
      <alignment horizontal="center"/>
    </xf>
    <xf numFmtId="0" fontId="75" fillId="2" borderId="245" xfId="0" applyFont="1" applyFill="1" applyBorder="1"/>
    <xf numFmtId="0" fontId="31" fillId="2" borderId="246"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16" fillId="2" borderId="247" xfId="0" applyFont="1" applyFill="1" applyBorder="1"/>
    <xf numFmtId="0" fontId="19" fillId="2" borderId="113" xfId="0" applyFont="1" applyFill="1" applyBorder="1" applyAlignment="1">
      <alignment wrapText="1"/>
    </xf>
    <xf numFmtId="3" fontId="57" fillId="2" borderId="6" xfId="0" applyNumberFormat="1" applyFont="1" applyFill="1" applyBorder="1" applyAlignment="1">
      <alignment horizontal="center"/>
    </xf>
    <xf numFmtId="3" fontId="19" fillId="2" borderId="6" xfId="0" applyNumberFormat="1" applyFont="1" applyFill="1" applyBorder="1" applyAlignment="1">
      <alignment horizontal="center"/>
    </xf>
    <xf numFmtId="3" fontId="18" fillId="2" borderId="6" xfId="0" applyNumberFormat="1" applyFont="1" applyFill="1" applyBorder="1" applyAlignment="1">
      <alignment horizontal="center"/>
    </xf>
    <xf numFmtId="3" fontId="26" fillId="2" borderId="6" xfId="0" applyNumberFormat="1" applyFont="1" applyFill="1" applyBorder="1" applyAlignment="1">
      <alignment horizontal="center"/>
    </xf>
    <xf numFmtId="3" fontId="137" fillId="2" borderId="6" xfId="0" applyNumberFormat="1" applyFont="1" applyFill="1" applyBorder="1" applyAlignment="1">
      <alignment horizontal="center"/>
    </xf>
    <xf numFmtId="3" fontId="75" fillId="2" borderId="6" xfId="0" applyNumberFormat="1" applyFont="1" applyFill="1" applyBorder="1" applyAlignment="1">
      <alignment horizontal="center"/>
    </xf>
    <xf numFmtId="9" fontId="31" fillId="2" borderId="248" xfId="0" applyNumberFormat="1" applyFont="1" applyFill="1" applyBorder="1" applyAlignment="1">
      <alignment horizontal="center" vertical="center"/>
    </xf>
    <xf numFmtId="9" fontId="32" fillId="2" borderId="5" xfId="0" applyNumberFormat="1" applyFont="1" applyFill="1" applyBorder="1" applyAlignment="1">
      <alignment horizontal="center" vertical="center"/>
    </xf>
    <xf numFmtId="9" fontId="32" fillId="2" borderId="0" xfId="0" applyNumberFormat="1" applyFont="1" applyFill="1" applyAlignment="1">
      <alignment horizontal="center" vertical="center"/>
    </xf>
    <xf numFmtId="0" fontId="12" fillId="4" borderId="150" xfId="0" applyFont="1" applyFill="1" applyBorder="1"/>
    <xf numFmtId="1" fontId="12" fillId="4" borderId="151" xfId="2" applyNumberFormat="1" applyFont="1" applyFill="1" applyBorder="1" applyAlignment="1">
      <alignment horizontal="center"/>
    </xf>
    <xf numFmtId="1" fontId="14" fillId="4" borderId="151" xfId="2" applyNumberFormat="1" applyFont="1" applyFill="1" applyBorder="1" applyAlignment="1">
      <alignment horizontal="center"/>
    </xf>
    <xf numFmtId="10" fontId="93" fillId="4" borderId="151" xfId="6" applyNumberFormat="1" applyFont="1" applyFill="1" applyBorder="1" applyAlignment="1">
      <alignment horizontal="center"/>
    </xf>
    <xf numFmtId="1" fontId="12" fillId="4" borderId="249" xfId="2" applyNumberFormat="1" applyFont="1" applyFill="1" applyBorder="1" applyAlignment="1">
      <alignment horizontal="center"/>
    </xf>
    <xf numFmtId="1" fontId="12" fillId="4" borderId="250" xfId="2" applyNumberFormat="1" applyFont="1" applyFill="1" applyBorder="1" applyAlignment="1">
      <alignment horizontal="center"/>
    </xf>
    <xf numFmtId="0" fontId="12" fillId="4" borderId="251" xfId="0" applyFont="1" applyFill="1" applyBorder="1"/>
    <xf numFmtId="9" fontId="20" fillId="5" borderId="83" xfId="0" applyNumberFormat="1" applyFont="1" applyFill="1" applyBorder="1" applyAlignment="1">
      <alignment horizontal="center"/>
    </xf>
    <xf numFmtId="9" fontId="20" fillId="5" borderId="179" xfId="0" applyNumberFormat="1" applyFont="1" applyFill="1" applyBorder="1" applyAlignment="1">
      <alignment horizontal="center"/>
    </xf>
    <xf numFmtId="0" fontId="20" fillId="5" borderId="195" xfId="0" applyFont="1" applyFill="1" applyBorder="1"/>
    <xf numFmtId="9" fontId="138" fillId="5" borderId="6" xfId="0" applyNumberFormat="1" applyFont="1" applyFill="1" applyBorder="1" applyAlignment="1">
      <alignment horizontal="center"/>
    </xf>
    <xf numFmtId="165" fontId="9" fillId="5" borderId="6" xfId="2" applyNumberFormat="1" applyFont="1" applyFill="1" applyBorder="1" applyAlignment="1">
      <alignment horizontal="center"/>
    </xf>
    <xf numFmtId="9" fontId="62" fillId="5" borderId="6" xfId="0" applyNumberFormat="1" applyFont="1" applyFill="1" applyBorder="1" applyAlignment="1">
      <alignment horizontal="center"/>
    </xf>
    <xf numFmtId="0" fontId="9" fillId="5" borderId="27" xfId="0" applyFont="1" applyFill="1" applyBorder="1"/>
    <xf numFmtId="0" fontId="9" fillId="5" borderId="0" xfId="0" applyFont="1" applyFill="1"/>
    <xf numFmtId="0" fontId="60" fillId="5" borderId="196" xfId="0" applyFont="1" applyFill="1" applyBorder="1"/>
    <xf numFmtId="9" fontId="139" fillId="5" borderId="6" xfId="0" applyNumberFormat="1" applyFont="1" applyFill="1" applyBorder="1" applyAlignment="1">
      <alignment horizontal="center"/>
    </xf>
    <xf numFmtId="0" fontId="24" fillId="5" borderId="27" xfId="0" applyFont="1" applyFill="1" applyBorder="1"/>
    <xf numFmtId="0" fontId="24" fillId="5" borderId="0" xfId="0" applyFont="1" applyFill="1"/>
    <xf numFmtId="0" fontId="20" fillId="5" borderId="196" xfId="0" applyFont="1" applyFill="1" applyBorder="1"/>
    <xf numFmtId="165" fontId="9" fillId="5" borderId="11" xfId="2" applyNumberFormat="1" applyFont="1" applyFill="1" applyBorder="1" applyAlignment="1">
      <alignment horizontal="center"/>
    </xf>
    <xf numFmtId="0" fontId="9" fillId="5" borderId="199" xfId="0" applyFont="1" applyFill="1" applyBorder="1"/>
    <xf numFmtId="9" fontId="20" fillId="2" borderId="7" xfId="0" quotePrefix="1" applyNumberFormat="1" applyFont="1" applyFill="1" applyBorder="1" applyAlignment="1">
      <alignment horizontal="center"/>
    </xf>
    <xf numFmtId="9" fontId="20" fillId="2" borderId="45" xfId="0" quotePrefix="1" applyNumberFormat="1" applyFont="1" applyFill="1" applyBorder="1" applyAlignment="1">
      <alignment horizontal="center"/>
    </xf>
    <xf numFmtId="9" fontId="20" fillId="2" borderId="204" xfId="0" quotePrefix="1" applyNumberFormat="1" applyFont="1" applyFill="1" applyBorder="1" applyAlignment="1">
      <alignment horizontal="center"/>
    </xf>
    <xf numFmtId="9" fontId="23" fillId="2" borderId="13" xfId="0" quotePrefix="1" applyNumberFormat="1" applyFont="1" applyFill="1" applyBorder="1" applyAlignment="1">
      <alignment horizontal="center"/>
    </xf>
    <xf numFmtId="0" fontId="23" fillId="0" borderId="210" xfId="0" applyFont="1" applyBorder="1" applyAlignment="1">
      <alignment horizontal="justify" vertical="center" wrapText="1"/>
    </xf>
    <xf numFmtId="9" fontId="24" fillId="2" borderId="103" xfId="0" applyNumberFormat="1" applyFont="1" applyFill="1" applyBorder="1" applyAlignment="1">
      <alignment horizontal="center"/>
    </xf>
    <xf numFmtId="9" fontId="24" fillId="2" borderId="117" xfId="0" applyNumberFormat="1" applyFont="1" applyFill="1" applyBorder="1" applyAlignment="1">
      <alignment horizontal="center"/>
    </xf>
    <xf numFmtId="9" fontId="25" fillId="2" borderId="21" xfId="0" applyNumberFormat="1" applyFont="1" applyFill="1" applyBorder="1" applyAlignment="1">
      <alignment horizontal="center"/>
    </xf>
    <xf numFmtId="0" fontId="25" fillId="2" borderId="208" xfId="0" applyFont="1" applyFill="1" applyBorder="1"/>
    <xf numFmtId="9" fontId="21" fillId="2" borderId="21" xfId="0" applyNumberFormat="1" applyFont="1" applyFill="1" applyBorder="1" applyAlignment="1">
      <alignment horizontal="center" vertical="center"/>
    </xf>
    <xf numFmtId="9" fontId="24" fillId="2" borderId="103" xfId="0" applyNumberFormat="1" applyFont="1" applyFill="1" applyBorder="1" applyAlignment="1">
      <alignment horizontal="center" vertical="center"/>
    </xf>
    <xf numFmtId="9" fontId="24" fillId="2" borderId="117" xfId="0" applyNumberFormat="1" applyFont="1" applyFill="1" applyBorder="1" applyAlignment="1">
      <alignment horizontal="center" vertical="center"/>
    </xf>
    <xf numFmtId="0" fontId="25" fillId="0" borderId="208" xfId="0" applyFont="1" applyBorder="1" applyAlignment="1">
      <alignment wrapText="1"/>
    </xf>
    <xf numFmtId="9" fontId="22" fillId="2" borderId="21" xfId="0" applyNumberFormat="1" applyFont="1" applyFill="1" applyBorder="1" applyAlignment="1">
      <alignment horizontal="center"/>
    </xf>
    <xf numFmtId="0" fontId="25" fillId="2" borderId="208" xfId="0" applyFont="1" applyFill="1" applyBorder="1" applyAlignment="1">
      <alignment vertical="top"/>
    </xf>
    <xf numFmtId="9" fontId="30" fillId="2" borderId="117" xfId="0" applyNumberFormat="1" applyFont="1" applyFill="1" applyBorder="1" applyAlignment="1">
      <alignment horizontal="center" vertical="center"/>
    </xf>
    <xf numFmtId="9" fontId="68" fillId="2" borderId="21" xfId="0" applyNumberFormat="1" applyFont="1" applyFill="1" applyBorder="1" applyAlignment="1">
      <alignment horizontal="center" vertical="center"/>
    </xf>
    <xf numFmtId="9" fontId="103" fillId="2" borderId="21" xfId="0" applyNumberFormat="1" applyFont="1" applyFill="1" applyBorder="1" applyAlignment="1">
      <alignment horizontal="center" vertical="center"/>
    </xf>
    <xf numFmtId="9" fontId="22" fillId="2" borderId="21" xfId="0" applyNumberFormat="1" applyFont="1" applyFill="1" applyBorder="1" applyAlignment="1">
      <alignment horizontal="center" vertical="center"/>
    </xf>
    <xf numFmtId="9" fontId="25" fillId="2" borderId="103" xfId="0" applyNumberFormat="1" applyFont="1" applyFill="1" applyBorder="1" applyAlignment="1">
      <alignment horizontal="center" vertical="center"/>
    </xf>
    <xf numFmtId="9" fontId="25" fillId="2" borderId="117" xfId="0" applyNumberFormat="1" applyFont="1" applyFill="1" applyBorder="1" applyAlignment="1">
      <alignment horizontal="center" vertical="center"/>
    </xf>
    <xf numFmtId="0" fontId="25" fillId="2" borderId="208" xfId="0" applyFont="1" applyFill="1" applyBorder="1" applyAlignment="1">
      <alignment vertical="top" wrapText="1"/>
    </xf>
    <xf numFmtId="9" fontId="25" fillId="2" borderId="103" xfId="0" quotePrefix="1" applyNumberFormat="1" applyFont="1" applyFill="1" applyBorder="1" applyAlignment="1">
      <alignment horizontal="center" vertical="center"/>
    </xf>
    <xf numFmtId="9" fontId="25" fillId="2" borderId="117" xfId="0" quotePrefix="1" applyNumberFormat="1" applyFont="1" applyFill="1" applyBorder="1" applyAlignment="1">
      <alignment horizontal="center" vertical="center"/>
    </xf>
    <xf numFmtId="9" fontId="25" fillId="2" borderId="21" xfId="0" quotePrefix="1" applyNumberFormat="1" applyFont="1" applyFill="1" applyBorder="1" applyAlignment="1">
      <alignment horizontal="center" vertical="center"/>
    </xf>
    <xf numFmtId="9" fontId="24" fillId="2" borderId="14" xfId="0" applyNumberFormat="1" applyFont="1" applyFill="1" applyBorder="1" applyAlignment="1">
      <alignment horizontal="center"/>
    </xf>
    <xf numFmtId="9" fontId="22" fillId="2" borderId="14" xfId="0" quotePrefix="1" applyNumberFormat="1" applyFont="1" applyFill="1" applyBorder="1" applyAlignment="1">
      <alignment horizontal="center"/>
    </xf>
    <xf numFmtId="9" fontId="25" fillId="2" borderId="121" xfId="0" applyNumberFormat="1" applyFont="1" applyFill="1" applyBorder="1" applyAlignment="1">
      <alignment horizontal="center" vertical="center"/>
    </xf>
    <xf numFmtId="9" fontId="25" fillId="2" borderId="120" xfId="0" applyNumberFormat="1" applyFont="1" applyFill="1" applyBorder="1" applyAlignment="1">
      <alignment horizontal="center" vertical="center"/>
    </xf>
    <xf numFmtId="0" fontId="25" fillId="2" borderId="219" xfId="0" applyFont="1" applyFill="1" applyBorder="1"/>
    <xf numFmtId="0" fontId="9" fillId="2" borderId="113" xfId="0" applyFont="1" applyFill="1" applyBorder="1"/>
    <xf numFmtId="9" fontId="9" fillId="2" borderId="6" xfId="0" applyNumberFormat="1" applyFont="1" applyFill="1" applyBorder="1" applyAlignment="1">
      <alignment horizontal="center"/>
    </xf>
    <xf numFmtId="9" fontId="61" fillId="2" borderId="6" xfId="0" quotePrefix="1" applyNumberFormat="1" applyFont="1" applyFill="1" applyBorder="1" applyAlignment="1">
      <alignment horizontal="center"/>
    </xf>
    <xf numFmtId="9" fontId="59" fillId="2" borderId="6" xfId="0" applyNumberFormat="1" applyFont="1" applyFill="1" applyBorder="1" applyAlignment="1">
      <alignment horizontal="center" vertical="center"/>
    </xf>
    <xf numFmtId="0" fontId="9" fillId="2" borderId="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0" xfId="0" applyFont="1" applyFill="1" applyAlignment="1">
      <alignment horizontal="center" vertical="center"/>
    </xf>
    <xf numFmtId="0" fontId="66" fillId="2" borderId="6" xfId="0" applyFont="1" applyFill="1" applyBorder="1" applyAlignment="1">
      <alignment horizontal="center" vertical="center"/>
    </xf>
    <xf numFmtId="0" fontId="59" fillId="2" borderId="196" xfId="0" applyFont="1" applyFill="1" applyBorder="1"/>
    <xf numFmtId="0" fontId="24" fillId="2" borderId="113" xfId="0" applyFont="1" applyFill="1" applyBorder="1"/>
    <xf numFmtId="9" fontId="24" fillId="2" borderId="6" xfId="0" applyNumberFormat="1" applyFont="1" applyFill="1" applyBorder="1" applyAlignment="1">
      <alignment horizontal="center"/>
    </xf>
    <xf numFmtId="9" fontId="22" fillId="2" borderId="6" xfId="0" quotePrefix="1" applyNumberFormat="1" applyFont="1" applyFill="1" applyBorder="1" applyAlignment="1">
      <alignment horizontal="center"/>
    </xf>
    <xf numFmtId="9" fontId="68" fillId="2" borderId="6" xfId="0" applyNumberFormat="1" applyFont="1" applyFill="1" applyBorder="1" applyAlignment="1">
      <alignment horizontal="center" vertical="center"/>
    </xf>
    <xf numFmtId="0" fontId="24" fillId="2" borderId="6" xfId="0" applyFont="1" applyFill="1" applyBorder="1" applyAlignment="1">
      <alignment horizontal="center" vertical="center"/>
    </xf>
    <xf numFmtId="0" fontId="24" fillId="2" borderId="27" xfId="0" applyFont="1" applyFill="1" applyBorder="1" applyAlignment="1">
      <alignment horizontal="center" vertical="center"/>
    </xf>
    <xf numFmtId="0" fontId="30" fillId="2" borderId="6" xfId="0" applyFont="1" applyFill="1" applyBorder="1" applyAlignment="1">
      <alignment horizontal="center" vertical="center"/>
    </xf>
    <xf numFmtId="0" fontId="25" fillId="2" borderId="196" xfId="0" applyFont="1" applyFill="1" applyBorder="1"/>
    <xf numFmtId="9" fontId="21" fillId="2" borderId="6" xfId="0" applyNumberFormat="1" applyFont="1" applyFill="1" applyBorder="1" applyAlignment="1">
      <alignment horizontal="center" vertical="center"/>
    </xf>
    <xf numFmtId="9" fontId="9" fillId="2" borderId="12" xfId="0" applyNumberFormat="1" applyFont="1" applyFill="1" applyBorder="1" applyAlignment="1">
      <alignment horizontal="center"/>
    </xf>
    <xf numFmtId="9" fontId="61" fillId="2" borderId="12" xfId="0" quotePrefix="1" applyNumberFormat="1" applyFont="1" applyFill="1" applyBorder="1" applyAlignment="1">
      <alignment horizontal="center"/>
    </xf>
    <xf numFmtId="9" fontId="59" fillId="2" borderId="12" xfId="0" applyNumberFormat="1" applyFont="1" applyFill="1" applyBorder="1" applyAlignment="1">
      <alignment horizontal="center" vertical="center"/>
    </xf>
    <xf numFmtId="0" fontId="9" fillId="2" borderId="12" xfId="0" applyFont="1" applyFill="1" applyBorder="1" applyAlignment="1">
      <alignment horizontal="center" vertical="center"/>
    </xf>
    <xf numFmtId="0" fontId="9" fillId="2" borderId="91" xfId="0" applyFont="1" applyFill="1" applyBorder="1" applyAlignment="1">
      <alignment horizontal="center" vertical="center"/>
    </xf>
    <xf numFmtId="0" fontId="9" fillId="2" borderId="225" xfId="0" applyFont="1" applyFill="1" applyBorder="1" applyAlignment="1">
      <alignment horizontal="center" vertical="center"/>
    </xf>
    <xf numFmtId="0" fontId="66" fillId="2" borderId="12" xfId="0" applyFont="1" applyFill="1" applyBorder="1" applyAlignment="1">
      <alignment horizontal="center" vertical="center"/>
    </xf>
    <xf numFmtId="0" fontId="59" fillId="2" borderId="202" xfId="0" applyFont="1" applyFill="1" applyBorder="1"/>
    <xf numFmtId="0" fontId="24" fillId="2" borderId="102" xfId="0" applyFont="1" applyFill="1" applyBorder="1" applyAlignment="1">
      <alignment wrapText="1"/>
    </xf>
    <xf numFmtId="0" fontId="25" fillId="2" borderId="208" xfId="0" applyFont="1" applyFill="1" applyBorder="1" applyAlignment="1">
      <alignment wrapText="1"/>
    </xf>
    <xf numFmtId="9" fontId="68" fillId="2" borderId="14" xfId="0" applyNumberFormat="1" applyFont="1" applyFill="1" applyBorder="1" applyAlignment="1">
      <alignment horizontal="center"/>
    </xf>
    <xf numFmtId="9" fontId="103" fillId="2" borderId="14" xfId="0" applyNumberFormat="1" applyFont="1" applyFill="1" applyBorder="1" applyAlignment="1">
      <alignment horizontal="center" vertical="center"/>
    </xf>
    <xf numFmtId="9" fontId="21" fillId="2" borderId="14" xfId="0" applyNumberFormat="1" applyFont="1" applyFill="1" applyBorder="1" applyAlignment="1">
      <alignment horizontal="center" vertical="center"/>
    </xf>
    <xf numFmtId="9" fontId="25" fillId="2" borderId="21" xfId="0" applyNumberFormat="1" applyFont="1" applyFill="1" applyBorder="1" applyAlignment="1">
      <alignment horizontal="center" vertical="center" wrapText="1" shrinkToFit="1"/>
    </xf>
    <xf numFmtId="9" fontId="25" fillId="2" borderId="121" xfId="0" applyNumberFormat="1" applyFont="1" applyFill="1" applyBorder="1" applyAlignment="1">
      <alignment horizontal="center" vertical="center" wrapText="1" shrinkToFit="1"/>
    </xf>
    <xf numFmtId="9" fontId="25" fillId="2" borderId="120" xfId="0" applyNumberFormat="1" applyFont="1" applyFill="1" applyBorder="1" applyAlignment="1">
      <alignment horizontal="center" vertical="center" wrapText="1" shrinkToFit="1"/>
    </xf>
    <xf numFmtId="9" fontId="30" fillId="2" borderId="14" xfId="0" applyNumberFormat="1" applyFont="1" applyFill="1" applyBorder="1" applyAlignment="1">
      <alignment horizontal="center" vertical="center" wrapText="1" shrinkToFit="1"/>
    </xf>
    <xf numFmtId="0" fontId="25" fillId="2" borderId="219" xfId="0" applyFont="1" applyFill="1" applyBorder="1" applyAlignment="1">
      <alignment vertical="center" wrapText="1" shrinkToFit="1"/>
    </xf>
    <xf numFmtId="0" fontId="24" fillId="2" borderId="127" xfId="0" applyFont="1" applyFill="1" applyBorder="1" applyAlignment="1">
      <alignment wrapText="1"/>
    </xf>
    <xf numFmtId="9" fontId="25" fillId="2" borderId="14" xfId="0" applyNumberFormat="1" applyFont="1" applyFill="1" applyBorder="1" applyAlignment="1">
      <alignment horizontal="center" vertical="center" wrapText="1" shrinkToFit="1"/>
    </xf>
    <xf numFmtId="0" fontId="25" fillId="2" borderId="219" xfId="0" quotePrefix="1" applyFont="1" applyFill="1" applyBorder="1" applyAlignment="1">
      <alignment vertical="center" wrapText="1" shrinkToFit="1"/>
    </xf>
    <xf numFmtId="0" fontId="25" fillId="2" borderId="219" xfId="0" quotePrefix="1" applyFont="1" applyFill="1" applyBorder="1" applyAlignment="1">
      <alignment wrapText="1" shrinkToFit="1"/>
    </xf>
    <xf numFmtId="0" fontId="25" fillId="2" borderId="219" xfId="0" applyFont="1" applyFill="1" applyBorder="1" applyAlignment="1">
      <alignment wrapText="1"/>
    </xf>
    <xf numFmtId="0" fontId="24" fillId="7" borderId="102" xfId="0" applyFont="1" applyFill="1" applyBorder="1"/>
    <xf numFmtId="9" fontId="24" fillId="7" borderId="21" xfId="0" applyNumberFormat="1" applyFont="1" applyFill="1" applyBorder="1" applyAlignment="1">
      <alignment horizontal="center"/>
    </xf>
    <xf numFmtId="9" fontId="68" fillId="7" borderId="21" xfId="0" applyNumberFormat="1" applyFont="1" applyFill="1" applyBorder="1" applyAlignment="1">
      <alignment horizontal="center"/>
    </xf>
    <xf numFmtId="9" fontId="103" fillId="7" borderId="21" xfId="0" applyNumberFormat="1" applyFont="1" applyFill="1" applyBorder="1" applyAlignment="1">
      <alignment horizontal="center"/>
    </xf>
    <xf numFmtId="0" fontId="24" fillId="7" borderId="21" xfId="0" applyFont="1" applyFill="1" applyBorder="1" applyAlignment="1">
      <alignment horizontal="center"/>
    </xf>
    <xf numFmtId="0" fontId="24" fillId="7" borderId="103" xfId="0" quotePrefix="1" applyFont="1" applyFill="1" applyBorder="1" applyAlignment="1">
      <alignment horizontal="center"/>
    </xf>
    <xf numFmtId="0" fontId="24" fillId="7" borderId="117" xfId="0" quotePrefix="1" applyFont="1" applyFill="1" applyBorder="1" applyAlignment="1">
      <alignment horizontal="center"/>
    </xf>
    <xf numFmtId="0" fontId="30" fillId="7" borderId="21" xfId="0" quotePrefix="1" applyFont="1" applyFill="1" applyBorder="1" applyAlignment="1">
      <alignment horizontal="center"/>
    </xf>
    <xf numFmtId="0" fontId="25" fillId="7" borderId="208" xfId="0" applyFont="1" applyFill="1" applyBorder="1"/>
    <xf numFmtId="0" fontId="24" fillId="7" borderId="127" xfId="0" applyFont="1" applyFill="1" applyBorder="1"/>
    <xf numFmtId="9" fontId="24" fillId="7" borderId="14" xfId="0" applyNumberFormat="1" applyFont="1" applyFill="1" applyBorder="1" applyAlignment="1">
      <alignment horizontal="center"/>
    </xf>
    <xf numFmtId="9" fontId="21" fillId="7" borderId="14" xfId="0" applyNumberFormat="1" applyFont="1" applyFill="1" applyBorder="1" applyAlignment="1">
      <alignment horizontal="center"/>
    </xf>
    <xf numFmtId="9" fontId="68" fillId="7" borderId="14" xfId="0" applyNumberFormat="1" applyFont="1" applyFill="1" applyBorder="1" applyAlignment="1">
      <alignment horizontal="center"/>
    </xf>
    <xf numFmtId="9" fontId="103" fillId="7" borderId="14" xfId="0" applyNumberFormat="1" applyFont="1" applyFill="1" applyBorder="1" applyAlignment="1">
      <alignment horizontal="center"/>
    </xf>
    <xf numFmtId="0" fontId="24" fillId="7" borderId="14" xfId="0" applyFont="1" applyFill="1" applyBorder="1" applyAlignment="1">
      <alignment horizontal="center"/>
    </xf>
    <xf numFmtId="0" fontId="24" fillId="7" borderId="121" xfId="0" applyFont="1" applyFill="1" applyBorder="1" applyAlignment="1">
      <alignment horizontal="center"/>
    </xf>
    <xf numFmtId="0" fontId="24" fillId="7" borderId="120" xfId="0" applyFont="1" applyFill="1" applyBorder="1" applyAlignment="1">
      <alignment horizontal="center"/>
    </xf>
    <xf numFmtId="0" fontId="30" fillId="7" borderId="14" xfId="0" applyFont="1" applyFill="1" applyBorder="1" applyAlignment="1">
      <alignment horizontal="center"/>
    </xf>
    <xf numFmtId="0" fontId="25" fillId="7" borderId="219" xfId="0" applyFont="1" applyFill="1" applyBorder="1"/>
    <xf numFmtId="0" fontId="9" fillId="7" borderId="90" xfId="0" applyFont="1" applyFill="1" applyBorder="1"/>
    <xf numFmtId="9" fontId="9" fillId="7" borderId="12" xfId="0" applyNumberFormat="1" applyFont="1" applyFill="1" applyBorder="1" applyAlignment="1">
      <alignment horizontal="center"/>
    </xf>
    <xf numFmtId="9" fontId="141" fillId="7" borderId="12" xfId="0" applyNumberFormat="1" applyFont="1" applyFill="1" applyBorder="1" applyAlignment="1">
      <alignment horizontal="center"/>
    </xf>
    <xf numFmtId="9" fontId="142" fillId="7" borderId="12" xfId="0" applyNumberFormat="1" applyFont="1" applyFill="1" applyBorder="1" applyAlignment="1">
      <alignment horizontal="center"/>
    </xf>
    <xf numFmtId="0" fontId="24" fillId="7" borderId="12" xfId="0" applyFont="1" applyFill="1" applyBorder="1" applyAlignment="1">
      <alignment horizontal="center"/>
    </xf>
    <xf numFmtId="0" fontId="24" fillId="7" borderId="91" xfId="0" applyFont="1" applyFill="1" applyBorder="1" applyAlignment="1">
      <alignment horizontal="center"/>
    </xf>
    <xf numFmtId="0" fontId="24" fillId="7" borderId="225" xfId="0" applyFont="1" applyFill="1" applyBorder="1" applyAlignment="1">
      <alignment horizontal="center"/>
    </xf>
    <xf numFmtId="0" fontId="30" fillId="7" borderId="12" xfId="0" applyFont="1" applyFill="1" applyBorder="1" applyAlignment="1">
      <alignment horizontal="center"/>
    </xf>
    <xf numFmtId="0" fontId="59" fillId="7" borderId="202" xfId="0" applyFont="1" applyFill="1" applyBorder="1"/>
    <xf numFmtId="0" fontId="24" fillId="7" borderId="121" xfId="0" quotePrefix="1" applyFont="1" applyFill="1" applyBorder="1" applyAlignment="1">
      <alignment horizontal="center"/>
    </xf>
    <xf numFmtId="0" fontId="24" fillId="7" borderId="120" xfId="0" quotePrefix="1" applyFont="1" applyFill="1" applyBorder="1" applyAlignment="1">
      <alignment horizontal="center"/>
    </xf>
    <xf numFmtId="0" fontId="30" fillId="7" borderId="14" xfId="0" quotePrefix="1" applyFont="1" applyFill="1" applyBorder="1" applyAlignment="1">
      <alignment horizontal="center"/>
    </xf>
    <xf numFmtId="0" fontId="24" fillId="7" borderId="105" xfId="0" applyFont="1" applyFill="1" applyBorder="1"/>
    <xf numFmtId="9" fontId="24" fillId="7" borderId="15" xfId="0" applyNumberFormat="1" applyFont="1" applyFill="1" applyBorder="1" applyAlignment="1">
      <alignment horizontal="center"/>
    </xf>
    <xf numFmtId="0" fontId="25" fillId="7" borderId="209" xfId="0" applyFont="1" applyFill="1" applyBorder="1"/>
    <xf numFmtId="3" fontId="23" fillId="2" borderId="45" xfId="16" applyNumberFormat="1" applyFont="1" applyFill="1" applyBorder="1" applyAlignment="1">
      <alignment horizontal="center" vertical="center"/>
    </xf>
    <xf numFmtId="3" fontId="23" fillId="2" borderId="204" xfId="16" applyNumberFormat="1" applyFont="1" applyFill="1" applyBorder="1" applyAlignment="1">
      <alignment horizontal="center" vertical="center"/>
    </xf>
    <xf numFmtId="3" fontId="23" fillId="2" borderId="7" xfId="16" applyNumberFormat="1" applyFont="1" applyFill="1" applyBorder="1" applyAlignment="1">
      <alignment horizontal="center" vertical="center"/>
    </xf>
    <xf numFmtId="0" fontId="24" fillId="2" borderId="210" xfId="0" applyFont="1" applyFill="1" applyBorder="1" applyAlignment="1">
      <alignment wrapText="1"/>
    </xf>
    <xf numFmtId="3" fontId="17" fillId="2" borderId="50" xfId="13" applyNumberFormat="1" applyFont="1" applyFill="1" applyBorder="1" applyAlignment="1">
      <alignment horizontal="center" vertical="center"/>
    </xf>
    <xf numFmtId="0" fontId="19" fillId="2" borderId="36" xfId="0" applyFont="1" applyFill="1" applyBorder="1"/>
    <xf numFmtId="0" fontId="26" fillId="2" borderId="50" xfId="0" applyFont="1" applyFill="1" applyBorder="1"/>
    <xf numFmtId="0" fontId="16" fillId="2" borderId="197" xfId="0" applyFont="1" applyFill="1" applyBorder="1" applyAlignment="1">
      <alignment wrapText="1"/>
    </xf>
    <xf numFmtId="0" fontId="7" fillId="4" borderId="222" xfId="0" applyFont="1" applyFill="1" applyBorder="1"/>
    <xf numFmtId="0" fontId="24" fillId="7" borderId="123" xfId="0" applyFont="1" applyFill="1" applyBorder="1"/>
    <xf numFmtId="165" fontId="20" fillId="7" borderId="124" xfId="0" applyNumberFormat="1" applyFont="1" applyFill="1" applyBorder="1" applyAlignment="1">
      <alignment horizontal="center"/>
    </xf>
    <xf numFmtId="165" fontId="20" fillId="7" borderId="124" xfId="0" quotePrefix="1" applyNumberFormat="1" applyFont="1" applyFill="1" applyBorder="1" applyAlignment="1">
      <alignment horizontal="center"/>
    </xf>
    <xf numFmtId="165" fontId="22" fillId="7" borderId="124" xfId="0" applyNumberFormat="1" applyFont="1" applyFill="1" applyBorder="1" applyAlignment="1">
      <alignment horizontal="center"/>
    </xf>
    <xf numFmtId="165" fontId="20" fillId="7" borderId="224" xfId="0" applyNumberFormat="1" applyFont="1" applyFill="1" applyBorder="1" applyAlignment="1">
      <alignment horizontal="center"/>
    </xf>
    <xf numFmtId="165" fontId="23" fillId="7" borderId="124" xfId="0" applyNumberFormat="1" applyFont="1" applyFill="1" applyBorder="1" applyAlignment="1">
      <alignment horizontal="center"/>
    </xf>
    <xf numFmtId="0" fontId="24" fillId="7" borderId="236" xfId="0" applyFont="1" applyFill="1" applyBorder="1"/>
    <xf numFmtId="0" fontId="24" fillId="9" borderId="102" xfId="0" applyFont="1" applyFill="1" applyBorder="1" applyAlignment="1">
      <alignment wrapText="1"/>
    </xf>
    <xf numFmtId="9" fontId="20" fillId="9" borderId="21" xfId="0" applyNumberFormat="1" applyFont="1" applyFill="1" applyBorder="1" applyAlignment="1">
      <alignment horizontal="center"/>
    </xf>
    <xf numFmtId="9" fontId="21" fillId="9" borderId="21" xfId="0" quotePrefix="1" applyNumberFormat="1" applyFont="1" applyFill="1" applyBorder="1" applyAlignment="1">
      <alignment horizontal="center"/>
    </xf>
    <xf numFmtId="9" fontId="20" fillId="9" borderId="21" xfId="0" quotePrefix="1" applyNumberFormat="1" applyFont="1" applyFill="1" applyBorder="1" applyAlignment="1">
      <alignment horizontal="center"/>
    </xf>
    <xf numFmtId="165" fontId="20" fillId="9" borderId="21" xfId="0" applyNumberFormat="1" applyFont="1" applyFill="1" applyBorder="1" applyAlignment="1">
      <alignment horizontal="center"/>
    </xf>
    <xf numFmtId="0" fontId="22" fillId="9" borderId="21" xfId="0" applyFont="1" applyFill="1" applyBorder="1" applyAlignment="1">
      <alignment horizontal="center"/>
    </xf>
    <xf numFmtId="0" fontId="23" fillId="9" borderId="21" xfId="0" applyFont="1" applyFill="1" applyBorder="1" applyAlignment="1">
      <alignment horizontal="center"/>
    </xf>
    <xf numFmtId="0" fontId="23" fillId="9" borderId="117" xfId="0" applyFont="1" applyFill="1" applyBorder="1" applyAlignment="1">
      <alignment horizontal="center"/>
    </xf>
    <xf numFmtId="0" fontId="25" fillId="9" borderId="208" xfId="0" applyFont="1" applyFill="1" applyBorder="1" applyAlignment="1">
      <alignment wrapText="1"/>
    </xf>
    <xf numFmtId="0" fontId="24" fillId="7" borderId="127" xfId="0" applyFont="1" applyFill="1" applyBorder="1" applyAlignment="1">
      <alignment vertical="top" wrapText="1"/>
    </xf>
    <xf numFmtId="0" fontId="24" fillId="7" borderId="14" xfId="0" applyFont="1" applyFill="1" applyBorder="1"/>
    <xf numFmtId="0" fontId="24" fillId="7" borderId="120" xfId="0" applyFont="1" applyFill="1" applyBorder="1"/>
    <xf numFmtId="0" fontId="30" fillId="7" borderId="14" xfId="0" applyFont="1" applyFill="1" applyBorder="1"/>
    <xf numFmtId="0" fontId="24" fillId="7" borderId="219" xfId="0" applyFont="1" applyFill="1" applyBorder="1" applyAlignment="1">
      <alignment horizontal="left" vertical="top" wrapText="1"/>
    </xf>
    <xf numFmtId="0" fontId="24" fillId="9" borderId="113" xfId="0" applyFont="1" applyFill="1" applyBorder="1" applyAlignment="1">
      <alignment vertical="top" wrapText="1"/>
    </xf>
    <xf numFmtId="165" fontId="22" fillId="9" borderId="6" xfId="0" quotePrefix="1" applyNumberFormat="1" applyFont="1" applyFill="1" applyBorder="1" applyAlignment="1">
      <alignment horizontal="center" vertical="center"/>
    </xf>
    <xf numFmtId="165" fontId="23" fillId="9" borderId="6" xfId="0" quotePrefix="1" applyNumberFormat="1" applyFont="1" applyFill="1" applyBorder="1" applyAlignment="1">
      <alignment horizontal="center" vertical="center"/>
    </xf>
    <xf numFmtId="165" fontId="21" fillId="9" borderId="6" xfId="0" quotePrefix="1" applyNumberFormat="1" applyFont="1" applyFill="1" applyBorder="1" applyAlignment="1">
      <alignment horizontal="center" vertical="center"/>
    </xf>
    <xf numFmtId="165" fontId="23" fillId="9" borderId="6" xfId="0" applyNumberFormat="1" applyFont="1" applyFill="1" applyBorder="1" applyAlignment="1">
      <alignment horizontal="center" vertical="center"/>
    </xf>
    <xf numFmtId="165" fontId="23" fillId="9" borderId="0" xfId="0" applyNumberFormat="1" applyFont="1" applyFill="1" applyAlignment="1">
      <alignment horizontal="center" vertical="center"/>
    </xf>
    <xf numFmtId="0" fontId="24" fillId="9" borderId="196" xfId="0" applyFont="1" applyFill="1" applyBorder="1" applyAlignment="1">
      <alignment horizontal="left" vertical="top" wrapText="1"/>
    </xf>
    <xf numFmtId="0" fontId="24" fillId="7" borderId="113" xfId="0" applyFont="1" applyFill="1" applyBorder="1" applyAlignment="1">
      <alignment vertical="top" wrapText="1"/>
    </xf>
    <xf numFmtId="3" fontId="18" fillId="7" borderId="6" xfId="13" applyNumberFormat="1" applyFont="1" applyFill="1" applyBorder="1" applyAlignment="1">
      <alignment horizontal="center" vertical="center"/>
    </xf>
    <xf numFmtId="3" fontId="26" fillId="7" borderId="6" xfId="13" applyNumberFormat="1" applyFont="1" applyFill="1" applyBorder="1" applyAlignment="1">
      <alignment horizontal="center" vertical="center"/>
    </xf>
    <xf numFmtId="3" fontId="99" fillId="7" borderId="6" xfId="13" applyNumberFormat="1" applyFont="1" applyFill="1" applyBorder="1" applyAlignment="1">
      <alignment horizontal="center" vertical="center"/>
    </xf>
    <xf numFmtId="165" fontId="20" fillId="7" borderId="6" xfId="2" applyNumberFormat="1" applyFont="1" applyFill="1" applyBorder="1" applyAlignment="1">
      <alignment horizontal="center" vertical="center"/>
    </xf>
    <xf numFmtId="165" fontId="20" fillId="7" borderId="0" xfId="2" applyNumberFormat="1" applyFont="1" applyFill="1" applyBorder="1" applyAlignment="1">
      <alignment horizontal="center" vertical="center"/>
    </xf>
    <xf numFmtId="165" fontId="23" fillId="7" borderId="6" xfId="2" applyNumberFormat="1" applyFont="1" applyFill="1" applyBorder="1" applyAlignment="1">
      <alignment horizontal="center" vertical="center"/>
    </xf>
    <xf numFmtId="0" fontId="24" fillId="7" borderId="196" xfId="0" applyFont="1" applyFill="1" applyBorder="1" applyAlignment="1">
      <alignment horizontal="left" vertical="top" wrapText="1"/>
    </xf>
    <xf numFmtId="0" fontId="24" fillId="9" borderId="85" xfId="0" applyFont="1" applyFill="1" applyBorder="1" applyAlignment="1">
      <alignment vertical="top" wrapText="1"/>
    </xf>
    <xf numFmtId="3" fontId="18" fillId="7" borderId="50" xfId="13" applyNumberFormat="1" applyFont="1" applyFill="1" applyBorder="1" applyAlignment="1">
      <alignment horizontal="center" vertical="center"/>
    </xf>
    <xf numFmtId="3" fontId="26" fillId="7" borderId="50" xfId="13" applyNumberFormat="1" applyFont="1" applyFill="1" applyBorder="1" applyAlignment="1">
      <alignment horizontal="center" vertical="center"/>
    </xf>
    <xf numFmtId="3" fontId="26" fillId="9" borderId="50" xfId="13" applyNumberFormat="1" applyFont="1" applyFill="1" applyBorder="1" applyAlignment="1">
      <alignment horizontal="center" vertical="center"/>
    </xf>
    <xf numFmtId="3" fontId="99" fillId="9" borderId="50" xfId="13" applyNumberFormat="1" applyFont="1" applyFill="1" applyBorder="1" applyAlignment="1">
      <alignment horizontal="center" vertical="center"/>
    </xf>
    <xf numFmtId="165" fontId="20" fillId="9" borderId="50" xfId="2" applyNumberFormat="1" applyFont="1" applyFill="1" applyBorder="1" applyAlignment="1">
      <alignment horizontal="center" vertical="center"/>
    </xf>
    <xf numFmtId="165" fontId="20" fillId="9" borderId="36" xfId="2" applyNumberFormat="1" applyFont="1" applyFill="1" applyBorder="1" applyAlignment="1">
      <alignment horizontal="center" vertical="center"/>
    </xf>
    <xf numFmtId="165" fontId="23" fillId="9" borderId="50" xfId="2" applyNumberFormat="1" applyFont="1" applyFill="1" applyBorder="1" applyAlignment="1">
      <alignment horizontal="center" vertical="center"/>
    </xf>
    <xf numFmtId="0" fontId="24" fillId="9" borderId="197" xfId="0" applyFont="1" applyFill="1" applyBorder="1" applyAlignment="1">
      <alignment horizontal="left" vertical="top" wrapText="1"/>
    </xf>
    <xf numFmtId="0" fontId="12" fillId="8" borderId="252" xfId="0" applyFont="1" applyFill="1" applyBorder="1"/>
    <xf numFmtId="0" fontId="12" fillId="8" borderId="253" xfId="0" applyFont="1" applyFill="1" applyBorder="1"/>
    <xf numFmtId="1" fontId="23" fillId="2" borderId="204" xfId="0" applyNumberFormat="1" applyFont="1" applyFill="1" applyBorder="1" applyAlignment="1">
      <alignment horizontal="center" vertical="center"/>
    </xf>
    <xf numFmtId="0" fontId="24" fillId="2" borderId="210" xfId="0" applyFont="1" applyFill="1" applyBorder="1" applyAlignment="1">
      <alignment vertical="top"/>
    </xf>
    <xf numFmtId="1" fontId="16" fillId="2" borderId="14" xfId="0" applyNumberFormat="1" applyFont="1" applyFill="1" applyBorder="1" applyAlignment="1">
      <alignment horizontal="center"/>
    </xf>
    <xf numFmtId="1" fontId="17" fillId="2" borderId="14" xfId="0" applyNumberFormat="1" applyFont="1" applyFill="1" applyBorder="1" applyAlignment="1">
      <alignment horizontal="center"/>
    </xf>
    <xf numFmtId="1" fontId="16" fillId="2" borderId="24" xfId="0" applyNumberFormat="1" applyFont="1" applyFill="1" applyBorder="1" applyAlignment="1">
      <alignment horizontal="center" vertical="center"/>
    </xf>
    <xf numFmtId="0" fontId="16" fillId="2" borderId="206" xfId="0" applyFont="1" applyFill="1" applyBorder="1" applyAlignment="1">
      <alignment vertical="top" wrapText="1"/>
    </xf>
    <xf numFmtId="2" fontId="23" fillId="9" borderId="45" xfId="0" applyNumberFormat="1" applyFont="1" applyFill="1" applyBorder="1" applyAlignment="1">
      <alignment horizontal="center" vertical="center"/>
    </xf>
    <xf numFmtId="2" fontId="23" fillId="9" borderId="204" xfId="0" applyNumberFormat="1" applyFont="1" applyFill="1" applyBorder="1" applyAlignment="1">
      <alignment horizontal="center" vertical="center"/>
    </xf>
    <xf numFmtId="0" fontId="24" fillId="9" borderId="210" xfId="0" applyFont="1" applyFill="1" applyBorder="1" applyAlignment="1">
      <alignment vertical="top"/>
    </xf>
    <xf numFmtId="1" fontId="16" fillId="9" borderId="24" xfId="0" applyNumberFormat="1" applyFont="1" applyFill="1" applyBorder="1" applyAlignment="1">
      <alignment horizontal="center" vertical="center"/>
    </xf>
    <xf numFmtId="0" fontId="16" fillId="9" borderId="206" xfId="0" applyFont="1" applyFill="1" applyBorder="1" applyAlignment="1">
      <alignment vertical="top" wrapText="1"/>
    </xf>
    <xf numFmtId="0" fontId="24" fillId="2" borderId="110" xfId="0" applyFont="1" applyFill="1" applyBorder="1" applyAlignment="1">
      <alignment vertical="top" wrapText="1"/>
    </xf>
    <xf numFmtId="2" fontId="20" fillId="2" borderId="13" xfId="0" quotePrefix="1" applyNumberFormat="1" applyFont="1" applyFill="1" applyBorder="1" applyAlignment="1">
      <alignment horizontal="center" vertical="center" wrapText="1"/>
    </xf>
    <xf numFmtId="2" fontId="20" fillId="2" borderId="13" xfId="0" quotePrefix="1" applyNumberFormat="1" applyFont="1" applyFill="1" applyBorder="1" applyAlignment="1">
      <alignment horizontal="center" vertical="center"/>
    </xf>
    <xf numFmtId="2" fontId="22" fillId="2" borderId="13" xfId="0" quotePrefix="1" applyNumberFormat="1" applyFont="1" applyFill="1" applyBorder="1" applyAlignment="1">
      <alignment horizontal="center" wrapText="1"/>
    </xf>
    <xf numFmtId="2" fontId="23" fillId="2" borderId="13" xfId="0" applyNumberFormat="1" applyFont="1" applyFill="1" applyBorder="1" applyAlignment="1">
      <alignment horizontal="center" vertical="center"/>
    </xf>
    <xf numFmtId="2" fontId="21" fillId="2" borderId="13" xfId="0" applyNumberFormat="1" applyFont="1" applyFill="1" applyBorder="1" applyAlignment="1">
      <alignment horizontal="center" vertical="center"/>
    </xf>
    <xf numFmtId="2" fontId="145" fillId="2" borderId="13" xfId="0" applyNumberFormat="1" applyFont="1" applyFill="1" applyBorder="1" applyAlignment="1">
      <alignment horizontal="left" vertical="center" wrapText="1"/>
    </xf>
    <xf numFmtId="1" fontId="22" fillId="2" borderId="13" xfId="0" applyNumberFormat="1" applyFont="1" applyFill="1" applyBorder="1" applyAlignment="1">
      <alignment horizontal="center" vertical="center"/>
    </xf>
    <xf numFmtId="1" fontId="20" fillId="2" borderId="13" xfId="0" applyNumberFormat="1" applyFont="1" applyFill="1" applyBorder="1" applyAlignment="1">
      <alignment horizontal="center" vertical="center"/>
    </xf>
    <xf numFmtId="1" fontId="22" fillId="2" borderId="111" xfId="0" applyNumberFormat="1" applyFont="1" applyFill="1" applyBorder="1" applyAlignment="1">
      <alignment horizontal="center" vertical="center"/>
    </xf>
    <xf numFmtId="1" fontId="22" fillId="2" borderId="116" xfId="0" applyNumberFormat="1" applyFont="1" applyFill="1" applyBorder="1" applyAlignment="1">
      <alignment horizontal="center" vertical="center"/>
    </xf>
    <xf numFmtId="0" fontId="29" fillId="2" borderId="207" xfId="0" applyFont="1" applyFill="1" applyBorder="1" applyAlignment="1">
      <alignment vertical="top" wrapText="1"/>
    </xf>
    <xf numFmtId="0" fontId="29" fillId="2" borderId="102" xfId="0" applyFont="1" applyFill="1" applyBorder="1" applyAlignment="1">
      <alignment vertical="top" wrapText="1"/>
    </xf>
    <xf numFmtId="2" fontId="20" fillId="2" borderId="21" xfId="0" quotePrefix="1" applyNumberFormat="1" applyFont="1" applyFill="1" applyBorder="1" applyAlignment="1">
      <alignment horizontal="center" vertical="center" wrapText="1"/>
    </xf>
    <xf numFmtId="2" fontId="20" fillId="2" borderId="21" xfId="0" quotePrefix="1" applyNumberFormat="1" applyFont="1" applyFill="1" applyBorder="1" applyAlignment="1">
      <alignment horizontal="center" vertical="center"/>
    </xf>
    <xf numFmtId="2" fontId="22" fillId="2" borderId="21" xfId="0" quotePrefix="1" applyNumberFormat="1" applyFont="1" applyFill="1" applyBorder="1" applyAlignment="1">
      <alignment horizontal="center" wrapText="1"/>
    </xf>
    <xf numFmtId="2" fontId="22" fillId="2" borderId="21" xfId="0" applyNumberFormat="1" applyFont="1" applyFill="1" applyBorder="1" applyAlignment="1">
      <alignment horizontal="center" vertical="center"/>
    </xf>
    <xf numFmtId="2" fontId="23" fillId="2" borderId="21" xfId="0" applyNumberFormat="1" applyFont="1" applyFill="1" applyBorder="1" applyAlignment="1">
      <alignment horizontal="center" vertical="center"/>
    </xf>
    <xf numFmtId="2" fontId="21" fillId="2" borderId="21" xfId="0" applyNumberFormat="1" applyFont="1" applyFill="1" applyBorder="1" applyAlignment="1">
      <alignment horizontal="center" vertical="center"/>
    </xf>
    <xf numFmtId="2" fontId="23" fillId="2" borderId="21" xfId="0" applyNumberFormat="1" applyFont="1" applyFill="1" applyBorder="1" applyAlignment="1">
      <alignment horizontal="center" vertical="center" wrapText="1"/>
    </xf>
    <xf numFmtId="2" fontId="23" fillId="2" borderId="103" xfId="0" applyNumberFormat="1" applyFont="1" applyFill="1" applyBorder="1" applyAlignment="1">
      <alignment horizontal="center" vertical="center" wrapText="1"/>
    </xf>
    <xf numFmtId="2" fontId="23" fillId="2" borderId="117" xfId="0" applyNumberFormat="1" applyFont="1" applyFill="1" applyBorder="1" applyAlignment="1">
      <alignment horizontal="center" vertical="center" wrapText="1"/>
    </xf>
    <xf numFmtId="2" fontId="22" fillId="2" borderId="21" xfId="0" applyNumberFormat="1" applyFont="1" applyFill="1" applyBorder="1" applyAlignment="1">
      <alignment horizontal="center" vertical="center" wrapText="1"/>
    </xf>
    <xf numFmtId="0" fontId="29" fillId="2" borderId="208" xfId="0" applyFont="1" applyFill="1" applyBorder="1" applyAlignment="1">
      <alignment vertical="top" wrapText="1"/>
    </xf>
    <xf numFmtId="2" fontId="20" fillId="2" borderId="15" xfId="0" quotePrefix="1" applyNumberFormat="1" applyFont="1" applyFill="1" applyBorder="1" applyAlignment="1">
      <alignment horizontal="center" vertical="center" wrapText="1"/>
    </xf>
    <xf numFmtId="2" fontId="20" fillId="2" borderId="15" xfId="0" quotePrefix="1" applyNumberFormat="1" applyFont="1" applyFill="1" applyBorder="1" applyAlignment="1">
      <alignment horizontal="center" vertical="center"/>
    </xf>
    <xf numFmtId="2" fontId="22" fillId="2" borderId="15" xfId="0" quotePrefix="1" applyNumberFormat="1" applyFont="1" applyFill="1" applyBorder="1" applyAlignment="1">
      <alignment horizontal="center" wrapText="1"/>
    </xf>
    <xf numFmtId="2" fontId="22" fillId="2" borderId="15" xfId="0" applyNumberFormat="1" applyFont="1" applyFill="1" applyBorder="1" applyAlignment="1">
      <alignment horizontal="center" vertical="center"/>
    </xf>
    <xf numFmtId="2" fontId="23" fillId="2" borderId="15" xfId="0" applyNumberFormat="1" applyFont="1" applyFill="1" applyBorder="1" applyAlignment="1">
      <alignment horizontal="center" vertical="center"/>
    </xf>
    <xf numFmtId="2" fontId="21" fillId="2" borderId="15" xfId="0" applyNumberFormat="1" applyFont="1" applyFill="1" applyBorder="1" applyAlignment="1">
      <alignment horizontal="center" vertical="center"/>
    </xf>
    <xf numFmtId="2" fontId="23" fillId="2" borderId="15" xfId="0" applyNumberFormat="1" applyFont="1" applyFill="1" applyBorder="1" applyAlignment="1">
      <alignment horizontal="center" vertical="center" wrapText="1"/>
    </xf>
    <xf numFmtId="2" fontId="23" fillId="2" borderId="14" xfId="0" applyNumberFormat="1" applyFont="1" applyFill="1" applyBorder="1" applyAlignment="1">
      <alignment horizontal="center" vertical="center" wrapText="1"/>
    </xf>
    <xf numFmtId="2" fontId="23" fillId="2" borderId="121" xfId="0" applyNumberFormat="1" applyFont="1" applyFill="1" applyBorder="1" applyAlignment="1">
      <alignment horizontal="center" vertical="center" wrapText="1"/>
    </xf>
    <xf numFmtId="2" fontId="23" fillId="2" borderId="120" xfId="0" applyNumberFormat="1" applyFont="1" applyFill="1" applyBorder="1" applyAlignment="1">
      <alignment horizontal="center" vertical="center" wrapText="1"/>
    </xf>
    <xf numFmtId="2" fontId="22" fillId="2" borderId="14" xfId="0" applyNumberFormat="1" applyFont="1" applyFill="1" applyBorder="1" applyAlignment="1">
      <alignment horizontal="center" vertical="center" wrapText="1"/>
    </xf>
    <xf numFmtId="1" fontId="28" fillId="9" borderId="14" xfId="0" applyNumberFormat="1" applyFont="1" applyFill="1" applyBorder="1" applyAlignment="1">
      <alignment horizontal="center"/>
    </xf>
    <xf numFmtId="1" fontId="17" fillId="9" borderId="14" xfId="0" applyNumberFormat="1" applyFont="1" applyFill="1" applyBorder="1" applyAlignment="1">
      <alignment horizontal="center"/>
    </xf>
    <xf numFmtId="1" fontId="37" fillId="9" borderId="14" xfId="0" applyNumberFormat="1" applyFont="1" applyFill="1" applyBorder="1" applyAlignment="1">
      <alignment horizontal="center"/>
    </xf>
    <xf numFmtId="1" fontId="16" fillId="9" borderId="14" xfId="0" applyNumberFormat="1" applyFont="1" applyFill="1" applyBorder="1" applyAlignment="1">
      <alignment horizontal="center"/>
    </xf>
    <xf numFmtId="1" fontId="16" fillId="9" borderId="24" xfId="0" applyNumberFormat="1" applyFont="1" applyFill="1" applyBorder="1" applyAlignment="1">
      <alignment vertical="center"/>
    </xf>
    <xf numFmtId="1" fontId="17" fillId="9" borderId="16" xfId="0" applyNumberFormat="1" applyFont="1" applyFill="1" applyBorder="1" applyAlignment="1">
      <alignment vertical="center"/>
    </xf>
    <xf numFmtId="2" fontId="23" fillId="2" borderId="45" xfId="0" quotePrefix="1" applyNumberFormat="1" applyFont="1" applyFill="1" applyBorder="1" applyAlignment="1">
      <alignment horizontal="center" vertical="center"/>
    </xf>
    <xf numFmtId="2" fontId="23" fillId="2" borderId="204" xfId="0" quotePrefix="1" applyNumberFormat="1" applyFont="1" applyFill="1" applyBorder="1" applyAlignment="1">
      <alignment horizontal="center" vertical="center"/>
    </xf>
    <xf numFmtId="1" fontId="28" fillId="2" borderId="14" xfId="0" applyNumberFormat="1" applyFont="1" applyFill="1" applyBorder="1" applyAlignment="1">
      <alignment horizontal="center"/>
    </xf>
    <xf numFmtId="1" fontId="37" fillId="2" borderId="14" xfId="0" applyNumberFormat="1" applyFont="1" applyFill="1" applyBorder="1" applyAlignment="1">
      <alignment horizontal="center"/>
    </xf>
    <xf numFmtId="1" fontId="16" fillId="2" borderId="24" xfId="0" applyNumberFormat="1" applyFont="1" applyFill="1" applyBorder="1"/>
    <xf numFmtId="1" fontId="17" fillId="2" borderId="16" xfId="0" applyNumberFormat="1" applyFont="1" applyFill="1" applyBorder="1"/>
    <xf numFmtId="2" fontId="23" fillId="9" borderId="45" xfId="2" applyNumberFormat="1" applyFont="1" applyFill="1" applyBorder="1" applyAlignment="1">
      <alignment horizontal="center" vertical="center"/>
    </xf>
    <xf numFmtId="2" fontId="23" fillId="9" borderId="204" xfId="2" applyNumberFormat="1" applyFont="1" applyFill="1" applyBorder="1" applyAlignment="1">
      <alignment horizontal="center" vertical="center"/>
    </xf>
    <xf numFmtId="9" fontId="24" fillId="9" borderId="210" xfId="2" applyFont="1" applyFill="1" applyBorder="1" applyAlignment="1">
      <alignment vertical="top"/>
    </xf>
    <xf numFmtId="1" fontId="28" fillId="9" borderId="24" xfId="2" applyNumberFormat="1" applyFont="1" applyFill="1" applyBorder="1" applyAlignment="1">
      <alignment horizontal="center" vertical="center"/>
    </xf>
    <xf numFmtId="9" fontId="16" fillId="9" borderId="206" xfId="2" applyFont="1" applyFill="1" applyBorder="1" applyAlignment="1">
      <alignment vertical="top" wrapText="1"/>
    </xf>
    <xf numFmtId="2" fontId="25" fillId="2" borderId="120" xfId="2" applyNumberFormat="1" applyFont="1" applyFill="1" applyBorder="1" applyAlignment="1">
      <alignment horizontal="center" vertical="center"/>
    </xf>
    <xf numFmtId="2" fontId="30" fillId="2" borderId="14" xfId="2" applyNumberFormat="1" applyFont="1" applyFill="1" applyBorder="1" applyAlignment="1">
      <alignment horizontal="center" vertical="center" wrapText="1" shrinkToFit="1"/>
    </xf>
    <xf numFmtId="2" fontId="23" fillId="9" borderId="45" xfId="0" quotePrefix="1" applyNumberFormat="1" applyFont="1" applyFill="1" applyBorder="1" applyAlignment="1">
      <alignment horizontal="center" vertical="center"/>
    </xf>
    <xf numFmtId="2" fontId="23" fillId="9" borderId="204" xfId="0" quotePrefix="1" applyNumberFormat="1" applyFont="1" applyFill="1" applyBorder="1" applyAlignment="1">
      <alignment horizontal="center" vertical="center"/>
    </xf>
    <xf numFmtId="0" fontId="24" fillId="9" borderId="210" xfId="0" applyFont="1" applyFill="1" applyBorder="1" applyAlignment="1">
      <alignment horizontal="left" vertical="top" wrapText="1"/>
    </xf>
    <xf numFmtId="1" fontId="16" fillId="9" borderId="24" xfId="0" applyNumberFormat="1" applyFont="1" applyFill="1" applyBorder="1"/>
    <xf numFmtId="1" fontId="17" fillId="9" borderId="16" xfId="0" applyNumberFormat="1" applyFont="1" applyFill="1" applyBorder="1"/>
    <xf numFmtId="164" fontId="23" fillId="2" borderId="204" xfId="0" applyNumberFormat="1" applyFont="1" applyFill="1" applyBorder="1" applyAlignment="1">
      <alignment horizontal="center" vertical="center"/>
    </xf>
    <xf numFmtId="1" fontId="9" fillId="2" borderId="50" xfId="0" quotePrefix="1" applyNumberFormat="1" applyFont="1" applyFill="1" applyBorder="1" applyAlignment="1">
      <alignment horizontal="center" vertical="center"/>
    </xf>
    <xf numFmtId="164" fontId="62" fillId="2" borderId="50" xfId="0" quotePrefix="1" applyNumberFormat="1" applyFont="1" applyFill="1" applyBorder="1" applyAlignment="1">
      <alignment horizontal="center" vertical="center"/>
    </xf>
    <xf numFmtId="164" fontId="61" fillId="2" borderId="50" xfId="0" quotePrefix="1" applyNumberFormat="1" applyFont="1" applyFill="1" applyBorder="1" applyAlignment="1">
      <alignment horizontal="center" vertical="center"/>
    </xf>
    <xf numFmtId="164" fontId="60" fillId="2" borderId="50" xfId="0" applyNumberFormat="1" applyFont="1" applyFill="1" applyBorder="1" applyAlignment="1">
      <alignment horizontal="center" vertical="center"/>
    </xf>
    <xf numFmtId="164" fontId="61" fillId="2" borderId="50" xfId="0" applyNumberFormat="1" applyFont="1" applyFill="1" applyBorder="1" applyAlignment="1">
      <alignment horizontal="center" vertical="center"/>
    </xf>
    <xf numFmtId="164" fontId="61" fillId="2" borderId="37" xfId="0" applyNumberFormat="1" applyFont="1" applyFill="1" applyBorder="1" applyAlignment="1">
      <alignment horizontal="center" vertical="center"/>
    </xf>
    <xf numFmtId="164" fontId="61" fillId="2" borderId="36" xfId="0" applyNumberFormat="1" applyFont="1" applyFill="1" applyBorder="1" applyAlignment="1">
      <alignment horizontal="center" vertical="center"/>
    </xf>
    <xf numFmtId="2" fontId="140" fillId="2" borderId="45" xfId="0" applyNumberFormat="1" applyFont="1" applyFill="1" applyBorder="1" applyAlignment="1">
      <alignment horizontal="center" vertical="center"/>
    </xf>
    <xf numFmtId="2" fontId="140" fillId="2" borderId="204" xfId="0" applyNumberFormat="1" applyFont="1" applyFill="1" applyBorder="1" applyAlignment="1">
      <alignment horizontal="center" vertical="center"/>
    </xf>
    <xf numFmtId="2" fontId="140" fillId="2" borderId="7" xfId="0" applyNumberFormat="1" applyFont="1" applyFill="1" applyBorder="1" applyAlignment="1">
      <alignment horizontal="center" vertical="center"/>
    </xf>
    <xf numFmtId="0" fontId="25" fillId="2" borderId="210" xfId="0" applyFont="1" applyFill="1" applyBorder="1" applyAlignment="1">
      <alignment vertical="top" wrapText="1"/>
    </xf>
    <xf numFmtId="0" fontId="25" fillId="2" borderId="196" xfId="0" applyFont="1" applyFill="1" applyBorder="1" applyAlignment="1">
      <alignment vertical="top" wrapText="1"/>
    </xf>
    <xf numFmtId="164" fontId="28" fillId="2" borderId="21" xfId="0" applyNumberFormat="1" applyFont="1" applyFill="1" applyBorder="1" applyAlignment="1">
      <alignment horizontal="center" vertical="center" wrapText="1"/>
    </xf>
    <xf numFmtId="164" fontId="17" fillId="2" borderId="21" xfId="0" applyNumberFormat="1" applyFont="1" applyFill="1" applyBorder="1" applyAlignment="1">
      <alignment horizontal="center" vertical="center" wrapText="1"/>
    </xf>
    <xf numFmtId="164" fontId="28" fillId="2" borderId="16" xfId="0" applyNumberFormat="1" applyFont="1" applyFill="1" applyBorder="1" applyAlignment="1">
      <alignment horizontal="center"/>
    </xf>
    <xf numFmtId="1" fontId="16" fillId="2" borderId="147" xfId="0" applyNumberFormat="1" applyFont="1" applyFill="1" applyBorder="1"/>
    <xf numFmtId="0" fontId="28" fillId="2" borderId="206" xfId="0" applyFont="1" applyFill="1" applyBorder="1" applyAlignment="1">
      <alignment vertical="top" wrapText="1"/>
    </xf>
    <xf numFmtId="0" fontId="24" fillId="9" borderId="90" xfId="0" applyFont="1" applyFill="1" applyBorder="1" applyAlignment="1">
      <alignment horizontal="left" vertical="top" wrapText="1"/>
    </xf>
    <xf numFmtId="1" fontId="9" fillId="9" borderId="12" xfId="0" quotePrefix="1" applyNumberFormat="1" applyFont="1" applyFill="1" applyBorder="1" applyAlignment="1">
      <alignment horizontal="center"/>
    </xf>
    <xf numFmtId="1" fontId="9" fillId="9" borderId="12" xfId="0" applyNumberFormat="1" applyFont="1" applyFill="1" applyBorder="1" applyAlignment="1">
      <alignment horizontal="center"/>
    </xf>
    <xf numFmtId="2" fontId="61" fillId="9" borderId="12" xfId="0" applyNumberFormat="1" applyFont="1" applyFill="1" applyBorder="1" applyAlignment="1">
      <alignment horizontal="center" vertical="center"/>
    </xf>
    <xf numFmtId="2" fontId="60" fillId="9" borderId="12" xfId="0" applyNumberFormat="1" applyFont="1" applyFill="1" applyBorder="1" applyAlignment="1">
      <alignment horizontal="center" vertical="center"/>
    </xf>
    <xf numFmtId="1" fontId="9" fillId="9" borderId="12" xfId="0" quotePrefix="1" applyNumberFormat="1" applyFont="1" applyFill="1" applyBorder="1" applyAlignment="1">
      <alignment horizontal="center" wrapText="1"/>
    </xf>
    <xf numFmtId="0" fontId="24" fillId="9" borderId="202" xfId="0" applyFont="1" applyFill="1" applyBorder="1" applyAlignment="1">
      <alignment horizontal="left" vertical="top" wrapText="1"/>
    </xf>
    <xf numFmtId="2" fontId="61" fillId="2" borderId="12" xfId="0" applyNumberFormat="1" applyFont="1" applyFill="1" applyBorder="1" applyAlignment="1">
      <alignment horizontal="center" vertical="center"/>
    </xf>
    <xf numFmtId="2" fontId="61" fillId="2" borderId="91" xfId="0" applyNumberFormat="1" applyFont="1" applyFill="1" applyBorder="1" applyAlignment="1">
      <alignment horizontal="center" vertical="center"/>
    </xf>
    <xf numFmtId="2" fontId="61" fillId="2" borderId="225" xfId="0" applyNumberFormat="1" applyFont="1" applyFill="1" applyBorder="1" applyAlignment="1">
      <alignment horizontal="center" vertical="center"/>
    </xf>
    <xf numFmtId="0" fontId="16" fillId="2" borderId="127" xfId="0" applyFont="1" applyFill="1" applyBorder="1" applyAlignment="1">
      <alignment vertical="top" wrapText="1"/>
    </xf>
    <xf numFmtId="1" fontId="16" fillId="2" borderId="14" xfId="2" quotePrefix="1" applyNumberFormat="1" applyFont="1" applyFill="1" applyBorder="1" applyAlignment="1">
      <alignment horizontal="center" vertical="center" wrapText="1"/>
    </xf>
    <xf numFmtId="1" fontId="16" fillId="2" borderId="14" xfId="0" applyNumberFormat="1" applyFont="1" applyFill="1" applyBorder="1" applyAlignment="1">
      <alignment horizontal="center" vertical="center"/>
    </xf>
    <xf numFmtId="1" fontId="17" fillId="2" borderId="14" xfId="2" quotePrefix="1" applyNumberFormat="1" applyFont="1" applyFill="1" applyBorder="1" applyAlignment="1">
      <alignment horizontal="center" vertical="center" wrapText="1"/>
    </xf>
    <xf numFmtId="1" fontId="28" fillId="2" borderId="14" xfId="0" applyNumberFormat="1" applyFont="1" applyFill="1" applyBorder="1" applyAlignment="1">
      <alignment horizontal="center" vertical="center"/>
    </xf>
    <xf numFmtId="1" fontId="28" fillId="2" borderId="14" xfId="0" applyNumberFormat="1" applyFont="1" applyFill="1" applyBorder="1" applyAlignment="1">
      <alignment horizontal="center" vertical="center" wrapText="1"/>
    </xf>
    <xf numFmtId="1" fontId="17" fillId="2" borderId="14" xfId="0" applyNumberFormat="1" applyFont="1" applyFill="1" applyBorder="1" applyAlignment="1">
      <alignment horizontal="center" vertical="center" wrapText="1"/>
    </xf>
    <xf numFmtId="164" fontId="28" fillId="2" borderId="14" xfId="0" applyNumberFormat="1" applyFont="1" applyFill="1" applyBorder="1" applyAlignment="1">
      <alignment horizontal="center" vertical="center" wrapText="1"/>
    </xf>
    <xf numFmtId="1" fontId="16" fillId="2" borderId="14" xfId="0" applyNumberFormat="1" applyFont="1" applyFill="1" applyBorder="1"/>
    <xf numFmtId="1" fontId="16" fillId="2" borderId="121" xfId="0" applyNumberFormat="1" applyFont="1" applyFill="1" applyBorder="1"/>
    <xf numFmtId="1" fontId="16" fillId="2" borderId="120" xfId="0" applyNumberFormat="1" applyFont="1" applyFill="1" applyBorder="1"/>
    <xf numFmtId="0" fontId="16" fillId="2" borderId="219" xfId="0" applyFont="1" applyFill="1" applyBorder="1" applyAlignment="1">
      <alignment vertical="top" wrapText="1"/>
    </xf>
    <xf numFmtId="2" fontId="140" fillId="9" borderId="45" xfId="0" applyNumberFormat="1" applyFont="1" applyFill="1" applyBorder="1" applyAlignment="1">
      <alignment horizontal="center" vertical="center"/>
    </xf>
    <xf numFmtId="2" fontId="140" fillId="9" borderId="204" xfId="0" applyNumberFormat="1" applyFont="1" applyFill="1" applyBorder="1" applyAlignment="1">
      <alignment horizontal="center" vertical="center"/>
    </xf>
    <xf numFmtId="2" fontId="140" fillId="9" borderId="7" xfId="0" applyNumberFormat="1" applyFont="1" applyFill="1" applyBorder="1" applyAlignment="1">
      <alignment horizontal="center" vertical="center"/>
    </xf>
    <xf numFmtId="2" fontId="61" fillId="9" borderId="27" xfId="0" applyNumberFormat="1" applyFont="1" applyFill="1" applyBorder="1" applyAlignment="1">
      <alignment horizontal="center" vertical="center"/>
    </xf>
    <xf numFmtId="2" fontId="61" fillId="9" borderId="0" xfId="0" applyNumberFormat="1" applyFont="1" applyFill="1" applyAlignment="1">
      <alignment horizontal="center" vertical="center"/>
    </xf>
    <xf numFmtId="1" fontId="28" fillId="9" borderId="21" xfId="0" applyNumberFormat="1" applyFont="1" applyFill="1" applyBorder="1" applyAlignment="1">
      <alignment horizontal="center" vertical="center" wrapText="1"/>
    </xf>
    <xf numFmtId="1" fontId="17" fillId="9" borderId="21" xfId="0" applyNumberFormat="1" applyFont="1" applyFill="1" applyBorder="1" applyAlignment="1">
      <alignment horizontal="center" vertical="center" wrapText="1"/>
    </xf>
    <xf numFmtId="164" fontId="28" fillId="9" borderId="21" xfId="0" applyNumberFormat="1" applyFont="1" applyFill="1" applyBorder="1" applyAlignment="1">
      <alignment horizontal="center" vertical="center" wrapText="1"/>
    </xf>
    <xf numFmtId="1" fontId="16" fillId="9" borderId="10" xfId="0" applyNumberFormat="1" applyFont="1" applyFill="1" applyBorder="1"/>
    <xf numFmtId="1" fontId="16" fillId="9" borderId="147" xfId="0" applyNumberFormat="1" applyFont="1" applyFill="1" applyBorder="1"/>
    <xf numFmtId="1" fontId="16" fillId="9" borderId="254" xfId="0" applyNumberFormat="1" applyFont="1" applyFill="1" applyBorder="1"/>
    <xf numFmtId="0" fontId="16" fillId="9" borderId="255" xfId="0" applyFont="1" applyFill="1" applyBorder="1" applyAlignment="1">
      <alignment vertical="top" wrapText="1"/>
    </xf>
    <xf numFmtId="0" fontId="24" fillId="2" borderId="90" xfId="0" applyFont="1" applyFill="1" applyBorder="1" applyAlignment="1">
      <alignment vertical="top" wrapText="1"/>
    </xf>
    <xf numFmtId="1" fontId="24" fillId="2" borderId="12" xfId="0" quotePrefix="1" applyNumberFormat="1" applyFont="1" applyFill="1" applyBorder="1" applyAlignment="1">
      <alignment horizontal="center"/>
    </xf>
    <xf numFmtId="1" fontId="24" fillId="2" borderId="12" xfId="0" applyNumberFormat="1" applyFont="1" applyFill="1" applyBorder="1" applyAlignment="1">
      <alignment horizontal="center"/>
    </xf>
    <xf numFmtId="2" fontId="22" fillId="2" borderId="12" xfId="0" applyNumberFormat="1" applyFont="1" applyFill="1" applyBorder="1" applyAlignment="1">
      <alignment horizontal="center" vertical="center"/>
    </xf>
    <xf numFmtId="2" fontId="20" fillId="2" borderId="12" xfId="0" applyNumberFormat="1" applyFont="1" applyFill="1" applyBorder="1" applyAlignment="1">
      <alignment horizontal="center" vertical="center"/>
    </xf>
    <xf numFmtId="164" fontId="22" fillId="2" borderId="12" xfId="0" applyNumberFormat="1" applyFont="1" applyFill="1" applyBorder="1" applyAlignment="1">
      <alignment horizontal="center" vertical="center" wrapText="1"/>
    </xf>
    <xf numFmtId="164" fontId="22" fillId="2" borderId="91" xfId="0" applyNumberFormat="1" applyFont="1" applyFill="1" applyBorder="1" applyAlignment="1">
      <alignment horizontal="center" vertical="center" wrapText="1"/>
    </xf>
    <xf numFmtId="164" fontId="22" fillId="2" borderId="225" xfId="0" applyNumberFormat="1" applyFont="1" applyFill="1" applyBorder="1" applyAlignment="1">
      <alignment horizontal="center" vertical="center" wrapText="1"/>
    </xf>
    <xf numFmtId="1" fontId="16" fillId="2" borderId="15" xfId="0" applyNumberFormat="1" applyFont="1" applyFill="1" applyBorder="1" applyAlignment="1">
      <alignment horizontal="center" vertical="center"/>
    </xf>
    <xf numFmtId="1" fontId="17" fillId="2" borderId="15" xfId="2" quotePrefix="1" applyNumberFormat="1" applyFont="1" applyFill="1" applyBorder="1" applyAlignment="1">
      <alignment horizontal="center" vertical="center" wrapText="1"/>
    </xf>
    <xf numFmtId="1" fontId="28" fillId="2" borderId="15" xfId="0" applyNumberFormat="1" applyFont="1" applyFill="1" applyBorder="1" applyAlignment="1">
      <alignment horizontal="center" vertical="center" wrapText="1"/>
    </xf>
    <xf numFmtId="1" fontId="17" fillId="2" borderId="15"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1" fontId="28" fillId="2" borderId="15" xfId="0" applyNumberFormat="1" applyFont="1" applyFill="1" applyBorder="1" applyAlignment="1">
      <alignment horizontal="center"/>
    </xf>
    <xf numFmtId="1" fontId="16" fillId="2" borderId="15" xfId="0" applyNumberFormat="1" applyFont="1" applyFill="1" applyBorder="1"/>
    <xf numFmtId="1" fontId="16" fillId="2" borderId="108" xfId="0" applyNumberFormat="1" applyFont="1" applyFill="1" applyBorder="1"/>
    <xf numFmtId="1" fontId="16" fillId="2" borderId="107" xfId="0" applyNumberFormat="1" applyFont="1" applyFill="1" applyBorder="1"/>
    <xf numFmtId="0" fontId="16" fillId="2" borderId="209" xfId="0" applyFont="1" applyFill="1" applyBorder="1" applyAlignment="1">
      <alignment vertical="top" wrapText="1"/>
    </xf>
    <xf numFmtId="1" fontId="16" fillId="9" borderId="7" xfId="2" quotePrefix="1" applyNumberFormat="1" applyFont="1" applyFill="1" applyBorder="1" applyAlignment="1">
      <alignment horizontal="center" vertical="center" wrapText="1"/>
    </xf>
    <xf numFmtId="1" fontId="17" fillId="9" borderId="7" xfId="2" quotePrefix="1" applyNumberFormat="1" applyFont="1" applyFill="1" applyBorder="1" applyAlignment="1">
      <alignment horizontal="center" vertical="center" wrapText="1"/>
    </xf>
    <xf numFmtId="4" fontId="23" fillId="9" borderId="7" xfId="0" applyNumberFormat="1" applyFont="1" applyFill="1" applyBorder="1" applyAlignment="1">
      <alignment horizontal="center" vertical="top"/>
    </xf>
    <xf numFmtId="4" fontId="22" fillId="9" borderId="7" xfId="0" applyNumberFormat="1" applyFont="1" applyFill="1" applyBorder="1" applyAlignment="1">
      <alignment horizontal="center" vertical="top"/>
    </xf>
    <xf numFmtId="1" fontId="75" fillId="9" borderId="12" xfId="2" quotePrefix="1" applyNumberFormat="1" applyFont="1" applyFill="1" applyBorder="1" applyAlignment="1">
      <alignment horizontal="center" vertical="center" wrapText="1"/>
    </xf>
    <xf numFmtId="1" fontId="75" fillId="9" borderId="12" xfId="0" applyNumberFormat="1" applyFont="1" applyFill="1" applyBorder="1" applyAlignment="1">
      <alignment horizontal="center" vertical="center"/>
    </xf>
    <xf numFmtId="1" fontId="96" fillId="9" borderId="12" xfId="2" quotePrefix="1" applyNumberFormat="1" applyFont="1" applyFill="1" applyBorder="1" applyAlignment="1">
      <alignment horizontal="center" vertical="center" wrapText="1"/>
    </xf>
    <xf numFmtId="3" fontId="96" fillId="9" borderId="12" xfId="0" applyNumberFormat="1" applyFont="1" applyFill="1" applyBorder="1" applyAlignment="1">
      <alignment horizontal="center"/>
    </xf>
    <xf numFmtId="3" fontId="78" fillId="9" borderId="12" xfId="0" applyNumberFormat="1" applyFont="1" applyFill="1" applyBorder="1" applyAlignment="1">
      <alignment horizontal="center"/>
    </xf>
    <xf numFmtId="1" fontId="78" fillId="9" borderId="12" xfId="0" applyNumberFormat="1" applyFont="1" applyFill="1" applyBorder="1" applyAlignment="1">
      <alignment horizontal="center"/>
    </xf>
    <xf numFmtId="1" fontId="75" fillId="9" borderId="12" xfId="0" applyNumberFormat="1" applyFont="1" applyFill="1" applyBorder="1"/>
    <xf numFmtId="1" fontId="75" fillId="9" borderId="6" xfId="0" applyNumberFormat="1" applyFont="1" applyFill="1" applyBorder="1"/>
    <xf numFmtId="1" fontId="75" fillId="9" borderId="27" xfId="0" applyNumberFormat="1" applyFont="1" applyFill="1" applyBorder="1"/>
    <xf numFmtId="1" fontId="75" fillId="9" borderId="0" xfId="0" applyNumberFormat="1" applyFont="1" applyFill="1"/>
    <xf numFmtId="0" fontId="16" fillId="9" borderId="15" xfId="0" applyFont="1" applyFill="1" applyBorder="1" applyAlignment="1">
      <alignment vertical="top" wrapText="1"/>
    </xf>
    <xf numFmtId="1" fontId="16" fillId="9" borderId="15" xfId="0" applyNumberFormat="1" applyFont="1" applyFill="1" applyBorder="1" applyAlignment="1">
      <alignment horizontal="center" vertical="center"/>
    </xf>
    <xf numFmtId="1" fontId="9" fillId="9" borderId="15" xfId="0" quotePrefix="1" applyNumberFormat="1" applyFont="1" applyFill="1" applyBorder="1" applyAlignment="1">
      <alignment horizontal="center" wrapText="1"/>
    </xf>
    <xf numFmtId="1" fontId="28" fillId="9" borderId="14" xfId="0" applyNumberFormat="1" applyFont="1" applyFill="1" applyBorder="1" applyAlignment="1">
      <alignment horizontal="center" vertical="center" wrapText="1"/>
    </xf>
    <xf numFmtId="1" fontId="28" fillId="9" borderId="15" xfId="0" applyNumberFormat="1" applyFont="1" applyFill="1" applyBorder="1" applyAlignment="1">
      <alignment horizontal="center"/>
    </xf>
    <xf numFmtId="1" fontId="16" fillId="9" borderId="15" xfId="0" applyNumberFormat="1" applyFont="1" applyFill="1" applyBorder="1"/>
    <xf numFmtId="1" fontId="16" fillId="9" borderId="0" xfId="0" applyNumberFormat="1" applyFont="1" applyFill="1"/>
    <xf numFmtId="4" fontId="23" fillId="2" borderId="7" xfId="0" applyNumberFormat="1" applyFont="1" applyFill="1" applyBorder="1" applyAlignment="1">
      <alignment horizontal="center" vertical="center"/>
    </xf>
    <xf numFmtId="4" fontId="22" fillId="2" borderId="7" xfId="0" applyNumberFormat="1" applyFont="1" applyFill="1" applyBorder="1" applyAlignment="1">
      <alignment horizontal="center" vertical="center"/>
    </xf>
    <xf numFmtId="4" fontId="25" fillId="2" borderId="7" xfId="0" applyNumberFormat="1" applyFont="1" applyFill="1" applyBorder="1" applyAlignment="1">
      <alignment horizontal="center" vertical="center"/>
    </xf>
    <xf numFmtId="4" fontId="22" fillId="2" borderId="6" xfId="0" applyNumberFormat="1" applyFont="1" applyFill="1" applyBorder="1" applyAlignment="1">
      <alignment horizontal="center" vertical="center"/>
    </xf>
    <xf numFmtId="4" fontId="140" fillId="2" borderId="45" xfId="0" applyNumberFormat="1" applyFont="1" applyFill="1" applyBorder="1" applyAlignment="1">
      <alignment horizontal="center" vertical="center"/>
    </xf>
    <xf numFmtId="4" fontId="140" fillId="2" borderId="204" xfId="0" applyNumberFormat="1" applyFont="1" applyFill="1" applyBorder="1" applyAlignment="1">
      <alignment horizontal="center" vertical="center"/>
    </xf>
    <xf numFmtId="4" fontId="140" fillId="2" borderId="7" xfId="0" applyNumberFormat="1" applyFont="1" applyFill="1" applyBorder="1" applyAlignment="1">
      <alignment horizontal="center" vertical="center"/>
    </xf>
    <xf numFmtId="1" fontId="66" fillId="2" borderId="6" xfId="0" quotePrefix="1" applyNumberFormat="1" applyFont="1" applyFill="1" applyBorder="1" applyAlignment="1">
      <alignment horizontal="center" wrapText="1"/>
    </xf>
    <xf numFmtId="3" fontId="28" fillId="2" borderId="15" xfId="0" applyNumberFormat="1" applyFont="1" applyFill="1" applyBorder="1" applyAlignment="1">
      <alignment horizontal="center" vertical="center" wrapText="1"/>
    </xf>
    <xf numFmtId="3" fontId="17" fillId="2" borderId="15" xfId="0" applyNumberFormat="1" applyFont="1" applyFill="1" applyBorder="1" applyAlignment="1">
      <alignment horizontal="center" vertical="center" wrapText="1"/>
    </xf>
    <xf numFmtId="1" fontId="20" fillId="2" borderId="76" xfId="0" applyNumberFormat="1" applyFont="1" applyFill="1" applyBorder="1"/>
    <xf numFmtId="1" fontId="20" fillId="2" borderId="256" xfId="0" applyNumberFormat="1" applyFont="1" applyFill="1" applyBorder="1"/>
    <xf numFmtId="0" fontId="20" fillId="2" borderId="205" xfId="0" applyFont="1" applyFill="1" applyBorder="1" applyAlignment="1">
      <alignment vertical="top" wrapText="1"/>
    </xf>
    <xf numFmtId="2" fontId="22" fillId="2" borderId="25" xfId="2" quotePrefix="1" applyNumberFormat="1" applyFont="1" applyFill="1" applyBorder="1" applyAlignment="1">
      <alignment horizontal="center" vertical="center" wrapText="1"/>
    </xf>
    <xf numFmtId="2" fontId="22" fillId="2" borderId="24" xfId="2" quotePrefix="1" applyNumberFormat="1" applyFont="1" applyFill="1" applyBorder="1" applyAlignment="1">
      <alignment horizontal="center" vertical="center" wrapText="1"/>
    </xf>
    <xf numFmtId="0" fontId="29" fillId="2" borderId="206" xfId="0" applyFont="1" applyFill="1" applyBorder="1" applyAlignment="1">
      <alignment vertical="top"/>
    </xf>
    <xf numFmtId="0" fontId="75" fillId="2" borderId="113" xfId="0" applyFont="1" applyFill="1" applyBorder="1" applyAlignment="1">
      <alignment vertical="top" wrapText="1"/>
    </xf>
    <xf numFmtId="1" fontId="75" fillId="2" borderId="6" xfId="2" quotePrefix="1" applyNumberFormat="1" applyFont="1" applyFill="1" applyBorder="1" applyAlignment="1">
      <alignment horizontal="center" vertical="center" wrapText="1"/>
    </xf>
    <xf numFmtId="2" fontId="60" fillId="2" borderId="6" xfId="2" quotePrefix="1" applyNumberFormat="1" applyFont="1" applyFill="1" applyBorder="1" applyAlignment="1">
      <alignment horizontal="center" vertical="center" wrapText="1"/>
    </xf>
    <xf numFmtId="2" fontId="61" fillId="2" borderId="6" xfId="2" quotePrefix="1" applyNumberFormat="1" applyFont="1" applyFill="1" applyBorder="1" applyAlignment="1">
      <alignment horizontal="center" vertical="center" wrapText="1"/>
    </xf>
    <xf numFmtId="0" fontId="9" fillId="2" borderId="6" xfId="0" applyFont="1" applyFill="1" applyBorder="1"/>
    <xf numFmtId="0" fontId="66" fillId="2" borderId="6" xfId="0" applyFont="1" applyFill="1" applyBorder="1"/>
    <xf numFmtId="2" fontId="59" fillId="2" borderId="27" xfId="2" quotePrefix="1" applyNumberFormat="1" applyFont="1" applyFill="1" applyBorder="1" applyAlignment="1">
      <alignment horizontal="center" vertical="center" wrapText="1"/>
    </xf>
    <xf numFmtId="2" fontId="59" fillId="2" borderId="0" xfId="2" quotePrefix="1" applyNumberFormat="1" applyFont="1" applyFill="1" applyBorder="1" applyAlignment="1">
      <alignment horizontal="center" vertical="center" wrapText="1"/>
    </xf>
    <xf numFmtId="0" fontId="75" fillId="2" borderId="196" xfId="0" applyFont="1" applyFill="1" applyBorder="1" applyAlignment="1">
      <alignment vertical="top"/>
    </xf>
    <xf numFmtId="2" fontId="22" fillId="2" borderId="27" xfId="2" quotePrefix="1" applyNumberFormat="1" applyFont="1" applyFill="1" applyBorder="1" applyAlignment="1">
      <alignment horizontal="center" vertical="center" wrapText="1"/>
    </xf>
    <xf numFmtId="2" fontId="22" fillId="2" borderId="0" xfId="2" quotePrefix="1" applyNumberFormat="1" applyFont="1" applyFill="1" applyBorder="1" applyAlignment="1">
      <alignment horizontal="center" vertical="center" wrapText="1"/>
    </xf>
    <xf numFmtId="0" fontId="29" fillId="2" borderId="196" xfId="0" applyFont="1" applyFill="1" applyBorder="1" applyAlignment="1">
      <alignment vertical="top"/>
    </xf>
    <xf numFmtId="2" fontId="60" fillId="2" borderId="6" xfId="2" quotePrefix="1" applyNumberFormat="1" applyFont="1" applyFill="1" applyBorder="1" applyAlignment="1">
      <alignment vertical="center" wrapText="1"/>
    </xf>
    <xf numFmtId="2" fontId="61" fillId="2" borderId="6" xfId="2" quotePrefix="1" applyNumberFormat="1" applyFont="1" applyFill="1" applyBorder="1" applyAlignment="1">
      <alignment vertical="center" wrapText="1"/>
    </xf>
    <xf numFmtId="2" fontId="62" fillId="2" borderId="12" xfId="2" quotePrefix="1" applyNumberFormat="1" applyFont="1" applyFill="1" applyBorder="1" applyAlignment="1">
      <alignment horizontal="center" vertical="center" wrapText="1"/>
    </xf>
    <xf numFmtId="2" fontId="59" fillId="2" borderId="12" xfId="2" quotePrefix="1" applyNumberFormat="1" applyFont="1" applyFill="1" applyBorder="1" applyAlignment="1">
      <alignment horizontal="center" vertical="center" wrapText="1"/>
    </xf>
    <xf numFmtId="2" fontId="62" fillId="2" borderId="12" xfId="0" applyNumberFormat="1" applyFont="1" applyFill="1" applyBorder="1" applyAlignment="1">
      <alignment horizontal="center" vertical="center"/>
    </xf>
    <xf numFmtId="1" fontId="66" fillId="2" borderId="12" xfId="0" quotePrefix="1" applyNumberFormat="1" applyFont="1" applyFill="1" applyBorder="1" applyAlignment="1">
      <alignment horizontal="center" wrapText="1"/>
    </xf>
    <xf numFmtId="2" fontId="62" fillId="2" borderId="6" xfId="2" quotePrefix="1" applyNumberFormat="1" applyFont="1" applyFill="1" applyBorder="1" applyAlignment="1">
      <alignment vertical="center" wrapText="1"/>
    </xf>
    <xf numFmtId="2" fontId="62" fillId="2" borderId="27" xfId="2" quotePrefix="1" applyNumberFormat="1" applyFont="1" applyFill="1" applyBorder="1" applyAlignment="1">
      <alignment vertical="center" wrapText="1"/>
    </xf>
    <xf numFmtId="2" fontId="62" fillId="2" borderId="0" xfId="2" quotePrefix="1" applyNumberFormat="1" applyFont="1" applyFill="1" applyBorder="1" applyAlignment="1">
      <alignment vertical="center" wrapText="1"/>
    </xf>
    <xf numFmtId="2" fontId="16" fillId="2" borderId="25" xfId="2" quotePrefix="1" applyNumberFormat="1" applyFont="1" applyFill="1" applyBorder="1" applyAlignment="1">
      <alignment horizontal="center" vertical="center" wrapText="1"/>
    </xf>
    <xf numFmtId="2" fontId="16" fillId="2" borderId="24" xfId="2" quotePrefix="1" applyNumberFormat="1" applyFont="1" applyFill="1" applyBorder="1" applyAlignment="1">
      <alignment horizontal="center" vertical="center" wrapText="1"/>
    </xf>
    <xf numFmtId="164" fontId="75" fillId="2" borderId="6" xfId="2" quotePrefix="1" applyNumberFormat="1" applyFont="1" applyFill="1" applyBorder="1" applyAlignment="1">
      <alignment horizontal="center" vertical="center" wrapText="1"/>
    </xf>
    <xf numFmtId="164" fontId="96" fillId="2" borderId="6" xfId="2" quotePrefix="1" applyNumberFormat="1" applyFont="1" applyFill="1" applyBorder="1" applyAlignment="1">
      <alignment horizontal="center" vertical="center" wrapText="1"/>
    </xf>
    <xf numFmtId="1" fontId="78" fillId="2" borderId="6" xfId="0" applyNumberFormat="1" applyFont="1" applyFill="1" applyBorder="1" applyAlignment="1">
      <alignment horizontal="center" vertical="center"/>
    </xf>
    <xf numFmtId="1" fontId="78" fillId="2" borderId="6" xfId="0" applyNumberFormat="1" applyFont="1" applyFill="1" applyBorder="1" applyAlignment="1">
      <alignment horizontal="center" vertical="center" wrapText="1"/>
    </xf>
    <xf numFmtId="2" fontId="16" fillId="2" borderId="27" xfId="2" quotePrefix="1" applyNumberFormat="1" applyFont="1" applyFill="1" applyBorder="1" applyAlignment="1">
      <alignment horizontal="center" vertical="center" wrapText="1"/>
    </xf>
    <xf numFmtId="2" fontId="16" fillId="2" borderId="0" xfId="2" quotePrefix="1" applyNumberFormat="1" applyFont="1" applyFill="1" applyBorder="1" applyAlignment="1">
      <alignment horizontal="center" vertical="center" wrapText="1"/>
    </xf>
    <xf numFmtId="0" fontId="75" fillId="2" borderId="196" xfId="0" applyFont="1" applyFill="1" applyBorder="1" applyAlignment="1">
      <alignment vertical="top" wrapText="1"/>
    </xf>
    <xf numFmtId="1" fontId="17" fillId="2" borderId="6" xfId="0" applyNumberFormat="1" applyFont="1" applyFill="1" applyBorder="1" applyAlignment="1">
      <alignment horizontal="center" vertical="center" wrapText="1"/>
    </xf>
    <xf numFmtId="1" fontId="28" fillId="2" borderId="6" xfId="0" applyNumberFormat="1" applyFont="1" applyFill="1" applyBorder="1" applyAlignment="1">
      <alignment horizontal="center" vertical="center" wrapText="1"/>
    </xf>
    <xf numFmtId="0" fontId="16" fillId="2" borderId="196" xfId="0" applyFont="1" applyFill="1" applyBorder="1" applyAlignment="1">
      <alignment vertical="top" wrapText="1"/>
    </xf>
    <xf numFmtId="164" fontId="96" fillId="2" borderId="8" xfId="2" quotePrefix="1" applyNumberFormat="1" applyFont="1" applyFill="1" applyBorder="1" applyAlignment="1">
      <alignment horizontal="center" vertical="center" wrapText="1"/>
    </xf>
    <xf numFmtId="164" fontId="78" fillId="2" borderId="8" xfId="2" quotePrefix="1" applyNumberFormat="1" applyFont="1" applyFill="1" applyBorder="1" applyAlignment="1">
      <alignment horizontal="center" vertical="center" wrapText="1"/>
    </xf>
    <xf numFmtId="164" fontId="75" fillId="2" borderId="8" xfId="2" quotePrefix="1" applyNumberFormat="1" applyFont="1" applyFill="1" applyBorder="1" applyAlignment="1">
      <alignment horizontal="center" vertical="center" wrapText="1"/>
    </xf>
    <xf numFmtId="1" fontId="59" fillId="2" borderId="8" xfId="0" applyNumberFormat="1" applyFont="1" applyFill="1" applyBorder="1" applyAlignment="1">
      <alignment wrapText="1"/>
    </xf>
    <xf numFmtId="9" fontId="23" fillId="2" borderId="16" xfId="2" applyFont="1" applyFill="1" applyBorder="1" applyAlignment="1">
      <alignment horizontal="center" vertical="center" wrapText="1"/>
    </xf>
    <xf numFmtId="9" fontId="23" fillId="2" borderId="25" xfId="2" applyFont="1" applyFill="1" applyBorder="1" applyAlignment="1">
      <alignment horizontal="center" vertical="center"/>
    </xf>
    <xf numFmtId="9" fontId="23" fillId="2" borderId="24" xfId="2" applyFont="1" applyFill="1" applyBorder="1" applyAlignment="1">
      <alignment horizontal="center" vertical="center"/>
    </xf>
    <xf numFmtId="165" fontId="23" fillId="2" borderId="27" xfId="2" applyNumberFormat="1" applyFont="1" applyFill="1" applyBorder="1" applyAlignment="1">
      <alignment vertical="center" wrapText="1"/>
    </xf>
    <xf numFmtId="165" fontId="23" fillId="2" borderId="0" xfId="2" applyNumberFormat="1" applyFont="1" applyFill="1" applyBorder="1" applyAlignment="1">
      <alignment vertical="center" wrapText="1"/>
    </xf>
    <xf numFmtId="0" fontId="29" fillId="2" borderId="206" xfId="0" applyFont="1" applyFill="1" applyBorder="1" applyAlignment="1">
      <alignment horizontal="left" vertical="top" wrapText="1"/>
    </xf>
    <xf numFmtId="0" fontId="29" fillId="2" borderId="196" xfId="0" applyFont="1" applyFill="1" applyBorder="1" applyAlignment="1">
      <alignment horizontal="left" vertical="top" wrapText="1"/>
    </xf>
    <xf numFmtId="0" fontId="48" fillId="9" borderId="93" xfId="0" applyFont="1" applyFill="1" applyBorder="1" applyAlignment="1">
      <alignment vertical="top" wrapText="1"/>
    </xf>
    <xf numFmtId="1" fontId="22" fillId="9" borderId="45" xfId="0" applyNumberFormat="1" applyFont="1" applyFill="1" applyBorder="1" applyAlignment="1">
      <alignment horizontal="center" vertical="center"/>
    </xf>
    <xf numFmtId="1" fontId="22" fillId="9" borderId="204" xfId="0" applyNumberFormat="1" applyFont="1" applyFill="1" applyBorder="1" applyAlignment="1">
      <alignment horizontal="center" vertical="center"/>
    </xf>
    <xf numFmtId="0" fontId="48" fillId="9" borderId="210" xfId="0" applyFont="1" applyFill="1" applyBorder="1" applyAlignment="1">
      <alignment horizontal="left" vertical="top" wrapText="1"/>
    </xf>
    <xf numFmtId="0" fontId="78" fillId="9" borderId="113" xfId="0" applyFont="1" applyFill="1" applyBorder="1" applyAlignment="1">
      <alignment vertical="top" wrapText="1"/>
    </xf>
    <xf numFmtId="1" fontId="75" fillId="9" borderId="6" xfId="2" quotePrefix="1" applyNumberFormat="1" applyFont="1" applyFill="1" applyBorder="1" applyAlignment="1">
      <alignment horizontal="center" vertical="center" wrapText="1"/>
    </xf>
    <xf numFmtId="164" fontId="62" fillId="9" borderId="6" xfId="0" applyNumberFormat="1" applyFont="1" applyFill="1" applyBorder="1" applyAlignment="1">
      <alignment horizontal="center" vertical="center"/>
    </xf>
    <xf numFmtId="1" fontId="9" fillId="9" borderId="0" xfId="0" quotePrefix="1" applyNumberFormat="1" applyFont="1" applyFill="1" applyAlignment="1">
      <alignment horizontal="center" wrapText="1"/>
    </xf>
    <xf numFmtId="0" fontId="78" fillId="9" borderId="196" xfId="0" applyFont="1" applyFill="1" applyBorder="1" applyAlignment="1">
      <alignment horizontal="left" vertical="top" wrapText="1"/>
    </xf>
    <xf numFmtId="0" fontId="28" fillId="9" borderId="95" xfId="0" applyFont="1" applyFill="1" applyBorder="1" applyAlignment="1">
      <alignment vertical="top" wrapText="1"/>
    </xf>
    <xf numFmtId="3" fontId="28" fillId="9" borderId="16" xfId="0" applyNumberFormat="1" applyFont="1" applyFill="1" applyBorder="1" applyAlignment="1">
      <alignment horizontal="center" vertical="center"/>
    </xf>
    <xf numFmtId="1" fontId="17" fillId="9" borderId="14" xfId="0" applyNumberFormat="1" applyFont="1" applyFill="1" applyBorder="1" applyAlignment="1">
      <alignment horizontal="center" vertical="center" wrapText="1"/>
    </xf>
    <xf numFmtId="164" fontId="22" fillId="9" borderId="16" xfId="0" quotePrefix="1" applyNumberFormat="1" applyFont="1" applyFill="1" applyBorder="1" applyAlignment="1">
      <alignment horizontal="center" vertical="center"/>
    </xf>
    <xf numFmtId="164" fontId="23" fillId="9" borderId="16" xfId="0" quotePrefix="1" applyNumberFormat="1" applyFont="1" applyFill="1" applyBorder="1" applyAlignment="1">
      <alignment horizontal="center" vertical="center"/>
    </xf>
    <xf numFmtId="164" fontId="23" fillId="9" borderId="25" xfId="0" quotePrefix="1" applyNumberFormat="1" applyFont="1" applyFill="1" applyBorder="1" applyAlignment="1">
      <alignment horizontal="center" vertical="center"/>
    </xf>
    <xf numFmtId="164" fontId="23" fillId="9" borderId="24" xfId="0" quotePrefix="1" applyNumberFormat="1" applyFont="1" applyFill="1" applyBorder="1" applyAlignment="1">
      <alignment horizontal="center" vertical="center"/>
    </xf>
    <xf numFmtId="0" fontId="28" fillId="9" borderId="206" xfId="0" applyFont="1" applyFill="1" applyBorder="1" applyAlignment="1">
      <alignment horizontal="left" vertical="top" wrapText="1"/>
    </xf>
    <xf numFmtId="164" fontId="75" fillId="9" borderId="11" xfId="0" applyNumberFormat="1" applyFont="1" applyFill="1" applyBorder="1" applyAlignment="1">
      <alignment horizontal="center" vertical="center"/>
    </xf>
    <xf numFmtId="3" fontId="78" fillId="9" borderId="11" xfId="0" applyNumberFormat="1" applyFont="1" applyFill="1" applyBorder="1" applyAlignment="1">
      <alignment horizontal="center" vertical="center"/>
    </xf>
    <xf numFmtId="1" fontId="78" fillId="9" borderId="11" xfId="0" applyNumberFormat="1" applyFont="1" applyFill="1" applyBorder="1" applyAlignment="1">
      <alignment horizontal="center" vertical="center" wrapText="1"/>
    </xf>
    <xf numFmtId="1" fontId="96" fillId="9" borderId="11" xfId="0" applyNumberFormat="1" applyFont="1" applyFill="1" applyBorder="1" applyAlignment="1">
      <alignment horizontal="center" vertical="center" wrapText="1"/>
    </xf>
    <xf numFmtId="164" fontId="78" fillId="9" borderId="11" xfId="0" applyNumberFormat="1" applyFont="1" applyFill="1" applyBorder="1" applyAlignment="1">
      <alignment horizontal="center" vertical="center"/>
    </xf>
    <xf numFmtId="164" fontId="61" fillId="9" borderId="11" xfId="0" quotePrefix="1" applyNumberFormat="1" applyFont="1" applyFill="1" applyBorder="1" applyAlignment="1">
      <alignment horizontal="center" vertical="center"/>
    </xf>
    <xf numFmtId="164" fontId="62" fillId="9" borderId="11" xfId="0" quotePrefix="1" applyNumberFormat="1" applyFont="1" applyFill="1" applyBorder="1" applyAlignment="1">
      <alignment horizontal="center" vertical="center"/>
    </xf>
    <xf numFmtId="164" fontId="62" fillId="9" borderId="55" xfId="0" quotePrefix="1" applyNumberFormat="1" applyFont="1" applyFill="1" applyBorder="1" applyAlignment="1">
      <alignment horizontal="center" vertical="center"/>
    </xf>
    <xf numFmtId="164" fontId="62" fillId="9" borderId="199" xfId="0" quotePrefix="1" applyNumberFormat="1" applyFont="1" applyFill="1" applyBorder="1" applyAlignment="1">
      <alignment horizontal="center" vertical="center"/>
    </xf>
    <xf numFmtId="0" fontId="78" fillId="9" borderId="200" xfId="0" applyFont="1" applyFill="1" applyBorder="1" applyAlignment="1">
      <alignment horizontal="left" vertical="top" wrapText="1"/>
    </xf>
    <xf numFmtId="2" fontId="22" fillId="2" borderId="45" xfId="0" applyNumberFormat="1" applyFont="1" applyFill="1" applyBorder="1" applyAlignment="1">
      <alignment horizontal="center" vertical="center" wrapText="1"/>
    </xf>
    <xf numFmtId="2" fontId="22" fillId="2" borderId="204" xfId="0" applyNumberFormat="1" applyFont="1" applyFill="1" applyBorder="1" applyAlignment="1">
      <alignment horizontal="center" vertical="center" wrapText="1"/>
    </xf>
    <xf numFmtId="0" fontId="48" fillId="2" borderId="210" xfId="0" applyFont="1" applyFill="1" applyBorder="1" applyAlignment="1">
      <alignment horizontal="left" vertical="top" wrapText="1"/>
    </xf>
    <xf numFmtId="0" fontId="48" fillId="2" borderId="196" xfId="0" applyFont="1" applyFill="1" applyBorder="1" applyAlignment="1">
      <alignment horizontal="left" vertical="top" wrapText="1"/>
    </xf>
    <xf numFmtId="0" fontId="24" fillId="2" borderId="14" xfId="0" applyFont="1" applyFill="1" applyBorder="1"/>
    <xf numFmtId="164" fontId="28" fillId="2" borderId="25" xfId="0" applyNumberFormat="1" applyFont="1" applyFill="1" applyBorder="1" applyAlignment="1">
      <alignment horizontal="center" vertical="center"/>
    </xf>
    <xf numFmtId="164" fontId="28" fillId="2" borderId="24" xfId="0" applyNumberFormat="1" applyFont="1" applyFill="1" applyBorder="1" applyAlignment="1">
      <alignment horizontal="center" vertical="center"/>
    </xf>
    <xf numFmtId="0" fontId="28" fillId="2" borderId="206" xfId="0" applyFont="1" applyFill="1" applyBorder="1" applyAlignment="1">
      <alignment horizontal="left" vertical="top" wrapText="1"/>
    </xf>
    <xf numFmtId="2" fontId="23" fillId="9" borderId="11" xfId="0" applyNumberFormat="1" applyFont="1" applyFill="1" applyBorder="1" applyAlignment="1">
      <alignment horizontal="center" vertical="center"/>
    </xf>
    <xf numFmtId="2" fontId="23" fillId="9" borderId="55" xfId="0" applyNumberFormat="1" applyFont="1" applyFill="1" applyBorder="1" applyAlignment="1">
      <alignment horizontal="center" vertical="center"/>
    </xf>
    <xf numFmtId="2" fontId="23" fillId="9" borderId="199" xfId="0" applyNumberFormat="1" applyFont="1" applyFill="1" applyBorder="1" applyAlignment="1">
      <alignment horizontal="center" vertical="center"/>
    </xf>
    <xf numFmtId="2" fontId="23" fillId="2" borderId="6" xfId="0" applyNumberFormat="1" applyFont="1" applyFill="1" applyBorder="1" applyAlignment="1">
      <alignment horizontal="center" vertical="center" wrapText="1"/>
    </xf>
    <xf numFmtId="2" fontId="140" fillId="2" borderId="27" xfId="0" applyNumberFormat="1" applyFont="1" applyFill="1" applyBorder="1" applyAlignment="1">
      <alignment horizontal="center" vertical="center" wrapText="1"/>
    </xf>
    <xf numFmtId="2" fontId="140" fillId="2" borderId="0" xfId="0" applyNumberFormat="1" applyFont="1" applyFill="1" applyAlignment="1">
      <alignment horizontal="center" vertical="center" wrapText="1"/>
    </xf>
    <xf numFmtId="2" fontId="140" fillId="2" borderId="6" xfId="0" applyNumberFormat="1" applyFont="1" applyFill="1" applyBorder="1" applyAlignment="1">
      <alignment horizontal="center" vertical="center" wrapText="1"/>
    </xf>
    <xf numFmtId="0" fontId="29" fillId="2" borderId="210" xfId="0" applyFont="1" applyFill="1" applyBorder="1" applyAlignment="1">
      <alignment vertical="top" wrapText="1"/>
    </xf>
    <xf numFmtId="0" fontId="29" fillId="2" borderId="196" xfId="0" applyFont="1" applyFill="1" applyBorder="1" applyAlignment="1">
      <alignment vertical="top" wrapText="1"/>
    </xf>
    <xf numFmtId="0" fontId="20" fillId="9" borderId="150" xfId="0" applyFont="1" applyFill="1" applyBorder="1" applyAlignment="1">
      <alignment vertical="top" wrapText="1"/>
    </xf>
    <xf numFmtId="1" fontId="16" fillId="9" borderId="250" xfId="2" quotePrefix="1" applyNumberFormat="1" applyFont="1" applyFill="1" applyBorder="1" applyAlignment="1">
      <alignment horizontal="center" vertical="center" wrapText="1"/>
    </xf>
    <xf numFmtId="164" fontId="17" fillId="9" borderId="250" xfId="2" quotePrefix="1" applyNumberFormat="1" applyFont="1" applyFill="1" applyBorder="1" applyAlignment="1">
      <alignment horizontal="center" wrapText="1"/>
    </xf>
    <xf numFmtId="164" fontId="28" fillId="9" borderId="250" xfId="2" quotePrefix="1" applyNumberFormat="1" applyFont="1" applyFill="1" applyBorder="1" applyAlignment="1">
      <alignment horizontal="center" wrapText="1"/>
    </xf>
    <xf numFmtId="2" fontId="32" fillId="9" borderId="250" xfId="2" quotePrefix="1" applyNumberFormat="1" applyFont="1" applyFill="1" applyBorder="1" applyAlignment="1">
      <alignment horizontal="center" wrapText="1"/>
    </xf>
    <xf numFmtId="2" fontId="32" fillId="9" borderId="151" xfId="2" quotePrefix="1" applyNumberFormat="1" applyFont="1" applyFill="1" applyBorder="1" applyAlignment="1">
      <alignment horizontal="center" vertical="center" wrapText="1"/>
    </xf>
    <xf numFmtId="0" fontId="24" fillId="0" borderId="151" xfId="0" applyFont="1" applyBorder="1" applyAlignment="1">
      <alignment horizontal="center" vertical="center" wrapText="1"/>
    </xf>
    <xf numFmtId="0" fontId="22" fillId="0" borderId="151" xfId="0" applyFont="1" applyBorder="1" applyAlignment="1">
      <alignment horizontal="center" vertical="center" wrapText="1"/>
    </xf>
    <xf numFmtId="2" fontId="23" fillId="9" borderId="151" xfId="2" quotePrefix="1" applyNumberFormat="1" applyFont="1" applyFill="1" applyBorder="1" applyAlignment="1">
      <alignment horizontal="center" vertical="center" wrapText="1"/>
    </xf>
    <xf numFmtId="2" fontId="140" fillId="9" borderId="151" xfId="2" quotePrefix="1" applyNumberFormat="1" applyFont="1" applyFill="1" applyBorder="1" applyAlignment="1">
      <alignment horizontal="center" vertical="center" wrapText="1"/>
    </xf>
    <xf numFmtId="2" fontId="140" fillId="9" borderId="250" xfId="2" quotePrefix="1" applyNumberFormat="1" applyFont="1" applyFill="1" applyBorder="1" applyAlignment="1">
      <alignment horizontal="center" vertical="center" wrapText="1"/>
    </xf>
    <xf numFmtId="0" fontId="24" fillId="9" borderId="151" xfId="0" applyFont="1" applyFill="1" applyBorder="1" applyAlignment="1">
      <alignment vertical="top"/>
    </xf>
    <xf numFmtId="1" fontId="54" fillId="2" borderId="13" xfId="0" applyNumberFormat="1" applyFont="1" applyFill="1" applyBorder="1" applyAlignment="1">
      <alignment horizontal="center"/>
    </xf>
    <xf numFmtId="1" fontId="29" fillId="2" borderId="76" xfId="0" applyNumberFormat="1" applyFont="1" applyFill="1" applyBorder="1"/>
    <xf numFmtId="1" fontId="29" fillId="2" borderId="256" xfId="0" applyNumberFormat="1" applyFont="1" applyFill="1" applyBorder="1"/>
    <xf numFmtId="0" fontId="24" fillId="2" borderId="127" xfId="0" applyFont="1" applyFill="1" applyBorder="1" applyAlignment="1">
      <alignment horizontal="left" vertical="top" wrapText="1"/>
    </xf>
    <xf numFmtId="2" fontId="20" fillId="2" borderId="21" xfId="0" applyNumberFormat="1" applyFont="1" applyFill="1" applyBorder="1" applyAlignment="1">
      <alignment horizontal="center" vertical="center"/>
    </xf>
    <xf numFmtId="2" fontId="20" fillId="2" borderId="103" xfId="0" applyNumberFormat="1" applyFont="1" applyFill="1" applyBorder="1" applyAlignment="1">
      <alignment horizontal="center" vertical="center"/>
    </xf>
    <xf numFmtId="2" fontId="20" fillId="2" borderId="117" xfId="0" applyNumberFormat="1" applyFont="1" applyFill="1" applyBorder="1" applyAlignment="1">
      <alignment horizontal="center" vertical="center"/>
    </xf>
    <xf numFmtId="0" fontId="24" fillId="2" borderId="102" xfId="0" applyFont="1" applyFill="1" applyBorder="1" applyAlignment="1">
      <alignment horizontal="left" vertical="top" wrapText="1"/>
    </xf>
    <xf numFmtId="1" fontId="29" fillId="2" borderId="21" xfId="2" quotePrefix="1" applyNumberFormat="1" applyFont="1" applyFill="1" applyBorder="1" applyAlignment="1">
      <alignment horizontal="center" vertical="center" wrapText="1"/>
    </xf>
    <xf numFmtId="2" fontId="22" fillId="2" borderId="21" xfId="2" quotePrefix="1" applyNumberFormat="1" applyFont="1" applyFill="1" applyBorder="1" applyAlignment="1">
      <alignment horizontal="center" vertical="center" wrapText="1"/>
    </xf>
    <xf numFmtId="2" fontId="23" fillId="2" borderId="21" xfId="2" quotePrefix="1" applyNumberFormat="1" applyFont="1" applyFill="1" applyBorder="1" applyAlignment="1">
      <alignment horizontal="center" vertical="center" wrapText="1"/>
    </xf>
    <xf numFmtId="2" fontId="21" fillId="2" borderId="21" xfId="2" quotePrefix="1" applyNumberFormat="1" applyFont="1" applyFill="1" applyBorder="1" applyAlignment="1">
      <alignment horizontal="center" vertical="center" wrapText="1"/>
    </xf>
    <xf numFmtId="2" fontId="23" fillId="2" borderId="103" xfId="2" quotePrefix="1" applyNumberFormat="1" applyFont="1" applyFill="1" applyBorder="1" applyAlignment="1">
      <alignment horizontal="center" vertical="center" wrapText="1"/>
    </xf>
    <xf numFmtId="2" fontId="23" fillId="2" borderId="117" xfId="2" quotePrefix="1" applyNumberFormat="1" applyFont="1" applyFill="1" applyBorder="1" applyAlignment="1">
      <alignment horizontal="center" vertical="center" wrapText="1"/>
    </xf>
    <xf numFmtId="0" fontId="24" fillId="2" borderId="208" xfId="0" applyFont="1" applyFill="1" applyBorder="1" applyAlignment="1">
      <alignment horizontal="left" vertical="top" wrapText="1"/>
    </xf>
    <xf numFmtId="0" fontId="16" fillId="2" borderId="102" xfId="0" applyFont="1" applyFill="1" applyBorder="1" applyAlignment="1">
      <alignment vertical="top" wrapText="1"/>
    </xf>
    <xf numFmtId="1" fontId="16" fillId="2" borderId="21" xfId="2" quotePrefix="1" applyNumberFormat="1" applyFont="1" applyFill="1" applyBorder="1" applyAlignment="1">
      <alignment horizontal="center" vertical="center" wrapText="1"/>
    </xf>
    <xf numFmtId="1" fontId="17" fillId="2" borderId="21" xfId="0" applyNumberFormat="1" applyFont="1" applyFill="1" applyBorder="1" applyAlignment="1">
      <alignment horizontal="center" vertical="center" wrapText="1"/>
    </xf>
    <xf numFmtId="1" fontId="28" fillId="2" borderId="21" xfId="0" applyNumberFormat="1" applyFont="1" applyFill="1" applyBorder="1" applyAlignment="1">
      <alignment horizontal="center" vertical="center" wrapText="1"/>
    </xf>
    <xf numFmtId="1" fontId="28" fillId="2" borderId="21" xfId="0" applyNumberFormat="1" applyFont="1" applyFill="1" applyBorder="1" applyAlignment="1">
      <alignment horizontal="center"/>
    </xf>
    <xf numFmtId="0" fontId="16" fillId="2" borderId="21" xfId="0" applyFont="1" applyFill="1" applyBorder="1"/>
    <xf numFmtId="1" fontId="16" fillId="2" borderId="21" xfId="0" applyNumberFormat="1" applyFont="1" applyFill="1" applyBorder="1"/>
    <xf numFmtId="1" fontId="17" fillId="2" borderId="14" xfId="0" applyNumberFormat="1" applyFont="1" applyFill="1" applyBorder="1"/>
    <xf numFmtId="0" fontId="28" fillId="2" borderId="209" xfId="0" applyFont="1" applyFill="1" applyBorder="1" applyAlignment="1">
      <alignment vertical="top" wrapText="1"/>
    </xf>
    <xf numFmtId="0" fontId="29" fillId="9" borderId="110" xfId="0" applyFont="1" applyFill="1" applyBorder="1" applyAlignment="1">
      <alignment vertical="top" wrapText="1"/>
    </xf>
    <xf numFmtId="1" fontId="29" fillId="9" borderId="13" xfId="2" quotePrefix="1" applyNumberFormat="1" applyFont="1" applyFill="1" applyBorder="1" applyAlignment="1">
      <alignment horizontal="center" vertical="center" wrapText="1"/>
    </xf>
    <xf numFmtId="2" fontId="22" fillId="9" borderId="13" xfId="6" applyNumberFormat="1" applyFont="1" applyFill="1" applyBorder="1" applyAlignment="1">
      <alignment horizontal="center" vertical="center"/>
    </xf>
    <xf numFmtId="2" fontId="20" fillId="9" borderId="13" xfId="6" applyNumberFormat="1" applyFont="1" applyFill="1" applyBorder="1" applyAlignment="1">
      <alignment horizontal="center" vertical="center"/>
    </xf>
    <xf numFmtId="1" fontId="48" fillId="9" borderId="13" xfId="0" applyNumberFormat="1" applyFont="1" applyFill="1" applyBorder="1" applyAlignment="1">
      <alignment horizontal="center"/>
    </xf>
    <xf numFmtId="1" fontId="29" fillId="9" borderId="13" xfId="0" applyNumberFormat="1" applyFont="1" applyFill="1" applyBorder="1"/>
    <xf numFmtId="1" fontId="29" fillId="9" borderId="111" xfId="0" applyNumberFormat="1" applyFont="1" applyFill="1" applyBorder="1"/>
    <xf numFmtId="1" fontId="29" fillId="9" borderId="116" xfId="0" applyNumberFormat="1" applyFont="1" applyFill="1" applyBorder="1"/>
    <xf numFmtId="1" fontId="41" fillId="9" borderId="13" xfId="0" applyNumberFormat="1" applyFont="1" applyFill="1" applyBorder="1"/>
    <xf numFmtId="0" fontId="29" fillId="9" borderId="207" xfId="0" applyFont="1" applyFill="1" applyBorder="1" applyAlignment="1">
      <alignment vertical="top" wrapText="1"/>
    </xf>
    <xf numFmtId="0" fontId="24" fillId="9" borderId="102" xfId="0" applyFont="1" applyFill="1" applyBorder="1" applyAlignment="1">
      <alignment horizontal="left" vertical="top" wrapText="1"/>
    </xf>
    <xf numFmtId="1" fontId="29" fillId="9" borderId="21" xfId="2" quotePrefix="1" applyNumberFormat="1" applyFont="1" applyFill="1" applyBorder="1" applyAlignment="1">
      <alignment horizontal="center" vertical="center" wrapText="1"/>
    </xf>
    <xf numFmtId="2" fontId="20" fillId="9" borderId="21" xfId="6" applyNumberFormat="1" applyFont="1" applyFill="1" applyBorder="1" applyAlignment="1">
      <alignment horizontal="center" vertical="center"/>
    </xf>
    <xf numFmtId="2" fontId="20" fillId="9" borderId="103" xfId="6" applyNumberFormat="1" applyFont="1" applyFill="1" applyBorder="1" applyAlignment="1">
      <alignment horizontal="center" vertical="center"/>
    </xf>
    <xf numFmtId="2" fontId="20" fillId="9" borderId="117" xfId="6" applyNumberFormat="1" applyFont="1" applyFill="1" applyBorder="1" applyAlignment="1">
      <alignment horizontal="center" vertical="center"/>
    </xf>
    <xf numFmtId="2" fontId="23" fillId="9" borderId="21" xfId="6" applyNumberFormat="1" applyFont="1" applyFill="1" applyBorder="1" applyAlignment="1">
      <alignment horizontal="center" vertical="center"/>
    </xf>
    <xf numFmtId="0" fontId="29" fillId="9" borderId="208" xfId="0" applyFont="1" applyFill="1" applyBorder="1" applyAlignment="1">
      <alignment vertical="top" wrapText="1"/>
    </xf>
    <xf numFmtId="0" fontId="24" fillId="9" borderId="105" xfId="0" applyFont="1" applyFill="1" applyBorder="1" applyAlignment="1">
      <alignment horizontal="left" vertical="top" wrapText="1"/>
    </xf>
    <xf numFmtId="1" fontId="29" fillId="9" borderId="15" xfId="2" quotePrefix="1" applyNumberFormat="1" applyFont="1" applyFill="1" applyBorder="1" applyAlignment="1">
      <alignment horizontal="center" vertical="center" wrapText="1"/>
    </xf>
    <xf numFmtId="2" fontId="20" fillId="9" borderId="15" xfId="6" applyNumberFormat="1" applyFont="1" applyFill="1" applyBorder="1" applyAlignment="1">
      <alignment horizontal="center" vertical="center"/>
    </xf>
    <xf numFmtId="2" fontId="20" fillId="9" borderId="108" xfId="6" applyNumberFormat="1" applyFont="1" applyFill="1" applyBorder="1" applyAlignment="1">
      <alignment horizontal="center" vertical="center"/>
    </xf>
    <xf numFmtId="2" fontId="20" fillId="9" borderId="107" xfId="6" applyNumberFormat="1" applyFont="1" applyFill="1" applyBorder="1" applyAlignment="1">
      <alignment horizontal="center" vertical="center"/>
    </xf>
    <xf numFmtId="2" fontId="22" fillId="9" borderId="15" xfId="6" applyNumberFormat="1" applyFont="1" applyFill="1" applyBorder="1" applyAlignment="1">
      <alignment horizontal="center" vertical="center"/>
    </xf>
    <xf numFmtId="0" fontId="29" fillId="9" borderId="209" xfId="0" applyFont="1" applyFill="1" applyBorder="1" applyAlignment="1">
      <alignment vertical="top" wrapText="1"/>
    </xf>
    <xf numFmtId="0" fontId="29" fillId="2" borderId="110" xfId="0" applyFont="1" applyFill="1" applyBorder="1" applyAlignment="1">
      <alignment vertical="top" wrapText="1"/>
    </xf>
    <xf numFmtId="1" fontId="29" fillId="2" borderId="13" xfId="2" quotePrefix="1" applyNumberFormat="1" applyFont="1" applyFill="1" applyBorder="1" applyAlignment="1">
      <alignment horizontal="center" vertical="center" wrapText="1"/>
    </xf>
    <xf numFmtId="2" fontId="22" fillId="2" borderId="13" xfId="6" applyNumberFormat="1" applyFont="1" applyFill="1" applyBorder="1" applyAlignment="1">
      <alignment horizontal="center" vertical="center"/>
    </xf>
    <xf numFmtId="2" fontId="20" fillId="2" borderId="13" xfId="6" applyNumberFormat="1" applyFont="1" applyFill="1" applyBorder="1" applyAlignment="1">
      <alignment horizontal="center" vertical="center"/>
    </xf>
    <xf numFmtId="1" fontId="29" fillId="2" borderId="13" xfId="0" applyNumberFormat="1" applyFont="1" applyFill="1" applyBorder="1"/>
    <xf numFmtId="1" fontId="29" fillId="2" borderId="111" xfId="0" applyNumberFormat="1" applyFont="1" applyFill="1" applyBorder="1"/>
    <xf numFmtId="1" fontId="29" fillId="2" borderId="116" xfId="0" applyNumberFormat="1" applyFont="1" applyFill="1" applyBorder="1"/>
    <xf numFmtId="1" fontId="41" fillId="2" borderId="13" xfId="0" applyNumberFormat="1" applyFont="1" applyFill="1" applyBorder="1"/>
    <xf numFmtId="2" fontId="20" fillId="2" borderId="27" xfId="0" applyNumberFormat="1" applyFont="1" applyFill="1" applyBorder="1" applyAlignment="1">
      <alignment horizontal="center" vertical="center"/>
    </xf>
    <xf numFmtId="2" fontId="20" fillId="2" borderId="0" xfId="0" applyNumberFormat="1" applyFont="1" applyFill="1" applyAlignment="1">
      <alignment horizontal="center" vertical="center"/>
    </xf>
    <xf numFmtId="2" fontId="23" fillId="2" borderId="0" xfId="0" applyNumberFormat="1" applyFont="1" applyFill="1" applyAlignment="1">
      <alignment horizontal="center" vertical="center"/>
    </xf>
    <xf numFmtId="0" fontId="24" fillId="2" borderId="105" xfId="0" applyFont="1" applyFill="1" applyBorder="1" applyAlignment="1">
      <alignment horizontal="left" vertical="top" wrapText="1"/>
    </xf>
    <xf numFmtId="1" fontId="29" fillId="2" borderId="15" xfId="2" quotePrefix="1" applyNumberFormat="1" applyFont="1" applyFill="1" applyBorder="1" applyAlignment="1">
      <alignment horizontal="center" vertical="center" wrapText="1"/>
    </xf>
    <xf numFmtId="2" fontId="20" fillId="0" borderId="10" xfId="17" applyNumberFormat="1" applyFont="1" applyBorder="1" applyAlignment="1">
      <alignment horizontal="center"/>
    </xf>
    <xf numFmtId="2" fontId="20" fillId="0" borderId="248" xfId="17" applyNumberFormat="1" applyFont="1" applyBorder="1" applyAlignment="1">
      <alignment horizontal="center"/>
    </xf>
    <xf numFmtId="2" fontId="22" fillId="0" borderId="248" xfId="17" applyNumberFormat="1" applyFont="1" applyBorder="1" applyAlignment="1">
      <alignment horizontal="center"/>
    </xf>
    <xf numFmtId="0" fontId="29" fillId="2" borderId="209" xfId="0" applyFont="1" applyFill="1" applyBorder="1" applyAlignment="1">
      <alignment vertical="top" wrapText="1"/>
    </xf>
    <xf numFmtId="2" fontId="20" fillId="9" borderId="7" xfId="2" quotePrefix="1" applyNumberFormat="1" applyFont="1" applyFill="1" applyBorder="1" applyAlignment="1">
      <alignment horizontal="center" wrapText="1"/>
    </xf>
    <xf numFmtId="2" fontId="23" fillId="9" borderId="7" xfId="2" quotePrefix="1" applyNumberFormat="1" applyFont="1" applyFill="1" applyBorder="1" applyAlignment="1">
      <alignment horizontal="center" wrapText="1"/>
    </xf>
    <xf numFmtId="2" fontId="23" fillId="9" borderId="13" xfId="2" quotePrefix="1" applyNumberFormat="1" applyFont="1" applyFill="1" applyBorder="1" applyAlignment="1">
      <alignment horizontal="center" wrapText="1"/>
    </xf>
    <xf numFmtId="2" fontId="23" fillId="9" borderId="115" xfId="2" quotePrefix="1" applyNumberFormat="1" applyFont="1" applyFill="1" applyBorder="1" applyAlignment="1">
      <alignment horizontal="center" wrapText="1"/>
    </xf>
    <xf numFmtId="2" fontId="23" fillId="9" borderId="111" xfId="2" quotePrefix="1" applyNumberFormat="1" applyFont="1" applyFill="1" applyBorder="1" applyAlignment="1">
      <alignment horizontal="center" wrapText="1"/>
    </xf>
    <xf numFmtId="2" fontId="23" fillId="9" borderId="116" xfId="2" quotePrefix="1" applyNumberFormat="1" applyFont="1" applyFill="1" applyBorder="1" applyAlignment="1">
      <alignment horizontal="center" wrapText="1"/>
    </xf>
    <xf numFmtId="2" fontId="22" fillId="9" borderId="13" xfId="2" quotePrefix="1" applyNumberFormat="1" applyFont="1" applyFill="1" applyBorder="1" applyAlignment="1">
      <alignment horizontal="center" wrapText="1"/>
    </xf>
    <xf numFmtId="2" fontId="22" fillId="9" borderId="21" xfId="0" applyNumberFormat="1" applyFont="1" applyFill="1" applyBorder="1" applyAlignment="1">
      <alignment horizontal="center" vertical="center"/>
    </xf>
    <xf numFmtId="2" fontId="23" fillId="9" borderId="21" xfId="0" applyNumberFormat="1" applyFont="1" applyFill="1" applyBorder="1" applyAlignment="1">
      <alignment horizontal="center" vertical="center"/>
    </xf>
    <xf numFmtId="2" fontId="23" fillId="9" borderId="21" xfId="0" applyNumberFormat="1" applyFont="1" applyFill="1" applyBorder="1" applyAlignment="1">
      <alignment horizontal="center"/>
    </xf>
    <xf numFmtId="2" fontId="23" fillId="9" borderId="103" xfId="0" applyNumberFormat="1" applyFont="1" applyFill="1" applyBorder="1" applyAlignment="1">
      <alignment horizontal="center"/>
    </xf>
    <xf numFmtId="2" fontId="23" fillId="9" borderId="117" xfId="0" applyNumberFormat="1" applyFont="1" applyFill="1" applyBorder="1" applyAlignment="1">
      <alignment horizontal="center"/>
    </xf>
    <xf numFmtId="0" fontId="24" fillId="9" borderId="208" xfId="0" applyFont="1" applyFill="1" applyBorder="1" applyAlignment="1">
      <alignment horizontal="left" vertical="top" wrapText="1"/>
    </xf>
    <xf numFmtId="0" fontId="16" fillId="9" borderId="102" xfId="0" applyFont="1" applyFill="1" applyBorder="1" applyAlignment="1">
      <alignment vertical="top" wrapText="1"/>
    </xf>
    <xf numFmtId="1" fontId="16" fillId="9" borderId="21" xfId="2" quotePrefix="1" applyNumberFormat="1" applyFont="1" applyFill="1" applyBorder="1" applyAlignment="1">
      <alignment horizontal="center" vertical="center" wrapText="1"/>
    </xf>
    <xf numFmtId="164" fontId="17" fillId="9" borderId="21" xfId="0" applyNumberFormat="1" applyFont="1" applyFill="1" applyBorder="1" applyAlignment="1">
      <alignment horizontal="center" vertical="center" wrapText="1"/>
    </xf>
    <xf numFmtId="2" fontId="32" fillId="9" borderId="21" xfId="0" applyNumberFormat="1" applyFont="1" applyFill="1" applyBorder="1" applyAlignment="1">
      <alignment horizontal="center"/>
    </xf>
    <xf numFmtId="1" fontId="16" fillId="9" borderId="23" xfId="0" applyNumberFormat="1" applyFont="1" applyFill="1" applyBorder="1"/>
    <xf numFmtId="1" fontId="17" fillId="9" borderId="0" xfId="0" applyNumberFormat="1" applyFont="1" applyFill="1"/>
    <xf numFmtId="0" fontId="16" fillId="9" borderId="208" xfId="0" applyFont="1" applyFill="1" applyBorder="1" applyAlignment="1">
      <alignment vertical="top" wrapText="1"/>
    </xf>
    <xf numFmtId="1" fontId="16" fillId="9" borderId="12" xfId="2" quotePrefix="1" applyNumberFormat="1" applyFont="1" applyFill="1" applyBorder="1" applyAlignment="1">
      <alignment horizontal="center" vertical="center" wrapText="1"/>
    </xf>
    <xf numFmtId="2" fontId="23" fillId="9" borderId="12" xfId="0" applyNumberFormat="1" applyFont="1" applyFill="1" applyBorder="1" applyAlignment="1">
      <alignment horizontal="center"/>
    </xf>
    <xf numFmtId="2" fontId="23" fillId="9" borderId="13" xfId="0" applyNumberFormat="1" applyFont="1" applyFill="1" applyBorder="1" applyAlignment="1">
      <alignment horizontal="center"/>
    </xf>
    <xf numFmtId="2" fontId="23" fillId="9" borderId="115" xfId="0" applyNumberFormat="1" applyFont="1" applyFill="1" applyBorder="1" applyAlignment="1">
      <alignment horizontal="center"/>
    </xf>
    <xf numFmtId="0" fontId="16" fillId="9" borderId="139" xfId="0" applyFont="1" applyFill="1" applyBorder="1" applyAlignment="1">
      <alignment vertical="top" wrapText="1"/>
    </xf>
    <xf numFmtId="1" fontId="16" fillId="9" borderId="140" xfId="2" quotePrefix="1" applyNumberFormat="1" applyFont="1" applyFill="1" applyBorder="1" applyAlignment="1">
      <alignment horizontal="center" vertical="center" wrapText="1"/>
    </xf>
    <xf numFmtId="164" fontId="17" fillId="9" borderId="140" xfId="2" quotePrefix="1" applyNumberFormat="1" applyFont="1" applyFill="1" applyBorder="1" applyAlignment="1">
      <alignment horizontal="center" wrapText="1"/>
    </xf>
    <xf numFmtId="164" fontId="28" fillId="9" borderId="140" xfId="2" quotePrefix="1" applyNumberFormat="1" applyFont="1" applyFill="1" applyBorder="1" applyAlignment="1">
      <alignment horizontal="center" wrapText="1"/>
    </xf>
    <xf numFmtId="2" fontId="32" fillId="9" borderId="140" xfId="2" quotePrefix="1" applyNumberFormat="1" applyFont="1" applyFill="1" applyBorder="1" applyAlignment="1">
      <alignment horizontal="center" wrapText="1"/>
    </xf>
    <xf numFmtId="2" fontId="32" fillId="9" borderId="257" xfId="2" quotePrefix="1" applyNumberFormat="1" applyFont="1" applyFill="1" applyBorder="1" applyAlignment="1">
      <alignment horizontal="center" wrapText="1"/>
    </xf>
    <xf numFmtId="2" fontId="32" fillId="9" borderId="14" xfId="2" quotePrefix="1" applyNumberFormat="1" applyFont="1" applyFill="1" applyBorder="1" applyAlignment="1">
      <alignment horizontal="center" wrapText="1"/>
    </xf>
    <xf numFmtId="2" fontId="32" fillId="9" borderId="121" xfId="2" quotePrefix="1" applyNumberFormat="1" applyFont="1" applyFill="1" applyBorder="1" applyAlignment="1">
      <alignment horizontal="center" wrapText="1"/>
    </xf>
    <xf numFmtId="2" fontId="32" fillId="9" borderId="120" xfId="2" quotePrefix="1" applyNumberFormat="1" applyFont="1" applyFill="1" applyBorder="1" applyAlignment="1">
      <alignment horizontal="center" wrapText="1"/>
    </xf>
    <xf numFmtId="0" fontId="19" fillId="9" borderId="258" xfId="0" applyFont="1" applyFill="1" applyBorder="1"/>
    <xf numFmtId="165" fontId="12" fillId="4" borderId="259" xfId="0" applyNumberFormat="1" applyFont="1" applyFill="1" applyBorder="1" applyAlignment="1">
      <alignment horizontal="center"/>
    </xf>
    <xf numFmtId="165" fontId="12" fillId="4" borderId="260" xfId="0" applyNumberFormat="1" applyFont="1" applyFill="1" applyBorder="1" applyAlignment="1">
      <alignment horizontal="center"/>
    </xf>
    <xf numFmtId="165" fontId="12" fillId="4" borderId="261" xfId="0" applyNumberFormat="1" applyFont="1" applyFill="1" applyBorder="1" applyAlignment="1">
      <alignment horizontal="center"/>
    </xf>
    <xf numFmtId="165" fontId="12" fillId="4" borderId="51" xfId="0" applyNumberFormat="1" applyFont="1" applyFill="1" applyBorder="1" applyAlignment="1">
      <alignment horizontal="center"/>
    </xf>
    <xf numFmtId="165" fontId="12" fillId="4" borderId="88" xfId="0" applyNumberFormat="1" applyFont="1" applyFill="1" applyBorder="1" applyAlignment="1">
      <alignment horizontal="center"/>
    </xf>
    <xf numFmtId="165" fontId="12" fillId="4" borderId="252" xfId="0" applyNumberFormat="1" applyFont="1" applyFill="1" applyBorder="1" applyAlignment="1">
      <alignment horizontal="center"/>
    </xf>
    <xf numFmtId="0" fontId="12" fillId="4" borderId="253" xfId="0" applyFont="1" applyFill="1" applyBorder="1"/>
    <xf numFmtId="0" fontId="20" fillId="10" borderId="154" xfId="0" applyFont="1" applyFill="1" applyBorder="1" applyAlignment="1">
      <alignment horizontal="left" vertical="center" wrapText="1"/>
    </xf>
    <xf numFmtId="1" fontId="24" fillId="2" borderId="43" xfId="2" quotePrefix="1" applyNumberFormat="1" applyFont="1" applyFill="1" applyBorder="1" applyAlignment="1">
      <alignment horizontal="left" vertical="center"/>
    </xf>
    <xf numFmtId="4" fontId="112" fillId="10" borderId="211" xfId="14" applyNumberFormat="1" applyFont="1" applyFill="1" applyBorder="1" applyAlignment="1">
      <alignment wrapText="1"/>
    </xf>
    <xf numFmtId="4" fontId="112" fillId="10" borderId="213" xfId="14" applyNumberFormat="1" applyFont="1" applyFill="1" applyBorder="1" applyAlignment="1">
      <alignment wrapText="1"/>
    </xf>
    <xf numFmtId="4" fontId="112" fillId="10" borderId="5" xfId="14" applyNumberFormat="1" applyFont="1" applyFill="1" applyBorder="1" applyAlignment="1">
      <alignment wrapText="1"/>
    </xf>
    <xf numFmtId="4" fontId="112" fillId="10" borderId="27" xfId="14" applyNumberFormat="1" applyFont="1" applyFill="1" applyBorder="1" applyAlignment="1">
      <alignment wrapText="1"/>
    </xf>
    <xf numFmtId="4" fontId="112" fillId="10" borderId="0" xfId="14" applyNumberFormat="1" applyFont="1" applyFill="1" applyAlignment="1">
      <alignment wrapText="1"/>
    </xf>
    <xf numFmtId="0" fontId="20" fillId="10" borderId="262" xfId="0" applyFont="1" applyFill="1" applyBorder="1" applyAlignment="1">
      <alignment horizontal="left" vertical="center" wrapText="1"/>
    </xf>
    <xf numFmtId="3" fontId="130" fillId="2" borderId="5" xfId="6" applyNumberFormat="1" applyFont="1" applyFill="1" applyBorder="1" applyAlignment="1">
      <alignment horizontal="center" vertical="center" wrapText="1"/>
    </xf>
    <xf numFmtId="3" fontId="74" fillId="2" borderId="5" xfId="6" applyNumberFormat="1" applyFont="1" applyFill="1" applyBorder="1" applyAlignment="1">
      <alignment horizontal="center" vertical="center" wrapText="1"/>
    </xf>
    <xf numFmtId="9" fontId="130" fillId="2" borderId="5" xfId="2" applyFont="1" applyFill="1" applyBorder="1" applyAlignment="1">
      <alignment horizontal="center" vertical="center" wrapText="1"/>
    </xf>
    <xf numFmtId="9" fontId="74" fillId="2" borderId="73" xfId="2" applyFont="1" applyFill="1" applyBorder="1" applyAlignment="1">
      <alignment horizontal="center" vertical="center" wrapText="1"/>
    </xf>
    <xf numFmtId="0" fontId="25" fillId="2" borderId="215" xfId="9" applyFont="1" applyFill="1" applyBorder="1" applyAlignment="1">
      <alignment vertical="center" wrapText="1"/>
    </xf>
    <xf numFmtId="0" fontId="25" fillId="2" borderId="215" xfId="18" applyFont="1" applyFill="1" applyBorder="1" applyAlignment="1">
      <alignment vertical="center" wrapText="1"/>
    </xf>
    <xf numFmtId="9" fontId="18" fillId="2" borderId="5" xfId="2" applyFont="1" applyFill="1" applyBorder="1" applyAlignment="1">
      <alignment horizontal="center" vertical="center" wrapText="1"/>
    </xf>
    <xf numFmtId="9" fontId="26" fillId="2" borderId="5" xfId="2" applyFont="1" applyFill="1" applyBorder="1" applyAlignment="1">
      <alignment horizontal="center" vertical="center" wrapText="1"/>
    </xf>
    <xf numFmtId="9" fontId="26" fillId="2" borderId="73" xfId="2" applyFont="1" applyFill="1" applyBorder="1" applyAlignment="1">
      <alignment horizontal="center" vertical="center" wrapText="1"/>
    </xf>
    <xf numFmtId="0" fontId="24" fillId="2" borderId="215" xfId="9" applyFont="1" applyFill="1" applyBorder="1" applyAlignment="1">
      <alignment vertical="center" wrapText="1"/>
    </xf>
    <xf numFmtId="1" fontId="24" fillId="2" borderId="140" xfId="2" quotePrefix="1" applyNumberFormat="1" applyFont="1" applyFill="1" applyBorder="1" applyAlignment="1">
      <alignment horizontal="center" vertical="center" wrapText="1"/>
    </xf>
    <xf numFmtId="9" fontId="26" fillId="2" borderId="151" xfId="2" applyFont="1" applyFill="1" applyBorder="1" applyAlignment="1">
      <alignment horizontal="center" vertical="center" wrapText="1"/>
    </xf>
    <xf numFmtId="9" fontId="18" fillId="2" borderId="151" xfId="2" applyFont="1" applyFill="1" applyBorder="1" applyAlignment="1">
      <alignment horizontal="center" vertical="center" wrapText="1"/>
    </xf>
    <xf numFmtId="9" fontId="18" fillId="2" borderId="152" xfId="2" applyFont="1" applyFill="1" applyBorder="1" applyAlignment="1">
      <alignment horizontal="center" vertical="center" wrapText="1"/>
    </xf>
    <xf numFmtId="9" fontId="26" fillId="2" borderId="152" xfId="2" applyFont="1" applyFill="1" applyBorder="1" applyAlignment="1">
      <alignment horizontal="center" vertical="center" wrapText="1"/>
    </xf>
    <xf numFmtId="0" fontId="24" fillId="2" borderId="263" xfId="9" quotePrefix="1" applyFont="1" applyFill="1" applyBorder="1" applyAlignment="1">
      <alignment horizontal="left" vertical="center" wrapText="1"/>
    </xf>
    <xf numFmtId="0" fontId="16" fillId="9" borderId="0" xfId="0" applyFont="1" applyFill="1" applyAlignment="1">
      <alignment vertical="top" wrapText="1"/>
    </xf>
    <xf numFmtId="1" fontId="16" fillId="9" borderId="0" xfId="2" quotePrefix="1" applyNumberFormat="1" applyFont="1" applyFill="1" applyBorder="1" applyAlignment="1">
      <alignment horizontal="center" vertical="center" wrapText="1"/>
    </xf>
    <xf numFmtId="164" fontId="17" fillId="9" borderId="0" xfId="2" quotePrefix="1" applyNumberFormat="1" applyFont="1" applyFill="1" applyBorder="1" applyAlignment="1">
      <alignment horizontal="center" wrapText="1"/>
    </xf>
    <xf numFmtId="164" fontId="28" fillId="9" borderId="0" xfId="2" quotePrefix="1" applyNumberFormat="1" applyFont="1" applyFill="1" applyBorder="1" applyAlignment="1">
      <alignment horizontal="center" wrapText="1"/>
    </xf>
    <xf numFmtId="2" fontId="32" fillId="9" borderId="0" xfId="2" quotePrefix="1" applyNumberFormat="1" applyFont="1" applyFill="1" applyBorder="1" applyAlignment="1">
      <alignment horizontal="center" wrapText="1"/>
    </xf>
    <xf numFmtId="2" fontId="32" fillId="9" borderId="27" xfId="2" quotePrefix="1" applyNumberFormat="1" applyFont="1" applyFill="1" applyBorder="1" applyAlignment="1">
      <alignment horizontal="center" wrapText="1"/>
    </xf>
    <xf numFmtId="2" fontId="32" fillId="9" borderId="6" xfId="2" quotePrefix="1" applyNumberFormat="1" applyFont="1" applyFill="1" applyBorder="1" applyAlignment="1">
      <alignment horizontal="center" wrapText="1"/>
    </xf>
    <xf numFmtId="0" fontId="19" fillId="9" borderId="26" xfId="0" applyFont="1" applyFill="1" applyBorder="1"/>
    <xf numFmtId="0" fontId="5" fillId="2" borderId="26" xfId="0" applyFont="1" applyFill="1" applyBorder="1"/>
    <xf numFmtId="164" fontId="14" fillId="4" borderId="124" xfId="0" applyNumberFormat="1" applyFont="1" applyFill="1" applyBorder="1" applyAlignment="1">
      <alignment horizontal="center"/>
    </xf>
    <xf numFmtId="2" fontId="14" fillId="4" borderId="124" xfId="0" applyNumberFormat="1" applyFont="1" applyFill="1" applyBorder="1" applyAlignment="1">
      <alignment horizontal="center"/>
    </xf>
    <xf numFmtId="2" fontId="14" fillId="4" borderId="82" xfId="0" applyNumberFormat="1" applyFont="1" applyFill="1" applyBorder="1" applyAlignment="1">
      <alignment horizontal="center"/>
    </xf>
    <xf numFmtId="2" fontId="14" fillId="4" borderId="82" xfId="0" applyNumberFormat="1" applyFont="1" applyFill="1" applyBorder="1" applyAlignment="1">
      <alignment horizontal="center" wrapText="1"/>
    </xf>
    <xf numFmtId="2" fontId="14" fillId="4" borderId="179" xfId="0" applyNumberFormat="1" applyFont="1" applyFill="1" applyBorder="1" applyAlignment="1">
      <alignment horizontal="center"/>
    </xf>
    <xf numFmtId="1" fontId="24" fillId="2" borderId="124" xfId="0" applyNumberFormat="1" applyFont="1" applyFill="1" applyBorder="1" applyAlignment="1">
      <alignment horizontal="center" vertical="center"/>
    </xf>
    <xf numFmtId="1" fontId="30" fillId="2" borderId="39" xfId="0" applyNumberFormat="1" applyFont="1" applyFill="1" applyBorder="1" applyAlignment="1">
      <alignment horizontal="center" vertical="center"/>
    </xf>
    <xf numFmtId="1" fontId="25" fillId="2" borderId="39" xfId="0" applyNumberFormat="1" applyFont="1" applyFill="1" applyBorder="1" applyAlignment="1">
      <alignment horizontal="center" vertical="center"/>
    </xf>
    <xf numFmtId="1" fontId="22" fillId="2" borderId="39" xfId="0" applyNumberFormat="1" applyFont="1" applyFill="1" applyBorder="1" applyAlignment="1">
      <alignment horizontal="center" vertical="center"/>
    </xf>
    <xf numFmtId="1" fontId="22" fillId="2" borderId="264" xfId="0" applyNumberFormat="1" applyFont="1" applyFill="1" applyBorder="1" applyAlignment="1">
      <alignment horizontal="center" vertical="center" wrapText="1"/>
    </xf>
    <xf numFmtId="1" fontId="22" fillId="2" borderId="265" xfId="0" applyNumberFormat="1" applyFont="1" applyFill="1" applyBorder="1" applyAlignment="1">
      <alignment horizontal="center" vertical="center"/>
    </xf>
    <xf numFmtId="0" fontId="24" fillId="2" borderId="266" xfId="0" applyFont="1" applyFill="1" applyBorder="1" applyAlignment="1">
      <alignment vertical="top" wrapText="1"/>
    </xf>
    <xf numFmtId="0" fontId="24" fillId="2" borderId="198" xfId="0" applyFont="1" applyFill="1" applyBorder="1" applyAlignment="1">
      <alignment vertical="top" wrapText="1"/>
    </xf>
    <xf numFmtId="0" fontId="24" fillId="2" borderId="267" xfId="0" applyFont="1" applyFill="1" applyBorder="1" applyAlignment="1">
      <alignment vertical="top" wrapText="1"/>
    </xf>
    <xf numFmtId="164" fontId="22" fillId="2" borderId="268" xfId="0" applyNumberFormat="1" applyFont="1" applyFill="1" applyBorder="1" applyAlignment="1">
      <alignment horizontal="center"/>
    </xf>
    <xf numFmtId="164" fontId="23" fillId="2" borderId="268" xfId="0" applyNumberFormat="1" applyFont="1" applyFill="1" applyBorder="1" applyAlignment="1">
      <alignment horizontal="center"/>
    </xf>
    <xf numFmtId="2" fontId="22" fillId="2" borderId="268" xfId="0" applyNumberFormat="1" applyFont="1" applyFill="1" applyBorder="1" applyAlignment="1">
      <alignment horizontal="center"/>
    </xf>
    <xf numFmtId="0" fontId="24" fillId="2" borderId="269" xfId="0" applyFont="1" applyFill="1" applyBorder="1" applyAlignment="1">
      <alignment vertical="top" wrapText="1"/>
    </xf>
    <xf numFmtId="0" fontId="24" fillId="2" borderId="0" xfId="0" applyFont="1" applyFill="1" applyAlignment="1">
      <alignment vertical="top" wrapText="1"/>
    </xf>
    <xf numFmtId="1" fontId="24" fillId="2" borderId="0" xfId="2" quotePrefix="1" applyNumberFormat="1" applyFont="1" applyFill="1" applyBorder="1" applyAlignment="1">
      <alignment horizontal="center" vertical="center" wrapText="1"/>
    </xf>
    <xf numFmtId="2" fontId="22" fillId="2" borderId="0" xfId="0" applyNumberFormat="1" applyFont="1" applyFill="1" applyAlignment="1">
      <alignment horizontal="center"/>
    </xf>
    <xf numFmtId="164" fontId="22" fillId="2" borderId="0" xfId="0" applyNumberFormat="1" applyFont="1" applyFill="1" applyAlignment="1">
      <alignment horizontal="center"/>
    </xf>
    <xf numFmtId="164" fontId="23" fillId="2" borderId="0" xfId="0" applyNumberFormat="1" applyFont="1" applyFill="1" applyAlignment="1">
      <alignment horizontal="center"/>
    </xf>
    <xf numFmtId="0" fontId="146" fillId="2" borderId="0" xfId="19" applyFont="1" applyFill="1"/>
    <xf numFmtId="0" fontId="147" fillId="2" borderId="0" xfId="0" applyFont="1" applyFill="1"/>
    <xf numFmtId="0" fontId="148" fillId="2" borderId="0" xfId="0" applyFont="1" applyFill="1"/>
    <xf numFmtId="0" fontId="149" fillId="0" borderId="0" xfId="20"/>
    <xf numFmtId="0" fontId="46" fillId="0" borderId="0" xfId="6"/>
    <xf numFmtId="0" fontId="152" fillId="3" borderId="270" xfId="20" applyFont="1" applyFill="1" applyBorder="1"/>
    <xf numFmtId="0" fontId="152" fillId="3" borderId="271" xfId="20" applyFont="1" applyFill="1" applyBorder="1"/>
    <xf numFmtId="0" fontId="152" fillId="3" borderId="272" xfId="20" applyFont="1" applyFill="1" applyBorder="1" applyAlignment="1">
      <alignment horizontal="center"/>
    </xf>
    <xf numFmtId="0" fontId="152" fillId="3" borderId="272" xfId="20" applyFont="1" applyFill="1" applyBorder="1" applyAlignment="1">
      <alignment horizontal="center" wrapText="1"/>
    </xf>
    <xf numFmtId="0" fontId="152" fillId="3" borderId="273" xfId="20" applyFont="1" applyFill="1" applyBorder="1" applyAlignment="1">
      <alignment horizontal="center" wrapText="1"/>
    </xf>
    <xf numFmtId="169" fontId="158" fillId="12" borderId="277" xfId="20" applyNumberFormat="1" applyFont="1" applyFill="1" applyBorder="1"/>
    <xf numFmtId="169" fontId="158" fillId="12" borderId="278" xfId="20" applyNumberFormat="1" applyFont="1" applyFill="1" applyBorder="1"/>
    <xf numFmtId="169" fontId="158" fillId="12" borderId="278" xfId="1" applyNumberFormat="1" applyFont="1" applyFill="1" applyBorder="1"/>
    <xf numFmtId="169" fontId="158" fillId="12" borderId="282" xfId="20" applyNumberFormat="1" applyFont="1" applyFill="1" applyBorder="1"/>
    <xf numFmtId="169" fontId="158" fillId="12" borderId="286" xfId="20" applyNumberFormat="1" applyFont="1" applyFill="1" applyBorder="1"/>
    <xf numFmtId="169" fontId="158" fillId="12" borderId="287" xfId="20" applyNumberFormat="1" applyFont="1" applyFill="1" applyBorder="1"/>
    <xf numFmtId="169" fontId="158" fillId="0" borderId="277" xfId="20" applyNumberFormat="1" applyFont="1" applyBorder="1"/>
    <xf numFmtId="169" fontId="158" fillId="0" borderId="288" xfId="20" applyNumberFormat="1" applyFont="1" applyBorder="1"/>
    <xf numFmtId="169" fontId="158" fillId="2" borderId="288" xfId="20" applyNumberFormat="1" applyFont="1" applyFill="1" applyBorder="1"/>
    <xf numFmtId="169" fontId="158" fillId="2" borderId="289" xfId="20" applyNumberFormat="1" applyFont="1" applyFill="1" applyBorder="1"/>
    <xf numFmtId="171" fontId="158" fillId="2" borderId="288" xfId="1" applyNumberFormat="1" applyFont="1" applyFill="1" applyBorder="1"/>
    <xf numFmtId="171" fontId="158" fillId="2" borderId="290" xfId="1" applyNumberFormat="1" applyFont="1" applyFill="1" applyBorder="1"/>
    <xf numFmtId="169" fontId="158" fillId="0" borderId="282" xfId="20" applyNumberFormat="1" applyFont="1" applyBorder="1"/>
    <xf numFmtId="169" fontId="158" fillId="0" borderId="291" xfId="20" applyNumberFormat="1" applyFont="1" applyBorder="1"/>
    <xf numFmtId="169" fontId="158" fillId="2" borderId="291" xfId="20" applyNumberFormat="1" applyFont="1" applyFill="1" applyBorder="1"/>
    <xf numFmtId="169" fontId="158" fillId="2" borderId="292" xfId="20" applyNumberFormat="1" applyFont="1" applyFill="1" applyBorder="1"/>
    <xf numFmtId="169" fontId="158" fillId="2" borderId="293" xfId="20" applyNumberFormat="1" applyFont="1" applyFill="1" applyBorder="1"/>
    <xf numFmtId="169" fontId="158" fillId="2" borderId="278" xfId="20" applyNumberFormat="1" applyFont="1" applyFill="1" applyBorder="1"/>
    <xf numFmtId="169" fontId="158" fillId="0" borderId="295" xfId="20" applyNumberFormat="1" applyFont="1" applyBorder="1"/>
    <xf numFmtId="169" fontId="158" fillId="0" borderId="296" xfId="20" applyNumberFormat="1" applyFont="1" applyBorder="1"/>
    <xf numFmtId="169" fontId="158" fillId="2" borderId="296" xfId="20" applyNumberFormat="1" applyFont="1" applyFill="1" applyBorder="1"/>
    <xf numFmtId="169" fontId="158" fillId="2" borderId="297" xfId="20" applyNumberFormat="1" applyFont="1" applyFill="1" applyBorder="1"/>
    <xf numFmtId="169" fontId="158" fillId="2" borderId="298" xfId="20" applyNumberFormat="1" applyFont="1" applyFill="1" applyBorder="1"/>
    <xf numFmtId="169" fontId="158" fillId="2" borderId="287" xfId="20" applyNumberFormat="1" applyFont="1" applyFill="1" applyBorder="1"/>
    <xf numFmtId="169" fontId="158" fillId="0" borderId="302" xfId="20" applyNumberFormat="1" applyFont="1" applyBorder="1"/>
    <xf numFmtId="169" fontId="158" fillId="0" borderId="303" xfId="20" applyNumberFormat="1" applyFont="1" applyBorder="1"/>
    <xf numFmtId="169" fontId="158" fillId="2" borderId="303" xfId="20" applyNumberFormat="1" applyFont="1" applyFill="1" applyBorder="1"/>
    <xf numFmtId="169" fontId="158" fillId="2" borderId="304" xfId="20" applyNumberFormat="1" applyFont="1" applyFill="1" applyBorder="1"/>
    <xf numFmtId="171" fontId="158" fillId="2" borderId="303" xfId="1" applyNumberFormat="1" applyFont="1" applyFill="1" applyBorder="1"/>
    <xf numFmtId="171" fontId="158" fillId="2" borderId="305" xfId="1" applyNumberFormat="1" applyFont="1" applyFill="1" applyBorder="1"/>
    <xf numFmtId="171" fontId="158" fillId="2" borderId="306" xfId="1" applyNumberFormat="1" applyFont="1" applyFill="1" applyBorder="1"/>
    <xf numFmtId="169" fontId="158" fillId="0" borderId="286" xfId="20" applyNumberFormat="1" applyFont="1" applyBorder="1"/>
    <xf numFmtId="169" fontId="158" fillId="2" borderId="307" xfId="20" applyNumberFormat="1" applyFont="1" applyFill="1" applyBorder="1"/>
    <xf numFmtId="169" fontId="158" fillId="2" borderId="308" xfId="20" applyNumberFormat="1" applyFont="1" applyFill="1" applyBorder="1"/>
    <xf numFmtId="171" fontId="158" fillId="2" borderId="305" xfId="1" applyNumberFormat="1" applyFont="1" applyFill="1" applyBorder="1" applyAlignment="1">
      <alignment horizontal="right"/>
    </xf>
    <xf numFmtId="171" fontId="158" fillId="2" borderId="306" xfId="1" applyNumberFormat="1" applyFont="1" applyFill="1" applyBorder="1" applyAlignment="1">
      <alignment horizontal="right"/>
    </xf>
    <xf numFmtId="0" fontId="153" fillId="2" borderId="0" xfId="20" applyFont="1" applyFill="1" applyAlignment="1">
      <alignment horizontal="left"/>
    </xf>
    <xf numFmtId="0" fontId="149" fillId="2" borderId="0" xfId="20" applyFill="1" applyAlignment="1">
      <alignment horizontal="center" wrapText="1"/>
    </xf>
    <xf numFmtId="169" fontId="158" fillId="2" borderId="0" xfId="20" applyNumberFormat="1" applyFont="1" applyFill="1"/>
    <xf numFmtId="0" fontId="149" fillId="2" borderId="0" xfId="20" applyFill="1"/>
    <xf numFmtId="0" fontId="151" fillId="13" borderId="0" xfId="20" applyFont="1" applyFill="1"/>
    <xf numFmtId="166" fontId="160" fillId="13" borderId="0" xfId="1" applyNumberFormat="1" applyFont="1" applyFill="1"/>
    <xf numFmtId="0" fontId="161" fillId="2" borderId="0" xfId="20" applyFont="1" applyFill="1"/>
    <xf numFmtId="0" fontId="153" fillId="2" borderId="0" xfId="20" applyFont="1" applyFill="1" applyAlignment="1">
      <alignment horizontal="center" wrapText="1"/>
    </xf>
    <xf numFmtId="0" fontId="151" fillId="6" borderId="0" xfId="20" applyFont="1" applyFill="1"/>
    <xf numFmtId="166" fontId="160" fillId="6" borderId="0" xfId="1" applyNumberFormat="1" applyFont="1" applyFill="1"/>
    <xf numFmtId="0" fontId="151" fillId="12" borderId="0" xfId="20" applyFont="1" applyFill="1"/>
    <xf numFmtId="1" fontId="151" fillId="12" borderId="0" xfId="20" applyNumberFormat="1" applyFont="1" applyFill="1"/>
    <xf numFmtId="166" fontId="160" fillId="12" borderId="0" xfId="1" applyNumberFormat="1" applyFont="1" applyFill="1"/>
    <xf numFmtId="0" fontId="151" fillId="0" borderId="0" xfId="20" applyFont="1"/>
    <xf numFmtId="1" fontId="151" fillId="0" borderId="0" xfId="20" applyNumberFormat="1" applyFont="1"/>
    <xf numFmtId="0" fontId="158" fillId="2" borderId="0" xfId="20" applyFont="1" applyFill="1"/>
    <xf numFmtId="0" fontId="149" fillId="2" borderId="309" xfId="20" applyFill="1" applyBorder="1"/>
    <xf numFmtId="0" fontId="149" fillId="2" borderId="310" xfId="20" applyFill="1" applyBorder="1"/>
    <xf numFmtId="0" fontId="152" fillId="3" borderId="311" xfId="20" applyFont="1" applyFill="1" applyBorder="1"/>
    <xf numFmtId="0" fontId="152" fillId="3" borderId="312" xfId="20" applyFont="1" applyFill="1" applyBorder="1"/>
    <xf numFmtId="0" fontId="152" fillId="3" borderId="313" xfId="20" applyFont="1" applyFill="1" applyBorder="1" applyAlignment="1">
      <alignment horizontal="center"/>
    </xf>
    <xf numFmtId="0" fontId="152" fillId="3" borderId="313" xfId="20" applyFont="1" applyFill="1" applyBorder="1" applyAlignment="1">
      <alignment horizontal="center" wrapText="1"/>
    </xf>
    <xf numFmtId="169" fontId="158" fillId="12" borderId="316" xfId="20" applyNumberFormat="1" applyFont="1" applyFill="1" applyBorder="1"/>
    <xf numFmtId="169" fontId="158" fillId="0" borderId="316" xfId="20" applyNumberFormat="1" applyFont="1" applyBorder="1"/>
    <xf numFmtId="169" fontId="158" fillId="2" borderId="317" xfId="20" applyNumberFormat="1" applyFont="1" applyFill="1" applyBorder="1"/>
    <xf numFmtId="169" fontId="158" fillId="2" borderId="305" xfId="20" applyNumberFormat="1" applyFont="1" applyFill="1" applyBorder="1"/>
    <xf numFmtId="169" fontId="158" fillId="2" borderId="306" xfId="20" applyNumberFormat="1" applyFont="1" applyFill="1" applyBorder="1"/>
    <xf numFmtId="169" fontId="158" fillId="2" borderId="305" xfId="20" applyNumberFormat="1" applyFont="1" applyFill="1" applyBorder="1" applyAlignment="1">
      <alignment horizontal="right"/>
    </xf>
    <xf numFmtId="169" fontId="158" fillId="2" borderId="306" xfId="20" applyNumberFormat="1" applyFont="1" applyFill="1" applyBorder="1" applyAlignment="1">
      <alignment horizontal="right"/>
    </xf>
    <xf numFmtId="0" fontId="158" fillId="2" borderId="0" xfId="6" applyFont="1" applyFill="1"/>
    <xf numFmtId="0" fontId="158" fillId="14" borderId="0" xfId="6" applyFont="1" applyFill="1"/>
    <xf numFmtId="0" fontId="152" fillId="3" borderId="318" xfId="6" applyFont="1" applyFill="1" applyBorder="1" applyAlignment="1">
      <alignment horizontal="center" vertical="center" wrapText="1"/>
    </xf>
    <xf numFmtId="0" fontId="152" fillId="3" borderId="323" xfId="6" applyFont="1" applyFill="1" applyBorder="1" applyAlignment="1">
      <alignment horizontal="center" vertical="center" wrapText="1"/>
    </xf>
    <xf numFmtId="0" fontId="158" fillId="2" borderId="324" xfId="21" applyFont="1" applyFill="1" applyBorder="1"/>
    <xf numFmtId="0" fontId="158" fillId="2" borderId="6" xfId="6" applyFont="1" applyFill="1" applyBorder="1"/>
    <xf numFmtId="0" fontId="158" fillId="2" borderId="325" xfId="6" applyFont="1" applyFill="1" applyBorder="1"/>
    <xf numFmtId="9" fontId="158" fillId="2" borderId="6" xfId="6" applyNumberFormat="1" applyFont="1" applyFill="1" applyBorder="1" applyAlignment="1">
      <alignment horizontal="center"/>
    </xf>
    <xf numFmtId="9" fontId="158" fillId="2" borderId="326" xfId="6" applyNumberFormat="1" applyFont="1" applyFill="1" applyBorder="1" applyAlignment="1">
      <alignment horizontal="center"/>
    </xf>
    <xf numFmtId="9" fontId="158" fillId="2" borderId="6" xfId="6" applyNumberFormat="1" applyFont="1" applyFill="1" applyBorder="1" applyAlignment="1">
      <alignment horizontal="center" vertical="top"/>
    </xf>
    <xf numFmtId="9" fontId="158" fillId="2" borderId="326" xfId="6" applyNumberFormat="1" applyFont="1" applyFill="1" applyBorder="1" applyAlignment="1">
      <alignment horizontal="center" vertical="top"/>
    </xf>
    <xf numFmtId="9" fontId="158" fillId="2" borderId="327" xfId="6" applyNumberFormat="1" applyFont="1" applyFill="1" applyBorder="1" applyAlignment="1">
      <alignment horizontal="center"/>
    </xf>
    <xf numFmtId="0" fontId="158" fillId="2" borderId="324" xfId="6" applyFont="1" applyFill="1" applyBorder="1" applyAlignment="1">
      <alignment horizontal="left"/>
    </xf>
    <xf numFmtId="9" fontId="158" fillId="2" borderId="6" xfId="21" applyNumberFormat="1" applyFont="1" applyFill="1" applyBorder="1" applyAlignment="1">
      <alignment horizontal="center"/>
    </xf>
    <xf numFmtId="165" fontId="162" fillId="2" borderId="6" xfId="21" applyNumberFormat="1" applyFont="1" applyFill="1" applyBorder="1" applyAlignment="1">
      <alignment horizontal="center"/>
    </xf>
    <xf numFmtId="165" fontId="158" fillId="2" borderId="6" xfId="21" applyNumberFormat="1" applyFont="1" applyFill="1" applyBorder="1" applyAlignment="1">
      <alignment horizontal="center"/>
    </xf>
    <xf numFmtId="165" fontId="158" fillId="2" borderId="114" xfId="21" applyNumberFormat="1" applyFont="1" applyFill="1" applyBorder="1" applyAlignment="1">
      <alignment horizontal="center"/>
    </xf>
    <xf numFmtId="9" fontId="158" fillId="2" borderId="6" xfId="22" applyFont="1" applyFill="1" applyBorder="1" applyAlignment="1">
      <alignment horizontal="center"/>
    </xf>
    <xf numFmtId="9" fontId="158" fillId="2" borderId="114" xfId="21" applyNumberFormat="1" applyFont="1" applyFill="1" applyBorder="1" applyAlignment="1">
      <alignment horizontal="center"/>
    </xf>
    <xf numFmtId="0" fontId="158" fillId="2" borderId="6" xfId="6" applyFont="1" applyFill="1" applyBorder="1" applyAlignment="1">
      <alignment horizontal="center" vertical="top"/>
    </xf>
    <xf numFmtId="9" fontId="158" fillId="2" borderId="27" xfId="22" applyFont="1" applyFill="1" applyBorder="1" applyAlignment="1">
      <alignment horizontal="center"/>
    </xf>
    <xf numFmtId="9" fontId="158" fillId="2" borderId="27" xfId="6" applyNumberFormat="1" applyFont="1" applyFill="1" applyBorder="1" applyAlignment="1">
      <alignment horizontal="center"/>
    </xf>
    <xf numFmtId="165" fontId="163" fillId="2" borderId="6" xfId="21" applyNumberFormat="1" applyFont="1" applyFill="1" applyBorder="1" applyAlignment="1">
      <alignment horizontal="center"/>
    </xf>
    <xf numFmtId="9" fontId="163" fillId="2" borderId="6" xfId="21" applyNumberFormat="1" applyFont="1" applyFill="1" applyBorder="1" applyAlignment="1">
      <alignment horizontal="center"/>
    </xf>
    <xf numFmtId="0" fontId="158" fillId="2" borderId="27" xfId="6" applyFont="1" applyFill="1" applyBorder="1"/>
    <xf numFmtId="3" fontId="158" fillId="2" borderId="6" xfId="21" applyNumberFormat="1" applyFont="1" applyFill="1" applyBorder="1" applyAlignment="1">
      <alignment horizontal="center" vertical="center"/>
    </xf>
    <xf numFmtId="3" fontId="158" fillId="2" borderId="114" xfId="21" applyNumberFormat="1" applyFont="1" applyFill="1" applyBorder="1" applyAlignment="1">
      <alignment horizontal="center" vertical="center"/>
    </xf>
    <xf numFmtId="3" fontId="158" fillId="2" borderId="6" xfId="6" applyNumberFormat="1" applyFont="1" applyFill="1" applyBorder="1"/>
    <xf numFmtId="3" fontId="158" fillId="0" borderId="6" xfId="6" applyNumberFormat="1" applyFont="1" applyBorder="1"/>
    <xf numFmtId="3" fontId="158" fillId="0" borderId="27" xfId="6" applyNumberFormat="1" applyFont="1" applyBorder="1"/>
    <xf numFmtId="3" fontId="158" fillId="2" borderId="6" xfId="21" applyNumberFormat="1" applyFont="1" applyFill="1" applyBorder="1" applyAlignment="1">
      <alignment horizontal="center"/>
    </xf>
    <xf numFmtId="3" fontId="158" fillId="0" borderId="6" xfId="21" applyNumberFormat="1" applyFont="1" applyBorder="1" applyAlignment="1">
      <alignment horizontal="center"/>
    </xf>
    <xf numFmtId="3" fontId="162" fillId="2" borderId="6" xfId="21" applyNumberFormat="1" applyFont="1" applyFill="1" applyBorder="1" applyAlignment="1">
      <alignment horizontal="center" vertical="center"/>
    </xf>
    <xf numFmtId="3" fontId="158" fillId="0" borderId="114" xfId="21" applyNumberFormat="1" applyFont="1" applyBorder="1" applyAlignment="1">
      <alignment horizontal="center"/>
    </xf>
    <xf numFmtId="0" fontId="158" fillId="2" borderId="6" xfId="6" applyFont="1" applyFill="1" applyBorder="1" applyAlignment="1">
      <alignment horizontal="center"/>
    </xf>
    <xf numFmtId="0" fontId="158" fillId="2" borderId="328" xfId="23" applyFont="1" applyFill="1" applyBorder="1" applyAlignment="1">
      <alignment vertical="center"/>
    </xf>
    <xf numFmtId="0" fontId="164" fillId="2" borderId="82" xfId="6" applyFont="1" applyFill="1" applyBorder="1" applyAlignment="1">
      <alignment horizontal="center"/>
    </xf>
    <xf numFmtId="0" fontId="162" fillId="2" borderId="82" xfId="6" applyFont="1" applyFill="1" applyBorder="1" applyAlignment="1">
      <alignment horizontal="center"/>
    </xf>
    <xf numFmtId="0" fontId="162" fillId="2" borderId="84" xfId="6" applyFont="1" applyFill="1" applyBorder="1" applyAlignment="1">
      <alignment horizontal="center"/>
    </xf>
    <xf numFmtId="164" fontId="162" fillId="2" borderId="82" xfId="6" applyNumberFormat="1" applyFont="1" applyFill="1" applyBorder="1" applyAlignment="1">
      <alignment horizontal="center"/>
    </xf>
    <xf numFmtId="0" fontId="164" fillId="2" borderId="84" xfId="6" applyFont="1" applyFill="1" applyBorder="1" applyAlignment="1">
      <alignment horizontal="center"/>
    </xf>
    <xf numFmtId="0" fontId="164" fillId="2" borderId="82" xfId="6" applyFont="1" applyFill="1" applyBorder="1" applyAlignment="1">
      <alignment horizontal="center" vertical="center"/>
    </xf>
    <xf numFmtId="1" fontId="164" fillId="2" borderId="83" xfId="6" applyNumberFormat="1" applyFont="1" applyFill="1" applyBorder="1" applyAlignment="1">
      <alignment horizontal="center"/>
    </xf>
    <xf numFmtId="0" fontId="158" fillId="2" borderId="324" xfId="23" applyFont="1" applyFill="1" applyBorder="1" applyAlignment="1">
      <alignment vertical="center"/>
    </xf>
    <xf numFmtId="0" fontId="162" fillId="0" borderId="6" xfId="6" applyFont="1" applyBorder="1" applyAlignment="1">
      <alignment horizontal="center"/>
    </xf>
    <xf numFmtId="0" fontId="158" fillId="0" borderId="114" xfId="6" applyFont="1" applyBorder="1" applyAlignment="1">
      <alignment horizontal="center"/>
    </xf>
    <xf numFmtId="0" fontId="162" fillId="2" borderId="6" xfId="6" applyFont="1" applyFill="1" applyBorder="1" applyAlignment="1">
      <alignment horizontal="center"/>
    </xf>
    <xf numFmtId="0" fontId="158" fillId="2" borderId="6" xfId="6" applyFont="1" applyFill="1" applyBorder="1" applyAlignment="1">
      <alignment horizontal="center" vertical="center"/>
    </xf>
    <xf numFmtId="0" fontId="162" fillId="2" borderId="27" xfId="6" applyFont="1" applyFill="1" applyBorder="1" applyAlignment="1">
      <alignment horizontal="center"/>
    </xf>
    <xf numFmtId="0" fontId="158" fillId="2" borderId="324" xfId="23" applyFont="1" applyFill="1" applyBorder="1" applyAlignment="1">
      <alignment horizontal="left"/>
    </xf>
    <xf numFmtId="0" fontId="158" fillId="2" borderId="114" xfId="6" applyFont="1" applyFill="1" applyBorder="1" applyAlignment="1">
      <alignment horizontal="center"/>
    </xf>
    <xf numFmtId="0" fontId="158" fillId="2" borderId="27" xfId="6" applyFont="1" applyFill="1" applyBorder="1" applyAlignment="1">
      <alignment horizontal="center"/>
    </xf>
    <xf numFmtId="0" fontId="165" fillId="2" borderId="324" xfId="23" applyFont="1" applyFill="1" applyBorder="1" applyAlignment="1">
      <alignment vertical="center"/>
    </xf>
    <xf numFmtId="172" fontId="166" fillId="2" borderId="27" xfId="23" applyNumberFormat="1" applyFont="1" applyFill="1" applyBorder="1" applyAlignment="1">
      <alignment horizontal="center"/>
    </xf>
    <xf numFmtId="172" fontId="167" fillId="2" borderId="6" xfId="6" applyNumberFormat="1" applyFont="1" applyFill="1" applyBorder="1" applyAlignment="1">
      <alignment horizontal="center"/>
    </xf>
    <xf numFmtId="172" fontId="167" fillId="2" borderId="114" xfId="6" applyNumberFormat="1" applyFont="1" applyFill="1" applyBorder="1" applyAlignment="1">
      <alignment horizontal="center"/>
    </xf>
    <xf numFmtId="172" fontId="166" fillId="2" borderId="6" xfId="23" applyNumberFormat="1" applyFont="1" applyFill="1" applyBorder="1" applyAlignment="1">
      <alignment horizontal="center"/>
    </xf>
    <xf numFmtId="172" fontId="168" fillId="2" borderId="27" xfId="23" applyNumberFormat="1" applyFont="1" applyFill="1" applyBorder="1" applyAlignment="1">
      <alignment horizontal="center"/>
    </xf>
    <xf numFmtId="172" fontId="166" fillId="2" borderId="114" xfId="23" applyNumberFormat="1" applyFont="1" applyFill="1" applyBorder="1" applyAlignment="1">
      <alignment horizontal="center"/>
    </xf>
    <xf numFmtId="0" fontId="158" fillId="2" borderId="114" xfId="6" applyFont="1" applyFill="1" applyBorder="1"/>
    <xf numFmtId="164" fontId="162" fillId="2" borderId="6" xfId="6" applyNumberFormat="1" applyFont="1" applyFill="1" applyBorder="1" applyAlignment="1">
      <alignment horizontal="center"/>
    </xf>
    <xf numFmtId="164" fontId="162" fillId="2" borderId="27" xfId="6" applyNumberFormat="1" applyFont="1" applyFill="1" applyBorder="1" applyAlignment="1">
      <alignment horizontal="center"/>
    </xf>
    <xf numFmtId="1" fontId="162" fillId="2" borderId="6" xfId="6" applyNumberFormat="1" applyFont="1" applyFill="1" applyBorder="1" applyAlignment="1">
      <alignment horizontal="center"/>
    </xf>
    <xf numFmtId="0" fontId="165" fillId="2" borderId="329" xfId="23" applyFont="1" applyFill="1" applyBorder="1" applyAlignment="1">
      <alignment horizontal="left"/>
    </xf>
    <xf numFmtId="0" fontId="158" fillId="2" borderId="50" xfId="6" applyFont="1" applyFill="1" applyBorder="1" applyAlignment="1">
      <alignment horizontal="center"/>
    </xf>
    <xf numFmtId="0" fontId="158" fillId="2" borderId="86" xfId="6" applyFont="1" applyFill="1" applyBorder="1" applyAlignment="1">
      <alignment horizontal="center"/>
    </xf>
    <xf numFmtId="0" fontId="162" fillId="2" borderId="50" xfId="6" applyFont="1" applyFill="1" applyBorder="1" applyAlignment="1">
      <alignment horizontal="center"/>
    </xf>
    <xf numFmtId="172" fontId="166" fillId="2" borderId="50" xfId="23" applyNumberFormat="1" applyFont="1" applyFill="1" applyBorder="1" applyAlignment="1">
      <alignment horizontal="center"/>
    </xf>
    <xf numFmtId="0" fontId="158" fillId="2" borderId="50" xfId="6" applyFont="1" applyFill="1" applyBorder="1" applyAlignment="1">
      <alignment horizontal="center" vertical="center"/>
    </xf>
    <xf numFmtId="172" fontId="166" fillId="2" borderId="37" xfId="23" applyNumberFormat="1" applyFont="1" applyFill="1" applyBorder="1" applyAlignment="1">
      <alignment horizontal="center"/>
    </xf>
    <xf numFmtId="10" fontId="164" fillId="2" borderId="6" xfId="24" applyNumberFormat="1" applyFont="1" applyFill="1" applyBorder="1" applyAlignment="1">
      <alignment horizontal="center"/>
    </xf>
    <xf numFmtId="10" fontId="158" fillId="2" borderId="6" xfId="24" applyNumberFormat="1" applyFont="1" applyFill="1" applyBorder="1" applyAlignment="1">
      <alignment horizontal="center"/>
    </xf>
    <xf numFmtId="10" fontId="158" fillId="2" borderId="6" xfId="6" applyNumberFormat="1" applyFont="1" applyFill="1" applyBorder="1" applyAlignment="1">
      <alignment horizontal="center"/>
    </xf>
    <xf numFmtId="10" fontId="158" fillId="2" borderId="114" xfId="6" applyNumberFormat="1" applyFont="1" applyFill="1" applyBorder="1" applyAlignment="1">
      <alignment horizontal="center"/>
    </xf>
    <xf numFmtId="10" fontId="158" fillId="2" borderId="27" xfId="6" applyNumberFormat="1" applyFont="1" applyFill="1" applyBorder="1" applyAlignment="1">
      <alignment horizontal="center"/>
    </xf>
    <xf numFmtId="10" fontId="158" fillId="2" borderId="0" xfId="6" applyNumberFormat="1" applyFont="1" applyFill="1" applyAlignment="1">
      <alignment horizontal="center"/>
    </xf>
    <xf numFmtId="0" fontId="158" fillId="2" borderId="324" xfId="21" applyFont="1" applyFill="1" applyBorder="1" applyAlignment="1">
      <alignment wrapText="1"/>
    </xf>
    <xf numFmtId="0" fontId="158" fillId="2" borderId="324" xfId="21" applyFont="1" applyFill="1" applyBorder="1" applyAlignment="1">
      <alignment horizontal="right"/>
    </xf>
    <xf numFmtId="165" fontId="164" fillId="2" borderId="6" xfId="24" applyNumberFormat="1" applyFont="1" applyFill="1" applyBorder="1" applyAlignment="1">
      <alignment horizontal="center"/>
    </xf>
    <xf numFmtId="165" fontId="158" fillId="2" borderId="6" xfId="24" applyNumberFormat="1" applyFont="1" applyFill="1" applyBorder="1" applyAlignment="1">
      <alignment horizontal="center"/>
    </xf>
    <xf numFmtId="165" fontId="158" fillId="2" borderId="6" xfId="6" applyNumberFormat="1" applyFont="1" applyFill="1" applyBorder="1" applyAlignment="1">
      <alignment horizontal="center"/>
    </xf>
    <xf numFmtId="165" fontId="158" fillId="2" borderId="114" xfId="6" applyNumberFormat="1" applyFont="1" applyFill="1" applyBorder="1" applyAlignment="1">
      <alignment horizontal="center"/>
    </xf>
    <xf numFmtId="0" fontId="158" fillId="2" borderId="324" xfId="21" applyFont="1" applyFill="1" applyBorder="1" applyAlignment="1">
      <alignment horizontal="left"/>
    </xf>
    <xf numFmtId="3" fontId="158" fillId="2" borderId="6" xfId="24" applyNumberFormat="1" applyFont="1" applyFill="1" applyBorder="1" applyAlignment="1">
      <alignment horizontal="center"/>
    </xf>
    <xf numFmtId="3" fontId="158" fillId="0" borderId="6" xfId="6" applyNumberFormat="1" applyFont="1" applyBorder="1" applyAlignment="1">
      <alignment horizontal="center"/>
    </xf>
    <xf numFmtId="3" fontId="158" fillId="0" borderId="114" xfId="6" applyNumberFormat="1" applyFont="1" applyBorder="1" applyAlignment="1">
      <alignment horizontal="center"/>
    </xf>
    <xf numFmtId="3" fontId="164" fillId="2" borderId="6" xfId="6" applyNumberFormat="1" applyFont="1" applyFill="1" applyBorder="1" applyAlignment="1">
      <alignment horizontal="center"/>
    </xf>
    <xf numFmtId="3" fontId="162" fillId="0" borderId="6" xfId="6" applyNumberFormat="1" applyFont="1" applyBorder="1" applyAlignment="1">
      <alignment horizontal="center"/>
    </xf>
    <xf numFmtId="3" fontId="162" fillId="0" borderId="27" xfId="6" applyNumberFormat="1" applyFont="1" applyBorder="1" applyAlignment="1">
      <alignment horizontal="center"/>
    </xf>
    <xf numFmtId="0" fontId="158" fillId="2" borderId="329" xfId="21" applyFont="1" applyFill="1" applyBorder="1" applyAlignment="1">
      <alignment horizontal="right"/>
    </xf>
    <xf numFmtId="1" fontId="162" fillId="2" borderId="50" xfId="21" applyNumberFormat="1" applyFont="1" applyFill="1" applyBorder="1" applyAlignment="1">
      <alignment horizontal="center"/>
    </xf>
    <xf numFmtId="1" fontId="162" fillId="2" borderId="86" xfId="21" applyNumberFormat="1" applyFont="1" applyFill="1" applyBorder="1" applyAlignment="1">
      <alignment horizontal="center"/>
    </xf>
    <xf numFmtId="1" fontId="158" fillId="2" borderId="50" xfId="21" applyNumberFormat="1" applyFont="1" applyFill="1" applyBorder="1" applyAlignment="1">
      <alignment horizontal="center"/>
    </xf>
    <xf numFmtId="1" fontId="162" fillId="2" borderId="37" xfId="21" applyNumberFormat="1" applyFont="1" applyFill="1" applyBorder="1" applyAlignment="1">
      <alignment horizontal="center"/>
    </xf>
    <xf numFmtId="0" fontId="158" fillId="2" borderId="330" xfId="21" applyFont="1" applyFill="1" applyBorder="1"/>
    <xf numFmtId="1" fontId="158" fillId="2" borderId="51" xfId="21" applyNumberFormat="1" applyFont="1" applyFill="1" applyBorder="1" applyAlignment="1">
      <alignment horizontal="center"/>
    </xf>
    <xf numFmtId="1" fontId="158" fillId="2" borderId="51" xfId="6" applyNumberFormat="1" applyFont="1" applyFill="1" applyBorder="1" applyAlignment="1">
      <alignment horizontal="center"/>
    </xf>
    <xf numFmtId="1" fontId="158" fillId="2" borderId="89" xfId="21" applyNumberFormat="1" applyFont="1" applyFill="1" applyBorder="1" applyAlignment="1">
      <alignment horizontal="center"/>
    </xf>
    <xf numFmtId="1" fontId="158" fillId="2" borderId="51" xfId="6" applyNumberFormat="1" applyFont="1" applyFill="1" applyBorder="1" applyAlignment="1">
      <alignment horizontal="center" wrapText="1"/>
    </xf>
    <xf numFmtId="0" fontId="151" fillId="2" borderId="0" xfId="6" applyFont="1" applyFill="1" applyAlignment="1">
      <alignment horizontal="left" wrapText="1"/>
    </xf>
    <xf numFmtId="0" fontId="149" fillId="2" borderId="0" xfId="6" applyFont="1" applyFill="1" applyAlignment="1">
      <alignment horizontal="left" wrapText="1"/>
    </xf>
    <xf numFmtId="0" fontId="149" fillId="2" borderId="0" xfId="6" applyFont="1" applyFill="1" applyAlignment="1">
      <alignment wrapText="1"/>
    </xf>
    <xf numFmtId="0" fontId="149" fillId="2" borderId="0" xfId="6" applyFont="1" applyFill="1"/>
    <xf numFmtId="0" fontId="158" fillId="2" borderId="0" xfId="6" applyFont="1" applyFill="1" applyAlignment="1">
      <alignment vertical="center"/>
    </xf>
    <xf numFmtId="0" fontId="162" fillId="2" borderId="0" xfId="6" applyFont="1" applyFill="1"/>
    <xf numFmtId="0" fontId="175" fillId="2" borderId="0" xfId="6" applyFont="1" applyFill="1"/>
    <xf numFmtId="0" fontId="156" fillId="2" borderId="0" xfId="6" applyFont="1" applyFill="1"/>
    <xf numFmtId="3" fontId="178" fillId="4" borderId="5" xfId="23" applyNumberFormat="1" applyFont="1" applyFill="1" applyBorder="1" applyAlignment="1">
      <alignment horizontal="center" vertical="center"/>
    </xf>
    <xf numFmtId="0" fontId="179" fillId="2" borderId="0" xfId="23" applyFont="1" applyFill="1" applyAlignment="1">
      <alignment horizontal="center" vertical="center"/>
    </xf>
    <xf numFmtId="0" fontId="176" fillId="2" borderId="0" xfId="6" applyFont="1" applyFill="1"/>
    <xf numFmtId="0" fontId="180" fillId="2" borderId="0" xfId="23" applyFont="1" applyFill="1" applyAlignment="1">
      <alignment horizontal="left"/>
    </xf>
    <xf numFmtId="0" fontId="178" fillId="4" borderId="5" xfId="23" applyFont="1" applyFill="1" applyBorder="1" applyAlignment="1">
      <alignment horizontal="center" vertical="center"/>
    </xf>
    <xf numFmtId="0" fontId="181" fillId="2" borderId="0" xfId="23" applyFont="1" applyFill="1" applyAlignment="1">
      <alignment horizontal="left"/>
    </xf>
    <xf numFmtId="0" fontId="149" fillId="2" borderId="0" xfId="23" applyFill="1" applyAlignment="1">
      <alignment horizontal="center" wrapText="1"/>
    </xf>
    <xf numFmtId="0" fontId="156" fillId="2" borderId="0" xfId="23" applyFont="1" applyFill="1" applyAlignment="1">
      <alignment horizontal="center" wrapText="1"/>
    </xf>
    <xf numFmtId="0" fontId="152" fillId="3" borderId="332" xfId="6" applyFont="1" applyFill="1" applyBorder="1"/>
    <xf numFmtId="0" fontId="152" fillId="3" borderId="339" xfId="6" applyFont="1" applyFill="1" applyBorder="1"/>
    <xf numFmtId="0" fontId="176" fillId="2" borderId="342" xfId="23" applyFont="1" applyFill="1" applyBorder="1" applyAlignment="1">
      <alignment wrapText="1"/>
    </xf>
    <xf numFmtId="0" fontId="150" fillId="2" borderId="17" xfId="23" applyFont="1" applyFill="1" applyBorder="1" applyAlignment="1">
      <alignment vertical="center"/>
    </xf>
    <xf numFmtId="10" fontId="183" fillId="7" borderId="17" xfId="8" applyNumberFormat="1" applyFont="1" applyFill="1" applyBorder="1" applyAlignment="1">
      <alignment horizontal="center" vertical="center" wrapText="1"/>
    </xf>
    <xf numFmtId="4" fontId="150" fillId="2" borderId="17" xfId="23" applyNumberFormat="1" applyFont="1" applyFill="1" applyBorder="1" applyAlignment="1">
      <alignment horizontal="center" vertical="center"/>
    </xf>
    <xf numFmtId="10" fontId="184" fillId="7" borderId="17" xfId="8" applyNumberFormat="1" applyFont="1" applyFill="1" applyBorder="1" applyAlignment="1">
      <alignment horizontal="center" vertical="center"/>
    </xf>
    <xf numFmtId="4" fontId="150" fillId="2" borderId="17" xfId="23" applyNumberFormat="1" applyFont="1" applyFill="1" applyBorder="1" applyAlignment="1">
      <alignment horizontal="center" vertical="center" wrapText="1"/>
    </xf>
    <xf numFmtId="165" fontId="185" fillId="7" borderId="13" xfId="8" applyNumberFormat="1" applyFont="1" applyFill="1" applyBorder="1" applyAlignment="1">
      <alignment horizontal="center" vertical="center"/>
    </xf>
    <xf numFmtId="0" fontId="186" fillId="2" borderId="9" xfId="23" applyFont="1" applyFill="1" applyBorder="1" applyAlignment="1">
      <alignment vertical="center"/>
    </xf>
    <xf numFmtId="10" fontId="183" fillId="7" borderId="9" xfId="24" applyNumberFormat="1" applyFont="1" applyFill="1" applyBorder="1" applyAlignment="1">
      <alignment horizontal="center"/>
    </xf>
    <xf numFmtId="4" fontId="186" fillId="2" borderId="9" xfId="23" applyNumberFormat="1" applyFont="1" applyFill="1" applyBorder="1" applyAlignment="1">
      <alignment horizontal="center" vertical="center"/>
    </xf>
    <xf numFmtId="10" fontId="184" fillId="7" borderId="9" xfId="6" applyNumberFormat="1" applyFont="1" applyFill="1" applyBorder="1" applyAlignment="1">
      <alignment horizontal="center"/>
    </xf>
    <xf numFmtId="165" fontId="185" fillId="7" borderId="21" xfId="6" applyNumberFormat="1" applyFont="1" applyFill="1" applyBorder="1" applyAlignment="1">
      <alignment horizontal="center"/>
    </xf>
    <xf numFmtId="0" fontId="165" fillId="2" borderId="9" xfId="23" applyFont="1" applyFill="1" applyBorder="1" applyAlignment="1">
      <alignment vertical="center"/>
    </xf>
    <xf numFmtId="4" fontId="165" fillId="2" borderId="9" xfId="23" applyNumberFormat="1" applyFont="1" applyFill="1" applyBorder="1" applyAlignment="1">
      <alignment horizontal="center" vertical="center"/>
    </xf>
    <xf numFmtId="10" fontId="187" fillId="7" borderId="9" xfId="6" applyNumberFormat="1" applyFont="1" applyFill="1" applyBorder="1" applyAlignment="1">
      <alignment horizontal="center"/>
    </xf>
    <xf numFmtId="165" fontId="188" fillId="7" borderId="21" xfId="6" applyNumberFormat="1" applyFont="1" applyFill="1" applyBorder="1" applyAlignment="1">
      <alignment horizontal="center"/>
    </xf>
    <xf numFmtId="165" fontId="183" fillId="7" borderId="9" xfId="24" applyNumberFormat="1" applyFont="1" applyFill="1" applyBorder="1" applyAlignment="1">
      <alignment horizontal="center"/>
    </xf>
    <xf numFmtId="165" fontId="183" fillId="7" borderId="9" xfId="13" applyNumberFormat="1" applyFont="1" applyFill="1" applyBorder="1" applyAlignment="1">
      <alignment horizontal="center"/>
    </xf>
    <xf numFmtId="4" fontId="158" fillId="2" borderId="9" xfId="23" applyNumberFormat="1" applyFont="1" applyFill="1" applyBorder="1" applyAlignment="1">
      <alignment horizontal="center" vertical="center"/>
    </xf>
    <xf numFmtId="0" fontId="158" fillId="7" borderId="21" xfId="6" applyFont="1" applyFill="1" applyBorder="1"/>
    <xf numFmtId="2" fontId="189" fillId="2" borderId="21" xfId="23" applyNumberFormat="1" applyFont="1" applyFill="1" applyBorder="1" applyAlignment="1">
      <alignment horizontal="center" vertical="center"/>
    </xf>
    <xf numFmtId="10" fontId="187" fillId="15" borderId="9" xfId="6" applyNumberFormat="1" applyFont="1" applyFill="1" applyBorder="1" applyAlignment="1">
      <alignment horizontal="center"/>
    </xf>
    <xf numFmtId="10" fontId="184" fillId="15" borderId="9" xfId="6" applyNumberFormat="1" applyFont="1" applyFill="1" applyBorder="1" applyAlignment="1">
      <alignment horizontal="center"/>
    </xf>
    <xf numFmtId="10" fontId="185" fillId="7" borderId="21" xfId="6" applyNumberFormat="1" applyFont="1" applyFill="1" applyBorder="1" applyAlignment="1">
      <alignment horizontal="center"/>
    </xf>
    <xf numFmtId="4" fontId="186" fillId="2" borderId="21" xfId="23" applyNumberFormat="1" applyFont="1" applyFill="1" applyBorder="1" applyAlignment="1">
      <alignment horizontal="center" vertical="center"/>
    </xf>
    <xf numFmtId="165" fontId="190" fillId="7" borderId="9" xfId="24" applyNumberFormat="1" applyFont="1" applyFill="1" applyBorder="1" applyAlignment="1">
      <alignment horizontal="center"/>
    </xf>
    <xf numFmtId="10" fontId="188" fillId="7" borderId="21" xfId="6" applyNumberFormat="1" applyFont="1" applyFill="1" applyBorder="1" applyAlignment="1">
      <alignment horizontal="center"/>
    </xf>
    <xf numFmtId="4" fontId="165" fillId="0" borderId="21" xfId="23" applyNumberFormat="1" applyFont="1" applyBorder="1" applyAlignment="1">
      <alignment horizontal="center" vertical="center"/>
    </xf>
    <xf numFmtId="0" fontId="165" fillId="2" borderId="344" xfId="23" applyFont="1" applyFill="1" applyBorder="1" applyAlignment="1">
      <alignment vertical="center"/>
    </xf>
    <xf numFmtId="165" fontId="190" fillId="7" borderId="344" xfId="24" applyNumberFormat="1" applyFont="1" applyFill="1" applyBorder="1" applyAlignment="1">
      <alignment horizontal="center"/>
    </xf>
    <xf numFmtId="10" fontId="187" fillId="15" borderId="344" xfId="6" applyNumberFormat="1" applyFont="1" applyFill="1" applyBorder="1" applyAlignment="1">
      <alignment horizontal="center"/>
    </xf>
    <xf numFmtId="4" fontId="165" fillId="2" borderId="344" xfId="23" applyNumberFormat="1" applyFont="1" applyFill="1" applyBorder="1" applyAlignment="1">
      <alignment horizontal="center" vertical="center"/>
    </xf>
    <xf numFmtId="0" fontId="158" fillId="15" borderId="15" xfId="6" applyFont="1" applyFill="1" applyBorder="1"/>
    <xf numFmtId="2" fontId="189" fillId="2" borderId="15" xfId="23" applyNumberFormat="1" applyFont="1" applyFill="1" applyBorder="1" applyAlignment="1">
      <alignment horizontal="center" vertical="center"/>
    </xf>
    <xf numFmtId="0" fontId="150" fillId="2" borderId="13" xfId="23" applyFont="1" applyFill="1" applyBorder="1" applyAlignment="1">
      <alignment vertical="center"/>
    </xf>
    <xf numFmtId="0" fontId="158" fillId="2" borderId="21" xfId="23" applyFont="1" applyFill="1" applyBorder="1"/>
    <xf numFmtId="1" fontId="183" fillId="7" borderId="21" xfId="23" applyNumberFormat="1" applyFont="1" applyFill="1" applyBorder="1" applyAlignment="1">
      <alignment horizontal="center"/>
    </xf>
    <xf numFmtId="4" fontId="165" fillId="2" borderId="21" xfId="23" applyNumberFormat="1" applyFont="1" applyFill="1" applyBorder="1" applyAlignment="1">
      <alignment horizontal="center" vertical="center"/>
    </xf>
    <xf numFmtId="169" fontId="165" fillId="2" borderId="21" xfId="23" applyNumberFormat="1" applyFont="1" applyFill="1" applyBorder="1" applyAlignment="1">
      <alignment horizontal="center" vertical="center"/>
    </xf>
    <xf numFmtId="1" fontId="184" fillId="15" borderId="21" xfId="23" applyNumberFormat="1" applyFont="1" applyFill="1" applyBorder="1" applyAlignment="1">
      <alignment horizontal="center"/>
    </xf>
    <xf numFmtId="1" fontId="185" fillId="15" borderId="21" xfId="23" applyNumberFormat="1" applyFont="1" applyFill="1" applyBorder="1" applyAlignment="1">
      <alignment horizontal="center"/>
    </xf>
    <xf numFmtId="1" fontId="183" fillId="7" borderId="21" xfId="6" applyNumberFormat="1" applyFont="1" applyFill="1" applyBorder="1" applyAlignment="1">
      <alignment horizontal="center"/>
    </xf>
    <xf numFmtId="3" fontId="165" fillId="2" borderId="21" xfId="23" applyNumberFormat="1" applyFont="1" applyFill="1" applyBorder="1" applyAlignment="1">
      <alignment horizontal="center" vertical="center"/>
    </xf>
    <xf numFmtId="164" fontId="184" fillId="15" borderId="21" xfId="23" applyNumberFormat="1" applyFont="1" applyFill="1" applyBorder="1" applyAlignment="1">
      <alignment horizontal="center"/>
    </xf>
    <xf numFmtId="4" fontId="165" fillId="2" borderId="21" xfId="23" quotePrefix="1" applyNumberFormat="1" applyFont="1" applyFill="1" applyBorder="1" applyAlignment="1">
      <alignment horizontal="center" vertical="center"/>
    </xf>
    <xf numFmtId="1" fontId="185" fillId="15" borderId="21" xfId="23" applyNumberFormat="1" applyFont="1" applyFill="1" applyBorder="1" applyAlignment="1">
      <alignment horizontal="center" wrapText="1"/>
    </xf>
    <xf numFmtId="0" fontId="158" fillId="2" borderId="21" xfId="23" applyFont="1" applyFill="1" applyBorder="1" applyAlignment="1">
      <alignment vertical="center"/>
    </xf>
    <xf numFmtId="9" fontId="183" fillId="7" borderId="21" xfId="21" applyNumberFormat="1" applyFont="1" applyFill="1" applyBorder="1" applyAlignment="1">
      <alignment horizontal="center"/>
    </xf>
    <xf numFmtId="165" fontId="183" fillId="7" borderId="21" xfId="21" applyNumberFormat="1" applyFont="1" applyFill="1" applyBorder="1" applyAlignment="1">
      <alignment horizontal="center"/>
    </xf>
    <xf numFmtId="9" fontId="184" fillId="15" borderId="21" xfId="23" applyNumberFormat="1" applyFont="1" applyFill="1" applyBorder="1" applyAlignment="1">
      <alignment horizontal="center" wrapText="1"/>
    </xf>
    <xf numFmtId="4" fontId="165" fillId="2" borderId="21" xfId="23" applyNumberFormat="1" applyFont="1" applyFill="1" applyBorder="1" applyAlignment="1">
      <alignment horizontal="center" vertical="center" wrapText="1"/>
    </xf>
    <xf numFmtId="9" fontId="185" fillId="15" borderId="21" xfId="23" applyNumberFormat="1" applyFont="1" applyFill="1" applyBorder="1" applyAlignment="1">
      <alignment horizontal="center" wrapText="1"/>
    </xf>
    <xf numFmtId="1" fontId="156" fillId="7" borderId="21" xfId="6" applyNumberFormat="1" applyFont="1" applyFill="1" applyBorder="1"/>
    <xf numFmtId="2" fontId="191" fillId="2" borderId="21" xfId="23" applyNumberFormat="1" applyFont="1" applyFill="1" applyBorder="1" applyAlignment="1">
      <alignment horizontal="center" vertical="center"/>
    </xf>
    <xf numFmtId="0" fontId="158" fillId="2" borderId="15" xfId="23" applyFont="1" applyFill="1" applyBorder="1" applyAlignment="1">
      <alignment vertical="center"/>
    </xf>
    <xf numFmtId="9" fontId="183" fillId="7" borderId="15" xfId="21" applyNumberFormat="1" applyFont="1" applyFill="1" applyBorder="1" applyAlignment="1">
      <alignment horizontal="center" vertical="center"/>
    </xf>
    <xf numFmtId="4" fontId="165" fillId="2" borderId="15" xfId="23" applyNumberFormat="1" applyFont="1" applyFill="1" applyBorder="1" applyAlignment="1">
      <alignment horizontal="center" vertical="center"/>
    </xf>
    <xf numFmtId="164" fontId="192" fillId="7" borderId="15" xfId="23" applyNumberFormat="1" applyFont="1" applyFill="1" applyBorder="1" applyAlignment="1">
      <alignment horizontal="center" vertical="center" wrapText="1"/>
    </xf>
    <xf numFmtId="4" fontId="193" fillId="2" borderId="15" xfId="23" applyNumberFormat="1" applyFont="1" applyFill="1" applyBorder="1" applyAlignment="1">
      <alignment horizontal="center" vertical="center" wrapText="1"/>
    </xf>
    <xf numFmtId="0" fontId="158" fillId="7" borderId="15" xfId="6" applyFont="1" applyFill="1" applyBorder="1"/>
    <xf numFmtId="2" fontId="191" fillId="2" borderId="15" xfId="23" applyNumberFormat="1" applyFont="1" applyFill="1" applyBorder="1" applyAlignment="1">
      <alignment horizontal="center" vertical="center"/>
    </xf>
    <xf numFmtId="0" fontId="150" fillId="16" borderId="345" xfId="23" applyFont="1" applyFill="1" applyBorder="1"/>
    <xf numFmtId="0" fontId="150" fillId="16" borderId="5" xfId="23" applyFont="1" applyFill="1" applyBorder="1"/>
    <xf numFmtId="0" fontId="176" fillId="2" borderId="5" xfId="23" applyFont="1" applyFill="1" applyBorder="1" applyAlignment="1">
      <alignment wrapText="1"/>
    </xf>
    <xf numFmtId="0" fontId="176" fillId="17" borderId="5" xfId="23" applyFont="1" applyFill="1" applyBorder="1" applyAlignment="1">
      <alignment wrapText="1"/>
    </xf>
    <xf numFmtId="0" fontId="83" fillId="2" borderId="0" xfId="6" applyFont="1" applyFill="1"/>
    <xf numFmtId="0" fontId="139" fillId="2" borderId="0" xfId="25" applyFont="1" applyFill="1" applyAlignment="1">
      <alignment horizontal="left"/>
    </xf>
    <xf numFmtId="0" fontId="199" fillId="2" borderId="0" xfId="25" applyFont="1" applyFill="1" applyAlignment="1">
      <alignment horizontal="left"/>
    </xf>
    <xf numFmtId="0" fontId="200" fillId="2" borderId="0" xfId="23" applyFont="1" applyFill="1" applyAlignment="1">
      <alignment horizontal="center" vertical="center"/>
    </xf>
    <xf numFmtId="0" fontId="83" fillId="8" borderId="0" xfId="6" applyFont="1" applyFill="1"/>
    <xf numFmtId="0" fontId="156" fillId="8" borderId="0" xfId="6" applyFont="1" applyFill="1"/>
    <xf numFmtId="0" fontId="158" fillId="8" borderId="0" xfId="6" applyFont="1" applyFill="1"/>
    <xf numFmtId="0" fontId="203" fillId="8" borderId="0" xfId="6" applyFont="1" applyFill="1"/>
    <xf numFmtId="0" fontId="205" fillId="2" borderId="0" xfId="6" applyFont="1" applyFill="1"/>
    <xf numFmtId="0" fontId="206" fillId="2" borderId="0" xfId="6" applyFont="1" applyFill="1" applyAlignment="1">
      <alignment vertical="center"/>
    </xf>
    <xf numFmtId="0" fontId="192" fillId="2" borderId="0" xfId="6" applyFont="1" applyFill="1" applyAlignment="1">
      <alignment vertical="center"/>
    </xf>
    <xf numFmtId="0" fontId="207" fillId="2" borderId="0" xfId="6" applyFont="1" applyFill="1" applyAlignment="1">
      <alignment vertical="center"/>
    </xf>
    <xf numFmtId="0" fontId="189" fillId="2" borderId="0" xfId="6" applyFont="1" applyFill="1" applyAlignment="1">
      <alignment vertical="center"/>
    </xf>
    <xf numFmtId="0" fontId="209" fillId="0" borderId="0" xfId="26" applyFont="1" applyAlignment="1">
      <alignment vertical="center"/>
    </xf>
    <xf numFmtId="0" fontId="84" fillId="0" borderId="0" xfId="12"/>
    <xf numFmtId="0" fontId="207" fillId="2" borderId="0" xfId="23" applyFont="1" applyFill="1" applyAlignment="1">
      <alignment vertical="center"/>
    </xf>
    <xf numFmtId="0" fontId="210" fillId="2" borderId="0" xfId="23" applyFont="1" applyFill="1" applyAlignment="1">
      <alignment vertical="center"/>
    </xf>
    <xf numFmtId="0" fontId="211" fillId="2" borderId="0" xfId="27" applyFont="1" applyFill="1"/>
    <xf numFmtId="0" fontId="156" fillId="2" borderId="0" xfId="23" applyFont="1" applyFill="1" applyAlignment="1">
      <alignment wrapText="1"/>
    </xf>
    <xf numFmtId="0" fontId="212" fillId="2" borderId="0" xfId="23" applyFont="1" applyFill="1" applyAlignment="1">
      <alignment vertical="center"/>
    </xf>
    <xf numFmtId="0" fontId="213" fillId="2" borderId="0" xfId="23" applyFont="1" applyFill="1" applyAlignment="1">
      <alignment vertical="center"/>
    </xf>
    <xf numFmtId="0" fontId="24" fillId="2" borderId="0" xfId="27" applyFont="1" applyFill="1"/>
    <xf numFmtId="0" fontId="156" fillId="2" borderId="0" xfId="23" applyFont="1" applyFill="1" applyAlignment="1">
      <alignment vertical="center"/>
    </xf>
    <xf numFmtId="0" fontId="156" fillId="2" borderId="0" xfId="6" applyFont="1" applyFill="1" applyAlignment="1">
      <alignment vertical="center"/>
    </xf>
    <xf numFmtId="0" fontId="156" fillId="2" borderId="0" xfId="23" applyFont="1" applyFill="1" applyAlignment="1">
      <alignment horizontal="center" vertical="center" wrapText="1"/>
    </xf>
    <xf numFmtId="0" fontId="214" fillId="16" borderId="5" xfId="6" applyFont="1" applyFill="1" applyBorder="1" applyAlignment="1">
      <alignment horizontal="center" vertical="center" wrapText="1"/>
    </xf>
    <xf numFmtId="0" fontId="214" fillId="18" borderId="5" xfId="6" applyFont="1" applyFill="1" applyBorder="1" applyAlignment="1">
      <alignment horizontal="center" vertical="center" wrapText="1"/>
    </xf>
    <xf numFmtId="0" fontId="214" fillId="5" borderId="74" xfId="6" applyFont="1" applyFill="1" applyBorder="1" applyAlignment="1">
      <alignment horizontal="center" vertical="center" wrapText="1"/>
    </xf>
    <xf numFmtId="0" fontId="149" fillId="2" borderId="345" xfId="23" applyFill="1" applyBorder="1" applyAlignment="1">
      <alignment wrapText="1"/>
    </xf>
    <xf numFmtId="169" fontId="205" fillId="16" borderId="5" xfId="6" applyNumberFormat="1" applyFont="1" applyFill="1" applyBorder="1"/>
    <xf numFmtId="169" fontId="205" fillId="18" borderId="5" xfId="6" applyNumberFormat="1" applyFont="1" applyFill="1" applyBorder="1"/>
    <xf numFmtId="169" fontId="205" fillId="5" borderId="5" xfId="6" applyNumberFormat="1" applyFont="1" applyFill="1" applyBorder="1"/>
    <xf numFmtId="0" fontId="149" fillId="2" borderId="5" xfId="23" applyFill="1" applyBorder="1" applyAlignment="1">
      <alignment vertical="center"/>
    </xf>
    <xf numFmtId="4" fontId="158" fillId="16" borderId="5" xfId="6" applyNumberFormat="1" applyFont="1" applyFill="1" applyBorder="1"/>
    <xf numFmtId="4" fontId="158" fillId="18" borderId="5" xfId="6" applyNumberFormat="1" applyFont="1" applyFill="1" applyBorder="1"/>
    <xf numFmtId="4" fontId="158" fillId="5" borderId="5" xfId="6" applyNumberFormat="1" applyFont="1" applyFill="1" applyBorder="1"/>
    <xf numFmtId="0" fontId="158" fillId="2" borderId="5" xfId="6" applyFont="1" applyFill="1" applyBorder="1"/>
    <xf numFmtId="4" fontId="205" fillId="16" borderId="5" xfId="6" applyNumberFormat="1" applyFont="1" applyFill="1" applyBorder="1"/>
    <xf numFmtId="4" fontId="205" fillId="18" borderId="5" xfId="6" applyNumberFormat="1" applyFont="1" applyFill="1" applyBorder="1"/>
    <xf numFmtId="4" fontId="205" fillId="5" borderId="5" xfId="6" applyNumberFormat="1" applyFont="1" applyFill="1" applyBorder="1"/>
    <xf numFmtId="0" fontId="150" fillId="2" borderId="345" xfId="23" applyFont="1" applyFill="1" applyBorder="1"/>
    <xf numFmtId="0" fontId="150" fillId="2" borderId="5" xfId="23" applyFont="1" applyFill="1" applyBorder="1" applyAlignment="1">
      <alignment wrapText="1"/>
    </xf>
    <xf numFmtId="0" fontId="3" fillId="7" borderId="5" xfId="25" applyFont="1" applyFill="1" applyBorder="1" applyAlignment="1">
      <alignment horizontal="left"/>
    </xf>
    <xf numFmtId="165" fontId="158" fillId="16" borderId="5" xfId="13" applyNumberFormat="1" applyFont="1" applyFill="1" applyBorder="1"/>
    <xf numFmtId="165" fontId="158" fillId="18" borderId="5" xfId="13" applyNumberFormat="1" applyFont="1" applyFill="1" applyBorder="1"/>
    <xf numFmtId="165" fontId="158" fillId="5" borderId="5" xfId="13" applyNumberFormat="1" applyFont="1" applyFill="1" applyBorder="1"/>
    <xf numFmtId="0" fontId="215" fillId="2" borderId="0" xfId="6" applyFont="1" applyFill="1" applyAlignment="1">
      <alignment horizontal="left" wrapText="1"/>
    </xf>
    <xf numFmtId="0" fontId="217" fillId="0" borderId="0" xfId="28" applyFont="1" applyAlignment="1">
      <alignment horizontal="left" wrapText="1"/>
    </xf>
    <xf numFmtId="0" fontId="220" fillId="0" borderId="0" xfId="28" applyFont="1" applyAlignment="1">
      <alignment horizontal="left" vertical="center" readingOrder="1"/>
    </xf>
    <xf numFmtId="0" fontId="215" fillId="2" borderId="0" xfId="6" applyFont="1" applyFill="1" applyAlignment="1">
      <alignment wrapText="1"/>
    </xf>
    <xf numFmtId="2" fontId="25" fillId="2" borderId="5" xfId="0" applyNumberFormat="1" applyFont="1" applyFill="1" applyBorder="1" applyAlignment="1">
      <alignment horizontal="center"/>
    </xf>
    <xf numFmtId="2" fontId="23" fillId="2" borderId="52" xfId="0" applyNumberFormat="1" applyFont="1" applyFill="1" applyBorder="1" applyAlignment="1">
      <alignment horizontal="center"/>
    </xf>
    <xf numFmtId="2" fontId="23" fillId="2" borderId="53" xfId="0" applyNumberFormat="1" applyFont="1" applyFill="1" applyBorder="1" applyAlignment="1">
      <alignment horizontal="center"/>
    </xf>
    <xf numFmtId="0" fontId="7" fillId="4" borderId="73" xfId="0" applyFont="1" applyFill="1" applyBorder="1" applyAlignment="1">
      <alignment horizontal="center"/>
    </xf>
    <xf numFmtId="0" fontId="7" fillId="4" borderId="74" xfId="0" applyFont="1" applyFill="1" applyBorder="1" applyAlignment="1">
      <alignment horizontal="center"/>
    </xf>
    <xf numFmtId="2" fontId="23" fillId="2" borderId="8" xfId="0" applyNumberFormat="1" applyFont="1" applyFill="1" applyBorder="1" applyAlignment="1">
      <alignment horizontal="center"/>
    </xf>
    <xf numFmtId="2" fontId="23" fillId="2" borderId="9" xfId="0" applyNumberFormat="1" applyFont="1" applyFill="1" applyBorder="1" applyAlignment="1">
      <alignment horizontal="center"/>
    </xf>
    <xf numFmtId="2" fontId="23" fillId="2" borderId="10" xfId="0" applyNumberFormat="1" applyFont="1" applyFill="1" applyBorder="1" applyAlignment="1">
      <alignment horizontal="center"/>
    </xf>
    <xf numFmtId="2" fontId="23" fillId="2" borderId="75" xfId="0" applyNumberFormat="1" applyFont="1" applyFill="1" applyBorder="1" applyAlignment="1">
      <alignment horizontal="center"/>
    </xf>
    <xf numFmtId="2" fontId="23" fillId="2" borderId="76" xfId="0" applyNumberFormat="1" applyFont="1" applyFill="1" applyBorder="1" applyAlignment="1">
      <alignment horizontal="center"/>
    </xf>
    <xf numFmtId="9" fontId="25" fillId="2" borderId="72" xfId="2" applyFont="1" applyFill="1" applyBorder="1" applyAlignment="1">
      <alignment horizontal="center"/>
    </xf>
    <xf numFmtId="0" fontId="24" fillId="2" borderId="72" xfId="0" applyFont="1" applyFill="1" applyBorder="1" applyAlignment="1">
      <alignment horizontal="center"/>
    </xf>
    <xf numFmtId="9" fontId="24" fillId="2" borderId="72" xfId="2" applyFont="1" applyFill="1" applyBorder="1" applyAlignment="1">
      <alignment horizontal="center"/>
    </xf>
    <xf numFmtId="9" fontId="24" fillId="2" borderId="47" xfId="2" applyFont="1" applyFill="1" applyBorder="1" applyAlignment="1">
      <alignment horizontal="center"/>
    </xf>
    <xf numFmtId="0" fontId="24" fillId="2" borderId="44" xfId="0" applyFont="1" applyFill="1" applyBorder="1" applyAlignment="1">
      <alignment horizontal="center"/>
    </xf>
    <xf numFmtId="0" fontId="24" fillId="2" borderId="45" xfId="0" applyFont="1" applyFill="1" applyBorder="1" applyAlignment="1">
      <alignment horizontal="center"/>
    </xf>
    <xf numFmtId="3" fontId="25" fillId="2" borderId="72" xfId="0" applyNumberFormat="1" applyFont="1" applyFill="1" applyBorder="1" applyAlignment="1">
      <alignment horizontal="center"/>
    </xf>
    <xf numFmtId="0" fontId="12" fillId="9" borderId="8" xfId="0" quotePrefix="1" applyFont="1" applyFill="1" applyBorder="1" applyAlignment="1">
      <alignment horizontal="center" vertical="center"/>
    </xf>
    <xf numFmtId="0" fontId="12" fillId="9" borderId="10" xfId="0" quotePrefix="1" applyFont="1" applyFill="1" applyBorder="1" applyAlignment="1">
      <alignment horizontal="center" vertical="center"/>
    </xf>
    <xf numFmtId="4" fontId="19" fillId="9" borderId="17" xfId="0" applyNumberFormat="1" applyFont="1" applyFill="1" applyBorder="1" applyAlignment="1">
      <alignment horizontal="center" vertical="center"/>
    </xf>
    <xf numFmtId="4" fontId="19" fillId="9" borderId="10" xfId="0" applyNumberFormat="1" applyFont="1" applyFill="1" applyBorder="1" applyAlignment="1">
      <alignment horizontal="center" vertical="center"/>
    </xf>
    <xf numFmtId="0" fontId="7" fillId="4" borderId="5" xfId="0" applyFont="1" applyFill="1" applyBorder="1" applyAlignment="1">
      <alignment horizontal="center"/>
    </xf>
    <xf numFmtId="0" fontId="7" fillId="10" borderId="71" xfId="0" applyFont="1" applyFill="1" applyBorder="1" applyAlignment="1">
      <alignment horizontal="center"/>
    </xf>
    <xf numFmtId="3" fontId="7" fillId="4" borderId="5" xfId="0" applyNumberFormat="1" applyFont="1" applyFill="1" applyBorder="1" applyAlignment="1">
      <alignment horizontal="center" vertical="center"/>
    </xf>
    <xf numFmtId="0" fontId="12" fillId="9" borderId="8" xfId="3" quotePrefix="1" applyFont="1" applyFill="1" applyBorder="1" applyAlignment="1">
      <alignment horizontal="center" vertical="center"/>
    </xf>
    <xf numFmtId="0" fontId="12" fillId="9" borderId="10" xfId="3" quotePrefix="1" applyFont="1" applyFill="1" applyBorder="1" applyAlignment="1">
      <alignment horizontal="center" vertical="center"/>
    </xf>
    <xf numFmtId="0" fontId="12" fillId="2" borderId="7" xfId="0" quotePrefix="1" applyFont="1" applyFill="1" applyBorder="1" applyAlignment="1">
      <alignment horizontal="center" vertical="center"/>
    </xf>
    <xf numFmtId="0" fontId="12" fillId="2" borderId="6" xfId="0" quotePrefix="1" applyFont="1" applyFill="1" applyBorder="1" applyAlignment="1">
      <alignment horizontal="center" vertical="center"/>
    </xf>
    <xf numFmtId="0" fontId="12" fillId="2" borderId="11"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12" fillId="2" borderId="10" xfId="0" quotePrefix="1" applyFont="1" applyFill="1" applyBorder="1" applyAlignment="1">
      <alignment horizontal="center" vertical="center"/>
    </xf>
    <xf numFmtId="0" fontId="12" fillId="2" borderId="8" xfId="3" quotePrefix="1" applyFont="1" applyFill="1" applyBorder="1" applyAlignment="1">
      <alignment horizontal="center" vertical="center"/>
    </xf>
    <xf numFmtId="0" fontId="12" fillId="2" borderId="9" xfId="3" quotePrefix="1" applyFont="1" applyFill="1" applyBorder="1" applyAlignment="1">
      <alignment horizontal="center" vertical="center"/>
    </xf>
    <xf numFmtId="0" fontId="12" fillId="2" borderId="10" xfId="3" quotePrefix="1" applyFont="1" applyFill="1" applyBorder="1" applyAlignment="1">
      <alignment horizontal="center" vertical="center"/>
    </xf>
    <xf numFmtId="2" fontId="23" fillId="2" borderId="6" xfId="0" applyNumberFormat="1" applyFont="1" applyFill="1" applyBorder="1" applyAlignment="1">
      <alignment horizontal="center"/>
    </xf>
    <xf numFmtId="1" fontId="29" fillId="2" borderId="8" xfId="0" applyNumberFormat="1" applyFont="1" applyFill="1" applyBorder="1" applyAlignment="1">
      <alignment horizontal="center"/>
    </xf>
    <xf numFmtId="0" fontId="16" fillId="2" borderId="16" xfId="0" applyFont="1" applyFill="1" applyBorder="1" applyAlignment="1">
      <alignment horizontal="center"/>
    </xf>
    <xf numFmtId="0" fontId="24" fillId="2" borderId="11" xfId="0" applyFont="1" applyFill="1" applyBorder="1" applyAlignment="1">
      <alignment horizontal="center"/>
    </xf>
    <xf numFmtId="2" fontId="15" fillId="4" borderId="5" xfId="0" applyNumberFormat="1" applyFont="1" applyFill="1" applyBorder="1" applyAlignment="1">
      <alignment horizontal="center"/>
    </xf>
    <xf numFmtId="9" fontId="7" fillId="4" borderId="5" xfId="8" applyFont="1" applyFill="1" applyBorder="1" applyAlignment="1">
      <alignment horizontal="center" vertical="center"/>
    </xf>
    <xf numFmtId="1" fontId="29" fillId="9" borderId="61" xfId="0" applyNumberFormat="1" applyFont="1" applyFill="1" applyBorder="1" applyAlignment="1">
      <alignment horizontal="center"/>
    </xf>
    <xf numFmtId="2" fontId="20" fillId="0" borderId="44" xfId="0" applyNumberFormat="1" applyFont="1" applyBorder="1" applyAlignment="1">
      <alignment horizontal="center" vertical="center"/>
    </xf>
    <xf numFmtId="2" fontId="20" fillId="0" borderId="45" xfId="0" applyNumberFormat="1" applyFont="1" applyBorder="1" applyAlignment="1">
      <alignment horizontal="center" vertical="center"/>
    </xf>
    <xf numFmtId="2" fontId="20" fillId="0" borderId="30" xfId="0" applyNumberFormat="1" applyFont="1" applyBorder="1" applyAlignment="1">
      <alignment horizontal="center" vertical="center"/>
    </xf>
    <xf numFmtId="2" fontId="20" fillId="0" borderId="32" xfId="0" applyNumberFormat="1" applyFont="1" applyBorder="1" applyAlignment="1">
      <alignment horizontal="center" vertical="center"/>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1" fontId="16" fillId="0" borderId="64" xfId="0" applyNumberFormat="1" applyFont="1" applyBorder="1" applyAlignment="1">
      <alignment horizontal="center"/>
    </xf>
    <xf numFmtId="2" fontId="23" fillId="9" borderId="69" xfId="0" applyNumberFormat="1" applyFont="1" applyFill="1" applyBorder="1" applyAlignment="1">
      <alignment horizontal="center" vertical="center"/>
    </xf>
    <xf numFmtId="2" fontId="23" fillId="9" borderId="70" xfId="0" applyNumberFormat="1" applyFont="1" applyFill="1" applyBorder="1" applyAlignment="1">
      <alignment horizontal="center" vertical="center"/>
    </xf>
    <xf numFmtId="1" fontId="16" fillId="9" borderId="11" xfId="0" applyNumberFormat="1" applyFont="1" applyFill="1" applyBorder="1" applyAlignment="1">
      <alignment horizontal="center"/>
    </xf>
    <xf numFmtId="1" fontId="29" fillId="2" borderId="11" xfId="0" applyNumberFormat="1" applyFont="1" applyFill="1" applyBorder="1" applyAlignment="1">
      <alignment horizontal="center"/>
    </xf>
    <xf numFmtId="2" fontId="23" fillId="9" borderId="60" xfId="0" applyNumberFormat="1" applyFont="1" applyFill="1" applyBorder="1" applyAlignment="1">
      <alignment horizontal="center" vertical="center"/>
    </xf>
    <xf numFmtId="2" fontId="23" fillId="2" borderId="60" xfId="0" applyNumberFormat="1" applyFont="1" applyFill="1" applyBorder="1" applyAlignment="1">
      <alignment horizontal="center" vertical="center"/>
    </xf>
    <xf numFmtId="1" fontId="9" fillId="2" borderId="61" xfId="0" applyNumberFormat="1" applyFont="1" applyFill="1" applyBorder="1" applyAlignment="1">
      <alignment horizontal="center"/>
    </xf>
    <xf numFmtId="1" fontId="16" fillId="9" borderId="58" xfId="0" applyNumberFormat="1" applyFont="1" applyFill="1" applyBorder="1" applyAlignment="1">
      <alignment horizontal="center"/>
    </xf>
    <xf numFmtId="1" fontId="16" fillId="9" borderId="57" xfId="0" applyNumberFormat="1" applyFont="1" applyFill="1" applyBorder="1" applyAlignment="1">
      <alignment horizontal="center"/>
    </xf>
    <xf numFmtId="0" fontId="24" fillId="2" borderId="6" xfId="3" applyFont="1" applyFill="1" applyBorder="1" applyAlignment="1">
      <alignment horizontal="left" vertical="top" wrapText="1"/>
    </xf>
    <xf numFmtId="2" fontId="23" fillId="2" borderId="7" xfId="0" applyNumberFormat="1" applyFont="1" applyFill="1" applyBorder="1" applyAlignment="1">
      <alignment horizontal="center" vertical="center"/>
    </xf>
    <xf numFmtId="0" fontId="20" fillId="2" borderId="6" xfId="0" applyFont="1" applyFill="1" applyBorder="1" applyAlignment="1">
      <alignment horizontal="left" vertical="top" wrapText="1"/>
    </xf>
    <xf numFmtId="1" fontId="29" fillId="2" borderId="6" xfId="0" applyNumberFormat="1" applyFont="1" applyFill="1" applyBorder="1" applyAlignment="1">
      <alignment horizontal="center"/>
    </xf>
    <xf numFmtId="1" fontId="16" fillId="2" borderId="9" xfId="0" applyNumberFormat="1" applyFont="1" applyFill="1" applyBorder="1" applyAlignment="1">
      <alignment horizontal="center"/>
    </xf>
    <xf numFmtId="1" fontId="16" fillId="0" borderId="54" xfId="0" applyNumberFormat="1" applyFont="1" applyBorder="1" applyAlignment="1">
      <alignment horizontal="center"/>
    </xf>
    <xf numFmtId="1" fontId="16" fillId="0" borderId="55" xfId="0" applyNumberFormat="1" applyFont="1" applyBorder="1" applyAlignment="1">
      <alignment horizontal="center"/>
    </xf>
    <xf numFmtId="2" fontId="23" fillId="9" borderId="7" xfId="0" applyNumberFormat="1" applyFont="1" applyFill="1" applyBorder="1" applyAlignment="1">
      <alignment horizontal="center"/>
    </xf>
    <xf numFmtId="1" fontId="59" fillId="9" borderId="6" xfId="0" applyNumberFormat="1" applyFont="1" applyFill="1" applyBorder="1" applyAlignment="1">
      <alignment horizontal="center" vertical="center" wrapText="1"/>
    </xf>
    <xf numFmtId="1" fontId="59" fillId="9" borderId="8" xfId="0" applyNumberFormat="1" applyFont="1" applyFill="1" applyBorder="1" applyAlignment="1">
      <alignment horizontal="center" vertical="center" wrapText="1"/>
    </xf>
    <xf numFmtId="1" fontId="29" fillId="9" borderId="6" xfId="0" applyNumberFormat="1" applyFont="1" applyFill="1" applyBorder="1" applyAlignment="1">
      <alignment horizontal="center"/>
    </xf>
    <xf numFmtId="1" fontId="29" fillId="9" borderId="8" xfId="0" applyNumberFormat="1" applyFont="1" applyFill="1" applyBorder="1" applyAlignment="1">
      <alignment horizontal="center"/>
    </xf>
    <xf numFmtId="1" fontId="29" fillId="9" borderId="17" xfId="0" applyNumberFormat="1" applyFont="1" applyFill="1" applyBorder="1" applyAlignment="1">
      <alignment horizontal="center"/>
    </xf>
    <xf numFmtId="2" fontId="20" fillId="2" borderId="16" xfId="0" applyNumberFormat="1" applyFont="1" applyFill="1" applyBorder="1" applyAlignment="1">
      <alignment horizontal="center"/>
    </xf>
    <xf numFmtId="1" fontId="59" fillId="2" borderId="6" xfId="0" applyNumberFormat="1" applyFont="1" applyFill="1" applyBorder="1" applyAlignment="1">
      <alignment horizontal="center" vertical="center" wrapText="1"/>
    </xf>
    <xf numFmtId="1" fontId="59" fillId="2" borderId="8" xfId="0" applyNumberFormat="1" applyFont="1" applyFill="1" applyBorder="1" applyAlignment="1">
      <alignment horizontal="center" vertical="center" wrapText="1"/>
    </xf>
    <xf numFmtId="1" fontId="22" fillId="9" borderId="11" xfId="2" quotePrefix="1" applyNumberFormat="1" applyFont="1" applyFill="1" applyBorder="1" applyAlignment="1">
      <alignment horizontal="center" vertical="center" wrapText="1"/>
    </xf>
    <xf numFmtId="1" fontId="22" fillId="2" borderId="7" xfId="2" quotePrefix="1" applyNumberFormat="1" applyFont="1" applyFill="1" applyBorder="1" applyAlignment="1">
      <alignment horizontal="center" vertical="center" wrapText="1"/>
    </xf>
    <xf numFmtId="2" fontId="22" fillId="2" borderId="11" xfId="2" quotePrefix="1" applyNumberFormat="1" applyFont="1" applyFill="1" applyBorder="1" applyAlignment="1">
      <alignment horizontal="center" vertical="center" wrapText="1"/>
    </xf>
    <xf numFmtId="2" fontId="22" fillId="9" borderId="5" xfId="0" applyNumberFormat="1" applyFont="1" applyFill="1" applyBorder="1" applyAlignment="1">
      <alignment horizontal="center" vertical="center" wrapText="1"/>
    </xf>
    <xf numFmtId="0" fontId="12" fillId="8" borderId="5" xfId="0" applyFont="1" applyFill="1" applyBorder="1" applyAlignment="1">
      <alignment horizontal="center"/>
    </xf>
    <xf numFmtId="164" fontId="16" fillId="2" borderId="16" xfId="2" quotePrefix="1" applyNumberFormat="1" applyFont="1" applyFill="1" applyBorder="1" applyAlignment="1">
      <alignment horizontal="center" vertical="center" wrapText="1"/>
    </xf>
    <xf numFmtId="164" fontId="16" fillId="2" borderId="6" xfId="2" quotePrefix="1" applyNumberFormat="1" applyFont="1" applyFill="1" applyBorder="1" applyAlignment="1">
      <alignment horizontal="center" vertical="center" wrapText="1"/>
    </xf>
    <xf numFmtId="164" fontId="16" fillId="2" borderId="23" xfId="2" quotePrefix="1" applyNumberFormat="1" applyFont="1" applyFill="1" applyBorder="1" applyAlignment="1">
      <alignment horizontal="center" vertical="center" wrapText="1"/>
    </xf>
    <xf numFmtId="164" fontId="16" fillId="2" borderId="25" xfId="2" quotePrefix="1" applyNumberFormat="1" applyFont="1" applyFill="1" applyBorder="1" applyAlignment="1">
      <alignment horizontal="center" vertical="center" wrapText="1"/>
    </xf>
    <xf numFmtId="164" fontId="16" fillId="2" borderId="26" xfId="2" quotePrefix="1" applyNumberFormat="1" applyFont="1" applyFill="1" applyBorder="1" applyAlignment="1">
      <alignment horizontal="center" vertical="center" wrapText="1"/>
    </xf>
    <xf numFmtId="164" fontId="16" fillId="2" borderId="27" xfId="2" quotePrefix="1" applyNumberFormat="1" applyFont="1" applyFill="1" applyBorder="1" applyAlignment="1">
      <alignment horizontal="center" vertical="center" wrapText="1"/>
    </xf>
    <xf numFmtId="164" fontId="16" fillId="2" borderId="54" xfId="2" quotePrefix="1" applyNumberFormat="1" applyFont="1" applyFill="1" applyBorder="1" applyAlignment="1">
      <alignment horizontal="center" vertical="center" wrapText="1"/>
    </xf>
    <xf numFmtId="164" fontId="16" fillId="2" borderId="55" xfId="2" quotePrefix="1" applyNumberFormat="1" applyFont="1" applyFill="1" applyBorder="1" applyAlignment="1">
      <alignment horizontal="center" vertical="center" wrapText="1"/>
    </xf>
    <xf numFmtId="0" fontId="16" fillId="2" borderId="16" xfId="0" applyFont="1" applyFill="1" applyBorder="1" applyAlignment="1">
      <alignment horizontal="left" vertical="top" wrapText="1"/>
    </xf>
    <xf numFmtId="0" fontId="16" fillId="2" borderId="6" xfId="0" applyFont="1" applyFill="1" applyBorder="1" applyAlignment="1">
      <alignment horizontal="left" vertical="top" wrapText="1"/>
    </xf>
    <xf numFmtId="164" fontId="22" fillId="9" borderId="44" xfId="2" quotePrefix="1" applyNumberFormat="1" applyFont="1" applyFill="1" applyBorder="1" applyAlignment="1">
      <alignment horizontal="center" vertical="center" wrapText="1"/>
    </xf>
    <xf numFmtId="164" fontId="22" fillId="9" borderId="45" xfId="2" quotePrefix="1" applyNumberFormat="1" applyFont="1" applyFill="1" applyBorder="1" applyAlignment="1">
      <alignment horizontal="center" vertical="center" wrapText="1"/>
    </xf>
    <xf numFmtId="2" fontId="16" fillId="2" borderId="16" xfId="2" quotePrefix="1" applyNumberFormat="1" applyFont="1" applyFill="1" applyBorder="1" applyAlignment="1">
      <alignment horizontal="center" vertical="center" wrapText="1"/>
    </xf>
    <xf numFmtId="2" fontId="16" fillId="2" borderId="6" xfId="2" quotePrefix="1" applyNumberFormat="1" applyFont="1" applyFill="1" applyBorder="1" applyAlignment="1">
      <alignment horizontal="center" vertical="center" wrapText="1"/>
    </xf>
    <xf numFmtId="0" fontId="29" fillId="2" borderId="16" xfId="0" applyFont="1" applyFill="1" applyBorder="1" applyAlignment="1">
      <alignment horizontal="left" vertical="top" wrapText="1"/>
    </xf>
    <xf numFmtId="0" fontId="29" fillId="2" borderId="6" xfId="0" applyFont="1" applyFill="1" applyBorder="1" applyAlignment="1">
      <alignment horizontal="left" vertical="top" wrapText="1"/>
    </xf>
    <xf numFmtId="0" fontId="29" fillId="2" borderId="8" xfId="0" applyFont="1" applyFill="1" applyBorder="1" applyAlignment="1">
      <alignment horizontal="left" vertical="top" wrapText="1"/>
    </xf>
    <xf numFmtId="0" fontId="16" fillId="2" borderId="16" xfId="3" applyFont="1" applyFill="1" applyBorder="1" applyAlignment="1">
      <alignment horizontal="left" vertical="top" wrapText="1"/>
    </xf>
    <xf numFmtId="0" fontId="16" fillId="2" borderId="6" xfId="3" applyFont="1" applyFill="1" applyBorder="1" applyAlignment="1">
      <alignment horizontal="left" vertical="top" wrapText="1"/>
    </xf>
    <xf numFmtId="1" fontId="16" fillId="2" borderId="16" xfId="4" quotePrefix="1" applyNumberFormat="1" applyFont="1" applyFill="1" applyBorder="1" applyAlignment="1">
      <alignment horizontal="center" vertical="center" wrapText="1"/>
    </xf>
    <xf numFmtId="1" fontId="16" fillId="2" borderId="6" xfId="4" quotePrefix="1" applyNumberFormat="1" applyFont="1" applyFill="1" applyBorder="1" applyAlignment="1">
      <alignment horizontal="center" vertical="center" wrapText="1"/>
    </xf>
    <xf numFmtId="1" fontId="16" fillId="2" borderId="16" xfId="2" quotePrefix="1" applyNumberFormat="1" applyFont="1" applyFill="1" applyBorder="1" applyAlignment="1">
      <alignment horizontal="center" vertical="center" wrapText="1"/>
    </xf>
    <xf numFmtId="1" fontId="16" fillId="2" borderId="6" xfId="2" quotePrefix="1" applyNumberFormat="1" applyFont="1" applyFill="1" applyBorder="1" applyAlignment="1">
      <alignment horizontal="center" vertical="center" wrapText="1"/>
    </xf>
    <xf numFmtId="164" fontId="17" fillId="2" borderId="16" xfId="0" applyNumberFormat="1" applyFont="1" applyFill="1" applyBorder="1" applyAlignment="1">
      <alignment horizontal="center" vertical="center" wrapText="1"/>
    </xf>
    <xf numFmtId="164" fontId="17" fillId="2" borderId="6" xfId="0" applyNumberFormat="1" applyFont="1" applyFill="1" applyBorder="1" applyAlignment="1">
      <alignment horizontal="center" vertical="center" wrapText="1"/>
    </xf>
    <xf numFmtId="164" fontId="17" fillId="2" borderId="16" xfId="0" applyNumberFormat="1" applyFont="1" applyFill="1" applyBorder="1" applyAlignment="1">
      <alignment horizontal="center" vertical="center"/>
    </xf>
    <xf numFmtId="164" fontId="17" fillId="2" borderId="6" xfId="0" applyNumberFormat="1" applyFont="1" applyFill="1" applyBorder="1" applyAlignment="1">
      <alignment horizontal="center" vertical="center"/>
    </xf>
    <xf numFmtId="2" fontId="22" fillId="2" borderId="16" xfId="0" applyNumberFormat="1" applyFont="1" applyFill="1" applyBorder="1" applyAlignment="1">
      <alignment horizontal="center" vertical="center"/>
    </xf>
    <xf numFmtId="2" fontId="22" fillId="2" borderId="6" xfId="0" applyNumberFormat="1" applyFont="1" applyFill="1" applyBorder="1" applyAlignment="1">
      <alignment horizontal="center" vertical="center"/>
    </xf>
    <xf numFmtId="2" fontId="22" fillId="2" borderId="8" xfId="0" applyNumberFormat="1" applyFont="1" applyFill="1" applyBorder="1" applyAlignment="1">
      <alignment horizontal="center" vertical="center"/>
    </xf>
    <xf numFmtId="2" fontId="23" fillId="2" borderId="16" xfId="0" applyNumberFormat="1" applyFont="1" applyFill="1" applyBorder="1" applyAlignment="1">
      <alignment horizontal="center" vertical="center"/>
    </xf>
    <xf numFmtId="2" fontId="23" fillId="2" borderId="6" xfId="0" applyNumberFormat="1" applyFont="1" applyFill="1" applyBorder="1" applyAlignment="1">
      <alignment horizontal="center" vertical="center"/>
    </xf>
    <xf numFmtId="2" fontId="23" fillId="2" borderId="8" xfId="0" applyNumberFormat="1" applyFont="1" applyFill="1" applyBorder="1" applyAlignment="1">
      <alignment horizontal="center" vertical="center"/>
    </xf>
    <xf numFmtId="1" fontId="29" fillId="2" borderId="16" xfId="2" quotePrefix="1" applyNumberFormat="1" applyFont="1" applyFill="1" applyBorder="1" applyAlignment="1">
      <alignment horizontal="center" vertical="center" wrapText="1"/>
    </xf>
    <xf numFmtId="1" fontId="29" fillId="2" borderId="6" xfId="2" quotePrefix="1" applyNumberFormat="1" applyFont="1" applyFill="1" applyBorder="1" applyAlignment="1">
      <alignment horizontal="center" vertical="center" wrapText="1"/>
    </xf>
    <xf numFmtId="1" fontId="29" fillId="2" borderId="8" xfId="2" quotePrefix="1" applyNumberFormat="1" applyFont="1" applyFill="1" applyBorder="1" applyAlignment="1">
      <alignment horizontal="center" vertical="center" wrapText="1"/>
    </xf>
    <xf numFmtId="2" fontId="20" fillId="2" borderId="16" xfId="2" quotePrefix="1" applyNumberFormat="1" applyFont="1" applyFill="1" applyBorder="1" applyAlignment="1">
      <alignment horizontal="center" vertical="center" wrapText="1"/>
    </xf>
    <xf numFmtId="2" fontId="20" fillId="2" borderId="6" xfId="2" quotePrefix="1" applyNumberFormat="1" applyFont="1" applyFill="1" applyBorder="1" applyAlignment="1">
      <alignment horizontal="center" vertical="center" wrapText="1"/>
    </xf>
    <xf numFmtId="2" fontId="20" fillId="2" borderId="8" xfId="2" quotePrefix="1" applyNumberFormat="1" applyFont="1" applyFill="1" applyBorder="1" applyAlignment="1">
      <alignment horizontal="center" vertical="center" wrapText="1"/>
    </xf>
    <xf numFmtId="2" fontId="22" fillId="2" borderId="7" xfId="0" applyNumberFormat="1" applyFont="1" applyFill="1" applyBorder="1" applyAlignment="1">
      <alignment horizontal="center" vertical="center"/>
    </xf>
    <xf numFmtId="0" fontId="29" fillId="2" borderId="16" xfId="3" applyFont="1" applyFill="1" applyBorder="1" applyAlignment="1">
      <alignment horizontal="left" vertical="top" wrapText="1"/>
    </xf>
    <xf numFmtId="0" fontId="29" fillId="2" borderId="6" xfId="3" applyFont="1" applyFill="1" applyBorder="1" applyAlignment="1">
      <alignment horizontal="left" vertical="top" wrapText="1"/>
    </xf>
    <xf numFmtId="0" fontId="29" fillId="2" borderId="8" xfId="3" applyFont="1" applyFill="1" applyBorder="1" applyAlignment="1">
      <alignment horizontal="left" vertical="top" wrapText="1"/>
    </xf>
    <xf numFmtId="1" fontId="29" fillId="2" borderId="16" xfId="4" quotePrefix="1" applyNumberFormat="1" applyFont="1" applyFill="1" applyBorder="1" applyAlignment="1">
      <alignment horizontal="center" vertical="center" wrapText="1"/>
    </xf>
    <xf numFmtId="1" fontId="29" fillId="2" borderId="6" xfId="4" quotePrefix="1" applyNumberFormat="1" applyFont="1" applyFill="1" applyBorder="1" applyAlignment="1">
      <alignment horizontal="center" vertical="center" wrapText="1"/>
    </xf>
    <xf numFmtId="1" fontId="29" fillId="2" borderId="8" xfId="4" quotePrefix="1" applyNumberFormat="1" applyFont="1" applyFill="1" applyBorder="1" applyAlignment="1">
      <alignment horizontal="center" vertical="center" wrapText="1"/>
    </xf>
    <xf numFmtId="164" fontId="22" fillId="2" borderId="16" xfId="0" applyNumberFormat="1" applyFont="1" applyFill="1" applyBorder="1" applyAlignment="1">
      <alignment horizontal="center" vertical="center" wrapText="1"/>
    </xf>
    <xf numFmtId="164" fontId="22" fillId="2" borderId="6" xfId="0" applyNumberFormat="1" applyFont="1" applyFill="1" applyBorder="1" applyAlignment="1">
      <alignment horizontal="center" vertical="center" wrapText="1"/>
    </xf>
    <xf numFmtId="1" fontId="16" fillId="2" borderId="8" xfId="4" quotePrefix="1" applyNumberFormat="1" applyFont="1" applyFill="1" applyBorder="1" applyAlignment="1">
      <alignment horizontal="center" vertical="center" wrapText="1"/>
    </xf>
    <xf numFmtId="164" fontId="28" fillId="2" borderId="16" xfId="0" applyNumberFormat="1" applyFont="1" applyFill="1" applyBorder="1" applyAlignment="1">
      <alignment horizontal="center" vertical="center"/>
    </xf>
    <xf numFmtId="164" fontId="28" fillId="2" borderId="6" xfId="0" applyNumberFormat="1" applyFont="1" applyFill="1" applyBorder="1" applyAlignment="1">
      <alignment horizontal="center" vertical="center"/>
    </xf>
    <xf numFmtId="164" fontId="28" fillId="2" borderId="8" xfId="0" applyNumberFormat="1" applyFont="1" applyFill="1" applyBorder="1" applyAlignment="1">
      <alignment horizontal="center" vertical="center"/>
    </xf>
    <xf numFmtId="164" fontId="28" fillId="9" borderId="16" xfId="0" applyNumberFormat="1" applyFont="1" applyFill="1" applyBorder="1" applyAlignment="1">
      <alignment horizontal="center" vertical="center"/>
    </xf>
    <xf numFmtId="164" fontId="28" fillId="9" borderId="6" xfId="0" applyNumberFormat="1" applyFont="1" applyFill="1" applyBorder="1" applyAlignment="1">
      <alignment horizontal="center" vertical="center"/>
    </xf>
    <xf numFmtId="164" fontId="28" fillId="9" borderId="11" xfId="0" applyNumberFormat="1" applyFont="1" applyFill="1" applyBorder="1" applyAlignment="1">
      <alignment horizontal="center" vertical="center"/>
    </xf>
    <xf numFmtId="0" fontId="29" fillId="2" borderId="7" xfId="3" applyFont="1" applyFill="1" applyBorder="1" applyAlignment="1">
      <alignment horizontal="right" vertical="top" wrapText="1"/>
    </xf>
    <xf numFmtId="0" fontId="29" fillId="2" borderId="6" xfId="3" applyFont="1" applyFill="1" applyBorder="1" applyAlignment="1">
      <alignment horizontal="right" vertical="top" wrapText="1"/>
    </xf>
    <xf numFmtId="164" fontId="22" fillId="2" borderId="7" xfId="0" applyNumberFormat="1" applyFont="1" applyFill="1" applyBorder="1" applyAlignment="1">
      <alignment horizontal="center" vertical="center"/>
    </xf>
    <xf numFmtId="1" fontId="28" fillId="2" borderId="16" xfId="0" applyNumberFormat="1" applyFont="1" applyFill="1" applyBorder="1" applyAlignment="1">
      <alignment horizontal="center"/>
    </xf>
    <xf numFmtId="1" fontId="28" fillId="2" borderId="11" xfId="0" applyNumberFormat="1" applyFont="1" applyFill="1" applyBorder="1" applyAlignment="1">
      <alignment horizontal="center"/>
    </xf>
    <xf numFmtId="164" fontId="22" fillId="9" borderId="7" xfId="0" applyNumberFormat="1" applyFont="1" applyFill="1" applyBorder="1" applyAlignment="1">
      <alignment horizontal="center" vertical="center"/>
    </xf>
    <xf numFmtId="2" fontId="22" fillId="9" borderId="6" xfId="0" applyNumberFormat="1" applyFont="1" applyFill="1" applyBorder="1" applyAlignment="1">
      <alignment horizontal="center" vertical="center"/>
    </xf>
    <xf numFmtId="2" fontId="22" fillId="9" borderId="8" xfId="0" applyNumberFormat="1" applyFont="1" applyFill="1" applyBorder="1" applyAlignment="1">
      <alignment horizontal="center" vertical="center"/>
    </xf>
    <xf numFmtId="1" fontId="28" fillId="2" borderId="6" xfId="0" applyNumberFormat="1" applyFont="1" applyFill="1" applyBorder="1" applyAlignment="1">
      <alignment horizontal="center"/>
    </xf>
    <xf numFmtId="165" fontId="23" fillId="2" borderId="6" xfId="2" applyNumberFormat="1" applyFont="1" applyFill="1" applyBorder="1" applyAlignment="1">
      <alignment horizontal="center" vertical="center" wrapText="1"/>
    </xf>
    <xf numFmtId="165" fontId="23" fillId="2" borderId="8" xfId="2" applyNumberFormat="1" applyFont="1" applyFill="1" applyBorder="1" applyAlignment="1">
      <alignment horizontal="center" vertical="center" wrapText="1"/>
    </xf>
    <xf numFmtId="164" fontId="22" fillId="2" borderId="16" xfId="2" quotePrefix="1" applyNumberFormat="1" applyFont="1" applyFill="1" applyBorder="1" applyAlignment="1">
      <alignment horizontal="center" vertical="center" wrapText="1"/>
    </xf>
    <xf numFmtId="2" fontId="23" fillId="2" borderId="8" xfId="2" quotePrefix="1" applyNumberFormat="1" applyFont="1" applyFill="1" applyBorder="1" applyAlignment="1">
      <alignment horizontal="center" vertical="center" wrapText="1"/>
    </xf>
    <xf numFmtId="2" fontId="16" fillId="2" borderId="8" xfId="2" quotePrefix="1" applyNumberFormat="1" applyFont="1" applyFill="1" applyBorder="1" applyAlignment="1">
      <alignment horizontal="center" vertical="center" wrapText="1"/>
    </xf>
    <xf numFmtId="165" fontId="20" fillId="2" borderId="16" xfId="2" applyNumberFormat="1" applyFont="1" applyFill="1" applyBorder="1" applyAlignment="1">
      <alignment horizontal="center" vertical="center" wrapText="1"/>
    </xf>
    <xf numFmtId="0" fontId="24" fillId="2" borderId="16" xfId="0" applyFont="1" applyFill="1" applyBorder="1" applyAlignment="1">
      <alignment horizontal="left" vertical="top" wrapText="1"/>
    </xf>
    <xf numFmtId="0" fontId="24" fillId="2" borderId="6" xfId="0" applyFont="1" applyFill="1" applyBorder="1" applyAlignment="1">
      <alignment horizontal="left" vertical="top" wrapText="1"/>
    </xf>
    <xf numFmtId="2" fontId="59" fillId="2" borderId="6" xfId="2" quotePrefix="1" applyNumberFormat="1" applyFont="1" applyFill="1" applyBorder="1" applyAlignment="1">
      <alignment horizontal="center" vertical="center" wrapText="1"/>
    </xf>
    <xf numFmtId="1" fontId="26" fillId="2" borderId="16" xfId="0" applyNumberFormat="1" applyFont="1" applyFill="1" applyBorder="1" applyAlignment="1">
      <alignment horizontal="center" wrapText="1"/>
    </xf>
    <xf numFmtId="1" fontId="26" fillId="2" borderId="6" xfId="0" applyNumberFormat="1" applyFont="1" applyFill="1" applyBorder="1" applyAlignment="1">
      <alignment horizontal="center" wrapText="1"/>
    </xf>
    <xf numFmtId="1" fontId="26" fillId="2" borderId="8" xfId="0" applyNumberFormat="1" applyFont="1" applyFill="1" applyBorder="1" applyAlignment="1">
      <alignment horizontal="center" wrapText="1"/>
    </xf>
    <xf numFmtId="2" fontId="20" fillId="2" borderId="16" xfId="0" quotePrefix="1" applyNumberFormat="1" applyFont="1" applyFill="1" applyBorder="1" applyAlignment="1">
      <alignment horizontal="center" vertical="center" wrapText="1"/>
    </xf>
    <xf numFmtId="2" fontId="20" fillId="2" borderId="8" xfId="0" applyNumberFormat="1" applyFont="1" applyFill="1" applyBorder="1" applyAlignment="1">
      <alignment horizontal="center" vertical="center" wrapText="1"/>
    </xf>
    <xf numFmtId="2" fontId="20" fillId="2" borderId="52" xfId="0" applyNumberFormat="1" applyFont="1" applyFill="1" applyBorder="1" applyAlignment="1">
      <alignment horizontal="center"/>
    </xf>
    <xf numFmtId="2" fontId="20" fillId="2" borderId="53" xfId="0" applyNumberFormat="1" applyFont="1" applyFill="1" applyBorder="1" applyAlignment="1">
      <alignment horizontal="center"/>
    </xf>
    <xf numFmtId="2" fontId="29" fillId="2" borderId="52" xfId="0" applyNumberFormat="1" applyFont="1" applyFill="1" applyBorder="1" applyAlignment="1">
      <alignment horizontal="center"/>
    </xf>
    <xf numFmtId="2" fontId="29" fillId="2" borderId="53" xfId="0" applyNumberFormat="1" applyFont="1" applyFill="1" applyBorder="1" applyAlignment="1">
      <alignment horizontal="center"/>
    </xf>
    <xf numFmtId="1" fontId="22" fillId="2" borderId="16" xfId="2" quotePrefix="1" applyNumberFormat="1" applyFont="1" applyFill="1" applyBorder="1" applyAlignment="1">
      <alignment horizontal="center" vertical="center" wrapText="1"/>
    </xf>
    <xf numFmtId="0" fontId="12" fillId="8" borderId="51" xfId="0" applyFont="1" applyFill="1" applyBorder="1" applyAlignment="1">
      <alignment horizontal="center"/>
    </xf>
    <xf numFmtId="1" fontId="20" fillId="2" borderId="17" xfId="0" applyNumberFormat="1" applyFont="1" applyFill="1" applyBorder="1" applyAlignment="1">
      <alignment horizontal="center"/>
    </xf>
    <xf numFmtId="2" fontId="16" fillId="2" borderId="52" xfId="0" applyNumberFormat="1" applyFont="1" applyFill="1" applyBorder="1" applyAlignment="1">
      <alignment horizontal="center"/>
    </xf>
    <xf numFmtId="2" fontId="16" fillId="2" borderId="53" xfId="0" applyNumberFormat="1" applyFont="1" applyFill="1" applyBorder="1" applyAlignment="1">
      <alignment horizontal="center"/>
    </xf>
    <xf numFmtId="1" fontId="16" fillId="2" borderId="16" xfId="0" applyNumberFormat="1" applyFont="1" applyFill="1" applyBorder="1" applyAlignment="1">
      <alignment horizontal="center"/>
    </xf>
    <xf numFmtId="1" fontId="16" fillId="2" borderId="6" xfId="0" applyNumberFormat="1" applyFont="1" applyFill="1" applyBorder="1" applyAlignment="1">
      <alignment horizontal="center"/>
    </xf>
    <xf numFmtId="1" fontId="16" fillId="2" borderId="11" xfId="0" applyNumberFormat="1" applyFont="1" applyFill="1" applyBorder="1" applyAlignment="1">
      <alignment horizontal="center"/>
    </xf>
    <xf numFmtId="0" fontId="24" fillId="9" borderId="7" xfId="3" applyFont="1" applyFill="1" applyBorder="1" applyAlignment="1">
      <alignment horizontal="left" vertical="top" wrapText="1"/>
    </xf>
    <xf numFmtId="0" fontId="24" fillId="9" borderId="6" xfId="3" applyFont="1" applyFill="1" applyBorder="1" applyAlignment="1">
      <alignment horizontal="left" vertical="top" wrapText="1"/>
    </xf>
    <xf numFmtId="0" fontId="24" fillId="9" borderId="50" xfId="3" applyFont="1" applyFill="1" applyBorder="1" applyAlignment="1">
      <alignment horizontal="left" vertical="top" wrapText="1"/>
    </xf>
    <xf numFmtId="1" fontId="20" fillId="9" borderId="7" xfId="0" applyNumberFormat="1" applyFont="1" applyFill="1" applyBorder="1" applyAlignment="1">
      <alignment horizontal="center" vertical="center" wrapText="1"/>
    </xf>
    <xf numFmtId="1" fontId="9" fillId="9" borderId="6" xfId="0" quotePrefix="1" applyNumberFormat="1" applyFont="1" applyFill="1" applyBorder="1" applyAlignment="1">
      <alignment horizontal="center" wrapText="1"/>
    </xf>
    <xf numFmtId="1" fontId="22" fillId="9" borderId="6" xfId="0" applyNumberFormat="1" applyFont="1" applyFill="1" applyBorder="1" applyAlignment="1">
      <alignment horizontal="center" vertical="center" wrapText="1"/>
    </xf>
    <xf numFmtId="1" fontId="9" fillId="9" borderId="50" xfId="0" quotePrefix="1" applyNumberFormat="1" applyFont="1" applyFill="1" applyBorder="1" applyAlignment="1">
      <alignment horizontal="center" wrapText="1"/>
    </xf>
    <xf numFmtId="0" fontId="24" fillId="9" borderId="7" xfId="3" applyFont="1" applyFill="1" applyBorder="1" applyAlignment="1">
      <alignment horizontal="left" vertical="center" wrapText="1"/>
    </xf>
    <xf numFmtId="0" fontId="24" fillId="9" borderId="11" xfId="3" applyFont="1" applyFill="1" applyBorder="1" applyAlignment="1">
      <alignment horizontal="left" vertical="center" wrapText="1"/>
    </xf>
    <xf numFmtId="164" fontId="22" fillId="9" borderId="7" xfId="0" applyNumberFormat="1" applyFont="1" applyFill="1" applyBorder="1" applyAlignment="1">
      <alignment horizontal="center" vertical="center" wrapText="1"/>
    </xf>
    <xf numFmtId="0" fontId="24" fillId="9" borderId="7" xfId="0" applyFont="1" applyFill="1" applyBorder="1" applyAlignment="1">
      <alignment horizontal="left" vertical="center" wrapText="1"/>
    </xf>
    <xf numFmtId="0" fontId="24" fillId="9" borderId="11" xfId="0" applyFont="1" applyFill="1" applyBorder="1" applyAlignment="1">
      <alignment horizontal="left" vertical="center" wrapText="1"/>
    </xf>
    <xf numFmtId="164" fontId="59" fillId="9" borderId="49" xfId="0" applyNumberFormat="1" applyFont="1" applyFill="1" applyBorder="1" applyAlignment="1">
      <alignment horizontal="center" vertical="center" wrapText="1"/>
    </xf>
    <xf numFmtId="0" fontId="24" fillId="2" borderId="7" xfId="3" applyFont="1" applyFill="1" applyBorder="1" applyAlignment="1">
      <alignment horizontal="left" vertical="top" wrapText="1"/>
    </xf>
    <xf numFmtId="0" fontId="24" fillId="2" borderId="8" xfId="3" applyFont="1" applyFill="1" applyBorder="1" applyAlignment="1">
      <alignment horizontal="left" vertical="top" wrapText="1"/>
    </xf>
    <xf numFmtId="1" fontId="20" fillId="2" borderId="7" xfId="0" applyNumberFormat="1" applyFont="1" applyFill="1" applyBorder="1" applyAlignment="1">
      <alignment horizontal="center" vertical="center" wrapText="1"/>
    </xf>
    <xf numFmtId="0" fontId="24" fillId="2" borderId="7" xfId="0" applyFont="1" applyFill="1" applyBorder="1" applyAlignment="1">
      <alignment horizontal="left" vertical="top" wrapText="1"/>
    </xf>
    <xf numFmtId="0" fontId="24" fillId="2" borderId="8" xfId="0" applyFont="1" applyFill="1" applyBorder="1" applyAlignment="1">
      <alignment horizontal="left" vertical="top" wrapText="1"/>
    </xf>
    <xf numFmtId="1" fontId="9" fillId="2" borderId="6" xfId="0" quotePrefix="1" applyNumberFormat="1" applyFont="1" applyFill="1" applyBorder="1" applyAlignment="1">
      <alignment horizontal="center" wrapText="1"/>
    </xf>
    <xf numFmtId="1" fontId="22" fillId="2" borderId="6" xfId="0" applyNumberFormat="1" applyFont="1" applyFill="1" applyBorder="1" applyAlignment="1">
      <alignment horizontal="center" vertical="center" wrapText="1"/>
    </xf>
    <xf numFmtId="1" fontId="9" fillId="2" borderId="8" xfId="0" quotePrefix="1" applyNumberFormat="1" applyFont="1" applyFill="1" applyBorder="1" applyAlignment="1">
      <alignment horizontal="center" wrapText="1"/>
    </xf>
    <xf numFmtId="164" fontId="22" fillId="9" borderId="48" xfId="0" applyNumberFormat="1" applyFont="1" applyFill="1" applyBorder="1" applyAlignment="1">
      <alignment horizontal="center" vertical="center" wrapText="1"/>
    </xf>
    <xf numFmtId="2" fontId="17" fillId="9" borderId="6" xfId="2" quotePrefix="1" applyNumberFormat="1" applyFont="1" applyFill="1" applyBorder="1" applyAlignment="1">
      <alignment horizontal="center" wrapText="1"/>
    </xf>
    <xf numFmtId="2" fontId="17" fillId="9" borderId="11" xfId="2" quotePrefix="1" applyNumberFormat="1" applyFont="1" applyFill="1" applyBorder="1" applyAlignment="1">
      <alignment horizontal="center" wrapText="1"/>
    </xf>
    <xf numFmtId="2" fontId="20" fillId="9" borderId="7" xfId="0" applyNumberFormat="1" applyFont="1" applyFill="1" applyBorder="1" applyAlignment="1">
      <alignment horizontal="center" vertical="center" wrapText="1"/>
    </xf>
    <xf numFmtId="0" fontId="24" fillId="9" borderId="7" xfId="0" applyFont="1" applyFill="1" applyBorder="1" applyAlignment="1">
      <alignment horizontal="left" vertical="top" wrapText="1"/>
    </xf>
    <xf numFmtId="0" fontId="24" fillId="9" borderId="6" xfId="0" applyFont="1" applyFill="1" applyBorder="1" applyAlignment="1">
      <alignment horizontal="left" vertical="top" wrapText="1"/>
    </xf>
    <xf numFmtId="2" fontId="22" fillId="9" borderId="6" xfId="0" applyNumberFormat="1" applyFont="1" applyFill="1" applyBorder="1" applyAlignment="1">
      <alignment horizontal="center" vertical="center" wrapText="1"/>
    </xf>
    <xf numFmtId="2" fontId="22" fillId="9" borderId="8" xfId="0" applyNumberFormat="1" applyFont="1" applyFill="1" applyBorder="1" applyAlignment="1">
      <alignment horizontal="center" vertical="center" wrapText="1"/>
    </xf>
    <xf numFmtId="2" fontId="17" fillId="9" borderId="16" xfId="2" quotePrefix="1" applyNumberFormat="1" applyFont="1" applyFill="1" applyBorder="1" applyAlignment="1">
      <alignment horizontal="center" wrapText="1"/>
    </xf>
    <xf numFmtId="1" fontId="16" fillId="2" borderId="8" xfId="0" applyNumberFormat="1" applyFont="1" applyFill="1" applyBorder="1" applyAlignment="1">
      <alignment horizontal="center"/>
    </xf>
    <xf numFmtId="2" fontId="36" fillId="2" borderId="9" xfId="0" applyNumberFormat="1" applyFont="1" applyFill="1" applyBorder="1" applyAlignment="1">
      <alignment horizontal="center" vertical="center" wrapText="1"/>
    </xf>
    <xf numFmtId="1" fontId="16" fillId="2" borderId="10" xfId="0" applyNumberFormat="1" applyFont="1" applyFill="1" applyBorder="1" applyAlignment="1">
      <alignment horizontal="center"/>
    </xf>
    <xf numFmtId="1" fontId="24" fillId="0" borderId="47" xfId="3" quotePrefix="1" applyNumberFormat="1" applyFont="1" applyBorder="1" applyAlignment="1">
      <alignment horizontal="right" vertical="center" wrapText="1"/>
    </xf>
    <xf numFmtId="2" fontId="20" fillId="2" borderId="7" xfId="0" applyNumberFormat="1" applyFont="1" applyFill="1" applyBorder="1" applyAlignment="1">
      <alignment horizontal="center" vertical="center" wrapText="1"/>
    </xf>
    <xf numFmtId="1" fontId="25" fillId="2" borderId="6" xfId="0" applyNumberFormat="1" applyFont="1" applyFill="1" applyBorder="1" applyAlignment="1">
      <alignment horizontal="center" vertical="center" wrapText="1"/>
    </xf>
    <xf numFmtId="1" fontId="25" fillId="2" borderId="8" xfId="0" applyNumberFormat="1" applyFont="1" applyFill="1" applyBorder="1" applyAlignment="1">
      <alignment horizontal="center" vertical="center" wrapText="1"/>
    </xf>
    <xf numFmtId="1" fontId="23" fillId="0" borderId="7" xfId="0" quotePrefix="1" applyNumberFormat="1" applyFont="1" applyBorder="1" applyAlignment="1">
      <alignment horizontal="center" vertical="center"/>
    </xf>
    <xf numFmtId="1" fontId="23" fillId="0" borderId="12" xfId="0" quotePrefix="1" applyNumberFormat="1" applyFont="1" applyBorder="1" applyAlignment="1">
      <alignment horizontal="center" vertical="center"/>
    </xf>
    <xf numFmtId="0" fontId="24" fillId="0" borderId="13" xfId="3" applyFont="1" applyBorder="1" applyAlignment="1">
      <alignment horizontal="left" vertical="top" wrapText="1"/>
    </xf>
    <xf numFmtId="0" fontId="24" fillId="0" borderId="21" xfId="3" applyFont="1" applyBorder="1" applyAlignment="1">
      <alignment horizontal="left" vertical="top" wrapText="1"/>
    </xf>
    <xf numFmtId="0" fontId="24" fillId="0" borderId="15" xfId="3" applyFont="1" applyBorder="1" applyAlignment="1">
      <alignment horizontal="left" vertical="top" wrapText="1"/>
    </xf>
    <xf numFmtId="1" fontId="23" fillId="0" borderId="14" xfId="0" quotePrefix="1" applyNumberFormat="1" applyFont="1" applyBorder="1" applyAlignment="1">
      <alignment horizontal="center" vertical="center"/>
    </xf>
    <xf numFmtId="1" fontId="23" fillId="0" borderId="11" xfId="0" quotePrefix="1" applyNumberFormat="1" applyFont="1" applyBorder="1" applyAlignment="1">
      <alignment horizontal="center" vertical="center"/>
    </xf>
    <xf numFmtId="1" fontId="24" fillId="0" borderId="7" xfId="3" quotePrefix="1" applyNumberFormat="1" applyFont="1" applyBorder="1" applyAlignment="1">
      <alignment horizontal="center" vertical="center" wrapText="1"/>
    </xf>
    <xf numFmtId="1" fontId="24" fillId="0" borderId="6" xfId="3" quotePrefix="1" applyNumberFormat="1" applyFont="1" applyBorder="1" applyAlignment="1">
      <alignment horizontal="center" vertical="center" wrapText="1"/>
    </xf>
    <xf numFmtId="1" fontId="24" fillId="0" borderId="46" xfId="3" quotePrefix="1" applyNumberFormat="1" applyFont="1" applyBorder="1" applyAlignment="1">
      <alignment horizontal="center" vertical="center" wrapText="1"/>
    </xf>
    <xf numFmtId="1" fontId="23" fillId="9" borderId="6" xfId="0" applyNumberFormat="1" applyFont="1" applyFill="1" applyBorder="1" applyAlignment="1">
      <alignment horizontal="center" vertical="center"/>
    </xf>
    <xf numFmtId="1" fontId="23" fillId="9" borderId="11" xfId="0" applyNumberFormat="1" applyFont="1" applyFill="1" applyBorder="1" applyAlignment="1">
      <alignment horizontal="center" vertical="center"/>
    </xf>
    <xf numFmtId="0" fontId="24" fillId="9" borderId="21" xfId="3" applyFont="1" applyFill="1" applyBorder="1" applyAlignment="1">
      <alignment horizontal="left" vertical="top" wrapText="1"/>
    </xf>
    <xf numFmtId="0" fontId="24" fillId="9" borderId="14" xfId="3" applyFont="1" applyFill="1" applyBorder="1" applyAlignment="1">
      <alignment horizontal="left" vertical="top" wrapText="1"/>
    </xf>
    <xf numFmtId="1" fontId="24" fillId="0" borderId="7" xfId="3" quotePrefix="1" applyNumberFormat="1" applyFont="1" applyBorder="1" applyAlignment="1">
      <alignment horizontal="center" vertical="center"/>
    </xf>
    <xf numFmtId="1" fontId="24" fillId="0" borderId="6" xfId="3" quotePrefix="1" applyNumberFormat="1" applyFont="1" applyBorder="1" applyAlignment="1">
      <alignment horizontal="center" vertical="center"/>
    </xf>
    <xf numFmtId="1" fontId="24" fillId="0" borderId="11" xfId="3" quotePrefix="1" applyNumberFormat="1" applyFont="1" applyBorder="1" applyAlignment="1">
      <alignment horizontal="center" vertical="center"/>
    </xf>
    <xf numFmtId="1" fontId="23" fillId="9" borderId="7" xfId="0" applyNumberFormat="1" applyFont="1" applyFill="1" applyBorder="1" applyAlignment="1">
      <alignment horizontal="center" vertical="center"/>
    </xf>
    <xf numFmtId="1" fontId="23" fillId="9" borderId="8" xfId="0" applyNumberFormat="1" applyFont="1" applyFill="1" applyBorder="1" applyAlignment="1">
      <alignment horizontal="center" vertical="center"/>
    </xf>
    <xf numFmtId="0" fontId="24" fillId="9" borderId="13" xfId="3" applyFont="1" applyFill="1" applyBorder="1" applyAlignment="1">
      <alignment horizontal="left" vertical="top" wrapText="1"/>
    </xf>
    <xf numFmtId="1" fontId="23" fillId="9" borderId="16" xfId="0" applyNumberFormat="1" applyFont="1" applyFill="1" applyBorder="1" applyAlignment="1">
      <alignment horizontal="center" vertical="center"/>
    </xf>
    <xf numFmtId="164" fontId="24" fillId="9" borderId="7" xfId="3" quotePrefix="1" applyNumberFormat="1" applyFont="1" applyFill="1" applyBorder="1" applyAlignment="1">
      <alignment horizontal="center" vertical="center"/>
    </xf>
    <xf numFmtId="164" fontId="24" fillId="9" borderId="6" xfId="3" quotePrefix="1" applyNumberFormat="1" applyFont="1" applyFill="1" applyBorder="1" applyAlignment="1">
      <alignment horizontal="center" vertical="center"/>
    </xf>
    <xf numFmtId="1" fontId="28" fillId="9" borderId="16" xfId="0" applyNumberFormat="1" applyFont="1" applyFill="1" applyBorder="1" applyAlignment="1">
      <alignment horizontal="center"/>
    </xf>
    <xf numFmtId="0" fontId="24" fillId="0" borderId="7" xfId="3" applyFont="1" applyBorder="1" applyAlignment="1">
      <alignment horizontal="left" vertical="top" wrapText="1"/>
    </xf>
    <xf numFmtId="0" fontId="24" fillId="0" borderId="6" xfId="3" applyFont="1" applyBorder="1" applyAlignment="1">
      <alignment horizontal="left" vertical="top" wrapText="1"/>
    </xf>
    <xf numFmtId="2" fontId="23" fillId="0" borderId="7" xfId="0" applyNumberFormat="1" applyFont="1" applyBorder="1" applyAlignment="1">
      <alignment horizontal="center" vertical="center" wrapText="1"/>
    </xf>
    <xf numFmtId="164" fontId="23" fillId="0" borderId="11" xfId="0" applyNumberFormat="1" applyFont="1" applyBorder="1" applyAlignment="1">
      <alignment horizontal="center" vertical="center"/>
    </xf>
    <xf numFmtId="1" fontId="23" fillId="2" borderId="7" xfId="0" applyNumberFormat="1" applyFont="1" applyFill="1" applyBorder="1" applyAlignment="1">
      <alignment horizontal="center" vertical="center" wrapText="1"/>
    </xf>
    <xf numFmtId="1" fontId="23" fillId="2" borderId="8" xfId="0" applyNumberFormat="1" applyFont="1" applyFill="1" applyBorder="1" applyAlignment="1">
      <alignment horizontal="center" vertical="center"/>
    </xf>
    <xf numFmtId="1" fontId="32" fillId="9" borderId="44" xfId="0" applyNumberFormat="1" applyFont="1" applyFill="1" applyBorder="1" applyAlignment="1">
      <alignment horizontal="center" vertical="center"/>
    </xf>
    <xf numFmtId="1" fontId="32" fillId="9" borderId="45" xfId="0" applyNumberFormat="1" applyFont="1" applyFill="1" applyBorder="1" applyAlignment="1">
      <alignment horizontal="center" vertical="center"/>
    </xf>
    <xf numFmtId="9" fontId="28" fillId="9" borderId="11" xfId="2" applyFont="1" applyFill="1" applyBorder="1" applyAlignment="1">
      <alignment horizontal="center" vertical="center"/>
    </xf>
    <xf numFmtId="2" fontId="25" fillId="2" borderId="5" xfId="2" applyNumberFormat="1" applyFont="1" applyFill="1" applyBorder="1" applyAlignment="1">
      <alignment horizontal="center" vertical="center"/>
    </xf>
    <xf numFmtId="2" fontId="23" fillId="9" borderId="7" xfId="0" applyNumberFormat="1" applyFont="1" applyFill="1" applyBorder="1" applyAlignment="1">
      <alignment horizontal="center" vertical="center"/>
    </xf>
    <xf numFmtId="2" fontId="23" fillId="9" borderId="8" xfId="0" applyNumberFormat="1" applyFont="1" applyFill="1" applyBorder="1" applyAlignment="1">
      <alignment horizontal="center" vertical="center"/>
    </xf>
    <xf numFmtId="1" fontId="28" fillId="9" borderId="11" xfId="0" applyNumberFormat="1" applyFont="1" applyFill="1" applyBorder="1" applyAlignment="1">
      <alignment horizontal="center"/>
    </xf>
    <xf numFmtId="1" fontId="23" fillId="9" borderId="7" xfId="2" applyNumberFormat="1" applyFont="1" applyFill="1" applyBorder="1" applyAlignment="1">
      <alignment horizontal="center" vertical="center"/>
    </xf>
    <xf numFmtId="1" fontId="23" fillId="9" borderId="8" xfId="2" applyNumberFormat="1" applyFont="1" applyFill="1" applyBorder="1" applyAlignment="1">
      <alignment horizontal="center" vertical="center"/>
    </xf>
    <xf numFmtId="1" fontId="28" fillId="9" borderId="16" xfId="2" applyNumberFormat="1" applyFont="1" applyFill="1" applyBorder="1" applyAlignment="1">
      <alignment horizontal="center" vertical="center"/>
    </xf>
    <xf numFmtId="1" fontId="28" fillId="9" borderId="16" xfId="0" applyNumberFormat="1" applyFont="1" applyFill="1" applyBorder="1" applyAlignment="1">
      <alignment horizontal="center" vertical="center"/>
    </xf>
    <xf numFmtId="1" fontId="28" fillId="9" borderId="6" xfId="0" applyNumberFormat="1" applyFont="1" applyFill="1" applyBorder="1" applyAlignment="1">
      <alignment horizontal="center" vertical="center"/>
    </xf>
    <xf numFmtId="1" fontId="28" fillId="9" borderId="11" xfId="0" applyNumberFormat="1" applyFont="1" applyFill="1" applyBorder="1" applyAlignment="1">
      <alignment horizontal="center" vertical="center"/>
    </xf>
    <xf numFmtId="1" fontId="23" fillId="2" borderId="7" xfId="0" applyNumberFormat="1" applyFont="1" applyFill="1" applyBorder="1" applyAlignment="1">
      <alignment horizontal="center" vertical="center"/>
    </xf>
    <xf numFmtId="1" fontId="23" fillId="2" borderId="6" xfId="0" applyNumberFormat="1" applyFont="1" applyFill="1" applyBorder="1" applyAlignment="1">
      <alignment horizontal="center" vertical="center"/>
    </xf>
    <xf numFmtId="164" fontId="23" fillId="2" borderId="8" xfId="0" applyNumberFormat="1" applyFont="1" applyFill="1" applyBorder="1" applyAlignment="1">
      <alignment horizontal="center" vertical="center"/>
    </xf>
    <xf numFmtId="1" fontId="28" fillId="2" borderId="11" xfId="0" applyNumberFormat="1" applyFont="1" applyFill="1" applyBorder="1" applyAlignment="1">
      <alignment horizontal="center" vertical="center"/>
    </xf>
    <xf numFmtId="1" fontId="23" fillId="9" borderId="7" xfId="0" quotePrefix="1" applyNumberFormat="1" applyFont="1" applyFill="1" applyBorder="1" applyAlignment="1">
      <alignment horizontal="center" vertical="center"/>
    </xf>
    <xf numFmtId="1" fontId="23" fillId="9" borderId="8" xfId="0" quotePrefix="1" applyNumberFormat="1" applyFont="1" applyFill="1" applyBorder="1" applyAlignment="1">
      <alignment horizontal="center" vertical="center"/>
    </xf>
    <xf numFmtId="1" fontId="20" fillId="0" borderId="7" xfId="0" applyNumberFormat="1" applyFont="1" applyBorder="1" applyAlignment="1">
      <alignment horizontal="center" vertical="center" wrapText="1"/>
    </xf>
    <xf numFmtId="165" fontId="23" fillId="2" borderId="16" xfId="0" applyNumberFormat="1" applyFont="1" applyFill="1" applyBorder="1" applyAlignment="1">
      <alignment horizontal="center"/>
    </xf>
    <xf numFmtId="0" fontId="12" fillId="8" borderId="11" xfId="0" applyFont="1" applyFill="1" applyBorder="1" applyAlignment="1">
      <alignment horizontal="center"/>
    </xf>
    <xf numFmtId="1" fontId="28" fillId="2" borderId="16" xfId="0" applyNumberFormat="1" applyFont="1" applyFill="1" applyBorder="1" applyAlignment="1">
      <alignment horizontal="center" vertical="center"/>
    </xf>
    <xf numFmtId="165" fontId="12" fillId="4" borderId="5" xfId="0" applyNumberFormat="1" applyFont="1" applyFill="1" applyBorder="1" applyAlignment="1">
      <alignment horizontal="center"/>
    </xf>
    <xf numFmtId="165" fontId="23" fillId="2" borderId="8" xfId="0" applyNumberFormat="1" applyFont="1" applyFill="1" applyBorder="1" applyAlignment="1">
      <alignment horizontal="center"/>
    </xf>
    <xf numFmtId="165" fontId="23" fillId="2" borderId="9" xfId="0" applyNumberFormat="1" applyFont="1" applyFill="1" applyBorder="1" applyAlignment="1">
      <alignment horizontal="center"/>
    </xf>
    <xf numFmtId="0" fontId="24" fillId="2" borderId="9" xfId="0" applyFont="1" applyFill="1" applyBorder="1" applyAlignment="1">
      <alignment horizontal="center"/>
    </xf>
    <xf numFmtId="9" fontId="71" fillId="7" borderId="11" xfId="0" applyNumberFormat="1" applyFont="1" applyFill="1" applyBorder="1" applyAlignment="1">
      <alignment horizontal="center"/>
    </xf>
    <xf numFmtId="0" fontId="24" fillId="5" borderId="13" xfId="0" applyFont="1" applyFill="1" applyBorder="1" applyAlignment="1">
      <alignment horizontal="center"/>
    </xf>
    <xf numFmtId="3" fontId="23" fillId="5" borderId="14" xfId="0" applyNumberFormat="1" applyFont="1" applyFill="1" applyBorder="1" applyAlignment="1">
      <alignment horizontal="center" vertical="center"/>
    </xf>
    <xf numFmtId="0" fontId="24" fillId="5" borderId="12" xfId="0" applyFont="1" applyFill="1" applyBorder="1" applyAlignment="1">
      <alignment horizontal="center"/>
    </xf>
    <xf numFmtId="0" fontId="19" fillId="5" borderId="6" xfId="0" applyFont="1" applyFill="1" applyBorder="1" applyAlignment="1">
      <alignment horizontal="center"/>
    </xf>
    <xf numFmtId="9" fontId="70" fillId="7" borderId="16" xfId="0" applyNumberFormat="1" applyFont="1" applyFill="1" applyBorder="1" applyAlignment="1">
      <alignment horizontal="center"/>
    </xf>
    <xf numFmtId="9" fontId="71" fillId="7" borderId="8" xfId="0" applyNumberFormat="1" applyFont="1" applyFill="1" applyBorder="1" applyAlignment="1">
      <alignment horizontal="center"/>
    </xf>
    <xf numFmtId="9" fontId="70" fillId="7" borderId="9" xfId="0" applyNumberFormat="1" applyFont="1" applyFill="1" applyBorder="1" applyAlignment="1">
      <alignment horizontal="center"/>
    </xf>
    <xf numFmtId="9" fontId="25" fillId="2" borderId="21" xfId="0" applyNumberFormat="1" applyFont="1" applyFill="1" applyBorder="1" applyAlignment="1">
      <alignment horizontal="center" vertical="center"/>
    </xf>
    <xf numFmtId="9" fontId="25" fillId="2" borderId="41" xfId="0" applyNumberFormat="1" applyFont="1" applyFill="1" applyBorder="1" applyAlignment="1">
      <alignment horizontal="center" vertical="center"/>
    </xf>
    <xf numFmtId="9" fontId="70" fillId="7" borderId="43" xfId="0" applyNumberFormat="1" applyFont="1" applyFill="1" applyBorder="1" applyAlignment="1">
      <alignment horizontal="center"/>
    </xf>
    <xf numFmtId="9" fontId="59" fillId="2" borderId="8" xfId="0" applyNumberFormat="1" applyFont="1" applyFill="1" applyBorder="1" applyAlignment="1">
      <alignment horizontal="center"/>
    </xf>
    <xf numFmtId="9" fontId="25" fillId="2" borderId="16" xfId="0" applyNumberFormat="1" applyFont="1" applyFill="1" applyBorder="1" applyAlignment="1">
      <alignment horizontal="center"/>
    </xf>
    <xf numFmtId="9" fontId="25" fillId="2" borderId="8" xfId="0" applyNumberFormat="1" applyFont="1" applyFill="1" applyBorder="1" applyAlignment="1">
      <alignment horizontal="center"/>
    </xf>
    <xf numFmtId="9" fontId="25" fillId="2" borderId="19" xfId="0" applyNumberFormat="1" applyFont="1" applyFill="1" applyBorder="1" applyAlignment="1">
      <alignment horizontal="center"/>
    </xf>
    <xf numFmtId="9" fontId="25" fillId="2" borderId="16" xfId="0" applyNumberFormat="1" applyFont="1" applyFill="1" applyBorder="1" applyAlignment="1">
      <alignment horizontal="center" vertical="center"/>
    </xf>
    <xf numFmtId="9" fontId="25" fillId="2" borderId="6" xfId="0" applyNumberFormat="1" applyFont="1" applyFill="1" applyBorder="1" applyAlignment="1">
      <alignment horizontal="center" vertical="center"/>
    </xf>
    <xf numFmtId="9" fontId="25" fillId="2" borderId="8" xfId="0" applyNumberFormat="1" applyFont="1" applyFill="1" applyBorder="1" applyAlignment="1">
      <alignment horizontal="center" vertical="center"/>
    </xf>
    <xf numFmtId="9" fontId="22" fillId="2" borderId="23" xfId="0" applyNumberFormat="1" applyFont="1" applyFill="1" applyBorder="1" applyAlignment="1">
      <alignment horizontal="center" vertical="center"/>
    </xf>
    <xf numFmtId="9" fontId="22" fillId="2" borderId="25" xfId="0" applyNumberFormat="1" applyFont="1" applyFill="1" applyBorder="1" applyAlignment="1">
      <alignment horizontal="center" vertical="center"/>
    </xf>
    <xf numFmtId="9" fontId="22" fillId="2" borderId="26" xfId="0" applyNumberFormat="1" applyFont="1" applyFill="1" applyBorder="1" applyAlignment="1">
      <alignment horizontal="center" vertical="center"/>
    </xf>
    <xf numFmtId="9" fontId="22" fillId="2" borderId="27" xfId="0" applyNumberFormat="1" applyFont="1" applyFill="1" applyBorder="1" applyAlignment="1">
      <alignment horizontal="center" vertical="center"/>
    </xf>
    <xf numFmtId="9" fontId="22" fillId="2" borderId="30" xfId="0" applyNumberFormat="1" applyFont="1" applyFill="1" applyBorder="1" applyAlignment="1">
      <alignment horizontal="center" vertical="center"/>
    </xf>
    <xf numFmtId="9" fontId="22" fillId="2" borderId="32" xfId="0" applyNumberFormat="1" applyFont="1" applyFill="1" applyBorder="1" applyAlignment="1">
      <alignment horizontal="center" vertical="center"/>
    </xf>
    <xf numFmtId="9" fontId="22" fillId="2" borderId="9" xfId="0" applyNumberFormat="1" applyFont="1" applyFill="1" applyBorder="1" applyAlignment="1">
      <alignment horizontal="center" vertical="center"/>
    </xf>
    <xf numFmtId="9" fontId="25" fillId="2" borderId="9" xfId="0" applyNumberFormat="1" applyFont="1" applyFill="1" applyBorder="1" applyAlignment="1">
      <alignment horizontal="center"/>
    </xf>
    <xf numFmtId="9" fontId="24" fillId="2" borderId="16" xfId="0" applyNumberFormat="1" applyFont="1" applyFill="1" applyBorder="1" applyAlignment="1">
      <alignment horizontal="center" vertical="center"/>
    </xf>
    <xf numFmtId="9" fontId="24" fillId="2" borderId="6" xfId="0" applyNumberFormat="1" applyFont="1" applyFill="1" applyBorder="1" applyAlignment="1">
      <alignment horizontal="center" vertical="center"/>
    </xf>
    <xf numFmtId="9" fontId="24" fillId="2" borderId="8" xfId="0" applyNumberFormat="1" applyFont="1" applyFill="1" applyBorder="1" applyAlignment="1">
      <alignment horizontal="center" vertical="center"/>
    </xf>
    <xf numFmtId="9" fontId="22" fillId="2" borderId="16" xfId="0" applyNumberFormat="1" applyFont="1" applyFill="1" applyBorder="1" applyAlignment="1">
      <alignment horizontal="center" vertical="center"/>
    </xf>
    <xf numFmtId="9" fontId="22" fillId="2" borderId="6" xfId="0" applyNumberFormat="1" applyFont="1" applyFill="1" applyBorder="1" applyAlignment="1">
      <alignment horizontal="center" vertical="center"/>
    </xf>
    <xf numFmtId="9" fontId="22" fillId="2" borderId="8" xfId="0" applyNumberFormat="1" applyFont="1" applyFill="1" applyBorder="1" applyAlignment="1">
      <alignment horizontal="center" vertical="center"/>
    </xf>
    <xf numFmtId="0" fontId="9" fillId="2" borderId="8" xfId="0" applyFont="1" applyFill="1" applyBorder="1" applyAlignment="1">
      <alignment horizontal="center"/>
    </xf>
    <xf numFmtId="9" fontId="25" fillId="2" borderId="9" xfId="0" applyNumberFormat="1" applyFont="1" applyFill="1" applyBorder="1" applyAlignment="1">
      <alignment horizontal="center" vertical="top"/>
    </xf>
    <xf numFmtId="9" fontId="24" fillId="2" borderId="16" xfId="3" applyNumberFormat="1" applyFont="1" applyFill="1" applyBorder="1" applyAlignment="1">
      <alignment horizontal="center" vertical="center"/>
    </xf>
    <xf numFmtId="9" fontId="24" fillId="2" borderId="6" xfId="3" applyNumberFormat="1" applyFont="1" applyFill="1" applyBorder="1" applyAlignment="1">
      <alignment horizontal="center" vertical="center"/>
    </xf>
    <xf numFmtId="9" fontId="24" fillId="2" borderId="8" xfId="3" applyNumberFormat="1" applyFont="1" applyFill="1" applyBorder="1" applyAlignment="1">
      <alignment horizontal="center" vertical="center"/>
    </xf>
    <xf numFmtId="9" fontId="64" fillId="2" borderId="16" xfId="0" applyNumberFormat="1" applyFont="1" applyFill="1" applyBorder="1" applyAlignment="1">
      <alignment horizontal="center" vertical="center"/>
    </xf>
    <xf numFmtId="9" fontId="64" fillId="2" borderId="6" xfId="0" applyNumberFormat="1" applyFont="1" applyFill="1" applyBorder="1" applyAlignment="1">
      <alignment horizontal="center" vertical="center"/>
    </xf>
    <xf numFmtId="9" fontId="64" fillId="2" borderId="8" xfId="0" applyNumberFormat="1" applyFont="1" applyFill="1" applyBorder="1" applyAlignment="1">
      <alignment horizontal="center" vertical="center"/>
    </xf>
    <xf numFmtId="9" fontId="23" fillId="2" borderId="7" xfId="0" applyNumberFormat="1" applyFont="1" applyFill="1" applyBorder="1" applyAlignment="1">
      <alignment horizontal="center" vertical="center"/>
    </xf>
    <xf numFmtId="9" fontId="23" fillId="2" borderId="6" xfId="0" applyNumberFormat="1" applyFont="1" applyFill="1" applyBorder="1" applyAlignment="1">
      <alignment horizontal="center" vertical="center"/>
    </xf>
    <xf numFmtId="9" fontId="23" fillId="2" borderId="11" xfId="0" applyNumberFormat="1" applyFont="1" applyFill="1" applyBorder="1" applyAlignment="1">
      <alignment horizontal="center" vertical="center"/>
    </xf>
    <xf numFmtId="9" fontId="23" fillId="2" borderId="16" xfId="0" applyNumberFormat="1" applyFont="1" applyFill="1" applyBorder="1" applyAlignment="1">
      <alignment horizontal="center" vertical="center"/>
    </xf>
    <xf numFmtId="9" fontId="23" fillId="5" borderId="6" xfId="0" applyNumberFormat="1" applyFont="1" applyFill="1" applyBorder="1" applyAlignment="1">
      <alignment horizontal="center"/>
    </xf>
    <xf numFmtId="0" fontId="9" fillId="5" borderId="12" xfId="0" applyFont="1" applyFill="1" applyBorder="1" applyAlignment="1">
      <alignment horizontal="center"/>
    </xf>
    <xf numFmtId="9" fontId="23" fillId="2" borderId="14" xfId="0" applyNumberFormat="1" applyFont="1" applyFill="1" applyBorder="1" applyAlignment="1">
      <alignment horizontal="center" wrapText="1"/>
    </xf>
    <xf numFmtId="9" fontId="23" fillId="2" borderId="8" xfId="0" applyNumberFormat="1" applyFont="1" applyFill="1" applyBorder="1" applyAlignment="1">
      <alignment horizontal="center" vertical="center"/>
    </xf>
    <xf numFmtId="9" fontId="20" fillId="2" borderId="6" xfId="2" quotePrefix="1" applyFont="1" applyFill="1" applyBorder="1" applyAlignment="1">
      <alignment horizontal="center" vertical="center"/>
    </xf>
    <xf numFmtId="0" fontId="24" fillId="2" borderId="6" xfId="0" quotePrefix="1" applyFont="1" applyFill="1" applyBorder="1" applyAlignment="1">
      <alignment horizontal="center" vertical="center"/>
    </xf>
    <xf numFmtId="9" fontId="23" fillId="2" borderId="12" xfId="0" applyNumberFormat="1" applyFont="1" applyFill="1" applyBorder="1" applyAlignment="1">
      <alignment horizontal="center"/>
    </xf>
    <xf numFmtId="9" fontId="25" fillId="2" borderId="14" xfId="0" quotePrefix="1" applyNumberFormat="1" applyFont="1" applyFill="1" applyBorder="1" applyAlignment="1">
      <alignment horizontal="center"/>
    </xf>
    <xf numFmtId="0" fontId="24" fillId="2" borderId="6" xfId="3" quotePrefix="1" applyFont="1" applyFill="1" applyBorder="1" applyAlignment="1">
      <alignment horizontal="center" vertical="center"/>
    </xf>
    <xf numFmtId="165" fontId="23" fillId="5" borderId="5" xfId="2" applyNumberFormat="1" applyFont="1" applyFill="1" applyBorder="1" applyAlignment="1">
      <alignment horizontal="center" vertical="center"/>
    </xf>
    <xf numFmtId="0" fontId="19" fillId="2" borderId="17" xfId="0" applyFont="1" applyFill="1" applyBorder="1" applyAlignment="1">
      <alignment horizontal="center"/>
    </xf>
    <xf numFmtId="165" fontId="26" fillId="2" borderId="9" xfId="2" applyNumberFormat="1" applyFont="1" applyFill="1" applyBorder="1" applyAlignment="1">
      <alignment horizontal="center" vertical="center"/>
    </xf>
    <xf numFmtId="165" fontId="26" fillId="2" borderId="16" xfId="2" applyNumberFormat="1" applyFont="1" applyFill="1" applyBorder="1" applyAlignment="1">
      <alignment horizontal="center" vertical="center"/>
    </xf>
    <xf numFmtId="0" fontId="16" fillId="2" borderId="17" xfId="0" applyFont="1" applyFill="1" applyBorder="1" applyAlignment="1">
      <alignment horizontal="center"/>
    </xf>
    <xf numFmtId="0" fontId="16" fillId="2" borderId="9" xfId="0" applyFont="1" applyFill="1" applyBorder="1" applyAlignment="1">
      <alignment horizontal="center"/>
    </xf>
    <xf numFmtId="165" fontId="19" fillId="2" borderId="9" xfId="8" applyNumberFormat="1" applyFont="1" applyFill="1" applyBorder="1" applyAlignment="1">
      <alignment horizontal="center"/>
    </xf>
    <xf numFmtId="10" fontId="19" fillId="2" borderId="10" xfId="8" applyNumberFormat="1" applyFont="1" applyFill="1" applyBorder="1" applyAlignment="1">
      <alignment horizontal="center"/>
    </xf>
    <xf numFmtId="3" fontId="20" fillId="4" borderId="7" xfId="0" applyNumberFormat="1" applyFont="1" applyFill="1" applyBorder="1" applyAlignment="1">
      <alignment horizontal="center" vertical="center"/>
    </xf>
    <xf numFmtId="3" fontId="20" fillId="4" borderId="11" xfId="0" applyNumberFormat="1" applyFont="1" applyFill="1" applyBorder="1" applyAlignment="1">
      <alignment horizontal="center" vertical="center"/>
    </xf>
    <xf numFmtId="165" fontId="23" fillId="4" borderId="7" xfId="2" applyNumberFormat="1" applyFont="1" applyFill="1" applyBorder="1" applyAlignment="1">
      <alignment horizontal="center" vertical="center"/>
    </xf>
    <xf numFmtId="3" fontId="22" fillId="4" borderId="11" xfId="0" applyNumberFormat="1" applyFont="1" applyFill="1" applyBorder="1" applyAlignment="1">
      <alignment horizontal="center" vertical="center"/>
    </xf>
    <xf numFmtId="10" fontId="23" fillId="5" borderId="11" xfId="2"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22" fillId="5" borderId="11" xfId="0" applyNumberFormat="1" applyFont="1" applyFill="1" applyBorder="1" applyAlignment="1">
      <alignment horizontal="center" vertical="center"/>
    </xf>
    <xf numFmtId="0" fontId="40" fillId="5" borderId="7" xfId="0" applyFont="1" applyFill="1" applyBorder="1" applyAlignment="1">
      <alignment horizontal="left" vertical="center" wrapText="1" readingOrder="1"/>
    </xf>
    <xf numFmtId="0" fontId="40" fillId="5" borderId="6" xfId="0" applyFont="1" applyFill="1" applyBorder="1" applyAlignment="1">
      <alignment horizontal="left" vertical="center" wrapText="1" readingOrder="1"/>
    </xf>
    <xf numFmtId="3" fontId="20" fillId="4" borderId="7" xfId="3" applyNumberFormat="1" applyFont="1" applyFill="1" applyBorder="1" applyAlignment="1">
      <alignment horizontal="center" vertical="center"/>
    </xf>
    <xf numFmtId="3" fontId="20" fillId="4" borderId="11" xfId="3" applyNumberFormat="1" applyFont="1" applyFill="1" applyBorder="1" applyAlignment="1">
      <alignment horizontal="center" vertical="center"/>
    </xf>
    <xf numFmtId="3" fontId="20" fillId="5" borderId="7" xfId="0" quotePrefix="1" applyNumberFormat="1" applyFont="1" applyFill="1" applyBorder="1" applyAlignment="1">
      <alignment horizontal="center" vertical="center"/>
    </xf>
    <xf numFmtId="3" fontId="20" fillId="5" borderId="6" xfId="0" quotePrefix="1" applyNumberFormat="1" applyFont="1" applyFill="1" applyBorder="1" applyAlignment="1">
      <alignment horizontal="center" vertical="center"/>
    </xf>
    <xf numFmtId="3" fontId="23" fillId="5" borderId="7" xfId="0" applyNumberFormat="1" applyFont="1" applyFill="1" applyBorder="1" applyAlignment="1">
      <alignment horizontal="center" vertical="center"/>
    </xf>
    <xf numFmtId="3" fontId="23" fillId="5" borderId="6" xfId="0" applyNumberFormat="1" applyFont="1" applyFill="1" applyBorder="1" applyAlignment="1">
      <alignment horizontal="center" vertical="center"/>
    </xf>
    <xf numFmtId="3" fontId="16" fillId="5" borderId="7" xfId="3" applyNumberFormat="1" applyFont="1" applyFill="1" applyBorder="1" applyAlignment="1">
      <alignment horizontal="center" vertical="center"/>
    </xf>
    <xf numFmtId="3" fontId="16" fillId="5" borderId="6" xfId="3" applyNumberFormat="1" applyFont="1" applyFill="1" applyBorder="1" applyAlignment="1">
      <alignment horizontal="center" vertical="center"/>
    </xf>
    <xf numFmtId="3" fontId="22" fillId="5" borderId="17" xfId="0" applyNumberFormat="1" applyFont="1" applyFill="1" applyBorder="1" applyAlignment="1">
      <alignment horizontal="center" vertical="center"/>
    </xf>
    <xf numFmtId="0" fontId="24" fillId="5" borderId="10" xfId="0" applyFont="1" applyFill="1" applyBorder="1" applyAlignment="1">
      <alignment horizontal="center"/>
    </xf>
    <xf numFmtId="0" fontId="20" fillId="5" borderId="7" xfId="3" applyFont="1" applyFill="1" applyBorder="1" applyAlignment="1">
      <alignment horizontal="left" vertical="center" wrapText="1"/>
    </xf>
    <xf numFmtId="0" fontId="20" fillId="5" borderId="6" xfId="3" applyFont="1" applyFill="1" applyBorder="1" applyAlignment="1">
      <alignment horizontal="left" vertical="center" wrapText="1"/>
    </xf>
    <xf numFmtId="10" fontId="32" fillId="2" borderId="5" xfId="3" applyNumberFormat="1" applyFont="1" applyFill="1" applyBorder="1" applyAlignment="1">
      <alignment horizontal="center"/>
    </xf>
    <xf numFmtId="9" fontId="32" fillId="2" borderId="40" xfId="3" applyNumberFormat="1" applyFont="1" applyFill="1" applyBorder="1" applyAlignment="1">
      <alignment horizontal="center"/>
    </xf>
    <xf numFmtId="10" fontId="32" fillId="2" borderId="29" xfId="3" applyNumberFormat="1" applyFont="1" applyFill="1" applyBorder="1" applyAlignment="1">
      <alignment horizontal="center"/>
    </xf>
    <xf numFmtId="9" fontId="32" fillId="2" borderId="11" xfId="3" quotePrefix="1" applyNumberFormat="1" applyFont="1" applyFill="1" applyBorder="1" applyAlignment="1">
      <alignment horizontal="center" wrapText="1"/>
    </xf>
    <xf numFmtId="3" fontId="23" fillId="5" borderId="17" xfId="0" applyNumberFormat="1" applyFont="1" applyFill="1" applyBorder="1" applyAlignment="1">
      <alignment horizontal="center" vertical="center"/>
    </xf>
    <xf numFmtId="0" fontId="16" fillId="5" borderId="10" xfId="0" applyFont="1" applyFill="1" applyBorder="1" applyAlignment="1">
      <alignment horizontal="center"/>
    </xf>
    <xf numFmtId="10" fontId="26" fillId="5" borderId="21" xfId="2" applyNumberFormat="1" applyFont="1" applyFill="1" applyBorder="1" applyAlignment="1">
      <alignment horizontal="center" vertical="center"/>
    </xf>
    <xf numFmtId="10" fontId="26" fillId="5" borderId="14" xfId="2" applyNumberFormat="1" applyFont="1" applyFill="1" applyBorder="1" applyAlignment="1">
      <alignment horizontal="center" vertical="center"/>
    </xf>
    <xf numFmtId="10" fontId="26" fillId="5" borderId="5" xfId="2" applyNumberFormat="1" applyFont="1" applyFill="1" applyBorder="1" applyAlignment="1">
      <alignment horizontal="center" vertical="center"/>
    </xf>
    <xf numFmtId="1" fontId="14" fillId="4" borderId="38" xfId="2" applyNumberFormat="1" applyFont="1" applyFill="1" applyBorder="1" applyAlignment="1">
      <alignment horizontal="center"/>
    </xf>
    <xf numFmtId="10" fontId="23" fillId="2" borderId="39" xfId="0" applyNumberFormat="1" applyFont="1" applyFill="1" applyBorder="1" applyAlignment="1">
      <alignment horizontal="center"/>
    </xf>
    <xf numFmtId="10" fontId="23" fillId="2" borderId="9" xfId="0" applyNumberFormat="1" applyFont="1" applyFill="1" applyBorder="1" applyAlignment="1">
      <alignment horizontal="center"/>
    </xf>
    <xf numFmtId="165" fontId="23" fillId="2" borderId="10" xfId="0" applyNumberFormat="1" applyFont="1" applyFill="1" applyBorder="1" applyAlignment="1">
      <alignment horizontal="center"/>
    </xf>
    <xf numFmtId="10" fontId="32" fillId="5" borderId="5" xfId="0" applyNumberFormat="1" applyFont="1" applyFill="1" applyBorder="1" applyAlignment="1">
      <alignment horizontal="center" vertical="center"/>
    </xf>
    <xf numFmtId="10" fontId="26" fillId="5" borderId="12" xfId="2" applyNumberFormat="1" applyFont="1" applyFill="1" applyBorder="1" applyAlignment="1">
      <alignment horizontal="center" vertical="center"/>
    </xf>
    <xf numFmtId="1" fontId="23" fillId="5" borderId="9" xfId="0" applyNumberFormat="1" applyFont="1" applyFill="1" applyBorder="1" applyAlignment="1">
      <alignment horizontal="center" vertical="center"/>
    </xf>
    <xf numFmtId="1" fontId="23" fillId="5" borderId="16" xfId="0" applyNumberFormat="1" applyFont="1" applyFill="1" applyBorder="1" applyAlignment="1">
      <alignment horizontal="center" vertical="center"/>
    </xf>
    <xf numFmtId="1" fontId="23" fillId="5" borderId="6" xfId="0" applyNumberFormat="1" applyFont="1" applyFill="1" applyBorder="1" applyAlignment="1">
      <alignment horizontal="center" vertical="center"/>
    </xf>
    <xf numFmtId="1" fontId="23" fillId="5" borderId="8" xfId="0" applyNumberFormat="1" applyFont="1" applyFill="1" applyBorder="1" applyAlignment="1">
      <alignment horizontal="center" vertical="center"/>
    </xf>
    <xf numFmtId="1" fontId="26" fillId="5" borderId="10" xfId="0" applyNumberFormat="1" applyFont="1" applyFill="1" applyBorder="1" applyAlignment="1">
      <alignment horizontal="center" vertical="center"/>
    </xf>
    <xf numFmtId="1" fontId="25" fillId="2" borderId="17" xfId="0" applyNumberFormat="1" applyFont="1" applyFill="1" applyBorder="1" applyAlignment="1">
      <alignment horizontal="center" vertical="center"/>
    </xf>
    <xf numFmtId="1" fontId="22" fillId="2" borderId="23" xfId="0" applyNumberFormat="1" applyFont="1" applyFill="1" applyBorder="1" applyAlignment="1">
      <alignment horizontal="center" vertical="center" wrapText="1"/>
    </xf>
    <xf numFmtId="1" fontId="22" fillId="2" borderId="24" xfId="0" applyNumberFormat="1" applyFont="1" applyFill="1" applyBorder="1" applyAlignment="1">
      <alignment horizontal="center" vertical="center" wrapText="1"/>
    </xf>
    <xf numFmtId="1" fontId="22" fillId="2" borderId="25" xfId="0" applyNumberFormat="1" applyFont="1" applyFill="1" applyBorder="1" applyAlignment="1">
      <alignment horizontal="center" vertical="center" wrapText="1"/>
    </xf>
    <xf numFmtId="1" fontId="22" fillId="2" borderId="26" xfId="0" applyNumberFormat="1" applyFont="1" applyFill="1" applyBorder="1" applyAlignment="1">
      <alignment horizontal="center" vertical="center" wrapText="1"/>
    </xf>
    <xf numFmtId="1" fontId="22" fillId="2" borderId="0" xfId="0" applyNumberFormat="1" applyFont="1" applyFill="1" applyAlignment="1">
      <alignment horizontal="center" vertical="center" wrapText="1"/>
    </xf>
    <xf numFmtId="1" fontId="22" fillId="2" borderId="27" xfId="0" applyNumberFormat="1" applyFont="1" applyFill="1" applyBorder="1" applyAlignment="1">
      <alignment horizontal="center" vertical="center" wrapText="1"/>
    </xf>
    <xf numFmtId="1" fontId="22" fillId="2" borderId="30" xfId="0" applyNumberFormat="1" applyFont="1" applyFill="1" applyBorder="1" applyAlignment="1">
      <alignment horizontal="center" vertical="center" wrapText="1"/>
    </xf>
    <xf numFmtId="1" fontId="22" fillId="2" borderId="31" xfId="0" applyNumberFormat="1" applyFont="1" applyFill="1" applyBorder="1" applyAlignment="1">
      <alignment horizontal="center" vertical="center" wrapText="1"/>
    </xf>
    <xf numFmtId="1" fontId="22" fillId="2" borderId="32" xfId="0" applyNumberFormat="1" applyFont="1" applyFill="1" applyBorder="1" applyAlignment="1">
      <alignment horizontal="center" vertical="center" wrapText="1"/>
    </xf>
    <xf numFmtId="1" fontId="25" fillId="2" borderId="23" xfId="0" applyNumberFormat="1" applyFont="1" applyFill="1" applyBorder="1" applyAlignment="1">
      <alignment horizontal="center" vertical="center" wrapText="1"/>
    </xf>
    <xf numFmtId="1" fontId="25" fillId="2" borderId="24" xfId="0" applyNumberFormat="1" applyFont="1" applyFill="1" applyBorder="1" applyAlignment="1">
      <alignment horizontal="center" vertical="center" wrapText="1"/>
    </xf>
    <xf numFmtId="1" fontId="25" fillId="2" borderId="25"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 fontId="25" fillId="2" borderId="0" xfId="0" applyNumberFormat="1" applyFont="1" applyFill="1" applyAlignment="1">
      <alignment horizontal="center" vertical="center" wrapText="1"/>
    </xf>
    <xf numFmtId="1" fontId="25" fillId="2" borderId="27" xfId="0" applyNumberFormat="1" applyFont="1" applyFill="1" applyBorder="1" applyAlignment="1">
      <alignment horizontal="center" vertical="center" wrapText="1"/>
    </xf>
    <xf numFmtId="1" fontId="25" fillId="2" borderId="35" xfId="0" applyNumberFormat="1" applyFont="1" applyFill="1" applyBorder="1" applyAlignment="1">
      <alignment horizontal="center" vertical="center" wrapText="1"/>
    </xf>
    <xf numFmtId="1" fontId="25" fillId="2" borderId="36" xfId="0" applyNumberFormat="1" applyFont="1" applyFill="1" applyBorder="1" applyAlignment="1">
      <alignment horizontal="center" vertical="center" wrapText="1"/>
    </xf>
    <xf numFmtId="1" fontId="25" fillId="2" borderId="37" xfId="0" applyNumberFormat="1" applyFont="1" applyFill="1" applyBorder="1" applyAlignment="1">
      <alignment horizontal="center" vertical="center" wrapText="1"/>
    </xf>
    <xf numFmtId="2" fontId="22" fillId="5" borderId="9" xfId="0" applyNumberFormat="1" applyFont="1" applyFill="1" applyBorder="1" applyAlignment="1">
      <alignment horizontal="center" vertical="center"/>
    </xf>
    <xf numFmtId="2" fontId="23" fillId="5" borderId="9" xfId="0" applyNumberFormat="1" applyFont="1" applyFill="1" applyBorder="1" applyAlignment="1">
      <alignment horizontal="center" vertical="center"/>
    </xf>
    <xf numFmtId="0" fontId="22" fillId="2" borderId="17" xfId="0" applyFont="1" applyFill="1" applyBorder="1" applyAlignment="1">
      <alignment horizontal="center" vertical="center"/>
    </xf>
    <xf numFmtId="1" fontId="23" fillId="2" borderId="9" xfId="0" applyNumberFormat="1"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22" fillId="5" borderId="17" xfId="0" applyFont="1" applyFill="1" applyBorder="1" applyAlignment="1">
      <alignment horizontal="center" vertical="center"/>
    </xf>
    <xf numFmtId="3" fontId="28" fillId="5" borderId="15" xfId="0" applyNumberFormat="1" applyFont="1" applyFill="1" applyBorder="1" applyAlignment="1">
      <alignment horizontal="left" wrapText="1"/>
    </xf>
    <xf numFmtId="0" fontId="18" fillId="2" borderId="10" xfId="0" applyFont="1" applyFill="1" applyBorder="1" applyAlignment="1">
      <alignment horizontal="center" vertical="center"/>
    </xf>
    <xf numFmtId="0" fontId="23" fillId="5" borderId="7" xfId="0" applyFont="1" applyFill="1" applyBorder="1" applyAlignment="1">
      <alignment horizontal="center" vertical="center"/>
    </xf>
    <xf numFmtId="0" fontId="22" fillId="5" borderId="6"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11" xfId="0" applyFont="1" applyFill="1" applyBorder="1" applyAlignment="1">
      <alignment horizontal="center" vertical="center"/>
    </xf>
    <xf numFmtId="1" fontId="20" fillId="5" borderId="16" xfId="0" applyNumberFormat="1" applyFont="1" applyFill="1" applyBorder="1" applyAlignment="1">
      <alignment horizontal="center" vertical="center"/>
    </xf>
    <xf numFmtId="1" fontId="20" fillId="5" borderId="6" xfId="0" applyNumberFormat="1" applyFont="1" applyFill="1" applyBorder="1" applyAlignment="1">
      <alignment horizontal="center" vertical="center"/>
    </xf>
    <xf numFmtId="1" fontId="22" fillId="5" borderId="16" xfId="0" applyNumberFormat="1" applyFont="1" applyFill="1" applyBorder="1" applyAlignment="1">
      <alignment horizontal="center" vertical="center"/>
    </xf>
    <xf numFmtId="1" fontId="22" fillId="5" borderId="6" xfId="0" applyNumberFormat="1" applyFont="1" applyFill="1" applyBorder="1" applyAlignment="1">
      <alignment horizontal="center" vertical="center"/>
    </xf>
    <xf numFmtId="0" fontId="21" fillId="5" borderId="19" xfId="0" applyFont="1" applyFill="1" applyBorder="1" applyAlignment="1">
      <alignment horizontal="center"/>
    </xf>
    <xf numFmtId="3" fontId="25" fillId="5" borderId="21" xfId="0" applyNumberFormat="1" applyFont="1" applyFill="1" applyBorder="1" applyAlignment="1">
      <alignment horizontal="center" wrapText="1"/>
    </xf>
    <xf numFmtId="1" fontId="22" fillId="5" borderId="16" xfId="0" applyNumberFormat="1" applyFont="1" applyFill="1" applyBorder="1" applyAlignment="1">
      <alignment horizontal="center" vertical="center" wrapText="1"/>
    </xf>
    <xf numFmtId="1" fontId="22" fillId="5" borderId="6" xfId="0" applyNumberFormat="1" applyFont="1" applyFill="1" applyBorder="1" applyAlignment="1">
      <alignment horizontal="center" vertical="center" wrapText="1"/>
    </xf>
    <xf numFmtId="1" fontId="20" fillId="5" borderId="16" xfId="3" applyNumberFormat="1" applyFont="1" applyFill="1" applyBorder="1" applyAlignment="1">
      <alignment horizontal="center" vertical="center"/>
    </xf>
    <xf numFmtId="1" fontId="20" fillId="5" borderId="6" xfId="3" applyNumberFormat="1" applyFont="1" applyFill="1" applyBorder="1" applyAlignment="1">
      <alignment horizontal="center" vertical="center"/>
    </xf>
    <xf numFmtId="0" fontId="24" fillId="5" borderId="8" xfId="0" applyFont="1" applyFill="1" applyBorder="1" applyAlignment="1">
      <alignment horizontal="center" vertical="center"/>
    </xf>
    <xf numFmtId="0" fontId="19" fillId="5" borderId="16"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11" xfId="0" applyFont="1" applyFill="1" applyBorder="1" applyAlignment="1">
      <alignment horizontal="center" vertical="center"/>
    </xf>
    <xf numFmtId="0" fontId="24" fillId="5" borderId="17" xfId="0" applyFont="1" applyFill="1" applyBorder="1" applyAlignment="1">
      <alignment horizontal="center" vertical="center"/>
    </xf>
    <xf numFmtId="9" fontId="23" fillId="2" borderId="13" xfId="0" applyNumberFormat="1" applyFont="1" applyFill="1" applyBorder="1" applyAlignment="1">
      <alignment horizontal="center"/>
    </xf>
    <xf numFmtId="9" fontId="23" fillId="2" borderId="15" xfId="0" applyNumberFormat="1" applyFont="1" applyFill="1" applyBorder="1" applyAlignment="1">
      <alignment horizontal="center"/>
    </xf>
    <xf numFmtId="0" fontId="25" fillId="5" borderId="7" xfId="0" applyFont="1" applyFill="1" applyBorder="1" applyAlignment="1">
      <alignment horizontal="center" vertical="center"/>
    </xf>
    <xf numFmtId="0" fontId="24" fillId="5" borderId="6" xfId="0" applyFont="1" applyFill="1" applyBorder="1" applyAlignment="1">
      <alignment horizontal="center" vertical="center"/>
    </xf>
    <xf numFmtId="0" fontId="24" fillId="2" borderId="6" xfId="0" applyFont="1" applyFill="1" applyBorder="1" applyAlignment="1">
      <alignment horizontal="center"/>
    </xf>
    <xf numFmtId="165" fontId="22" fillId="2" borderId="7" xfId="0" applyNumberFormat="1" applyFont="1" applyFill="1" applyBorder="1" applyAlignment="1">
      <alignment horizontal="center" vertical="center"/>
    </xf>
    <xf numFmtId="165" fontId="22" fillId="2" borderId="6" xfId="0" applyNumberFormat="1" applyFont="1" applyFill="1" applyBorder="1" applyAlignment="1">
      <alignment horizontal="center" vertical="center"/>
    </xf>
    <xf numFmtId="165" fontId="22" fillId="2" borderId="8" xfId="0" applyNumberFormat="1" applyFont="1" applyFill="1" applyBorder="1" applyAlignment="1">
      <alignment horizontal="center" vertical="center"/>
    </xf>
    <xf numFmtId="165" fontId="23" fillId="2" borderId="7" xfId="0" applyNumberFormat="1" applyFont="1" applyFill="1" applyBorder="1" applyAlignment="1">
      <alignment horizontal="center" vertical="center"/>
    </xf>
    <xf numFmtId="165" fontId="23" fillId="2" borderId="6" xfId="0" applyNumberFormat="1" applyFont="1" applyFill="1" applyBorder="1" applyAlignment="1">
      <alignment horizontal="center" vertical="center"/>
    </xf>
    <xf numFmtId="165" fontId="23" fillId="2" borderId="8" xfId="0" applyNumberFormat="1" applyFont="1" applyFill="1" applyBorder="1" applyAlignment="1">
      <alignment horizontal="center" vertical="center"/>
    </xf>
    <xf numFmtId="9" fontId="23" fillId="2" borderId="8" xfId="0" applyNumberFormat="1" applyFont="1" applyFill="1" applyBorder="1" applyAlignment="1">
      <alignment horizontal="center"/>
    </xf>
    <xf numFmtId="9" fontId="23" fillId="2" borderId="9" xfId="0" applyNumberFormat="1" applyFont="1" applyFill="1" applyBorder="1" applyAlignment="1">
      <alignment horizontal="center"/>
    </xf>
    <xf numFmtId="9" fontId="23" fillId="2" borderId="6" xfId="2" applyFont="1" applyFill="1" applyBorder="1" applyAlignment="1">
      <alignment horizontal="center" vertical="center"/>
    </xf>
    <xf numFmtId="9" fontId="23" fillId="2" borderId="11" xfId="2" applyFont="1" applyFill="1" applyBorder="1" applyAlignment="1">
      <alignment horizontal="center" vertical="center"/>
    </xf>
    <xf numFmtId="9" fontId="21" fillId="2" borderId="6" xfId="2" applyFont="1" applyFill="1" applyBorder="1" applyAlignment="1">
      <alignment horizontal="center" vertical="center"/>
    </xf>
    <xf numFmtId="9" fontId="21" fillId="2" borderId="11" xfId="2" applyFont="1" applyFill="1" applyBorder="1" applyAlignment="1">
      <alignment horizontal="center" vertical="center"/>
    </xf>
    <xf numFmtId="9" fontId="20" fillId="2" borderId="6" xfId="2" applyFont="1" applyFill="1" applyBorder="1" applyAlignment="1">
      <alignment horizontal="center" vertical="center"/>
    </xf>
    <xf numFmtId="9" fontId="20" fillId="2" borderId="11" xfId="2" applyFont="1" applyFill="1" applyBorder="1" applyAlignment="1">
      <alignment horizontal="center" vertical="center"/>
    </xf>
    <xf numFmtId="9" fontId="22" fillId="2" borderId="6" xfId="2" applyFont="1" applyFill="1" applyBorder="1" applyAlignment="1">
      <alignment horizontal="center" vertical="center"/>
    </xf>
    <xf numFmtId="9" fontId="22" fillId="2" borderId="11" xfId="2" applyFont="1" applyFill="1" applyBorder="1" applyAlignment="1">
      <alignment horizontal="center" vertical="center"/>
    </xf>
    <xf numFmtId="0" fontId="11" fillId="3" borderId="2" xfId="0" applyFont="1" applyFill="1" applyBorder="1" applyAlignment="1">
      <alignment horizontal="center"/>
    </xf>
    <xf numFmtId="0" fontId="15" fillId="4" borderId="5" xfId="0" applyFont="1" applyFill="1" applyBorder="1" applyAlignment="1">
      <alignment horizontal="center"/>
    </xf>
    <xf numFmtId="1" fontId="18" fillId="4" borderId="5" xfId="2" applyNumberFormat="1" applyFont="1" applyFill="1" applyBorder="1" applyAlignment="1">
      <alignment horizontal="center"/>
    </xf>
    <xf numFmtId="1" fontId="14" fillId="4" borderId="5" xfId="2" applyNumberFormat="1" applyFont="1" applyFill="1" applyBorder="1" applyAlignment="1">
      <alignment horizontal="center"/>
    </xf>
    <xf numFmtId="9" fontId="20" fillId="2" borderId="6" xfId="4" applyFont="1" applyFill="1" applyBorder="1" applyAlignment="1">
      <alignment horizontal="center" vertical="center"/>
    </xf>
    <xf numFmtId="9" fontId="20" fillId="2" borderId="11" xfId="4" applyFont="1" applyFill="1" applyBorder="1" applyAlignment="1">
      <alignment horizontal="center" vertical="center"/>
    </xf>
    <xf numFmtId="4" fontId="112" fillId="2" borderId="171" xfId="14" applyNumberFormat="1" applyFont="1" applyFill="1" applyBorder="1" applyAlignment="1">
      <alignment horizontal="center" wrapText="1"/>
    </xf>
    <xf numFmtId="4" fontId="112" fillId="2" borderId="172" xfId="14" applyNumberFormat="1" applyFont="1" applyFill="1" applyBorder="1" applyAlignment="1">
      <alignment horizontal="center" wrapText="1"/>
    </xf>
    <xf numFmtId="4" fontId="112" fillId="2" borderId="173" xfId="14" applyNumberFormat="1" applyFont="1" applyFill="1" applyBorder="1" applyAlignment="1">
      <alignment horizontal="center" wrapText="1"/>
    </xf>
    <xf numFmtId="9" fontId="112" fillId="2" borderId="175" xfId="14" applyNumberFormat="1" applyFont="1" applyFill="1" applyBorder="1" applyAlignment="1">
      <alignment horizontal="center" wrapText="1"/>
    </xf>
    <xf numFmtId="9" fontId="112" fillId="2" borderId="176" xfId="14" applyNumberFormat="1" applyFont="1" applyFill="1" applyBorder="1" applyAlignment="1">
      <alignment horizontal="center" wrapText="1"/>
    </xf>
    <xf numFmtId="9" fontId="112" fillId="2" borderId="177" xfId="14" applyNumberFormat="1" applyFont="1" applyFill="1" applyBorder="1" applyAlignment="1">
      <alignment horizontal="center" wrapText="1"/>
    </xf>
    <xf numFmtId="164" fontId="26" fillId="2" borderId="188" xfId="0" applyNumberFormat="1" applyFont="1" applyFill="1" applyBorder="1" applyAlignment="1">
      <alignment horizontal="center" vertical="top" wrapText="1"/>
    </xf>
    <xf numFmtId="164" fontId="26" fillId="2" borderId="189" xfId="0" applyNumberFormat="1" applyFont="1" applyFill="1" applyBorder="1" applyAlignment="1">
      <alignment horizontal="center" vertical="top" wrapText="1"/>
    </xf>
    <xf numFmtId="164" fontId="26" fillId="2" borderId="5" xfId="0" applyNumberFormat="1" applyFont="1" applyFill="1" applyBorder="1" applyAlignment="1">
      <alignment horizontal="center" vertical="top" wrapText="1"/>
    </xf>
    <xf numFmtId="0" fontId="24" fillId="2" borderId="0" xfId="0" applyFont="1" applyFill="1" applyAlignment="1">
      <alignment horizontal="center" wrapText="1"/>
    </xf>
    <xf numFmtId="0" fontId="29" fillId="9" borderId="93" xfId="0" applyFont="1" applyFill="1" applyBorder="1" applyAlignment="1">
      <alignment horizontal="left" vertical="top" wrapText="1"/>
    </xf>
    <xf numFmtId="0" fontId="29" fillId="9" borderId="129" xfId="0" applyFont="1" applyFill="1" applyBorder="1" applyAlignment="1">
      <alignment horizontal="left" vertical="top" wrapText="1"/>
    </xf>
    <xf numFmtId="4" fontId="111" fillId="9" borderId="165" xfId="14" applyNumberFormat="1" applyFont="1" applyFill="1" applyBorder="1" applyAlignment="1">
      <alignment horizontal="center" wrapText="1"/>
    </xf>
    <xf numFmtId="4" fontId="111" fillId="9" borderId="166" xfId="14" applyNumberFormat="1" applyFont="1" applyFill="1" applyBorder="1" applyAlignment="1">
      <alignment horizontal="center" wrapText="1"/>
    </xf>
    <xf numFmtId="4" fontId="111" fillId="9" borderId="167" xfId="14" applyNumberFormat="1" applyFont="1" applyFill="1" applyBorder="1" applyAlignment="1">
      <alignment horizontal="center" wrapText="1"/>
    </xf>
    <xf numFmtId="4" fontId="112" fillId="2" borderId="156" xfId="14" applyNumberFormat="1" applyFont="1" applyFill="1" applyBorder="1" applyAlignment="1">
      <alignment horizontal="center" wrapText="1"/>
    </xf>
    <xf numFmtId="4" fontId="112" fillId="2" borderId="155" xfId="14" applyNumberFormat="1" applyFont="1" applyFill="1" applyBorder="1" applyAlignment="1">
      <alignment horizontal="center" wrapText="1"/>
    </xf>
    <xf numFmtId="4" fontId="112" fillId="2" borderId="170" xfId="14" applyNumberFormat="1" applyFont="1" applyFill="1" applyBorder="1" applyAlignment="1">
      <alignment horizontal="center" wrapText="1"/>
    </xf>
    <xf numFmtId="0" fontId="29" fillId="2" borderId="95" xfId="0" applyFont="1" applyFill="1" applyBorder="1" applyAlignment="1">
      <alignment horizontal="left" vertical="top" wrapText="1"/>
    </xf>
    <xf numFmtId="0" fontId="29" fillId="2" borderId="113" xfId="0" applyFont="1" applyFill="1" applyBorder="1" applyAlignment="1">
      <alignment horizontal="left" vertical="top" wrapText="1"/>
    </xf>
    <xf numFmtId="0" fontId="24" fillId="2" borderId="96" xfId="0" applyFont="1" applyFill="1" applyBorder="1" applyAlignment="1">
      <alignment horizontal="left" vertical="top" wrapText="1"/>
    </xf>
    <xf numFmtId="0" fontId="24" fillId="2" borderId="114" xfId="0" applyFont="1" applyFill="1" applyBorder="1" applyAlignment="1">
      <alignment horizontal="left" vertical="top" wrapText="1"/>
    </xf>
    <xf numFmtId="1" fontId="16" fillId="9" borderId="16" xfId="2" quotePrefix="1" applyNumberFormat="1" applyFont="1" applyFill="1" applyBorder="1" applyAlignment="1">
      <alignment horizontal="center" vertical="center" wrapText="1"/>
    </xf>
    <xf numFmtId="1" fontId="16" fillId="9" borderId="6" xfId="2" quotePrefix="1" applyNumberFormat="1" applyFont="1" applyFill="1" applyBorder="1" applyAlignment="1">
      <alignment horizontal="center" vertical="center" wrapText="1"/>
    </xf>
    <xf numFmtId="0" fontId="24" fillId="2" borderId="95" xfId="0" applyFont="1" applyFill="1" applyBorder="1" applyAlignment="1">
      <alignment horizontal="left" vertical="top" wrapText="1"/>
    </xf>
    <xf numFmtId="0" fontId="24" fillId="2" borderId="113" xfId="0" applyFont="1" applyFill="1" applyBorder="1" applyAlignment="1">
      <alignment horizontal="left" vertical="top" wrapText="1"/>
    </xf>
    <xf numFmtId="0" fontId="24" fillId="2" borderId="93" xfId="0" applyFont="1" applyFill="1" applyBorder="1" applyAlignment="1">
      <alignment horizontal="left" vertical="top" wrapText="1"/>
    </xf>
    <xf numFmtId="0" fontId="24" fillId="2" borderId="131" xfId="0" applyFont="1" applyFill="1" applyBorder="1" applyAlignment="1">
      <alignment horizontal="left" vertical="top" wrapText="1"/>
    </xf>
    <xf numFmtId="0" fontId="24" fillId="2" borderId="94" xfId="0" applyFont="1" applyFill="1" applyBorder="1" applyAlignment="1">
      <alignment horizontal="left" vertical="top" wrapText="1"/>
    </xf>
    <xf numFmtId="0" fontId="24" fillId="2" borderId="144" xfId="0" applyFont="1" applyFill="1" applyBorder="1" applyAlignment="1">
      <alignment horizontal="left" vertical="top" wrapText="1"/>
    </xf>
    <xf numFmtId="0" fontId="24" fillId="9" borderId="93" xfId="0" applyFont="1" applyFill="1" applyBorder="1" applyAlignment="1">
      <alignment horizontal="left" vertical="top" wrapText="1"/>
    </xf>
    <xf numFmtId="0" fontId="24" fillId="9" borderId="113" xfId="0" applyFont="1" applyFill="1" applyBorder="1" applyAlignment="1">
      <alignment horizontal="left" vertical="top" wrapText="1"/>
    </xf>
    <xf numFmtId="0" fontId="24" fillId="9" borderId="131" xfId="0" applyFont="1" applyFill="1" applyBorder="1" applyAlignment="1">
      <alignment horizontal="left" vertical="top" wrapText="1"/>
    </xf>
    <xf numFmtId="0" fontId="24" fillId="9" borderId="94" xfId="0" applyFont="1" applyFill="1" applyBorder="1" applyAlignment="1">
      <alignment horizontal="left" vertical="top" wrapText="1"/>
    </xf>
    <xf numFmtId="0" fontId="24" fillId="9" borderId="114" xfId="0" applyFont="1" applyFill="1" applyBorder="1" applyAlignment="1">
      <alignment horizontal="left" vertical="top" wrapText="1"/>
    </xf>
    <xf numFmtId="0" fontId="24" fillId="9" borderId="144" xfId="0" applyFont="1" applyFill="1" applyBorder="1" applyAlignment="1">
      <alignment horizontal="left" vertical="top" wrapText="1"/>
    </xf>
    <xf numFmtId="0" fontId="24" fillId="2" borderId="90" xfId="0" applyFont="1" applyFill="1" applyBorder="1" applyAlignment="1">
      <alignment horizontal="left" vertical="top" wrapText="1"/>
    </xf>
    <xf numFmtId="0" fontId="24" fillId="2" borderId="92" xfId="0" applyFont="1" applyFill="1" applyBorder="1" applyAlignment="1">
      <alignment horizontal="left" vertical="top" wrapText="1"/>
    </xf>
    <xf numFmtId="0" fontId="24" fillId="2" borderId="129" xfId="0" applyFont="1" applyFill="1" applyBorder="1" applyAlignment="1">
      <alignment horizontal="left" vertical="top" wrapText="1"/>
    </xf>
    <xf numFmtId="0" fontId="29" fillId="2" borderId="94" xfId="0" applyFont="1" applyFill="1" applyBorder="1" applyAlignment="1">
      <alignment horizontal="left" vertical="top" wrapText="1"/>
    </xf>
    <xf numFmtId="0" fontId="29" fillId="2" borderId="130" xfId="0" applyFont="1" applyFill="1" applyBorder="1" applyAlignment="1">
      <alignment horizontal="left" vertical="top" wrapText="1"/>
    </xf>
    <xf numFmtId="0" fontId="25" fillId="9" borderId="94" xfId="0" applyFont="1" applyFill="1" applyBorder="1" applyAlignment="1">
      <alignment horizontal="left" vertical="top" wrapText="1"/>
    </xf>
    <xf numFmtId="0" fontId="25" fillId="9" borderId="144" xfId="0" applyFont="1" applyFill="1" applyBorder="1" applyAlignment="1">
      <alignment horizontal="left" vertical="top" wrapText="1"/>
    </xf>
    <xf numFmtId="0" fontId="25" fillId="2" borderId="94" xfId="0" applyFont="1" applyFill="1" applyBorder="1" applyAlignment="1">
      <alignment horizontal="left" vertical="top" wrapText="1"/>
    </xf>
    <xf numFmtId="0" fontId="25" fillId="2" borderId="144" xfId="0" applyFont="1" applyFill="1" applyBorder="1" applyAlignment="1">
      <alignment horizontal="left" vertical="top" wrapText="1"/>
    </xf>
    <xf numFmtId="3" fontId="28" fillId="5" borderId="106" xfId="0" applyNumberFormat="1" applyFont="1" applyFill="1" applyBorder="1" applyAlignment="1">
      <alignment horizontal="center" vertical="top" wrapText="1" readingOrder="1"/>
    </xf>
    <xf numFmtId="3" fontId="28" fillId="5" borderId="107" xfId="0" applyNumberFormat="1" applyFont="1" applyFill="1" applyBorder="1" applyAlignment="1">
      <alignment horizontal="center" vertical="top" wrapText="1" readingOrder="1"/>
    </xf>
    <xf numFmtId="4" fontId="22" fillId="5" borderId="115" xfId="0" applyNumberFormat="1" applyFont="1" applyFill="1" applyBorder="1" applyAlignment="1">
      <alignment horizontal="center" vertical="center" wrapText="1"/>
    </xf>
    <xf numFmtId="4" fontId="22" fillId="5" borderId="116" xfId="0" applyNumberFormat="1" applyFont="1" applyFill="1" applyBorder="1" applyAlignment="1">
      <alignment horizontal="center" vertical="center" wrapText="1"/>
    </xf>
    <xf numFmtId="4" fontId="22" fillId="5" borderId="111" xfId="0" applyNumberFormat="1" applyFont="1" applyFill="1" applyBorder="1" applyAlignment="1">
      <alignment horizontal="center" vertical="center" wrapText="1"/>
    </xf>
    <xf numFmtId="169" fontId="21" fillId="5" borderId="115" xfId="0" applyNumberFormat="1" applyFont="1" applyFill="1" applyBorder="1" applyAlignment="1">
      <alignment horizontal="center" vertical="center" wrapText="1"/>
    </xf>
    <xf numFmtId="169" fontId="21" fillId="5" borderId="116" xfId="0" applyNumberFormat="1" applyFont="1" applyFill="1" applyBorder="1" applyAlignment="1">
      <alignment horizontal="center" vertical="center" wrapText="1"/>
    </xf>
    <xf numFmtId="169" fontId="21" fillId="5" borderId="111" xfId="0" applyNumberFormat="1" applyFont="1" applyFill="1" applyBorder="1" applyAlignment="1">
      <alignment horizontal="center" vertical="center" wrapText="1"/>
    </xf>
    <xf numFmtId="169" fontId="21" fillId="5" borderId="41" xfId="0" applyNumberFormat="1" applyFont="1" applyFill="1" applyBorder="1" applyAlignment="1">
      <alignment horizontal="center" vertical="center" wrapText="1"/>
    </xf>
    <xf numFmtId="169" fontId="21" fillId="5" borderId="117" xfId="0" applyNumberFormat="1" applyFont="1" applyFill="1" applyBorder="1" applyAlignment="1">
      <alignment horizontal="center" vertical="center" wrapText="1"/>
    </xf>
    <xf numFmtId="169" fontId="21" fillId="5" borderId="103" xfId="0" applyNumberFormat="1" applyFont="1" applyFill="1" applyBorder="1" applyAlignment="1">
      <alignment horizontal="center" vertical="center" wrapText="1"/>
    </xf>
    <xf numFmtId="169" fontId="22" fillId="5" borderId="119" xfId="0" applyNumberFormat="1" applyFont="1" applyFill="1" applyBorder="1" applyAlignment="1">
      <alignment horizontal="center" vertical="center" wrapText="1"/>
    </xf>
    <xf numFmtId="169" fontId="22" fillId="5" borderId="120" xfId="0" applyNumberFormat="1" applyFont="1" applyFill="1" applyBorder="1" applyAlignment="1">
      <alignment horizontal="center" vertical="center" wrapText="1"/>
    </xf>
    <xf numFmtId="169" fontId="22" fillId="5" borderId="121" xfId="0" applyNumberFormat="1" applyFont="1" applyFill="1" applyBorder="1" applyAlignment="1">
      <alignment horizontal="center" vertical="center" wrapText="1"/>
    </xf>
    <xf numFmtId="9" fontId="19" fillId="5" borderId="35" xfId="2" applyFont="1" applyFill="1" applyBorder="1" applyAlignment="1">
      <alignment horizontal="center" vertical="center"/>
    </xf>
    <xf numFmtId="9" fontId="19" fillId="5" borderId="36" xfId="2" applyFont="1" applyFill="1" applyBorder="1" applyAlignment="1">
      <alignment horizontal="center" vertical="center"/>
    </xf>
    <xf numFmtId="9" fontId="19" fillId="5" borderId="37" xfId="2" applyFont="1" applyFill="1" applyBorder="1" applyAlignment="1">
      <alignment horizontal="center" vertical="center"/>
    </xf>
    <xf numFmtId="1" fontId="20" fillId="5" borderId="16" xfId="0" applyNumberFormat="1" applyFont="1" applyFill="1" applyBorder="1" applyAlignment="1">
      <alignment horizontal="center" vertical="top" readingOrder="1"/>
    </xf>
    <xf numFmtId="1" fontId="20" fillId="5" borderId="6" xfId="0" applyNumberFormat="1" applyFont="1" applyFill="1" applyBorder="1" applyAlignment="1">
      <alignment horizontal="center" vertical="top" readingOrder="1"/>
    </xf>
    <xf numFmtId="1" fontId="22" fillId="5" borderId="16" xfId="0" applyNumberFormat="1" applyFont="1" applyFill="1" applyBorder="1" applyAlignment="1">
      <alignment horizontal="center" vertical="top" readingOrder="1"/>
    </xf>
    <xf numFmtId="1" fontId="22" fillId="5" borderId="6" xfId="0" applyNumberFormat="1" applyFont="1" applyFill="1" applyBorder="1" applyAlignment="1">
      <alignment horizontal="center" vertical="top" readingOrder="1"/>
    </xf>
    <xf numFmtId="1" fontId="23" fillId="5" borderId="16" xfId="0" applyNumberFormat="1" applyFont="1" applyFill="1" applyBorder="1" applyAlignment="1">
      <alignment horizontal="center" vertical="top" readingOrder="1"/>
    </xf>
    <xf numFmtId="1" fontId="23" fillId="5" borderId="6" xfId="0" applyNumberFormat="1" applyFont="1" applyFill="1" applyBorder="1" applyAlignment="1">
      <alignment horizontal="center" vertical="top" readingOrder="1"/>
    </xf>
    <xf numFmtId="1" fontId="23" fillId="5" borderId="16" xfId="0" applyNumberFormat="1" applyFont="1" applyFill="1" applyBorder="1" applyAlignment="1">
      <alignment horizontal="center" vertical="top" wrapText="1" readingOrder="1"/>
    </xf>
    <xf numFmtId="1" fontId="23" fillId="5" borderId="6" xfId="0" applyNumberFormat="1" applyFont="1" applyFill="1" applyBorder="1" applyAlignment="1">
      <alignment horizontal="center" vertical="top" wrapText="1" readingOrder="1"/>
    </xf>
    <xf numFmtId="0" fontId="21" fillId="5" borderId="16" xfId="0" applyFont="1" applyFill="1" applyBorder="1" applyAlignment="1">
      <alignment horizontal="center" vertical="top" readingOrder="1"/>
    </xf>
    <xf numFmtId="0" fontId="21" fillId="5" borderId="6" xfId="0" applyFont="1" applyFill="1" applyBorder="1" applyAlignment="1">
      <alignment horizontal="center" vertical="top" readingOrder="1"/>
    </xf>
    <xf numFmtId="1" fontId="22" fillId="5" borderId="16" xfId="0" applyNumberFormat="1" applyFont="1" applyFill="1" applyBorder="1" applyAlignment="1">
      <alignment horizontal="center" vertical="top" wrapText="1" readingOrder="1"/>
    </xf>
    <xf numFmtId="1" fontId="22" fillId="5" borderId="6" xfId="0" applyNumberFormat="1" applyFont="1" applyFill="1" applyBorder="1" applyAlignment="1">
      <alignment horizontal="center" vertical="top" wrapText="1" readingOrder="1"/>
    </xf>
    <xf numFmtId="2" fontId="22" fillId="2" borderId="50" xfId="0" applyNumberFormat="1" applyFont="1" applyFill="1" applyBorder="1" applyAlignment="1">
      <alignment horizontal="center" vertical="center"/>
    </xf>
    <xf numFmtId="9" fontId="26" fillId="2" borderId="171" xfId="2" applyFont="1" applyFill="1" applyBorder="1" applyAlignment="1">
      <alignment horizontal="center" vertical="center" wrapText="1"/>
    </xf>
    <xf numFmtId="9" fontId="26" fillId="2" borderId="172" xfId="2" applyFont="1" applyFill="1" applyBorder="1" applyAlignment="1">
      <alignment horizontal="center" vertical="center" wrapText="1"/>
    </xf>
    <xf numFmtId="9" fontId="26" fillId="2" borderId="175" xfId="2" applyFont="1" applyFill="1" applyBorder="1" applyAlignment="1">
      <alignment horizontal="center" vertical="center" wrapText="1"/>
    </xf>
    <xf numFmtId="9" fontId="26" fillId="2" borderId="176" xfId="2" applyFont="1" applyFill="1" applyBorder="1" applyAlignment="1">
      <alignment horizontal="center" vertical="center" wrapText="1"/>
    </xf>
    <xf numFmtId="2" fontId="22" fillId="2" borderId="16" xfId="0" applyNumberFormat="1" applyFont="1" applyFill="1" applyBorder="1" applyAlignment="1">
      <alignment horizontal="center" vertical="center" wrapText="1"/>
    </xf>
    <xf numFmtId="2" fontId="22" fillId="2" borderId="50" xfId="0" applyNumberFormat="1" applyFont="1" applyFill="1" applyBorder="1" applyAlignment="1">
      <alignment horizontal="center" vertical="center" wrapText="1"/>
    </xf>
    <xf numFmtId="2" fontId="22" fillId="2" borderId="23" xfId="0" applyNumberFormat="1" applyFont="1" applyFill="1" applyBorder="1" applyAlignment="1">
      <alignment horizontal="center" vertical="center"/>
    </xf>
    <xf numFmtId="2" fontId="22" fillId="2" borderId="35" xfId="0" applyNumberFormat="1" applyFont="1" applyFill="1" applyBorder="1" applyAlignment="1">
      <alignment horizontal="center" vertical="center"/>
    </xf>
    <xf numFmtId="0" fontId="48" fillId="9" borderId="210" xfId="0" applyFont="1" applyFill="1" applyBorder="1" applyAlignment="1">
      <alignment vertical="top" wrapText="1"/>
    </xf>
    <xf numFmtId="0" fontId="48" fillId="9" borderId="200" xfId="0" applyFont="1" applyFill="1" applyBorder="1" applyAlignment="1">
      <alignment vertical="top" wrapText="1"/>
    </xf>
    <xf numFmtId="3" fontId="26" fillId="2" borderId="171" xfId="6" applyNumberFormat="1" applyFont="1" applyFill="1" applyBorder="1" applyAlignment="1">
      <alignment horizontal="center" vertical="center" wrapText="1"/>
    </xf>
    <xf numFmtId="3" fontId="26" fillId="2" borderId="172" xfId="6" applyNumberFormat="1" applyFont="1" applyFill="1" applyBorder="1" applyAlignment="1">
      <alignment horizontal="center" vertical="center" wrapText="1"/>
    </xf>
    <xf numFmtId="1" fontId="29" fillId="2" borderId="11" xfId="2" quotePrefix="1" applyNumberFormat="1" applyFont="1" applyFill="1" applyBorder="1" applyAlignment="1">
      <alignment horizontal="center" vertical="center" wrapText="1"/>
    </xf>
    <xf numFmtId="0" fontId="29" fillId="2" borderId="93" xfId="0" applyFont="1" applyFill="1" applyBorder="1" applyAlignment="1">
      <alignment horizontal="left" vertical="top" wrapText="1"/>
    </xf>
    <xf numFmtId="0" fontId="29" fillId="2" borderId="131" xfId="0" applyFont="1" applyFill="1" applyBorder="1" applyAlignment="1">
      <alignment horizontal="left" vertical="top" wrapText="1"/>
    </xf>
    <xf numFmtId="0" fontId="48" fillId="9" borderId="93" xfId="0" applyFont="1" applyFill="1" applyBorder="1" applyAlignment="1">
      <alignment horizontal="left" vertical="top" wrapText="1"/>
    </xf>
    <xf numFmtId="0" fontId="48" fillId="9" borderId="129" xfId="0" applyFont="1" applyFill="1" applyBorder="1" applyAlignment="1">
      <alignment horizontal="left" vertical="top" wrapText="1"/>
    </xf>
    <xf numFmtId="0" fontId="24" fillId="2" borderId="206" xfId="0" applyFont="1" applyFill="1" applyBorder="1" applyAlignment="1">
      <alignment horizontal="left" vertical="top" wrapText="1"/>
    </xf>
    <xf numFmtId="0" fontId="24" fillId="2" borderId="196" xfId="0" applyFont="1" applyFill="1" applyBorder="1" applyAlignment="1">
      <alignment horizontal="left" vertical="top" wrapText="1"/>
    </xf>
    <xf numFmtId="0" fontId="24" fillId="2" borderId="210" xfId="0" applyFont="1" applyFill="1" applyBorder="1" applyAlignment="1">
      <alignment horizontal="left" vertical="top" wrapText="1"/>
    </xf>
    <xf numFmtId="0" fontId="24" fillId="2" borderId="202" xfId="0" applyFont="1" applyFill="1" applyBorder="1" applyAlignment="1">
      <alignment horizontal="left" vertical="top" wrapText="1"/>
    </xf>
    <xf numFmtId="0" fontId="24" fillId="9" borderId="90" xfId="0" applyFont="1" applyFill="1" applyBorder="1" applyAlignment="1">
      <alignment horizontal="left" vertical="top" wrapText="1"/>
    </xf>
    <xf numFmtId="0" fontId="24" fillId="9" borderId="210" xfId="0" applyFont="1" applyFill="1" applyBorder="1" applyAlignment="1">
      <alignment horizontal="left" vertical="top" wrapText="1"/>
    </xf>
    <xf numFmtId="0" fontId="24" fillId="9" borderId="196" xfId="0" applyFont="1" applyFill="1" applyBorder="1" applyAlignment="1">
      <alignment horizontal="left" vertical="top" wrapText="1"/>
    </xf>
    <xf numFmtId="0" fontId="131" fillId="9" borderId="7" xfId="0" quotePrefix="1" applyFont="1" applyFill="1" applyBorder="1" applyAlignment="1">
      <alignment horizontal="center" vertical="center"/>
    </xf>
    <xf numFmtId="0" fontId="131" fillId="9" borderId="11" xfId="0" quotePrefix="1" applyFont="1" applyFill="1" applyBorder="1" applyAlignment="1">
      <alignment horizontal="center" vertical="center"/>
    </xf>
    <xf numFmtId="0" fontId="24" fillId="9" borderId="202" xfId="0" applyFont="1" applyFill="1" applyBorder="1" applyAlignment="1">
      <alignment horizontal="left" vertical="top" wrapText="1"/>
    </xf>
    <xf numFmtId="9" fontId="20" fillId="7" borderId="14" xfId="0" applyNumberFormat="1" applyFont="1" applyFill="1" applyBorder="1" applyAlignment="1">
      <alignment horizontal="center" vertical="center"/>
    </xf>
    <xf numFmtId="9" fontId="20" fillId="7" borderId="6" xfId="0" applyNumberFormat="1" applyFont="1" applyFill="1" applyBorder="1" applyAlignment="1">
      <alignment horizontal="center" vertical="center"/>
    </xf>
    <xf numFmtId="9" fontId="20" fillId="7" borderId="50" xfId="0" applyNumberFormat="1" applyFont="1" applyFill="1" applyBorder="1" applyAlignment="1">
      <alignment horizontal="center" vertical="center"/>
    </xf>
    <xf numFmtId="0" fontId="24" fillId="2" borderId="85" xfId="0" applyFont="1" applyFill="1" applyBorder="1" applyAlignment="1">
      <alignment horizontal="left" vertical="top" wrapText="1"/>
    </xf>
    <xf numFmtId="0" fontId="24" fillId="2" borderId="197" xfId="0" applyFont="1" applyFill="1" applyBorder="1" applyAlignment="1">
      <alignment horizontal="left" vertical="top" wrapText="1"/>
    </xf>
    <xf numFmtId="0" fontId="131" fillId="9" borderId="44" xfId="0" quotePrefix="1" applyFont="1" applyFill="1" applyBorder="1" applyAlignment="1">
      <alignment horizontal="center" vertical="center"/>
    </xf>
    <xf numFmtId="0" fontId="131" fillId="9" borderId="54" xfId="0" quotePrefix="1" applyFont="1" applyFill="1" applyBorder="1" applyAlignment="1">
      <alignment horizontal="center" vertical="center"/>
    </xf>
    <xf numFmtId="0" fontId="32" fillId="2" borderId="7" xfId="0" applyFont="1" applyFill="1" applyBorder="1" applyAlignment="1">
      <alignment horizontal="center" vertical="center" wrapText="1"/>
    </xf>
    <xf numFmtId="0" fontId="32" fillId="2" borderId="11" xfId="0" applyFont="1" applyFill="1" applyBorder="1" applyAlignment="1">
      <alignment horizontal="center" vertical="center" wrapText="1"/>
    </xf>
    <xf numFmtId="9" fontId="126" fillId="2" borderId="119" xfId="2" applyFont="1" applyFill="1" applyBorder="1" applyAlignment="1">
      <alignment horizontal="center" vertical="center" wrapText="1"/>
    </xf>
    <xf numFmtId="9" fontId="126" fillId="2" borderId="120" xfId="2" applyFont="1" applyFill="1" applyBorder="1" applyAlignment="1">
      <alignment horizontal="center" vertical="center" wrapText="1"/>
    </xf>
    <xf numFmtId="9" fontId="126" fillId="2" borderId="121" xfId="2" applyFont="1" applyFill="1" applyBorder="1" applyAlignment="1">
      <alignment horizontal="center" vertical="center" wrapText="1"/>
    </xf>
    <xf numFmtId="9" fontId="126" fillId="2" borderId="26" xfId="2" applyFont="1" applyFill="1" applyBorder="1" applyAlignment="1">
      <alignment horizontal="center" vertical="center" wrapText="1"/>
    </xf>
    <xf numFmtId="9" fontId="126" fillId="2" borderId="0" xfId="2" applyFont="1" applyFill="1" applyBorder="1" applyAlignment="1">
      <alignment horizontal="center" vertical="center" wrapText="1"/>
    </xf>
    <xf numFmtId="9" fontId="126" fillId="2" borderId="27" xfId="2" applyFont="1" applyFill="1" applyBorder="1" applyAlignment="1">
      <alignment horizontal="center" vertical="center" wrapText="1"/>
    </xf>
    <xf numFmtId="9" fontId="130" fillId="2" borderId="26" xfId="2" applyFont="1" applyFill="1" applyBorder="1" applyAlignment="1">
      <alignment horizontal="center" vertical="center" wrapText="1"/>
    </xf>
    <xf numFmtId="9" fontId="130" fillId="2" borderId="0" xfId="2" applyFont="1" applyFill="1" applyBorder="1" applyAlignment="1">
      <alignment horizontal="center" vertical="center" wrapText="1"/>
    </xf>
    <xf numFmtId="9" fontId="130" fillId="2" borderId="27" xfId="2" applyFont="1" applyFill="1" applyBorder="1" applyAlignment="1">
      <alignment horizontal="center" vertical="center" wrapText="1"/>
    </xf>
    <xf numFmtId="9" fontId="130" fillId="2" borderId="35" xfId="2" applyFont="1" applyFill="1" applyBorder="1" applyAlignment="1">
      <alignment horizontal="center" vertical="center" wrapText="1"/>
    </xf>
    <xf numFmtId="9" fontId="130" fillId="2" borderId="36" xfId="2" applyFont="1" applyFill="1" applyBorder="1" applyAlignment="1">
      <alignment horizontal="center" vertical="center" wrapText="1"/>
    </xf>
    <xf numFmtId="9" fontId="130" fillId="2" borderId="37" xfId="2" applyFont="1" applyFill="1" applyBorder="1" applyAlignment="1">
      <alignment horizontal="center" vertical="center" wrapText="1"/>
    </xf>
    <xf numFmtId="3" fontId="28" fillId="2" borderId="204" xfId="0" applyNumberFormat="1" applyFont="1" applyFill="1" applyBorder="1" applyAlignment="1">
      <alignment horizontal="center" vertical="center" wrapText="1"/>
    </xf>
    <xf numFmtId="3" fontId="28" fillId="2" borderId="45" xfId="0" applyNumberFormat="1" applyFont="1" applyFill="1" applyBorder="1" applyAlignment="1">
      <alignment horizontal="center" vertical="center" wrapText="1"/>
    </xf>
    <xf numFmtId="3" fontId="28" fillId="2" borderId="44" xfId="0" applyNumberFormat="1" applyFont="1" applyFill="1" applyBorder="1" applyAlignment="1">
      <alignment horizontal="center" vertical="center" wrapText="1"/>
    </xf>
    <xf numFmtId="0" fontId="16" fillId="2" borderId="73" xfId="0" applyFont="1" applyFill="1" applyBorder="1" applyAlignment="1">
      <alignment horizontal="center" vertical="center" wrapText="1"/>
    </xf>
    <xf numFmtId="0" fontId="16" fillId="2" borderId="159"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31" fillId="2" borderId="239" xfId="0" applyFont="1" applyFill="1" applyBorder="1" applyAlignment="1">
      <alignment horizontal="center" vertical="center" wrapText="1"/>
    </xf>
    <xf numFmtId="0" fontId="31" fillId="2" borderId="243" xfId="0" applyFont="1" applyFill="1" applyBorder="1" applyAlignment="1">
      <alignment horizontal="center" vertical="center" wrapText="1"/>
    </xf>
    <xf numFmtId="0" fontId="32" fillId="2" borderId="239" xfId="0" applyFont="1" applyFill="1" applyBorder="1" applyAlignment="1">
      <alignment horizontal="center" vertical="center" wrapText="1"/>
    </xf>
    <xf numFmtId="0" fontId="32" fillId="2" borderId="240" xfId="0" applyFont="1" applyFill="1" applyBorder="1" applyAlignment="1">
      <alignment horizontal="center" vertical="center" wrapText="1"/>
    </xf>
    <xf numFmtId="1" fontId="22" fillId="2" borderId="14" xfId="0" applyNumberFormat="1" applyFont="1" applyFill="1" applyBorder="1" applyAlignment="1">
      <alignment horizontal="center" vertical="center"/>
    </xf>
    <xf numFmtId="1" fontId="22" fillId="2" borderId="6" xfId="0" applyNumberFormat="1" applyFont="1" applyFill="1" applyBorder="1" applyAlignment="1">
      <alignment horizontal="center" vertical="center"/>
    </xf>
    <xf numFmtId="0" fontId="16" fillId="2" borderId="15" xfId="0" applyFont="1" applyFill="1" applyBorder="1" applyAlignment="1">
      <alignment horizontal="center"/>
    </xf>
    <xf numFmtId="9" fontId="9" fillId="2" borderId="14" xfId="2" applyFont="1" applyFill="1" applyBorder="1" applyAlignment="1">
      <alignment horizontal="center" vertical="center" wrapText="1"/>
    </xf>
    <xf numFmtId="9" fontId="9" fillId="2" borderId="11" xfId="2" applyFont="1" applyFill="1" applyBorder="1" applyAlignment="1">
      <alignment horizontal="center" vertical="center" wrapText="1"/>
    </xf>
    <xf numFmtId="1" fontId="20" fillId="2" borderId="14" xfId="0" applyNumberFormat="1" applyFont="1" applyFill="1" applyBorder="1" applyAlignment="1">
      <alignment horizontal="center" vertical="center"/>
    </xf>
    <xf numFmtId="1" fontId="20" fillId="2" borderId="6" xfId="0" applyNumberFormat="1" applyFont="1" applyFill="1" applyBorder="1" applyAlignment="1">
      <alignment horizontal="center" vertical="center"/>
    </xf>
    <xf numFmtId="0" fontId="164" fillId="2" borderId="0" xfId="6" applyFont="1" applyFill="1" applyAlignment="1">
      <alignment horizontal="left" wrapText="1"/>
    </xf>
    <xf numFmtId="0" fontId="215" fillId="2" borderId="0" xfId="6" applyFont="1" applyFill="1" applyAlignment="1">
      <alignment horizontal="left" wrapText="1"/>
    </xf>
    <xf numFmtId="4" fontId="196" fillId="2" borderId="159" xfId="23" applyNumberFormat="1" applyFont="1" applyFill="1" applyBorder="1" applyAlignment="1">
      <alignment horizontal="center" vertical="center" wrapText="1"/>
    </xf>
    <xf numFmtId="4" fontId="196" fillId="2" borderId="74" xfId="23" applyNumberFormat="1" applyFont="1" applyFill="1" applyBorder="1" applyAlignment="1">
      <alignment horizontal="center" vertical="center" wrapText="1"/>
    </xf>
    <xf numFmtId="10" fontId="194" fillId="17" borderId="73" xfId="8" applyNumberFormat="1" applyFont="1" applyFill="1" applyBorder="1" applyAlignment="1">
      <alignment horizontal="center" vertical="center"/>
    </xf>
    <xf numFmtId="10" fontId="194" fillId="17" borderId="74" xfId="8" applyNumberFormat="1" applyFont="1" applyFill="1" applyBorder="1" applyAlignment="1">
      <alignment horizontal="center" vertical="center"/>
    </xf>
    <xf numFmtId="10" fontId="195" fillId="17" borderId="73" xfId="8" applyNumberFormat="1" applyFont="1" applyFill="1" applyBorder="1" applyAlignment="1">
      <alignment horizontal="center" vertical="center"/>
    </xf>
    <xf numFmtId="10" fontId="195" fillId="17" borderId="74" xfId="8" applyNumberFormat="1" applyFont="1" applyFill="1" applyBorder="1" applyAlignment="1">
      <alignment horizontal="center" vertical="center"/>
    </xf>
    <xf numFmtId="10" fontId="196" fillId="17" borderId="73" xfId="8" applyNumberFormat="1" applyFont="1" applyFill="1" applyBorder="1" applyAlignment="1">
      <alignment horizontal="center" vertical="center"/>
    </xf>
    <xf numFmtId="10" fontId="196" fillId="17" borderId="74" xfId="8" applyNumberFormat="1" applyFont="1" applyFill="1" applyBorder="1" applyAlignment="1">
      <alignment horizontal="center" vertical="center"/>
    </xf>
    <xf numFmtId="4" fontId="150" fillId="16" borderId="73" xfId="6" applyNumberFormat="1" applyFont="1" applyFill="1" applyBorder="1" applyAlignment="1">
      <alignment horizontal="center"/>
    </xf>
    <xf numFmtId="4" fontId="150" fillId="16" borderId="74" xfId="6" applyNumberFormat="1" applyFont="1" applyFill="1" applyBorder="1" applyAlignment="1">
      <alignment horizontal="center"/>
    </xf>
    <xf numFmtId="4" fontId="194" fillId="2" borderId="73" xfId="23" applyNumberFormat="1" applyFont="1" applyFill="1" applyBorder="1" applyAlignment="1">
      <alignment horizontal="center" vertical="center" wrapText="1"/>
    </xf>
    <xf numFmtId="4" fontId="194" fillId="2" borderId="74" xfId="23" applyNumberFormat="1" applyFont="1" applyFill="1" applyBorder="1" applyAlignment="1">
      <alignment horizontal="center" vertical="center" wrapText="1"/>
    </xf>
    <xf numFmtId="4" fontId="195" fillId="2" borderId="73" xfId="23" applyNumberFormat="1" applyFont="1" applyFill="1" applyBorder="1" applyAlignment="1">
      <alignment horizontal="center" vertical="center" wrapText="1"/>
    </xf>
    <xf numFmtId="4" fontId="195" fillId="2" borderId="74" xfId="23" applyNumberFormat="1" applyFont="1" applyFill="1" applyBorder="1" applyAlignment="1">
      <alignment horizontal="center" vertical="center" wrapText="1"/>
    </xf>
    <xf numFmtId="4" fontId="150" fillId="16" borderId="346" xfId="6" applyNumberFormat="1" applyFont="1" applyFill="1" applyBorder="1" applyAlignment="1">
      <alignment horizontal="center"/>
    </xf>
    <xf numFmtId="4" fontId="150" fillId="16" borderId="347" xfId="6" applyNumberFormat="1" applyFont="1" applyFill="1" applyBorder="1" applyAlignment="1">
      <alignment horizontal="center"/>
    </xf>
    <xf numFmtId="2" fontId="176" fillId="2" borderId="343" xfId="23" applyNumberFormat="1" applyFont="1" applyFill="1" applyBorder="1" applyAlignment="1">
      <alignment horizontal="center" vertical="center" wrapText="1"/>
    </xf>
    <xf numFmtId="2" fontId="176" fillId="2" borderId="45" xfId="23" applyNumberFormat="1" applyFont="1" applyFill="1" applyBorder="1" applyAlignment="1">
      <alignment horizontal="center" vertical="center" wrapText="1"/>
    </xf>
    <xf numFmtId="4" fontId="150" fillId="2" borderId="115" xfId="23" applyNumberFormat="1" applyFont="1" applyFill="1" applyBorder="1" applyAlignment="1">
      <alignment horizontal="center" vertical="center"/>
    </xf>
    <xf numFmtId="4" fontId="150" fillId="2" borderId="111" xfId="23" applyNumberFormat="1" applyFont="1" applyFill="1" applyBorder="1" applyAlignment="1">
      <alignment horizontal="center" vertical="center"/>
    </xf>
    <xf numFmtId="4" fontId="150" fillId="2" borderId="115" xfId="23" applyNumberFormat="1" applyFont="1" applyFill="1" applyBorder="1" applyAlignment="1">
      <alignment horizontal="center" vertical="center" wrapText="1"/>
    </xf>
    <xf numFmtId="4" fontId="150" fillId="2" borderId="111" xfId="23" applyNumberFormat="1" applyFont="1" applyFill="1" applyBorder="1" applyAlignment="1">
      <alignment horizontal="center" vertical="center" wrapText="1"/>
    </xf>
    <xf numFmtId="0" fontId="182" fillId="3" borderId="318" xfId="23" applyFont="1" applyFill="1" applyBorder="1" applyAlignment="1">
      <alignment horizontal="center" vertical="center" wrapText="1"/>
    </xf>
    <xf numFmtId="2" fontId="176" fillId="2" borderId="73" xfId="23" applyNumberFormat="1" applyFont="1" applyFill="1" applyBorder="1" applyAlignment="1">
      <alignment horizontal="center" vertical="center" wrapText="1"/>
    </xf>
    <xf numFmtId="2" fontId="176" fillId="2" borderId="74" xfId="23" applyNumberFormat="1" applyFont="1" applyFill="1" applyBorder="1" applyAlignment="1">
      <alignment horizontal="center" vertical="center" wrapText="1"/>
    </xf>
    <xf numFmtId="0" fontId="182" fillId="3" borderId="333" xfId="23" applyFont="1" applyFill="1" applyBorder="1" applyAlignment="1">
      <alignment horizontal="center" vertical="center" wrapText="1"/>
    </xf>
    <xf numFmtId="0" fontId="182" fillId="3" borderId="334" xfId="23" applyFont="1" applyFill="1" applyBorder="1" applyAlignment="1">
      <alignment horizontal="center" vertical="center" wrapText="1"/>
    </xf>
    <xf numFmtId="0" fontId="182" fillId="3" borderId="335" xfId="23" applyFont="1" applyFill="1" applyBorder="1" applyAlignment="1">
      <alignment horizontal="center" vertical="center" wrapText="1"/>
    </xf>
    <xf numFmtId="0" fontId="182" fillId="3" borderId="336" xfId="23" applyFont="1" applyFill="1" applyBorder="1" applyAlignment="1">
      <alignment horizontal="center" vertical="center" wrapText="1"/>
    </xf>
    <xf numFmtId="0" fontId="182" fillId="3" borderId="337" xfId="23" applyFont="1" applyFill="1" applyBorder="1" applyAlignment="1">
      <alignment horizontal="center" vertical="center" wrapText="1"/>
    </xf>
    <xf numFmtId="0" fontId="182" fillId="3" borderId="338" xfId="23" applyFont="1" applyFill="1" applyBorder="1" applyAlignment="1">
      <alignment horizontal="center" vertical="center" wrapText="1"/>
    </xf>
    <xf numFmtId="0" fontId="182" fillId="3" borderId="340" xfId="23" applyFont="1" applyFill="1" applyBorder="1" applyAlignment="1">
      <alignment horizontal="center" vertical="center" wrapText="1"/>
    </xf>
    <xf numFmtId="0" fontId="182" fillId="3" borderId="341" xfId="23" applyFont="1" applyFill="1" applyBorder="1" applyAlignment="1">
      <alignment horizontal="center" vertical="center" wrapText="1"/>
    </xf>
    <xf numFmtId="0" fontId="152" fillId="3" borderId="318" xfId="21" applyFont="1" applyFill="1" applyBorder="1" applyAlignment="1">
      <alignment horizontal="center" vertical="top" wrapText="1"/>
    </xf>
    <xf numFmtId="0" fontId="152" fillId="3" borderId="319" xfId="6" applyFont="1" applyFill="1" applyBorder="1" applyAlignment="1">
      <alignment horizontal="center"/>
    </xf>
    <xf numFmtId="0" fontId="152" fillId="3" borderId="320" xfId="6" applyFont="1" applyFill="1" applyBorder="1" applyAlignment="1">
      <alignment horizontal="center"/>
    </xf>
    <xf numFmtId="0" fontId="152" fillId="3" borderId="321" xfId="6" applyFont="1" applyFill="1" applyBorder="1" applyAlignment="1">
      <alignment horizontal="center"/>
    </xf>
    <xf numFmtId="0" fontId="152" fillId="3" borderId="319" xfId="6" applyFont="1" applyFill="1" applyBorder="1" applyAlignment="1">
      <alignment horizontal="center" vertical="center" wrapText="1"/>
    </xf>
    <xf numFmtId="0" fontId="152" fillId="3" borderId="320" xfId="6" applyFont="1" applyFill="1" applyBorder="1" applyAlignment="1">
      <alignment horizontal="center" vertical="center" wrapText="1"/>
    </xf>
    <xf numFmtId="0" fontId="152" fillId="3" borderId="321" xfId="6" applyFont="1" applyFill="1" applyBorder="1" applyAlignment="1">
      <alignment horizontal="center" vertical="center" wrapText="1"/>
    </xf>
    <xf numFmtId="0" fontId="152" fillId="3" borderId="322" xfId="6" applyFont="1" applyFill="1" applyBorder="1" applyAlignment="1">
      <alignment horizontal="center" vertical="center" wrapText="1"/>
    </xf>
    <xf numFmtId="0" fontId="152" fillId="3" borderId="0" xfId="6" applyFont="1" applyFill="1" applyAlignment="1">
      <alignment horizontal="center" vertical="center" wrapText="1"/>
    </xf>
    <xf numFmtId="0" fontId="151" fillId="2" borderId="331" xfId="6" applyFont="1" applyFill="1" applyBorder="1" applyAlignment="1">
      <alignment horizontal="left" wrapText="1"/>
    </xf>
    <xf numFmtId="0" fontId="149" fillId="2" borderId="26" xfId="6" applyFont="1" applyFill="1" applyBorder="1" applyAlignment="1">
      <alignment horizontal="left" wrapText="1"/>
    </xf>
    <xf numFmtId="0" fontId="149" fillId="2" borderId="0" xfId="6" applyFont="1" applyFill="1" applyAlignment="1">
      <alignment horizontal="left" wrapText="1"/>
    </xf>
    <xf numFmtId="0" fontId="153" fillId="0" borderId="299" xfId="20" applyFont="1" applyBorder="1" applyAlignment="1">
      <alignment horizontal="center" wrapText="1"/>
    </xf>
    <xf numFmtId="0" fontId="153" fillId="0" borderId="279" xfId="20" applyFont="1" applyBorder="1" applyAlignment="1">
      <alignment horizontal="center" wrapText="1"/>
    </xf>
    <xf numFmtId="0" fontId="153" fillId="0" borderId="283" xfId="20" applyFont="1" applyBorder="1" applyAlignment="1">
      <alignment horizontal="center" wrapText="1"/>
    </xf>
    <xf numFmtId="0" fontId="153" fillId="0" borderId="300" xfId="20" applyFont="1" applyBorder="1" applyAlignment="1">
      <alignment horizontal="center" wrapText="1"/>
    </xf>
    <xf numFmtId="0" fontId="153" fillId="0" borderId="280" xfId="20" applyFont="1" applyBorder="1" applyAlignment="1">
      <alignment horizontal="center" wrapText="1"/>
    </xf>
    <xf numFmtId="0" fontId="153" fillId="0" borderId="284" xfId="20" applyFont="1" applyBorder="1" applyAlignment="1">
      <alignment horizontal="center" wrapText="1"/>
    </xf>
    <xf numFmtId="0" fontId="158" fillId="0" borderId="301" xfId="20" applyFont="1" applyBorder="1" applyAlignment="1">
      <alignment horizontal="center" wrapText="1"/>
    </xf>
    <xf numFmtId="0" fontId="158" fillId="0" borderId="281" xfId="20" applyFont="1" applyBorder="1" applyAlignment="1">
      <alignment horizontal="center" wrapText="1"/>
    </xf>
    <xf numFmtId="0" fontId="158" fillId="0" borderId="285" xfId="20" applyFont="1" applyBorder="1" applyAlignment="1">
      <alignment horizontal="center" wrapText="1"/>
    </xf>
    <xf numFmtId="0" fontId="153" fillId="2" borderId="299" xfId="20" applyFont="1" applyFill="1" applyBorder="1" applyAlignment="1">
      <alignment horizontal="center" wrapText="1"/>
    </xf>
    <xf numFmtId="0" fontId="153" fillId="2" borderId="279" xfId="20" applyFont="1" applyFill="1" applyBorder="1" applyAlignment="1">
      <alignment horizontal="center" wrapText="1"/>
    </xf>
    <xf numFmtId="0" fontId="153" fillId="2" borderId="283" xfId="20" applyFont="1" applyFill="1" applyBorder="1" applyAlignment="1">
      <alignment horizontal="center" wrapText="1"/>
    </xf>
    <xf numFmtId="0" fontId="153" fillId="0" borderId="294" xfId="20" applyFont="1" applyBorder="1" applyAlignment="1">
      <alignment horizontal="center" wrapText="1"/>
    </xf>
    <xf numFmtId="0" fontId="153" fillId="0" borderId="314" xfId="20" applyFont="1" applyBorder="1" applyAlignment="1">
      <alignment horizontal="center" wrapText="1"/>
    </xf>
    <xf numFmtId="0" fontId="158" fillId="0" borderId="315" xfId="20" applyFont="1" applyBorder="1" applyAlignment="1">
      <alignment horizontal="center" wrapText="1"/>
    </xf>
    <xf numFmtId="0" fontId="153" fillId="12" borderId="314" xfId="20" applyFont="1" applyFill="1" applyBorder="1" applyAlignment="1">
      <alignment horizontal="center" wrapText="1"/>
    </xf>
    <xf numFmtId="0" fontId="153" fillId="12" borderId="279" xfId="20" applyFont="1" applyFill="1" applyBorder="1" applyAlignment="1">
      <alignment horizontal="center" wrapText="1"/>
    </xf>
    <xf numFmtId="0" fontId="153" fillId="12" borderId="283" xfId="20" applyFont="1" applyFill="1" applyBorder="1" applyAlignment="1">
      <alignment horizontal="center" wrapText="1"/>
    </xf>
    <xf numFmtId="0" fontId="154" fillId="12" borderId="300" xfId="20" applyFont="1" applyFill="1" applyBorder="1" applyAlignment="1">
      <alignment horizontal="center" vertical="center" wrapText="1"/>
    </xf>
    <xf numFmtId="0" fontId="154" fillId="12" borderId="280" xfId="20" applyFont="1" applyFill="1" applyBorder="1" applyAlignment="1">
      <alignment horizontal="center" vertical="center" wrapText="1"/>
    </xf>
    <xf numFmtId="0" fontId="154" fillId="12" borderId="284" xfId="20" applyFont="1" applyFill="1" applyBorder="1" applyAlignment="1">
      <alignment horizontal="center" vertical="center" wrapText="1"/>
    </xf>
    <xf numFmtId="0" fontId="156" fillId="12" borderId="315" xfId="20" applyFont="1" applyFill="1" applyBorder="1" applyAlignment="1">
      <alignment horizontal="center" vertical="center" wrapText="1"/>
    </xf>
    <xf numFmtId="0" fontId="156" fillId="12" borderId="281" xfId="20" applyFont="1" applyFill="1" applyBorder="1" applyAlignment="1">
      <alignment horizontal="center" vertical="center" wrapText="1"/>
    </xf>
    <xf numFmtId="0" fontId="156" fillId="12" borderId="285" xfId="20" applyFont="1" applyFill="1" applyBorder="1" applyAlignment="1">
      <alignment horizontal="center" vertical="center" wrapText="1"/>
    </xf>
    <xf numFmtId="0" fontId="153" fillId="12" borderId="274" xfId="20" applyFont="1" applyFill="1" applyBorder="1" applyAlignment="1">
      <alignment horizontal="center" wrapText="1"/>
    </xf>
    <xf numFmtId="0" fontId="154" fillId="12" borderId="275" xfId="20" applyFont="1" applyFill="1" applyBorder="1" applyAlignment="1">
      <alignment horizontal="center" vertical="center" wrapText="1"/>
    </xf>
    <xf numFmtId="0" fontId="156" fillId="12" borderId="276" xfId="20" applyFont="1" applyFill="1" applyBorder="1" applyAlignment="1">
      <alignment horizontal="center" vertical="center" wrapText="1"/>
    </xf>
    <xf numFmtId="0" fontId="153" fillId="0" borderId="274" xfId="20" applyFont="1" applyBorder="1" applyAlignment="1">
      <alignment horizontal="center" wrapText="1"/>
    </xf>
    <xf numFmtId="0" fontId="153" fillId="0" borderId="275" xfId="20" applyFont="1" applyBorder="1" applyAlignment="1">
      <alignment horizontal="center" wrapText="1"/>
    </xf>
    <xf numFmtId="0" fontId="158" fillId="0" borderId="276" xfId="20" applyFont="1" applyBorder="1" applyAlignment="1">
      <alignment horizontal="center" wrapText="1"/>
    </xf>
  </cellXfs>
  <cellStyles count="29">
    <cellStyle name="Comma" xfId="1" builtinId="3"/>
    <cellStyle name="Comma 4" xfId="7" xr:uid="{00266506-AB7F-48A2-B38E-2039EB16ACCB}"/>
    <cellStyle name="Hyperlink" xfId="12" builtinId="8"/>
    <cellStyle name="Hyperlink 3" xfId="26" xr:uid="{79E0481E-7535-4430-8C6F-6C7DF72F9D72}"/>
    <cellStyle name="Normal" xfId="0" builtinId="0"/>
    <cellStyle name="Normal 10" xfId="6" xr:uid="{D14E86DA-3899-476F-BA2F-62178453FD36}"/>
    <cellStyle name="Normal 10 2 2" xfId="25" xr:uid="{3F4D4EDC-3558-4659-AD7E-2EA161EA5395}"/>
    <cellStyle name="Normal 11 2" xfId="9" xr:uid="{DC6F530C-9E8D-41A1-B811-6CA0FBFBAAF5}"/>
    <cellStyle name="Normal 16" xfId="28" xr:uid="{E77C2DA5-6831-429D-86BF-4FD782F33815}"/>
    <cellStyle name="Normal 2" xfId="3" xr:uid="{21B83A62-0CD0-4A53-AFC0-50DE2D86C430}"/>
    <cellStyle name="Normal 2 3 2 2 3 3 2" xfId="14" xr:uid="{F688C230-47BD-4778-B972-B0DE300FA1B7}"/>
    <cellStyle name="Normal 2 3 2 2 3 3 2 3" xfId="18" xr:uid="{B9BC2CFE-4DFF-4CC4-A3D2-98D32D73DFFD}"/>
    <cellStyle name="Normal 2 3 2 2 3 4" xfId="10" xr:uid="{4654B409-3F92-4011-877B-F941B702F612}"/>
    <cellStyle name="Normal 2 5 3 2" xfId="17" xr:uid="{C1EB6560-5D10-4C43-B87D-64C829C3D749}"/>
    <cellStyle name="Normal 2 6 3 2" xfId="15" xr:uid="{DA3A4DF6-9AEF-49EB-97D6-7AD37B6763A9}"/>
    <cellStyle name="Normal 2 6 4" xfId="11" xr:uid="{FC0FAED5-204F-45AC-BE6F-828A31136025}"/>
    <cellStyle name="Normal 3" xfId="20" xr:uid="{97C89B20-2F15-490E-8C95-03B332343ACA}"/>
    <cellStyle name="Normal 3 3" xfId="5" xr:uid="{51A87656-CB05-40F4-870F-93E0C8D0C7A9}"/>
    <cellStyle name="Normal 4 2" xfId="19" xr:uid="{776389D4-14A2-4722-8C64-5A6F1AF2E14B}"/>
    <cellStyle name="Normal 5 2 2" xfId="21" xr:uid="{7A31F881-BA70-4C43-9F32-5CB0E57CEB22}"/>
    <cellStyle name="Normal 5 2 3" xfId="27" xr:uid="{1336E037-DE24-490C-8F76-66E4B68032B8}"/>
    <cellStyle name="Normal 6 2" xfId="23" xr:uid="{30675C4F-1694-4871-9F81-1C1F452053F3}"/>
    <cellStyle name="Percent" xfId="2" builtinId="5"/>
    <cellStyle name="Percent 2" xfId="4" xr:uid="{F6C01EE1-A124-44A8-A1DF-9FA3F5A39DD0}"/>
    <cellStyle name="Percent 2 2" xfId="24" xr:uid="{ACCDB5B7-0C6A-4262-A735-60D3898EB933}"/>
    <cellStyle name="Percent 2 4 3 2" xfId="13" xr:uid="{D8226C59-E971-48AB-9E04-4AD7A99C679E}"/>
    <cellStyle name="Percent 2 4 3 2 3" xfId="16" xr:uid="{D57B1926-E237-4119-8ED5-34AB83AF2E97}"/>
    <cellStyle name="Percent 2 5" xfId="22" xr:uid="{40EFEED3-DD46-4C3D-B48B-45C3677EA74C}"/>
    <cellStyle name="Percent 7" xfId="8" xr:uid="{416D9652-6A30-4AD2-9F95-004CAF5597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a:solidFill>
                  <a:sysClr val="windowText" lastClr="000000"/>
                </a:solidFill>
              </a:rPr>
              <a:t>Darba algas</a:t>
            </a:r>
            <a:r>
              <a:rPr lang="lv-LV" sz="1600" baseline="0">
                <a:solidFill>
                  <a:sysClr val="windowText" lastClr="000000"/>
                </a:solidFill>
              </a:rPr>
              <a:t> struktūra Baltijas valstīs, 2020. - 2021.gadā </a:t>
            </a:r>
            <a:r>
              <a:rPr lang="en-US" sz="1600">
                <a:solidFill>
                  <a:sysClr val="windowText" lastClr="000000"/>
                </a:solidFill>
              </a:rPr>
              <a:t> </a:t>
            </a:r>
          </a:p>
        </c:rich>
      </c:tx>
      <c:layout>
        <c:manualLayout>
          <c:xMode val="edge"/>
          <c:yMode val="edge"/>
          <c:x val="1.6947431637481556E-2"/>
          <c:y val="2.8512915965910164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lv-LV"/>
        </a:p>
      </c:txPr>
    </c:title>
    <c:autoTitleDeleted val="0"/>
    <c:plotArea>
      <c:layout>
        <c:manualLayout>
          <c:layoutTarget val="inner"/>
          <c:xMode val="edge"/>
          <c:yMode val="edge"/>
          <c:x val="8.5684363609085615E-2"/>
          <c:y val="0.13323162521967538"/>
          <c:w val="0.88454423009780758"/>
          <c:h val="0.62134730673293148"/>
        </c:manualLayout>
      </c:layout>
      <c:barChart>
        <c:barDir val="col"/>
        <c:grouping val="stacked"/>
        <c:varyColors val="0"/>
        <c:ser>
          <c:idx val="2"/>
          <c:order val="2"/>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Salary_calculator_2024_2026!$C$82:$G$82</c:f>
              <c:strCache>
                <c:ptCount val="5"/>
                <c:pt idx="0">
                  <c:v>Latvia 2024</c:v>
                </c:pt>
                <c:pt idx="1">
                  <c:v>Latvia 2025</c:v>
                </c:pt>
                <c:pt idx="2">
                  <c:v>Latvia 2026</c:v>
                </c:pt>
                <c:pt idx="3">
                  <c:v>Lithuania 2024</c:v>
                </c:pt>
                <c:pt idx="4">
                  <c:v>Lithuania 2025</c:v>
                </c:pt>
              </c:strCache>
            </c:strRef>
          </c:cat>
          <c:val>
            <c:numRef>
              <c:f>Salary_calculator_2024_2026!$C$89:$G$89</c:f>
              <c:numCache>
                <c:formatCode>#,##0.00</c:formatCode>
                <c:ptCount val="5"/>
                <c:pt idx="0">
                  <c:v>1463.6</c:v>
                </c:pt>
                <c:pt idx="1">
                  <c:v>1463.6</c:v>
                </c:pt>
                <c:pt idx="2">
                  <c:v>1473.8</c:v>
                </c:pt>
                <c:pt idx="3">
                  <c:v>1251.8</c:v>
                </c:pt>
                <c:pt idx="4">
                  <c:v>0</c:v>
                </c:pt>
              </c:numCache>
            </c:numRef>
          </c:val>
          <c:extLst>
            <c:ext xmlns:c15="http://schemas.microsoft.com/office/drawing/2012/chart" uri="{02D57815-91ED-43cb-92C2-25804820EDAC}">
              <c15:filteredSeriesTitle>
                <c15:tx>
                  <c:strRef>
                    <c:extLst>
                      <c:ext uri="{02D57815-91ED-43cb-92C2-25804820EDAC}">
                        <c15:formulaRef>
                          <c15:sqref>Salary_calculator_2024_2026!#REF!</c15:sqref>
                        </c15:formulaRef>
                      </c:ext>
                    </c:extLst>
                    <c:strCache>
                      <c:ptCount val="1"/>
                      <c:pt idx="0">
                        <c:v>#REF!</c:v>
                      </c:pt>
                    </c:strCache>
                  </c:strRef>
                </c15:tx>
              </c15:filteredSeriesTitle>
            </c:ext>
            <c:ext xmlns:c16="http://schemas.microsoft.com/office/drawing/2014/chart" uri="{C3380CC4-5D6E-409C-BE32-E72D297353CC}">
              <c16:uniqueId val="{00000000-318C-47F6-823F-9D1688FDDDE0}"/>
            </c:ext>
          </c:extLst>
        </c:ser>
        <c:ser>
          <c:idx val="3"/>
          <c:order val="3"/>
          <c:spPr>
            <a:solidFill>
              <a:srgbClr val="EE864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Salary_calculator_2024_2026!$C$82:$G$82</c:f>
              <c:strCache>
                <c:ptCount val="5"/>
                <c:pt idx="0">
                  <c:v>Latvia 2024</c:v>
                </c:pt>
                <c:pt idx="1">
                  <c:v>Latvia 2025</c:v>
                </c:pt>
                <c:pt idx="2">
                  <c:v>Latvia 2026</c:v>
                </c:pt>
                <c:pt idx="3">
                  <c:v>Lithuania 2024</c:v>
                </c:pt>
                <c:pt idx="4">
                  <c:v>Lithuania 2025</c:v>
                </c:pt>
              </c:strCache>
            </c:strRef>
          </c:cat>
          <c:val>
            <c:numRef>
              <c:f>Salary_calculator_2024_2026!$C$86:$G$86</c:f>
              <c:numCache>
                <c:formatCode>#,##0.00</c:formatCode>
                <c:ptCount val="5"/>
                <c:pt idx="0">
                  <c:v>326.39999999999998</c:v>
                </c:pt>
                <c:pt idx="1">
                  <c:v>326.39999999999998</c:v>
                </c:pt>
                <c:pt idx="2">
                  <c:v>316.2</c:v>
                </c:pt>
                <c:pt idx="3">
                  <c:v>358.20000000000005</c:v>
                </c:pt>
                <c:pt idx="4">
                  <c:v>0</c:v>
                </c:pt>
              </c:numCache>
            </c:numRef>
          </c:val>
          <c:extLst>
            <c:ext xmlns:c15="http://schemas.microsoft.com/office/drawing/2012/chart" uri="{02D57815-91ED-43cb-92C2-25804820EDAC}">
              <c15:filteredSeriesTitle>
                <c15:tx>
                  <c:strRef>
                    <c:extLst>
                      <c:ext uri="{02D57815-91ED-43cb-92C2-25804820EDAC}">
                        <c15:formulaRef>
                          <c15:sqref>Salary_calculator_2024_2026!#REF!</c15:sqref>
                        </c15:formulaRef>
                      </c:ext>
                    </c:extLst>
                    <c:strCache>
                      <c:ptCount val="1"/>
                      <c:pt idx="0">
                        <c:v>#REF!</c:v>
                      </c:pt>
                    </c:strCache>
                  </c:strRef>
                </c15:tx>
              </c15:filteredSeriesTitle>
            </c:ext>
            <c:ext xmlns:c16="http://schemas.microsoft.com/office/drawing/2014/chart" uri="{C3380CC4-5D6E-409C-BE32-E72D297353CC}">
              <c16:uniqueId val="{00000001-318C-47F6-823F-9D1688FDDDE0}"/>
            </c:ext>
          </c:extLst>
        </c:ser>
        <c:ser>
          <c:idx val="5"/>
          <c:order val="4"/>
          <c:spPr>
            <a:solidFill>
              <a:schemeClr val="tx1">
                <a:lumMod val="50000"/>
                <a:lumOff val="5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Salary_calculator_2024_2026!$C$82:$G$82</c:f>
              <c:strCache>
                <c:ptCount val="5"/>
                <c:pt idx="0">
                  <c:v>Latvia 2024</c:v>
                </c:pt>
                <c:pt idx="1">
                  <c:v>Latvia 2025</c:v>
                </c:pt>
                <c:pt idx="2">
                  <c:v>Latvia 2026</c:v>
                </c:pt>
                <c:pt idx="3">
                  <c:v>Lithuania 2024</c:v>
                </c:pt>
                <c:pt idx="4">
                  <c:v>Lithuania 2025</c:v>
                </c:pt>
              </c:strCache>
            </c:strRef>
          </c:cat>
          <c:val>
            <c:numRef>
              <c:f>Salary_calculator_2024_2026!$C$85:$G$85</c:f>
              <c:numCache>
                <c:formatCode>#,##0.00</c:formatCode>
                <c:ptCount val="5"/>
                <c:pt idx="0">
                  <c:v>210</c:v>
                </c:pt>
                <c:pt idx="1">
                  <c:v>210</c:v>
                </c:pt>
                <c:pt idx="2">
                  <c:v>210</c:v>
                </c:pt>
                <c:pt idx="3">
                  <c:v>390</c:v>
                </c:pt>
                <c:pt idx="4">
                  <c:v>0</c:v>
                </c:pt>
              </c:numCache>
            </c:numRef>
          </c:val>
          <c:extLst>
            <c:ext xmlns:c15="http://schemas.microsoft.com/office/drawing/2012/chart" uri="{02D57815-91ED-43cb-92C2-25804820EDAC}">
              <c15:filteredSeriesTitle>
                <c15:tx>
                  <c:strRef>
                    <c:extLst>
                      <c:ext uri="{02D57815-91ED-43cb-92C2-25804820EDAC}">
                        <c15:formulaRef>
                          <c15:sqref>Salary_calculator_2024_2026!#REF!</c15:sqref>
                        </c15:formulaRef>
                      </c:ext>
                    </c:extLst>
                    <c:strCache>
                      <c:ptCount val="1"/>
                      <c:pt idx="0">
                        <c:v>#REF!</c:v>
                      </c:pt>
                    </c:strCache>
                  </c:strRef>
                </c15:tx>
              </c15:filteredSeriesTitle>
            </c:ext>
            <c:ext xmlns:c16="http://schemas.microsoft.com/office/drawing/2014/chart" uri="{C3380CC4-5D6E-409C-BE32-E72D297353CC}">
              <c16:uniqueId val="{00000002-318C-47F6-823F-9D1688FDDDE0}"/>
            </c:ext>
          </c:extLst>
        </c:ser>
        <c:ser>
          <c:idx val="4"/>
          <c:order val="5"/>
          <c:spPr>
            <a:solidFill>
              <a:schemeClr val="accent4">
                <a:lumMod val="60000"/>
                <a:lumOff val="40000"/>
              </a:schemeClr>
            </a:solidFill>
            <a:ln>
              <a:noFill/>
            </a:ln>
            <a:effectLst/>
          </c:spPr>
          <c:invertIfNegative val="0"/>
          <c:dLbls>
            <c:dLbl>
              <c:idx val="0"/>
              <c:layout>
                <c:manualLayout>
                  <c:x val="1.3024990253234234E-2"/>
                  <c:y val="-2.6248842570721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8C-47F6-823F-9D1688FDDDE0}"/>
                </c:ext>
              </c:extLst>
            </c:dLbl>
            <c:dLbl>
              <c:idx val="2"/>
              <c:layout>
                <c:manualLayout>
                  <c:x val="1.3024990253234234E-2"/>
                  <c:y val="-2.6248842570721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8C-47F6-823F-9D1688FDDD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Salary_calculator_2024_2026!$C$82:$G$82</c:f>
              <c:strCache>
                <c:ptCount val="5"/>
                <c:pt idx="0">
                  <c:v>Latvia 2024</c:v>
                </c:pt>
                <c:pt idx="1">
                  <c:v>Latvia 2025</c:v>
                </c:pt>
                <c:pt idx="2">
                  <c:v>Latvia 2026</c:v>
                </c:pt>
                <c:pt idx="3">
                  <c:v>Lithuania 2024</c:v>
                </c:pt>
                <c:pt idx="4">
                  <c:v>Lithuania 2025</c:v>
                </c:pt>
              </c:strCache>
            </c:strRef>
          </c:cat>
          <c:val>
            <c:numRef>
              <c:f>Salary_calculator_2024_2026!$C$84:$G$84</c:f>
              <c:numCache>
                <c:formatCode>#,##0.00</c:formatCode>
                <c:ptCount val="5"/>
                <c:pt idx="0">
                  <c:v>471.8</c:v>
                </c:pt>
                <c:pt idx="1">
                  <c:v>471.8</c:v>
                </c:pt>
                <c:pt idx="2">
                  <c:v>471.8</c:v>
                </c:pt>
                <c:pt idx="3">
                  <c:v>35.4</c:v>
                </c:pt>
                <c:pt idx="4">
                  <c:v>0</c:v>
                </c:pt>
              </c:numCache>
            </c:numRef>
          </c:val>
          <c:extLst>
            <c:ext xmlns:c15="http://schemas.microsoft.com/office/drawing/2012/chart" uri="{02D57815-91ED-43cb-92C2-25804820EDAC}">
              <c15:filteredSeriesTitle>
                <c15:tx>
                  <c:strRef>
                    <c:extLst>
                      <c:ext uri="{02D57815-91ED-43cb-92C2-25804820EDAC}">
                        <c15:formulaRef>
                          <c15:sqref>Salary_calculator_2024_2026!#REF!</c15:sqref>
                        </c15:formulaRef>
                      </c:ext>
                    </c:extLst>
                    <c:strCache>
                      <c:ptCount val="1"/>
                      <c:pt idx="0">
                        <c:v>#REF!</c:v>
                      </c:pt>
                    </c:strCache>
                  </c:strRef>
                </c15:tx>
              </c15:filteredSeriesTitle>
            </c:ext>
            <c:ext xmlns:c16="http://schemas.microsoft.com/office/drawing/2014/chart" uri="{C3380CC4-5D6E-409C-BE32-E72D297353CC}">
              <c16:uniqueId val="{00000005-318C-47F6-823F-9D1688FDDDE0}"/>
            </c:ext>
          </c:extLst>
        </c:ser>
        <c:dLbls>
          <c:showLegendKey val="0"/>
          <c:showVal val="0"/>
          <c:showCatName val="0"/>
          <c:showSerName val="0"/>
          <c:showPercent val="0"/>
          <c:showBubbleSize val="0"/>
        </c:dLbls>
        <c:gapWidth val="150"/>
        <c:overlap val="100"/>
        <c:axId val="134338816"/>
        <c:axId val="134557696"/>
      </c:barChart>
      <c:lineChart>
        <c:grouping val="standard"/>
        <c:varyColors val="0"/>
        <c:ser>
          <c:idx val="0"/>
          <c:order val="0"/>
          <c:spPr>
            <a:ln w="25400" cap="rnd">
              <a:solidFill>
                <a:srgbClr val="0070C0"/>
              </a:solidFill>
              <a:round/>
            </a:ln>
            <a:effectLst/>
          </c:spPr>
          <c:marker>
            <c:symbol val="dash"/>
            <c:size val="7"/>
            <c:spPr>
              <a:noFill/>
              <a:ln w="31750">
                <a:noFill/>
              </a:ln>
              <a:effectLst/>
            </c:spPr>
          </c:marker>
          <c:dLbls>
            <c:dLbl>
              <c:idx val="0"/>
              <c:layout>
                <c:manualLayout>
                  <c:x val="-5.51050855920606E-2"/>
                  <c:y val="-7.8915122640261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8C-47F6-823F-9D1688FDDDE0}"/>
                </c:ext>
              </c:extLst>
            </c:dLbl>
            <c:dLbl>
              <c:idx val="1"/>
              <c:layout>
                <c:manualLayout>
                  <c:x val="-6.449699729288251E-2"/>
                  <c:y val="-6.579070135490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8C-47F6-823F-9D1688FDDDE0}"/>
                </c:ext>
              </c:extLst>
            </c:dLbl>
            <c:dLbl>
              <c:idx val="2"/>
              <c:layout>
                <c:manualLayout>
                  <c:x val="-5.51050855920606E-2"/>
                  <c:y val="-7.8915122640261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18C-47F6-823F-9D1688FDDD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0070C0"/>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Salary_calculator_2024_2026!$C$82:$G$82</c:f>
              <c:strCache>
                <c:ptCount val="5"/>
                <c:pt idx="0">
                  <c:v>Latvia 2024</c:v>
                </c:pt>
                <c:pt idx="1">
                  <c:v>Latvia 2025</c:v>
                </c:pt>
                <c:pt idx="2">
                  <c:v>Latvia 2026</c:v>
                </c:pt>
                <c:pt idx="3">
                  <c:v>Lithuania 2024</c:v>
                </c:pt>
                <c:pt idx="4">
                  <c:v>Lithuania 2025</c:v>
                </c:pt>
              </c:strCache>
            </c:strRef>
          </c:cat>
          <c:val>
            <c:numRef>
              <c:f>Salary_calculator_2024_2026!$C$88:$G$88</c:f>
              <c:numCache>
                <c:formatCode>#,##0.00</c:formatCode>
                <c:ptCount val="5"/>
                <c:pt idx="0">
                  <c:v>2471.8000000000002</c:v>
                </c:pt>
                <c:pt idx="1">
                  <c:v>2471.8000000000002</c:v>
                </c:pt>
                <c:pt idx="2">
                  <c:v>2471.8000000000002</c:v>
                </c:pt>
                <c:pt idx="3">
                  <c:v>2035.4</c:v>
                </c:pt>
                <c:pt idx="4">
                  <c:v>0</c:v>
                </c:pt>
              </c:numCache>
            </c:numRef>
          </c:val>
          <c:smooth val="0"/>
          <c:extLst>
            <c:ext xmlns:c15="http://schemas.microsoft.com/office/drawing/2012/chart" uri="{02D57815-91ED-43cb-92C2-25804820EDAC}">
              <c15:filteredSeriesTitle>
                <c15:tx>
                  <c:strRef>
                    <c:extLst>
                      <c:ext uri="{02D57815-91ED-43cb-92C2-25804820EDAC}">
                        <c15:formulaRef>
                          <c15:sqref>Salary_calculator_2024_2026!#REF!</c15:sqref>
                        </c15:formulaRef>
                      </c:ext>
                    </c:extLst>
                    <c:strCache>
                      <c:ptCount val="1"/>
                      <c:pt idx="0">
                        <c:v>#REF!</c:v>
                      </c:pt>
                    </c:strCache>
                  </c:strRef>
                </c15:tx>
              </c15:filteredSeriesTitle>
            </c:ext>
            <c:ext xmlns:c16="http://schemas.microsoft.com/office/drawing/2014/chart" uri="{C3380CC4-5D6E-409C-BE32-E72D297353CC}">
              <c16:uniqueId val="{00000009-318C-47F6-823F-9D1688FDDDE0}"/>
            </c:ext>
          </c:extLst>
        </c:ser>
        <c:ser>
          <c:idx val="1"/>
          <c:order val="1"/>
          <c:spPr>
            <a:ln w="34925" cap="rnd" cmpd="sng">
              <a:solidFill>
                <a:srgbClr val="FF0000"/>
              </a:solidFill>
              <a:round/>
            </a:ln>
            <a:effectLst/>
          </c:spPr>
          <c:marker>
            <c:symbol val="none"/>
          </c:marker>
          <c:cat>
            <c:strRef>
              <c:f>Salary_calculator_2024_2026!$C$82:$G$82</c:f>
              <c:strCache>
                <c:ptCount val="5"/>
                <c:pt idx="0">
                  <c:v>Latvia 2024</c:v>
                </c:pt>
                <c:pt idx="1">
                  <c:v>Latvia 2025</c:v>
                </c:pt>
                <c:pt idx="2">
                  <c:v>Latvia 2026</c:v>
                </c:pt>
                <c:pt idx="3">
                  <c:v>Lithuania 2024</c:v>
                </c:pt>
                <c:pt idx="4">
                  <c:v>Lithuania 2025</c:v>
                </c:pt>
              </c:strCache>
            </c:strRef>
          </c:cat>
          <c:val>
            <c:numRef>
              <c:f>Salary_calculator_2024_2026!$C$83:$G$83</c:f>
              <c:numCache>
                <c:formatCode>#\ ##0.0</c:formatCode>
                <c:ptCount val="5"/>
                <c:pt idx="0">
                  <c:v>2000</c:v>
                </c:pt>
                <c:pt idx="1">
                  <c:v>2000</c:v>
                </c:pt>
                <c:pt idx="2">
                  <c:v>2000</c:v>
                </c:pt>
                <c:pt idx="3">
                  <c:v>2000</c:v>
                </c:pt>
                <c:pt idx="4">
                  <c:v>2000</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Salary_calculator_2024_2026!#REF!</c15:sqref>
                        </c15:formulaRef>
                      </c:ext>
                    </c:extLst>
                    <c:strCache>
                      <c:ptCount val="1"/>
                      <c:pt idx="0">
                        <c:v>#REF!</c:v>
                      </c:pt>
                    </c:strCache>
                  </c:strRef>
                </c15:tx>
              </c15:filteredSeriesTitle>
            </c:ext>
            <c:ext xmlns:c16="http://schemas.microsoft.com/office/drawing/2014/chart" uri="{C3380CC4-5D6E-409C-BE32-E72D297353CC}">
              <c16:uniqueId val="{0000000A-318C-47F6-823F-9D1688FDDDE0}"/>
            </c:ext>
          </c:extLst>
        </c:ser>
        <c:dLbls>
          <c:showLegendKey val="0"/>
          <c:showVal val="0"/>
          <c:showCatName val="0"/>
          <c:showSerName val="0"/>
          <c:showPercent val="0"/>
          <c:showBubbleSize val="0"/>
        </c:dLbls>
        <c:marker val="1"/>
        <c:smooth val="0"/>
        <c:axId val="134338816"/>
        <c:axId val="134557696"/>
        <c:extLst/>
      </c:lineChart>
      <c:catAx>
        <c:axId val="13433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lv-LV"/>
          </a:p>
        </c:txPr>
        <c:crossAx val="134557696"/>
        <c:crosses val="autoZero"/>
        <c:auto val="1"/>
        <c:lblAlgn val="ctr"/>
        <c:lblOffset val="100"/>
        <c:noMultiLvlLbl val="0"/>
      </c:catAx>
      <c:valAx>
        <c:axId val="134557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4338816"/>
        <c:crosses val="autoZero"/>
        <c:crossBetween val="between"/>
      </c:valAx>
      <c:spPr>
        <a:noFill/>
        <a:ln>
          <a:noFill/>
        </a:ln>
        <a:effectLst/>
      </c:spPr>
    </c:plotArea>
    <c:legend>
      <c:legendPos val="b"/>
      <c:layout>
        <c:manualLayout>
          <c:xMode val="edge"/>
          <c:yMode val="edge"/>
          <c:x val="0"/>
          <c:y val="0.8660404273994754"/>
          <c:w val="1"/>
          <c:h val="0.1129464360810445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b="0" i="0" u="none" strike="noStrike" baseline="0">
                <a:effectLst/>
              </a:rPr>
              <a:t>Wage structure in the Baltic in 2020 and 2021</a:t>
            </a:r>
            <a:endParaRPr lang="en-US" sz="1600" b="0">
              <a:solidFill>
                <a:sysClr val="windowText" lastClr="000000"/>
              </a:solidFill>
            </a:endParaRPr>
          </a:p>
        </c:rich>
      </c:tx>
      <c:layout>
        <c:manualLayout>
          <c:xMode val="edge"/>
          <c:yMode val="edge"/>
          <c:x val="3.6844094701712848E-2"/>
          <c:y val="2.8513033618973095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5684363609085615E-2"/>
          <c:y val="0.13323162521967538"/>
          <c:w val="0.88454423009780758"/>
          <c:h val="0.62134730673293148"/>
        </c:manualLayout>
      </c:layout>
      <c:barChart>
        <c:barDir val="col"/>
        <c:grouping val="stacked"/>
        <c:varyColors val="0"/>
        <c:ser>
          <c:idx val="2"/>
          <c:order val="2"/>
          <c:tx>
            <c:strRef>
              <c:f>Salary_calculator_2024_2026!$B$89</c:f>
              <c:strCache>
                <c:ptCount val="1"/>
                <c:pt idx="0">
                  <c:v>Net wage</c:v>
                </c:pt>
              </c:strCache>
            </c:strRef>
          </c:tx>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Salary_calculator_2024_2026!$D$81:$M$81</c:f>
              <c:numCache>
                <c:formatCode>General</c:formatCode>
                <c:ptCount val="10"/>
              </c:numCache>
            </c:numRef>
          </c:cat>
          <c:val>
            <c:numRef>
              <c:f>Salary_calculator_2024_2026!$C$89:$G$89</c:f>
              <c:numCache>
                <c:formatCode>#,##0.00</c:formatCode>
                <c:ptCount val="5"/>
                <c:pt idx="0">
                  <c:v>1463.6</c:v>
                </c:pt>
                <c:pt idx="1">
                  <c:v>1463.6</c:v>
                </c:pt>
                <c:pt idx="2">
                  <c:v>1473.8</c:v>
                </c:pt>
                <c:pt idx="3">
                  <c:v>1251.8</c:v>
                </c:pt>
                <c:pt idx="4">
                  <c:v>0</c:v>
                </c:pt>
              </c:numCache>
            </c:numRef>
          </c:val>
          <c:extLst>
            <c:ext xmlns:c16="http://schemas.microsoft.com/office/drawing/2014/chart" uri="{C3380CC4-5D6E-409C-BE32-E72D297353CC}">
              <c16:uniqueId val="{00000000-19DC-4544-8309-46F46E554CF4}"/>
            </c:ext>
          </c:extLst>
        </c:ser>
        <c:ser>
          <c:idx val="3"/>
          <c:order val="3"/>
          <c:tx>
            <c:strRef>
              <c:f>Salary_calculator_2024_2026!$B$86</c:f>
              <c:strCache>
                <c:ptCount val="1"/>
                <c:pt idx="0">
                  <c:v>Personal income tax </c:v>
                </c:pt>
              </c:strCache>
            </c:strRef>
          </c:tx>
          <c:spPr>
            <a:solidFill>
              <a:srgbClr val="EE864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Salary_calculator_2024_2026!$D$81:$M$81</c:f>
              <c:numCache>
                <c:formatCode>General</c:formatCode>
                <c:ptCount val="10"/>
              </c:numCache>
            </c:numRef>
          </c:cat>
          <c:val>
            <c:numRef>
              <c:f>Salary_calculator_2024_2026!$C$86:$G$86</c:f>
              <c:numCache>
                <c:formatCode>#,##0.00</c:formatCode>
                <c:ptCount val="5"/>
                <c:pt idx="0">
                  <c:v>326.39999999999998</c:v>
                </c:pt>
                <c:pt idx="1">
                  <c:v>326.39999999999998</c:v>
                </c:pt>
                <c:pt idx="2">
                  <c:v>316.2</c:v>
                </c:pt>
                <c:pt idx="3">
                  <c:v>358.20000000000005</c:v>
                </c:pt>
                <c:pt idx="4">
                  <c:v>0</c:v>
                </c:pt>
              </c:numCache>
            </c:numRef>
          </c:val>
          <c:extLst>
            <c:ext xmlns:c16="http://schemas.microsoft.com/office/drawing/2014/chart" uri="{C3380CC4-5D6E-409C-BE32-E72D297353CC}">
              <c16:uniqueId val="{00000001-19DC-4544-8309-46F46E554CF4}"/>
            </c:ext>
          </c:extLst>
        </c:ser>
        <c:ser>
          <c:idx val="5"/>
          <c:order val="4"/>
          <c:tx>
            <c:strRef>
              <c:f>Salary_calculator_2024_2026!$B$85</c:f>
              <c:strCache>
                <c:ptCount val="1"/>
                <c:pt idx="0">
                  <c:v>Emploee's social tax</c:v>
                </c:pt>
              </c:strCache>
            </c:strRef>
          </c:tx>
          <c:spPr>
            <a:solidFill>
              <a:schemeClr val="tx1">
                <a:lumMod val="50000"/>
                <a:lumOff val="5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Salary_calculator_2024_2026!$D$81:$M$81</c:f>
              <c:numCache>
                <c:formatCode>General</c:formatCode>
                <c:ptCount val="10"/>
              </c:numCache>
            </c:numRef>
          </c:cat>
          <c:val>
            <c:numRef>
              <c:f>Salary_calculator_2024_2026!$C$85:$G$85</c:f>
              <c:numCache>
                <c:formatCode>#,##0.00</c:formatCode>
                <c:ptCount val="5"/>
                <c:pt idx="0">
                  <c:v>210</c:v>
                </c:pt>
                <c:pt idx="1">
                  <c:v>210</c:v>
                </c:pt>
                <c:pt idx="2">
                  <c:v>210</c:v>
                </c:pt>
                <c:pt idx="3">
                  <c:v>390</c:v>
                </c:pt>
                <c:pt idx="4">
                  <c:v>0</c:v>
                </c:pt>
              </c:numCache>
            </c:numRef>
          </c:val>
          <c:extLst>
            <c:ext xmlns:c16="http://schemas.microsoft.com/office/drawing/2014/chart" uri="{C3380CC4-5D6E-409C-BE32-E72D297353CC}">
              <c16:uniqueId val="{00000002-19DC-4544-8309-46F46E554CF4}"/>
            </c:ext>
          </c:extLst>
        </c:ser>
        <c:ser>
          <c:idx val="4"/>
          <c:order val="5"/>
          <c:tx>
            <c:strRef>
              <c:f>Salary_calculator_2024_2026!$B$84</c:f>
              <c:strCache>
                <c:ptCount val="1"/>
                <c:pt idx="0">
                  <c:v>Employer's social tax</c:v>
                </c:pt>
              </c:strCache>
            </c:strRef>
          </c:tx>
          <c:spPr>
            <a:solidFill>
              <a:schemeClr val="accent4">
                <a:lumMod val="60000"/>
                <a:lumOff val="40000"/>
              </a:schemeClr>
            </a:solidFill>
            <a:ln>
              <a:noFill/>
            </a:ln>
            <a:effectLst/>
          </c:spPr>
          <c:invertIfNegative val="0"/>
          <c:dLbls>
            <c:dLbl>
              <c:idx val="0"/>
              <c:layout>
                <c:manualLayout>
                  <c:x val="1.3024990253234234E-2"/>
                  <c:y val="-2.6248842570721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C-4544-8309-46F46E554CF4}"/>
                </c:ext>
              </c:extLst>
            </c:dLbl>
            <c:dLbl>
              <c:idx val="2"/>
              <c:layout>
                <c:manualLayout>
                  <c:x val="1.3024990253234234E-2"/>
                  <c:y val="-2.6248842570721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C-4544-8309-46F46E554C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Salary_calculator_2024_2026!$D$81:$M$81</c:f>
              <c:numCache>
                <c:formatCode>General</c:formatCode>
                <c:ptCount val="10"/>
              </c:numCache>
            </c:numRef>
          </c:cat>
          <c:val>
            <c:numRef>
              <c:f>Salary_calculator_2024_2026!$C$84:$G$84</c:f>
              <c:numCache>
                <c:formatCode>#,##0.00</c:formatCode>
                <c:ptCount val="5"/>
                <c:pt idx="0">
                  <c:v>471.8</c:v>
                </c:pt>
                <c:pt idx="1">
                  <c:v>471.8</c:v>
                </c:pt>
                <c:pt idx="2">
                  <c:v>471.8</c:v>
                </c:pt>
                <c:pt idx="3">
                  <c:v>35.4</c:v>
                </c:pt>
                <c:pt idx="4">
                  <c:v>0</c:v>
                </c:pt>
              </c:numCache>
            </c:numRef>
          </c:val>
          <c:extLst>
            <c:ext xmlns:c16="http://schemas.microsoft.com/office/drawing/2014/chart" uri="{C3380CC4-5D6E-409C-BE32-E72D297353CC}">
              <c16:uniqueId val="{00000005-19DC-4544-8309-46F46E554CF4}"/>
            </c:ext>
          </c:extLst>
        </c:ser>
        <c:dLbls>
          <c:showLegendKey val="0"/>
          <c:showVal val="0"/>
          <c:showCatName val="0"/>
          <c:showSerName val="0"/>
          <c:showPercent val="0"/>
          <c:showBubbleSize val="0"/>
        </c:dLbls>
        <c:gapWidth val="150"/>
        <c:overlap val="100"/>
        <c:axId val="134661248"/>
        <c:axId val="134662784"/>
      </c:barChart>
      <c:lineChart>
        <c:grouping val="standard"/>
        <c:varyColors val="0"/>
        <c:ser>
          <c:idx val="0"/>
          <c:order val="0"/>
          <c:tx>
            <c:strRef>
              <c:f>Salary_calculator_2024_2026!$B$88</c:f>
              <c:strCache>
                <c:ptCount val="1"/>
                <c:pt idx="0">
                  <c:v>Employer's total costs</c:v>
                </c:pt>
              </c:strCache>
            </c:strRef>
          </c:tx>
          <c:spPr>
            <a:ln w="25400" cap="rnd">
              <a:solidFill>
                <a:srgbClr val="0070C0"/>
              </a:solidFill>
              <a:round/>
            </a:ln>
            <a:effectLst/>
          </c:spPr>
          <c:marker>
            <c:symbol val="dash"/>
            <c:size val="7"/>
            <c:spPr>
              <a:noFill/>
              <a:ln w="31750">
                <a:noFill/>
              </a:ln>
              <a:effectLst/>
            </c:spPr>
          </c:marker>
          <c:dLbls>
            <c:dLbl>
              <c:idx val="0"/>
              <c:layout>
                <c:manualLayout>
                  <c:x val="-5.51050855920606E-2"/>
                  <c:y val="-7.8915122640261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DC-4544-8309-46F46E554CF4}"/>
                </c:ext>
              </c:extLst>
            </c:dLbl>
            <c:dLbl>
              <c:idx val="1"/>
              <c:layout>
                <c:manualLayout>
                  <c:x val="-6.449699729288251E-2"/>
                  <c:y val="-6.579070135490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DC-4544-8309-46F46E554CF4}"/>
                </c:ext>
              </c:extLst>
            </c:dLbl>
            <c:dLbl>
              <c:idx val="2"/>
              <c:layout>
                <c:manualLayout>
                  <c:x val="-5.51050855920606E-2"/>
                  <c:y val="-7.8915122640261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DC-4544-8309-46F46E554C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0070C0"/>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Salary_calculator_2024_2026!$D$81:$M$81</c:f>
              <c:numCache>
                <c:formatCode>General</c:formatCode>
                <c:ptCount val="10"/>
              </c:numCache>
            </c:numRef>
          </c:cat>
          <c:val>
            <c:numRef>
              <c:f>Salary_calculator_2024_2026!$C$88:$G$88</c:f>
              <c:numCache>
                <c:formatCode>#,##0.00</c:formatCode>
                <c:ptCount val="5"/>
                <c:pt idx="0">
                  <c:v>2471.8000000000002</c:v>
                </c:pt>
                <c:pt idx="1">
                  <c:v>2471.8000000000002</c:v>
                </c:pt>
                <c:pt idx="2">
                  <c:v>2471.8000000000002</c:v>
                </c:pt>
                <c:pt idx="3">
                  <c:v>2035.4</c:v>
                </c:pt>
                <c:pt idx="4">
                  <c:v>0</c:v>
                </c:pt>
              </c:numCache>
            </c:numRef>
          </c:val>
          <c:smooth val="0"/>
          <c:extLst>
            <c:ext xmlns:c16="http://schemas.microsoft.com/office/drawing/2014/chart" uri="{C3380CC4-5D6E-409C-BE32-E72D297353CC}">
              <c16:uniqueId val="{00000009-19DC-4544-8309-46F46E554CF4}"/>
            </c:ext>
          </c:extLst>
        </c:ser>
        <c:ser>
          <c:idx val="1"/>
          <c:order val="1"/>
          <c:tx>
            <c:strRef>
              <c:f>Salary_calculator_2024_2026!$B$83</c:f>
              <c:strCache>
                <c:ptCount val="1"/>
                <c:pt idx="0">
                  <c:v>Gross wage</c:v>
                </c:pt>
              </c:strCache>
            </c:strRef>
          </c:tx>
          <c:spPr>
            <a:ln w="34925" cap="rnd" cmpd="sng">
              <a:solidFill>
                <a:srgbClr val="FF0000"/>
              </a:solidFill>
              <a:round/>
            </a:ln>
            <a:effectLst/>
          </c:spPr>
          <c:marker>
            <c:symbol val="none"/>
          </c:marker>
          <c:cat>
            <c:numRef>
              <c:f>Salary_calculator_2024_2026!$D$81:$M$81</c:f>
              <c:numCache>
                <c:formatCode>General</c:formatCode>
                <c:ptCount val="10"/>
              </c:numCache>
            </c:numRef>
          </c:cat>
          <c:val>
            <c:numRef>
              <c:f>Salary_calculator_2024_2026!$C$83:$G$83</c:f>
              <c:numCache>
                <c:formatCode>#\ ##0.0</c:formatCode>
                <c:ptCount val="5"/>
                <c:pt idx="0">
                  <c:v>2000</c:v>
                </c:pt>
                <c:pt idx="1">
                  <c:v>2000</c:v>
                </c:pt>
                <c:pt idx="2">
                  <c:v>2000</c:v>
                </c:pt>
                <c:pt idx="3">
                  <c:v>2000</c:v>
                </c:pt>
                <c:pt idx="4">
                  <c:v>2000</c:v>
                </c:pt>
              </c:numCache>
            </c:numRef>
          </c:val>
          <c:smooth val="0"/>
          <c:extLst xmlns:c15="http://schemas.microsoft.com/office/drawing/2012/chart">
            <c:ext xmlns:c16="http://schemas.microsoft.com/office/drawing/2014/chart" uri="{C3380CC4-5D6E-409C-BE32-E72D297353CC}">
              <c16:uniqueId val="{0000000A-19DC-4544-8309-46F46E554CF4}"/>
            </c:ext>
          </c:extLst>
        </c:ser>
        <c:dLbls>
          <c:showLegendKey val="0"/>
          <c:showVal val="0"/>
          <c:showCatName val="0"/>
          <c:showSerName val="0"/>
          <c:showPercent val="0"/>
          <c:showBubbleSize val="0"/>
        </c:dLbls>
        <c:marker val="1"/>
        <c:smooth val="0"/>
        <c:axId val="134661248"/>
        <c:axId val="134662784"/>
        <c:extLst/>
      </c:lineChart>
      <c:catAx>
        <c:axId val="13466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lv-LV"/>
          </a:p>
        </c:txPr>
        <c:crossAx val="134662784"/>
        <c:crosses val="autoZero"/>
        <c:auto val="1"/>
        <c:lblAlgn val="ctr"/>
        <c:lblOffset val="100"/>
        <c:noMultiLvlLbl val="0"/>
      </c:catAx>
      <c:valAx>
        <c:axId val="1346627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4661248"/>
        <c:crosses val="autoZero"/>
        <c:crossBetween val="between"/>
      </c:valAx>
      <c:spPr>
        <a:noFill/>
        <a:ln>
          <a:noFill/>
        </a:ln>
        <a:effectLst/>
      </c:spPr>
    </c:plotArea>
    <c:legend>
      <c:legendPos val="b"/>
      <c:layout>
        <c:manualLayout>
          <c:xMode val="edge"/>
          <c:yMode val="edge"/>
          <c:x val="0"/>
          <c:y val="0.8660404273994754"/>
          <c:w val="1"/>
          <c:h val="0.1129464360810445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lv-LV" sz="1600">
                <a:solidFill>
                  <a:sysClr val="windowText" lastClr="000000"/>
                </a:solidFill>
              </a:rPr>
              <a:t>Wage structure in the Baltic states</a:t>
            </a:r>
            <a:r>
              <a:rPr lang="lv-LV" sz="1600" baseline="0">
                <a:solidFill>
                  <a:sysClr val="windowText" lastClr="000000"/>
                </a:solidFill>
              </a:rPr>
              <a:t>, 2024-2026</a:t>
            </a:r>
            <a:r>
              <a:rPr lang="en-US" sz="1600">
                <a:solidFill>
                  <a:sysClr val="windowText" lastClr="000000"/>
                </a:solidFill>
              </a:rPr>
              <a:t> </a:t>
            </a:r>
          </a:p>
        </c:rich>
      </c:tx>
      <c:layout>
        <c:manualLayout>
          <c:xMode val="edge"/>
          <c:yMode val="edge"/>
          <c:x val="4.0985741259196587E-4"/>
          <c:y val="1.580991375885854E-3"/>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lv-LV"/>
        </a:p>
      </c:txPr>
    </c:title>
    <c:autoTitleDeleted val="0"/>
    <c:plotArea>
      <c:layout>
        <c:manualLayout>
          <c:layoutTarget val="inner"/>
          <c:xMode val="edge"/>
          <c:yMode val="edge"/>
          <c:x val="7.5118264707725743E-2"/>
          <c:y val="0.126534289698786"/>
          <c:w val="0.88454423009780758"/>
          <c:h val="0.62134730673293148"/>
        </c:manualLayout>
      </c:layout>
      <c:barChart>
        <c:barDir val="col"/>
        <c:grouping val="stacked"/>
        <c:varyColors val="0"/>
        <c:ser>
          <c:idx val="2"/>
          <c:order val="2"/>
          <c:tx>
            <c:strRef>
              <c:f>Salary_calculator_2024_2026!$B$89</c:f>
              <c:strCache>
                <c:ptCount val="1"/>
                <c:pt idx="0">
                  <c:v>Net wage</c:v>
                </c:pt>
              </c:strCache>
            </c:strRef>
          </c:tx>
          <c:spPr>
            <a:solidFill>
              <a:schemeClr val="accent1">
                <a:lumMod val="5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#REF!</c:f>
            </c:multiLvlStrRef>
          </c:cat>
          <c:val>
            <c:numRef>
              <c:f>Salary_calculator_2024_2026!$C$89:$K$89</c:f>
              <c:numCache>
                <c:formatCode>#,##0.00</c:formatCode>
                <c:ptCount val="9"/>
                <c:pt idx="0">
                  <c:v>1463.6</c:v>
                </c:pt>
                <c:pt idx="1">
                  <c:v>1463.6</c:v>
                </c:pt>
                <c:pt idx="2">
                  <c:v>1473.8</c:v>
                </c:pt>
                <c:pt idx="3">
                  <c:v>1251.8</c:v>
                </c:pt>
                <c:pt idx="4">
                  <c:v>0</c:v>
                </c:pt>
                <c:pt idx="5">
                  <c:v>0</c:v>
                </c:pt>
                <c:pt idx="6">
                  <c:v>1556.9333333333334</c:v>
                </c:pt>
                <c:pt idx="7">
                  <c:v>0</c:v>
                </c:pt>
                <c:pt idx="8">
                  <c:v>0</c:v>
                </c:pt>
              </c:numCache>
            </c:numRef>
          </c:val>
          <c:extLst>
            <c:ext xmlns:c16="http://schemas.microsoft.com/office/drawing/2014/chart" uri="{C3380CC4-5D6E-409C-BE32-E72D297353CC}">
              <c16:uniqueId val="{00000000-C1E9-4EEB-8CA1-116A8EFF4126}"/>
            </c:ext>
          </c:extLst>
        </c:ser>
        <c:ser>
          <c:idx val="3"/>
          <c:order val="3"/>
          <c:tx>
            <c:strRef>
              <c:f>Salary_calculator_2024_2026!$B$86</c:f>
              <c:strCache>
                <c:ptCount val="1"/>
                <c:pt idx="0">
                  <c:v>Personal income tax </c:v>
                </c:pt>
              </c:strCache>
            </c:strRef>
          </c:tx>
          <c:spPr>
            <a:solidFill>
              <a:srgbClr val="E5502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#REF!</c:f>
            </c:multiLvlStrRef>
          </c:cat>
          <c:val>
            <c:numRef>
              <c:f>Salary_calculator_2024_2026!$C$86:$K$86</c:f>
              <c:numCache>
                <c:formatCode>#,##0.00</c:formatCode>
                <c:ptCount val="9"/>
                <c:pt idx="0">
                  <c:v>326.39999999999998</c:v>
                </c:pt>
                <c:pt idx="1">
                  <c:v>326.39999999999998</c:v>
                </c:pt>
                <c:pt idx="2">
                  <c:v>316.2</c:v>
                </c:pt>
                <c:pt idx="3">
                  <c:v>358.20000000000005</c:v>
                </c:pt>
                <c:pt idx="4">
                  <c:v>0</c:v>
                </c:pt>
                <c:pt idx="5">
                  <c:v>0</c:v>
                </c:pt>
                <c:pt idx="6">
                  <c:v>371.06666666666672</c:v>
                </c:pt>
                <c:pt idx="7">
                  <c:v>0</c:v>
                </c:pt>
                <c:pt idx="8">
                  <c:v>0</c:v>
                </c:pt>
              </c:numCache>
            </c:numRef>
          </c:val>
          <c:extLst>
            <c:ext xmlns:c16="http://schemas.microsoft.com/office/drawing/2014/chart" uri="{C3380CC4-5D6E-409C-BE32-E72D297353CC}">
              <c16:uniqueId val="{00000001-C1E9-4EEB-8CA1-116A8EFF4126}"/>
            </c:ext>
          </c:extLst>
        </c:ser>
        <c:ser>
          <c:idx val="5"/>
          <c:order val="4"/>
          <c:tx>
            <c:strRef>
              <c:f>Salary_calculator_2024_2026!$B$85</c:f>
              <c:strCache>
                <c:ptCount val="1"/>
                <c:pt idx="0">
                  <c:v>Emploee's social tax</c:v>
                </c:pt>
              </c:strCache>
            </c:strRef>
          </c:tx>
          <c:spPr>
            <a:solidFill>
              <a:schemeClr val="tx1">
                <a:lumMod val="50000"/>
                <a:lumOff val="5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#REF!</c:f>
            </c:multiLvlStrRef>
          </c:cat>
          <c:val>
            <c:numRef>
              <c:f>Salary_calculator_2024_2026!$C$85:$K$85</c:f>
              <c:numCache>
                <c:formatCode>#,##0.00</c:formatCode>
                <c:ptCount val="9"/>
                <c:pt idx="0">
                  <c:v>210</c:v>
                </c:pt>
                <c:pt idx="1">
                  <c:v>210</c:v>
                </c:pt>
                <c:pt idx="2">
                  <c:v>210</c:v>
                </c:pt>
                <c:pt idx="3">
                  <c:v>390</c:v>
                </c:pt>
                <c:pt idx="4">
                  <c:v>0</c:v>
                </c:pt>
                <c:pt idx="5">
                  <c:v>0</c:v>
                </c:pt>
                <c:pt idx="6">
                  <c:v>72.000000000000014</c:v>
                </c:pt>
                <c:pt idx="7">
                  <c:v>0</c:v>
                </c:pt>
                <c:pt idx="8">
                  <c:v>0</c:v>
                </c:pt>
              </c:numCache>
            </c:numRef>
          </c:val>
          <c:extLst>
            <c:ext xmlns:c16="http://schemas.microsoft.com/office/drawing/2014/chart" uri="{C3380CC4-5D6E-409C-BE32-E72D297353CC}">
              <c16:uniqueId val="{00000002-C1E9-4EEB-8CA1-116A8EFF4126}"/>
            </c:ext>
          </c:extLst>
        </c:ser>
        <c:ser>
          <c:idx val="4"/>
          <c:order val="5"/>
          <c:tx>
            <c:strRef>
              <c:f>Salary_calculator_2024_2026!$B$84</c:f>
              <c:strCache>
                <c:ptCount val="1"/>
                <c:pt idx="0">
                  <c:v>Employer's social tax</c:v>
                </c:pt>
              </c:strCache>
            </c:strRef>
          </c:tx>
          <c:spPr>
            <a:solidFill>
              <a:schemeClr val="accent4">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#REF!</c:f>
            </c:multiLvlStrRef>
          </c:cat>
          <c:val>
            <c:numRef>
              <c:f>Salary_calculator_2024_2026!$C$84:$K$84</c:f>
              <c:numCache>
                <c:formatCode>#,##0.00</c:formatCode>
                <c:ptCount val="9"/>
                <c:pt idx="0">
                  <c:v>471.8</c:v>
                </c:pt>
                <c:pt idx="1">
                  <c:v>471.8</c:v>
                </c:pt>
                <c:pt idx="2">
                  <c:v>471.8</c:v>
                </c:pt>
                <c:pt idx="3">
                  <c:v>35.4</c:v>
                </c:pt>
                <c:pt idx="4">
                  <c:v>0</c:v>
                </c:pt>
                <c:pt idx="5">
                  <c:v>0</c:v>
                </c:pt>
                <c:pt idx="6">
                  <c:v>676</c:v>
                </c:pt>
                <c:pt idx="7">
                  <c:v>0</c:v>
                </c:pt>
                <c:pt idx="8">
                  <c:v>0</c:v>
                </c:pt>
              </c:numCache>
            </c:numRef>
          </c:val>
          <c:extLst>
            <c:ext xmlns:c16="http://schemas.microsoft.com/office/drawing/2014/chart" uri="{C3380CC4-5D6E-409C-BE32-E72D297353CC}">
              <c16:uniqueId val="{00000003-C1E9-4EEB-8CA1-116A8EFF4126}"/>
            </c:ext>
          </c:extLst>
        </c:ser>
        <c:dLbls>
          <c:showLegendKey val="0"/>
          <c:showVal val="0"/>
          <c:showCatName val="0"/>
          <c:showSerName val="0"/>
          <c:showPercent val="0"/>
          <c:showBubbleSize val="0"/>
        </c:dLbls>
        <c:gapWidth val="150"/>
        <c:overlap val="100"/>
        <c:axId val="501627088"/>
        <c:axId val="512459600"/>
      </c:barChart>
      <c:lineChart>
        <c:grouping val="standard"/>
        <c:varyColors val="0"/>
        <c:ser>
          <c:idx val="0"/>
          <c:order val="0"/>
          <c:tx>
            <c:strRef>
              <c:f>Salary_calculator_2024_2026!$B$88</c:f>
              <c:strCache>
                <c:ptCount val="1"/>
                <c:pt idx="0">
                  <c:v>Employer's total costs</c:v>
                </c:pt>
              </c:strCache>
            </c:strRef>
          </c:tx>
          <c:spPr>
            <a:ln w="28575" cap="rnd">
              <a:solidFill>
                <a:schemeClr val="accent1"/>
              </a:solidFill>
              <a:round/>
            </a:ln>
            <a:effectLst/>
          </c:spPr>
          <c:marker>
            <c:symbol val="dash"/>
            <c:size val="7"/>
            <c:spPr>
              <a:noFill/>
              <a:ln w="31750">
                <a:noFill/>
              </a:ln>
              <a:effectLst/>
            </c:spPr>
          </c:marker>
          <c:dLbls>
            <c:dLbl>
              <c:idx val="1"/>
              <c:layout>
                <c:manualLayout>
                  <c:x val="-1.5849051580551176E-2"/>
                  <c:y val="-3.01380099368420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E9-4EEB-8CA1-116A8EFF4126}"/>
                </c:ext>
              </c:extLst>
            </c:dLbl>
            <c:dLbl>
              <c:idx val="2"/>
              <c:layout>
                <c:manualLayout>
                  <c:x val="-2.465408023641294E-2"/>
                  <c:y val="-5.3578684332163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E9-4EEB-8CA1-116A8EFF4126}"/>
                </c:ext>
              </c:extLst>
            </c:dLbl>
            <c:dLbl>
              <c:idx val="6"/>
              <c:layout>
                <c:manualLayout>
                  <c:x val="-1.2327040118206437E-2"/>
                  <c:y val="-2.00920066245613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E9-4EEB-8CA1-116A8EFF412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1">
                        <a:lumMod val="7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Salary_calculator_2024_2026!$C$82:$K$82</c:f>
              <c:strCache>
                <c:ptCount val="9"/>
                <c:pt idx="0">
                  <c:v>Latvia 2024</c:v>
                </c:pt>
                <c:pt idx="1">
                  <c:v>Latvia 2025</c:v>
                </c:pt>
                <c:pt idx="2">
                  <c:v>Latvia 2026</c:v>
                </c:pt>
                <c:pt idx="3">
                  <c:v>Lithuania 2024</c:v>
                </c:pt>
                <c:pt idx="4">
                  <c:v>Lithuania 2025</c:v>
                </c:pt>
                <c:pt idx="5">
                  <c:v>Lithuania 2026</c:v>
                </c:pt>
                <c:pt idx="6">
                  <c:v>Estonia 2024</c:v>
                </c:pt>
                <c:pt idx="7">
                  <c:v>Estonia 2025</c:v>
                </c:pt>
                <c:pt idx="8">
                  <c:v>Estonia 2026</c:v>
                </c:pt>
              </c:strCache>
            </c:strRef>
          </c:cat>
          <c:val>
            <c:numRef>
              <c:f>Salary_calculator_2024_2026!$C$88:$K$88</c:f>
              <c:numCache>
                <c:formatCode>#,##0.00</c:formatCode>
                <c:ptCount val="9"/>
                <c:pt idx="0">
                  <c:v>2471.8000000000002</c:v>
                </c:pt>
                <c:pt idx="1">
                  <c:v>2471.8000000000002</c:v>
                </c:pt>
                <c:pt idx="2">
                  <c:v>2471.8000000000002</c:v>
                </c:pt>
                <c:pt idx="3">
                  <c:v>2035.4</c:v>
                </c:pt>
                <c:pt idx="4">
                  <c:v>0</c:v>
                </c:pt>
                <c:pt idx="5">
                  <c:v>0</c:v>
                </c:pt>
                <c:pt idx="6">
                  <c:v>2676</c:v>
                </c:pt>
                <c:pt idx="7">
                  <c:v>0</c:v>
                </c:pt>
                <c:pt idx="8">
                  <c:v>0</c:v>
                </c:pt>
              </c:numCache>
            </c:numRef>
          </c:val>
          <c:smooth val="0"/>
          <c:extLst>
            <c:ext xmlns:c16="http://schemas.microsoft.com/office/drawing/2014/chart" uri="{C3380CC4-5D6E-409C-BE32-E72D297353CC}">
              <c16:uniqueId val="{00000007-C1E9-4EEB-8CA1-116A8EFF4126}"/>
            </c:ext>
          </c:extLst>
        </c:ser>
        <c:ser>
          <c:idx val="1"/>
          <c:order val="1"/>
          <c:tx>
            <c:strRef>
              <c:f>Salary_calculator_2024_2026!$B$83</c:f>
              <c:strCache>
                <c:ptCount val="1"/>
                <c:pt idx="0">
                  <c:v>Gross wage</c:v>
                </c:pt>
              </c:strCache>
            </c:strRef>
          </c:tx>
          <c:spPr>
            <a:ln w="28575" cap="rnd">
              <a:solidFill>
                <a:srgbClr val="FF0000"/>
              </a:solidFill>
              <a:round/>
            </a:ln>
            <a:effectLst/>
          </c:spPr>
          <c:marker>
            <c:symbol val="none"/>
          </c:marker>
          <c:cat>
            <c:strRef>
              <c:f>Salary_calculator_2024_2026!$C$82:$K$82</c:f>
              <c:strCache>
                <c:ptCount val="9"/>
                <c:pt idx="0">
                  <c:v>Latvia 2024</c:v>
                </c:pt>
                <c:pt idx="1">
                  <c:v>Latvia 2025</c:v>
                </c:pt>
                <c:pt idx="2">
                  <c:v>Latvia 2026</c:v>
                </c:pt>
                <c:pt idx="3">
                  <c:v>Lithuania 2024</c:v>
                </c:pt>
                <c:pt idx="4">
                  <c:v>Lithuania 2025</c:v>
                </c:pt>
                <c:pt idx="5">
                  <c:v>Lithuania 2026</c:v>
                </c:pt>
                <c:pt idx="6">
                  <c:v>Estonia 2024</c:v>
                </c:pt>
                <c:pt idx="7">
                  <c:v>Estonia 2025</c:v>
                </c:pt>
                <c:pt idx="8">
                  <c:v>Estonia 2026</c:v>
                </c:pt>
              </c:strCache>
            </c:strRef>
          </c:cat>
          <c:val>
            <c:numRef>
              <c:f>Salary_calculator_2024_2026!$C$83:$K$83</c:f>
              <c:numCache>
                <c:formatCode>#\ ##0.0</c:formatCode>
                <c:ptCount val="9"/>
                <c:pt idx="0">
                  <c:v>2000</c:v>
                </c:pt>
                <c:pt idx="1">
                  <c:v>2000</c:v>
                </c:pt>
                <c:pt idx="2">
                  <c:v>2000</c:v>
                </c:pt>
                <c:pt idx="3">
                  <c:v>2000</c:v>
                </c:pt>
                <c:pt idx="4">
                  <c:v>2000</c:v>
                </c:pt>
                <c:pt idx="5">
                  <c:v>2000</c:v>
                </c:pt>
                <c:pt idx="6">
                  <c:v>2000</c:v>
                </c:pt>
                <c:pt idx="7">
                  <c:v>2000</c:v>
                </c:pt>
                <c:pt idx="8">
                  <c:v>2000</c:v>
                </c:pt>
              </c:numCache>
            </c:numRef>
          </c:val>
          <c:smooth val="0"/>
          <c:extLst xmlns:c15="http://schemas.microsoft.com/office/drawing/2012/chart">
            <c:ext xmlns:c16="http://schemas.microsoft.com/office/drawing/2014/chart" uri="{C3380CC4-5D6E-409C-BE32-E72D297353CC}">
              <c16:uniqueId val="{00000008-C1E9-4EEB-8CA1-116A8EFF4126}"/>
            </c:ext>
          </c:extLst>
        </c:ser>
        <c:dLbls>
          <c:showLegendKey val="0"/>
          <c:showVal val="0"/>
          <c:showCatName val="0"/>
          <c:showSerName val="0"/>
          <c:showPercent val="0"/>
          <c:showBubbleSize val="0"/>
        </c:dLbls>
        <c:marker val="1"/>
        <c:smooth val="0"/>
        <c:axId val="501627088"/>
        <c:axId val="512459600"/>
        <c:extLst/>
      </c:lineChart>
      <c:catAx>
        <c:axId val="50162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lv-LV"/>
          </a:p>
        </c:txPr>
        <c:crossAx val="512459600"/>
        <c:crosses val="autoZero"/>
        <c:auto val="1"/>
        <c:lblAlgn val="ctr"/>
        <c:lblOffset val="100"/>
        <c:noMultiLvlLbl val="0"/>
      </c:catAx>
      <c:valAx>
        <c:axId val="512459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1627088"/>
        <c:crosses val="autoZero"/>
        <c:crossBetween val="between"/>
      </c:valAx>
      <c:spPr>
        <a:noFill/>
        <a:ln>
          <a:noFill/>
        </a:ln>
        <a:effectLst/>
      </c:spPr>
    </c:plotArea>
    <c:legend>
      <c:legendPos val="b"/>
      <c:layout>
        <c:manualLayout>
          <c:xMode val="edge"/>
          <c:yMode val="edge"/>
          <c:x val="0"/>
          <c:y val="0.8660404273994754"/>
          <c:w val="1"/>
          <c:h val="0.1129464360810445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93</xdr:row>
      <xdr:rowOff>0</xdr:rowOff>
    </xdr:from>
    <xdr:to>
      <xdr:col>12</xdr:col>
      <xdr:colOff>16331</xdr:colOff>
      <xdr:row>114</xdr:row>
      <xdr:rowOff>29936</xdr:rowOff>
    </xdr:to>
    <xdr:graphicFrame macro="">
      <xdr:nvGraphicFramePr>
        <xdr:cNvPr id="2" name="Chart 1">
          <a:extLst>
            <a:ext uri="{FF2B5EF4-FFF2-40B4-BE49-F238E27FC236}">
              <a16:creationId xmlns:a16="http://schemas.microsoft.com/office/drawing/2014/main" id="{FB4233B8-F203-4EEB-8C75-4C3CC10CCE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93</xdr:row>
      <xdr:rowOff>0</xdr:rowOff>
    </xdr:from>
    <xdr:to>
      <xdr:col>33</xdr:col>
      <xdr:colOff>419101</xdr:colOff>
      <xdr:row>114</xdr:row>
      <xdr:rowOff>29936</xdr:rowOff>
    </xdr:to>
    <xdr:graphicFrame macro="">
      <xdr:nvGraphicFramePr>
        <xdr:cNvPr id="3" name="Chart 2">
          <a:extLst>
            <a:ext uri="{FF2B5EF4-FFF2-40B4-BE49-F238E27FC236}">
              <a16:creationId xmlns:a16="http://schemas.microsoft.com/office/drawing/2014/main" id="{1FBE5FB1-FC29-428F-9424-A01F13F3A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442472</xdr:colOff>
      <xdr:row>80</xdr:row>
      <xdr:rowOff>127426</xdr:rowOff>
    </xdr:from>
    <xdr:to>
      <xdr:col>24</xdr:col>
      <xdr:colOff>426786</xdr:colOff>
      <xdr:row>126</xdr:row>
      <xdr:rowOff>96531</xdr:rowOff>
    </xdr:to>
    <xdr:graphicFrame macro="">
      <xdr:nvGraphicFramePr>
        <xdr:cNvPr id="5" name="Chart 4">
          <a:extLst>
            <a:ext uri="{FF2B5EF4-FFF2-40B4-BE49-F238E27FC236}">
              <a16:creationId xmlns:a16="http://schemas.microsoft.com/office/drawing/2014/main" id="{CCEFC047-3014-42BA-9BAB-F66BA73D19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0.70375</cdr:x>
      <cdr:y>0.00402</cdr:y>
    </cdr:from>
    <cdr:to>
      <cdr:x>0.98884</cdr:x>
      <cdr:y>0.21294</cdr:y>
    </cdr:to>
    <cdr:sp macro="" textlink="">
      <cdr:nvSpPr>
        <cdr:cNvPr id="3" name="TextBox 2"/>
        <cdr:cNvSpPr txBox="1"/>
      </cdr:nvSpPr>
      <cdr:spPr>
        <a:xfrm xmlns:a="http://schemas.openxmlformats.org/drawingml/2006/main">
          <a:off x="4803321" y="13606"/>
          <a:ext cx="1945822" cy="7075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lv-LV" sz="1100"/>
        </a:p>
      </cdr:txBody>
    </cdr:sp>
  </cdr:relSizeAnchor>
  <cdr:relSizeAnchor xmlns:cdr="http://schemas.openxmlformats.org/drawingml/2006/chartDrawing">
    <cdr:from>
      <cdr:x>0.70574</cdr:x>
      <cdr:y>0.00803</cdr:y>
    </cdr:from>
    <cdr:to>
      <cdr:x>1</cdr:x>
      <cdr:y>0.26265</cdr:y>
    </cdr:to>
    <cdr:sp macro="" textlink="">
      <cdr:nvSpPr>
        <cdr:cNvPr id="4" name="TextBox 3"/>
        <cdr:cNvSpPr txBox="1"/>
      </cdr:nvSpPr>
      <cdr:spPr>
        <a:xfrm xmlns:a="http://schemas.openxmlformats.org/drawingml/2006/main">
          <a:off x="4849569" y="28289"/>
          <a:ext cx="2022039" cy="896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lv-LV" sz="1400" b="1" baseline="0">
              <a:solidFill>
                <a:srgbClr val="00B050"/>
              </a:solidFill>
            </a:rPr>
            <a:t>Lietuvā         </a:t>
          </a:r>
          <a:r>
            <a:rPr lang="lv-LV" sz="1200" b="0" baseline="0"/>
            <a:t>               2019.gadā darba devēji palielināja bruto algas par </a:t>
          </a:r>
          <a:r>
            <a:rPr lang="lv-LV" sz="1200" b="1" baseline="0">
              <a:solidFill>
                <a:srgbClr val="FF0000"/>
              </a:solidFill>
            </a:rPr>
            <a:t>1,289</a:t>
          </a:r>
          <a:r>
            <a:rPr lang="lv-LV" sz="1200" b="0" baseline="0"/>
            <a:t> , piem.,  1164       </a:t>
          </a:r>
          <a:r>
            <a:rPr lang="lv-LV" sz="1200" b="1" baseline="0">
              <a:solidFill>
                <a:srgbClr val="FF0000"/>
              </a:solidFill>
            </a:rPr>
            <a:t> 1500           </a:t>
          </a:r>
          <a:endParaRPr lang="lv-LV" sz="1200" b="1">
            <a:solidFill>
              <a:srgbClr val="FF0000"/>
            </a:solidFill>
          </a:endParaRPr>
        </a:p>
      </cdr:txBody>
    </cdr:sp>
  </cdr:relSizeAnchor>
  <cdr:relSizeAnchor xmlns:cdr="http://schemas.openxmlformats.org/drawingml/2006/chartDrawing">
    <cdr:from>
      <cdr:x>0.90112</cdr:x>
      <cdr:y>0.1808</cdr:y>
    </cdr:from>
    <cdr:to>
      <cdr:x>0.92624</cdr:x>
      <cdr:y>0.26115</cdr:y>
    </cdr:to>
    <cdr:sp macro="" textlink="">
      <cdr:nvSpPr>
        <cdr:cNvPr id="5" name="Right Arrow 4"/>
        <cdr:cNvSpPr/>
      </cdr:nvSpPr>
      <cdr:spPr>
        <a:xfrm xmlns:a="http://schemas.openxmlformats.org/drawingml/2006/main">
          <a:off x="6150427" y="612321"/>
          <a:ext cx="171448" cy="272143"/>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lv-LV"/>
        </a:p>
      </cdr:txBody>
    </cdr:sp>
  </cdr:relSizeAnchor>
</c:userShapes>
</file>

<file path=xl/drawings/drawing3.xml><?xml version="1.0" encoding="utf-8"?>
<c:userShapes xmlns:c="http://schemas.openxmlformats.org/drawingml/2006/chart">
  <cdr:relSizeAnchor xmlns:cdr="http://schemas.openxmlformats.org/drawingml/2006/chartDrawing">
    <cdr:from>
      <cdr:x>0.70375</cdr:x>
      <cdr:y>0.00402</cdr:y>
    </cdr:from>
    <cdr:to>
      <cdr:x>0.98884</cdr:x>
      <cdr:y>0.21294</cdr:y>
    </cdr:to>
    <cdr:sp macro="" textlink="">
      <cdr:nvSpPr>
        <cdr:cNvPr id="3" name="TextBox 2"/>
        <cdr:cNvSpPr txBox="1"/>
      </cdr:nvSpPr>
      <cdr:spPr>
        <a:xfrm xmlns:a="http://schemas.openxmlformats.org/drawingml/2006/main">
          <a:off x="4803321" y="13606"/>
          <a:ext cx="1945822" cy="7075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lv-LV" sz="1100"/>
        </a:p>
      </cdr:txBody>
    </cdr:sp>
  </cdr:relSizeAnchor>
  <cdr:relSizeAnchor xmlns:cdr="http://schemas.openxmlformats.org/drawingml/2006/chartDrawing">
    <cdr:from>
      <cdr:x>0.6531</cdr:x>
      <cdr:y>0.00803</cdr:y>
    </cdr:from>
    <cdr:to>
      <cdr:x>1</cdr:x>
      <cdr:y>0.26265</cdr:y>
    </cdr:to>
    <cdr:sp macro="" textlink="">
      <cdr:nvSpPr>
        <cdr:cNvPr id="4" name="TextBox 3"/>
        <cdr:cNvSpPr txBox="1"/>
      </cdr:nvSpPr>
      <cdr:spPr>
        <a:xfrm xmlns:a="http://schemas.openxmlformats.org/drawingml/2006/main">
          <a:off x="4585608" y="28846"/>
          <a:ext cx="2435680" cy="9146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lv-LV" sz="1100" b="1" baseline="0">
              <a:solidFill>
                <a:srgbClr val="00B050"/>
              </a:solidFill>
              <a:effectLst/>
              <a:latin typeface="+mn-lt"/>
              <a:ea typeface="+mn-ea"/>
              <a:cs typeface="+mn-cs"/>
            </a:rPr>
            <a:t>Lithuania</a:t>
          </a:r>
          <a:r>
            <a:rPr lang="lv-LV" sz="1100" b="1" baseline="0">
              <a:effectLst/>
              <a:latin typeface="+mn-lt"/>
              <a:ea typeface="+mn-ea"/>
              <a:cs typeface="+mn-cs"/>
            </a:rPr>
            <a:t> *        </a:t>
          </a:r>
          <a:r>
            <a:rPr lang="lv-LV" sz="1100" b="0" baseline="0">
              <a:effectLst/>
              <a:latin typeface="+mn-lt"/>
              <a:ea typeface="+mn-ea"/>
              <a:cs typeface="+mn-cs"/>
            </a:rPr>
            <a:t>         </a:t>
          </a:r>
          <a:endParaRPr lang="lv-LV" sz="1400">
            <a:effectLst/>
          </a:endParaRPr>
        </a:p>
        <a:p xmlns:a="http://schemas.openxmlformats.org/drawingml/2006/main">
          <a:r>
            <a:rPr lang="en-AU" sz="1100">
              <a:effectLst/>
              <a:latin typeface="+mn-lt"/>
              <a:ea typeface="+mn-ea"/>
              <a:cs typeface="+mn-cs"/>
            </a:rPr>
            <a:t>In 2</a:t>
          </a:r>
          <a:r>
            <a:rPr lang="en-AU" sz="1100" b="0" baseline="0">
              <a:effectLst/>
              <a:latin typeface="+mn-lt"/>
              <a:ea typeface="+mn-ea"/>
              <a:cs typeface="+mn-cs"/>
            </a:rPr>
            <a:t>019 </a:t>
          </a:r>
          <a:r>
            <a:rPr lang="en-AU" sz="1100">
              <a:effectLst/>
              <a:latin typeface="+mn-lt"/>
              <a:ea typeface="+mn-ea"/>
              <a:cs typeface="+mn-cs"/>
            </a:rPr>
            <a:t>employers </a:t>
          </a:r>
          <a:r>
            <a:rPr lang="en-AU" sz="1100" b="0" baseline="0">
              <a:effectLst/>
              <a:latin typeface="+mn-lt"/>
              <a:ea typeface="+mn-ea"/>
              <a:cs typeface="+mn-cs"/>
            </a:rPr>
            <a:t>raised gross wages</a:t>
          </a:r>
          <a:endParaRPr lang="lv-LV" sz="1400">
            <a:effectLst/>
          </a:endParaRPr>
        </a:p>
        <a:p xmlns:a="http://schemas.openxmlformats.org/drawingml/2006/main">
          <a:r>
            <a:rPr lang="lv-LV" sz="1100" b="0" baseline="0">
              <a:effectLst/>
              <a:latin typeface="+mn-lt"/>
              <a:ea typeface="+mn-ea"/>
              <a:cs typeface="+mn-cs"/>
            </a:rPr>
            <a:t>b</a:t>
          </a:r>
          <a:r>
            <a:rPr lang="en-AU" sz="1100" b="0" baseline="0">
              <a:effectLst/>
              <a:latin typeface="+mn-lt"/>
              <a:ea typeface="+mn-ea"/>
              <a:cs typeface="+mn-cs"/>
            </a:rPr>
            <a:t>y</a:t>
          </a:r>
          <a:r>
            <a:rPr lang="lv-LV" sz="1100" b="0" baseline="0">
              <a:effectLst/>
              <a:latin typeface="+mn-lt"/>
              <a:ea typeface="+mn-ea"/>
              <a:cs typeface="+mn-cs"/>
            </a:rPr>
            <a:t> </a:t>
          </a:r>
          <a:r>
            <a:rPr lang="en-AU" sz="1100" b="1" baseline="0">
              <a:effectLst/>
              <a:latin typeface="+mn-lt"/>
              <a:ea typeface="+mn-ea"/>
              <a:cs typeface="+mn-cs"/>
            </a:rPr>
            <a:t>1,289</a:t>
          </a:r>
          <a:r>
            <a:rPr lang="en-AU" sz="1100" b="0" baseline="0">
              <a:effectLst/>
              <a:latin typeface="+mn-lt"/>
              <a:ea typeface="+mn-ea"/>
              <a:cs typeface="+mn-cs"/>
            </a:rPr>
            <a:t> </a:t>
          </a:r>
          <a:r>
            <a:rPr lang="en-AU" sz="1100" b="0" i="1" baseline="0">
              <a:effectLst/>
              <a:latin typeface="+mn-lt"/>
              <a:ea typeface="+mn-ea"/>
              <a:cs typeface="+mn-cs"/>
            </a:rPr>
            <a:t>, e</a:t>
          </a:r>
          <a:r>
            <a:rPr lang="lv-LV" sz="1100" b="0" i="1" baseline="0">
              <a:effectLst/>
              <a:latin typeface="+mn-lt"/>
              <a:ea typeface="+mn-ea"/>
              <a:cs typeface="+mn-cs"/>
            </a:rPr>
            <a:t>.g.</a:t>
          </a:r>
          <a:r>
            <a:rPr lang="en-AU" sz="1100" b="0" i="1" baseline="0">
              <a:effectLst/>
              <a:latin typeface="+mn-lt"/>
              <a:ea typeface="+mn-ea"/>
              <a:cs typeface="+mn-cs"/>
            </a:rPr>
            <a:t>,</a:t>
          </a:r>
          <a:r>
            <a:rPr lang="lv-LV" sz="1200" b="0" baseline="0"/>
            <a:t> 1164         </a:t>
          </a:r>
          <a:r>
            <a:rPr lang="lv-LV" sz="1200" b="1" baseline="0">
              <a:solidFill>
                <a:srgbClr val="FF0000"/>
              </a:solidFill>
            </a:rPr>
            <a:t> 1500           </a:t>
          </a:r>
          <a:endParaRPr lang="lv-LV" sz="1200" b="1">
            <a:solidFill>
              <a:srgbClr val="FF0000"/>
            </a:solidFill>
          </a:endParaRPr>
        </a:p>
      </cdr:txBody>
    </cdr:sp>
  </cdr:relSizeAnchor>
  <cdr:relSizeAnchor xmlns:cdr="http://schemas.openxmlformats.org/drawingml/2006/chartDrawing">
    <cdr:from>
      <cdr:x>0.84104</cdr:x>
      <cdr:y>0.10883</cdr:y>
    </cdr:from>
    <cdr:to>
      <cdr:x>0.86616</cdr:x>
      <cdr:y>0.18918</cdr:y>
    </cdr:to>
    <cdr:sp macro="" textlink="">
      <cdr:nvSpPr>
        <cdr:cNvPr id="5" name="Right Arrow 4"/>
        <cdr:cNvSpPr/>
      </cdr:nvSpPr>
      <cdr:spPr>
        <a:xfrm xmlns:a="http://schemas.openxmlformats.org/drawingml/2006/main">
          <a:off x="5905202" y="390949"/>
          <a:ext cx="176375" cy="288641"/>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lv-LV"/>
        </a:p>
      </cdr:txBody>
    </cdr:sp>
  </cdr:relSizeAnchor>
</c:userShapes>
</file>

<file path=xl/drawings/drawing4.xml><?xml version="1.0" encoding="utf-8"?>
<c:userShapes xmlns:c="http://schemas.openxmlformats.org/drawingml/2006/chart">
  <cdr:relSizeAnchor xmlns:cdr="http://schemas.openxmlformats.org/drawingml/2006/chartDrawing">
    <cdr:from>
      <cdr:x>0.70375</cdr:x>
      <cdr:y>0.00402</cdr:y>
    </cdr:from>
    <cdr:to>
      <cdr:x>0.98884</cdr:x>
      <cdr:y>0.21294</cdr:y>
    </cdr:to>
    <cdr:sp macro="" textlink="">
      <cdr:nvSpPr>
        <cdr:cNvPr id="3" name="TextBox 2"/>
        <cdr:cNvSpPr txBox="1"/>
      </cdr:nvSpPr>
      <cdr:spPr>
        <a:xfrm xmlns:a="http://schemas.openxmlformats.org/drawingml/2006/main">
          <a:off x="4803321" y="13606"/>
          <a:ext cx="1945822" cy="7075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lv-LV"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k\nad\_NODOKLU%20POLITIKAS%20STRAT&#274;&#290;IJAS%20NODA&#315;A\Fisk&#257;l&#257;%20ietekme,%20DNod%20plaisa\Darba%20nodoklu%20PLAISA\IIN%20modelis_APVIENOTS_04.09.2020_Baltijas%20plaisa_varianti%20uz%202021.gadu_L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_NODOK&#315;U%20POLITIKAS%20PAMATNOST&#256;DNES%202017%20-%202020\Pielikums%20Nr.1%20-%20ESO&#352;&#256;S%20SITU&#256;CIJAS%20APRAKSTS\Apr&#275;&#311;ini%20&amp;%20grafiki\Darbasp&#275;ka%20nodok&#316;i_05.01.17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Staat_ESVG\ESVG95-JR-2007ff\Z_Steuereinnahmen\SAS\PROG\NTL2008\ESAP2GOV_NTL_A_Vorl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axud-ntd\TAXUDE4\03-E4%20(ex%20C5)%20activities\03.01-Structures%20of%20the%20Taxation%20Systems\03.01.01-Statistics\Current%20edition\05%20Country%20chapters\Country%20chapters%20-%201st%20draft\step%201%20-%20cc%20from%20last%20year\ALL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tekme uz strādājošo_-1%"/>
      <sheetName val="Ietekme uz strādājošo_-0,5%"/>
      <sheetName val="2019"/>
      <sheetName val="2020"/>
      <sheetName val="2021"/>
      <sheetName val="2022_-1%"/>
      <sheetName val="2022_DD-0,5%"/>
      <sheetName val="Baltijas neto Algas "/>
      <sheetName val="Baltijas neto Algas  (2)"/>
      <sheetName val="LB attēlam"/>
    </sheetNames>
    <sheetDataSet>
      <sheetData sheetId="0">
        <row r="14">
          <cell r="C14">
            <v>0.2</v>
          </cell>
        </row>
        <row r="17">
          <cell r="C17">
            <v>250</v>
          </cell>
        </row>
      </sheetData>
      <sheetData sheetId="1">
        <row r="162">
          <cell r="E162">
            <v>33.348704386024394</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2.att._Ieņēmumi_ES"/>
      <sheetName val="2.3._2.7.att_DŅ_pa ienāk__bērni"/>
      <sheetName val="2.4.att._DŅ skaita izmaiņas"/>
      <sheetName val="2.5.att._DŅ_pēc reģioniem"/>
      <sheetName val="2.6.att_NM&amp;AAP Latvija"/>
      <sheetName val="2.8.tab.NM ar bērn. pēc ienāk."/>
      <sheetName val="apgādājamie līdz 18 gadiem"/>
      <sheetName val="apgādājamie virs 18 gadiem"/>
      <sheetName val="2.9.att.Pensionār_2015"/>
      <sheetName val="2.9.&amp;2.10.att._IIN_IFP "/>
      <sheetName val="2.10.att._pers.inv_repr_2015"/>
      <sheetName val="2.11.att._pri.pens_apdroš_2015"/>
      <sheetName val="2.13.att_ieņ.sad._2015"/>
      <sheetName val="2.14.att._IIN max likmes ES_"/>
      <sheetName val="2.15.att_2.13.t._IIN_VĢP_Baltij"/>
      <sheetName val="2.17.&amp;2.18.att._VSAOI_Baltija"/>
      <sheetName val="2.19.att._MUN ieņēmumi"/>
      <sheetName val="2.21.tab.MUN_maks_sk"/>
      <sheetName val="2.21.att. MU nodarbinātie"/>
      <sheetName val="MU nod.apgrozīj.(dati 2.21.att)"/>
      <sheetName val="2.22.att. MU_nozares"/>
      <sheetName val="Nozaru apgrozīj (dati 2.22.att)"/>
      <sheetName val="MU_nozares.(2.22_2012)"/>
      <sheetName val="2.23.att._MUN &amp; UIN likmes"/>
      <sheetName val="2.24.att.DŽINI_Eurostat_2015"/>
      <sheetName val="2.25.att.PLAISA_Eurostat_2015"/>
      <sheetName val="2.26.&amp;2.27.att._Nod.plaisa_OECD"/>
      <sheetName val="2.28&amp;2.29.att.efekt.likmes"/>
      <sheetName val="Nodokļu plaisa_ES&amp;Baltija"/>
      <sheetName val="darbaspeka_izmaksas"/>
      <sheetName val="Nod.plaisa_OEC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7">
          <cell r="L7" t="str">
            <v>2015</v>
          </cell>
        </row>
      </sheetData>
      <sheetData sheetId="26">
        <row r="4">
          <cell r="M4">
            <v>136.56</v>
          </cell>
        </row>
        <row r="5">
          <cell r="G5">
            <v>102.45</v>
          </cell>
          <cell r="H5">
            <v>102.45</v>
          </cell>
          <cell r="I5">
            <v>136.6</v>
          </cell>
          <cell r="J5">
            <v>136.6</v>
          </cell>
        </row>
        <row r="6">
          <cell r="G6">
            <v>122.94</v>
          </cell>
          <cell r="H6">
            <v>122.94</v>
          </cell>
          <cell r="I6">
            <v>163.91</v>
          </cell>
          <cell r="J6">
            <v>163.91</v>
          </cell>
        </row>
        <row r="7">
          <cell r="G7">
            <v>163.91</v>
          </cell>
          <cell r="H7">
            <v>163.91</v>
          </cell>
          <cell r="I7">
            <v>218.55</v>
          </cell>
          <cell r="J7">
            <v>218.55</v>
          </cell>
        </row>
        <row r="8">
          <cell r="G8">
            <v>184.4</v>
          </cell>
          <cell r="H8">
            <v>184.4</v>
          </cell>
          <cell r="I8">
            <v>245.87</v>
          </cell>
          <cell r="J8">
            <v>245.87</v>
          </cell>
        </row>
        <row r="9">
          <cell r="M9">
            <v>0.25</v>
          </cell>
        </row>
        <row r="10">
          <cell r="M10">
            <v>768.36</v>
          </cell>
        </row>
        <row r="11">
          <cell r="M11">
            <v>1195.1999999999998</v>
          </cell>
        </row>
        <row r="12">
          <cell r="M12">
            <v>0.2409</v>
          </cell>
        </row>
        <row r="13">
          <cell r="M13">
            <v>0.11</v>
          </cell>
        </row>
        <row r="19">
          <cell r="D19">
            <v>0</v>
          </cell>
        </row>
        <row r="20">
          <cell r="D20">
            <v>0</v>
          </cell>
        </row>
        <row r="21">
          <cell r="D21">
            <v>0</v>
          </cell>
        </row>
        <row r="22">
          <cell r="D22">
            <v>2</v>
          </cell>
        </row>
        <row r="23">
          <cell r="D23">
            <v>2</v>
          </cell>
        </row>
        <row r="24">
          <cell r="D24">
            <v>2</v>
          </cell>
        </row>
        <row r="25">
          <cell r="D25">
            <v>2</v>
          </cell>
        </row>
        <row r="26">
          <cell r="D26">
            <v>0</v>
          </cell>
        </row>
        <row r="31">
          <cell r="M31">
            <v>5309.08</v>
          </cell>
        </row>
        <row r="32">
          <cell r="M32">
            <v>583.99879999999996</v>
          </cell>
        </row>
        <row r="33">
          <cell r="M33">
            <v>1278.9573720000001</v>
          </cell>
        </row>
        <row r="34">
          <cell r="M34">
            <v>989.18029999999987</v>
          </cell>
        </row>
        <row r="35">
          <cell r="M35">
            <v>0</v>
          </cell>
        </row>
        <row r="36">
          <cell r="M36">
            <v>3735.9008999999996</v>
          </cell>
        </row>
      </sheetData>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lage"/>
      <sheetName val="Explanatory notes"/>
      <sheetName val="CodesTexte"/>
      <sheetName val="NTLAssist"/>
      <sheetName val="Sektoren"/>
      <sheetName val="Jahre"/>
      <sheetName val="NTL"/>
      <sheetName val="Module1"/>
      <sheetName val="Module2"/>
    </sheetNames>
    <sheetDataSet>
      <sheetData sheetId="0"/>
      <sheetData sheetId="1"/>
      <sheetData sheetId="2">
        <row r="2">
          <cell r="A2" t="str">
            <v>D211A</v>
          </cell>
          <cell r="B2" t="str">
            <v xml:space="preserve">D.211_MWST      </v>
          </cell>
          <cell r="C2" t="str">
            <v xml:space="preserve">Mehrwertsteuer                                                                                      </v>
          </cell>
          <cell r="D2" t="str">
            <v>Value added tax</v>
          </cell>
        </row>
        <row r="3">
          <cell r="A3" t="str">
            <v>D211B</v>
          </cell>
          <cell r="B3" t="str">
            <v xml:space="preserve">D.211_MWST_KOMP </v>
          </cell>
          <cell r="C3" t="str">
            <v xml:space="preserve">Mehrwertsteuer - Unter-, Ueberkompensation, Landwirtschaft                                          </v>
          </cell>
          <cell r="D3" t="str">
            <v>Under-compensation of VAT (flat rate system), agriculture</v>
          </cell>
        </row>
        <row r="4">
          <cell r="A4" t="str">
            <v>D2121A</v>
          </cell>
          <cell r="B4" t="str">
            <v>D.2121_SEINFUHRA</v>
          </cell>
          <cell r="C4" t="str">
            <v xml:space="preserve">Sonstige Einfuhrabgaben                                                                             </v>
          </cell>
          <cell r="D4" t="str">
            <v>Other import duties</v>
          </cell>
        </row>
        <row r="5">
          <cell r="A5" t="str">
            <v>D2121B</v>
          </cell>
          <cell r="B5" t="str">
            <v xml:space="preserve">D.2121_ZOELLE   </v>
          </cell>
          <cell r="C5" t="str">
            <v xml:space="preserve">Zölle                                                                                               </v>
          </cell>
          <cell r="D5" t="str">
            <v>Customs duties</v>
          </cell>
        </row>
        <row r="6">
          <cell r="A6" t="str">
            <v>D2122AA</v>
          </cell>
          <cell r="B6" t="str">
            <v xml:space="preserve">D.2122A_IMPEX   </v>
          </cell>
          <cell r="C6" t="str">
            <v xml:space="preserve">Importausgleichsbeiträge gemäß MOG                                                                  </v>
          </cell>
          <cell r="D6" t="str">
            <v>Import equalization duties</v>
          </cell>
        </row>
        <row r="7">
          <cell r="A7" t="str">
            <v>D2122CA</v>
          </cell>
          <cell r="B7" t="str">
            <v xml:space="preserve">D.2122C_ROTTERD </v>
          </cell>
          <cell r="C7" t="str">
            <v xml:space="preserve">"Rotterdam" Zuschlag                                                                                </v>
          </cell>
          <cell r="D7" t="str">
            <v>Import duties not collected on the national border</v>
          </cell>
        </row>
        <row r="8">
          <cell r="A8" t="str">
            <v>D2122EA</v>
          </cell>
          <cell r="B8" t="str">
            <v>D.2122E_AUSSENBE</v>
          </cell>
          <cell r="C8" t="str">
            <v xml:space="preserve">Außenhandelsförderungsbeitrag                                                                       </v>
          </cell>
          <cell r="D8" t="str">
            <v>Contribution to promote foreign trade</v>
          </cell>
        </row>
        <row r="9">
          <cell r="A9" t="str">
            <v>D214AA</v>
          </cell>
          <cell r="B9" t="str">
            <v>D.214A_ABSATZFOE</v>
          </cell>
          <cell r="C9" t="str">
            <v xml:space="preserve">Absatzförderungsbeitrag auf Milch                                                                   </v>
          </cell>
          <cell r="D9" t="str">
            <v>Duty promotion milk distribution</v>
          </cell>
        </row>
        <row r="10">
          <cell r="A10" t="str">
            <v>D214AB</v>
          </cell>
          <cell r="B10" t="str">
            <v xml:space="preserve">D.214A_ALKOHOL  </v>
          </cell>
          <cell r="C10" t="str">
            <v xml:space="preserve">Alkoholsteuer                                                                                       </v>
          </cell>
          <cell r="D10" t="str">
            <v>Duty on spirit</v>
          </cell>
        </row>
        <row r="11">
          <cell r="A11" t="str">
            <v>D214AC</v>
          </cell>
          <cell r="B11" t="str">
            <v xml:space="preserve">D.214A_ALKSABG  </v>
          </cell>
          <cell r="C11" t="str">
            <v xml:space="preserve">Sonderabgabe auf alkoholische Getränke                                                              </v>
          </cell>
          <cell r="D11" t="str">
            <v>Special duty on alcoholic drinks</v>
          </cell>
        </row>
        <row r="12">
          <cell r="A12" t="str">
            <v>D214AD</v>
          </cell>
          <cell r="B12" t="str">
            <v xml:space="preserve">D.214A_AMA      </v>
          </cell>
          <cell r="C12" t="str">
            <v xml:space="preserve">Agrarmarkt Austria                                                                                  </v>
          </cell>
          <cell r="D12" t="str">
            <v>Contribution to the Agricultural Fund</v>
          </cell>
        </row>
        <row r="13">
          <cell r="A13" t="str">
            <v>D214AE</v>
          </cell>
          <cell r="B13" t="str">
            <v xml:space="preserve">D.214A_BIER     </v>
          </cell>
          <cell r="C13" t="str">
            <v xml:space="preserve">Biersteuer                                                                                          </v>
          </cell>
          <cell r="D13" t="str">
            <v>Tax on beer</v>
          </cell>
        </row>
        <row r="14">
          <cell r="A14" t="str">
            <v>D214AF</v>
          </cell>
          <cell r="B14" t="str">
            <v xml:space="preserve">D.214A_ENERGIE  </v>
          </cell>
          <cell r="C14" t="str">
            <v xml:space="preserve">Energieabgabe                                                                                       </v>
          </cell>
          <cell r="D14" t="str">
            <v>Tax on energy</v>
          </cell>
        </row>
        <row r="15">
          <cell r="A15" t="str">
            <v>D214AG</v>
          </cell>
          <cell r="B15" t="str">
            <v xml:space="preserve">D.214A_GETRAENK </v>
          </cell>
          <cell r="C15" t="str">
            <v xml:space="preserve">Getränkesteuer                                                                                      </v>
          </cell>
          <cell r="D15" t="str">
            <v>Beverage tax</v>
          </cell>
        </row>
        <row r="16">
          <cell r="A16" t="str">
            <v>D214AH</v>
          </cell>
          <cell r="B16" t="str">
            <v>D.214A_GETREIDEF</v>
          </cell>
          <cell r="C16" t="str">
            <v xml:space="preserve">Getreidewirtschaftsfonds                                                                            </v>
          </cell>
          <cell r="D16" t="str">
            <v>Market Organisation Act - grain</v>
          </cell>
        </row>
        <row r="17">
          <cell r="A17" t="str">
            <v>D214AI</v>
          </cell>
          <cell r="B17" t="str">
            <v xml:space="preserve">D.214A_MILCHF   </v>
          </cell>
          <cell r="C17" t="str">
            <v xml:space="preserve">Milchwirtschaftsfonds                                                                               </v>
          </cell>
          <cell r="D17" t="str">
            <v>Market Organisation Act - milk</v>
          </cell>
        </row>
        <row r="18">
          <cell r="A18" t="str">
            <v>D214AJ</v>
          </cell>
          <cell r="B18" t="str">
            <v>D.214A_MILCHQ</v>
          </cell>
          <cell r="C18" t="str">
            <v>Zusatzabgabe Milchquotenüberschreitung</v>
          </cell>
          <cell r="D18" t="str">
            <v>Duty on exceeding milk-quota</v>
          </cell>
        </row>
        <row r="19">
          <cell r="A19" t="str">
            <v>D214AK</v>
          </cell>
          <cell r="B19" t="str">
            <v>D.214A_MINERALOE</v>
          </cell>
          <cell r="C19" t="str">
            <v xml:space="preserve">Mineralölsteuer                                                                                     </v>
          </cell>
          <cell r="D19" t="str">
            <v>Tax on mineral oils</v>
          </cell>
        </row>
        <row r="20">
          <cell r="A20" t="str">
            <v>D214AL</v>
          </cell>
          <cell r="B20" t="str">
            <v xml:space="preserve">D.214A_NORM     </v>
          </cell>
          <cell r="C20" t="str">
            <v xml:space="preserve">Normverbrauchsabgabe                                                                                </v>
          </cell>
          <cell r="D20" t="str">
            <v>Duty on vehicles based on fuel consumption</v>
          </cell>
        </row>
        <row r="21">
          <cell r="A21" t="str">
            <v>D214AM</v>
          </cell>
          <cell r="B21" t="str">
            <v>D.214A_S_EINN_MO</v>
          </cell>
          <cell r="C21" t="str">
            <v xml:space="preserve">Sonstige Einnahmen gemäß MOG                                                                        </v>
          </cell>
          <cell r="D21" t="str">
            <v>Other receipts - Market Organisation Act</v>
          </cell>
        </row>
        <row r="22">
          <cell r="A22" t="str">
            <v>D214AN</v>
          </cell>
          <cell r="B22" t="str">
            <v xml:space="preserve">D.214A_SCHAUMW  </v>
          </cell>
          <cell r="C22" t="str">
            <v xml:space="preserve">Schaumweinsteuer                                                                                    </v>
          </cell>
          <cell r="D22" t="str">
            <v>Tax on sparkling wine</v>
          </cell>
        </row>
        <row r="23">
          <cell r="A23" t="str">
            <v>D214AO</v>
          </cell>
          <cell r="B23" t="str">
            <v xml:space="preserve">D.214A_SERDOEL  </v>
          </cell>
          <cell r="C23" t="str">
            <v xml:space="preserve">Sonderabgabe von Erdölprodukten                                                                     </v>
          </cell>
          <cell r="D23" t="str">
            <v>Special tax on mineral oils</v>
          </cell>
        </row>
        <row r="24">
          <cell r="A24" t="str">
            <v>D214AP</v>
          </cell>
          <cell r="B24" t="str">
            <v xml:space="preserve">D.214A_STAERKE  </v>
          </cell>
          <cell r="C24" t="str">
            <v xml:space="preserve">Abgabe auf Stärkeerzeugnisse                                                                        </v>
          </cell>
          <cell r="D24" t="str">
            <v>Duty on starch products</v>
          </cell>
        </row>
        <row r="25">
          <cell r="A25" t="str">
            <v>D214AQ</v>
          </cell>
          <cell r="B25" t="str">
            <v xml:space="preserve">D.214A_TABAK    </v>
          </cell>
          <cell r="C25" t="str">
            <v xml:space="preserve">Tabaksteuer                                                                                         </v>
          </cell>
          <cell r="D25" t="str">
            <v>Tax on tobacco</v>
          </cell>
        </row>
        <row r="26">
          <cell r="A26" t="str">
            <v>D214AR</v>
          </cell>
          <cell r="B26" t="str">
            <v>D.214A_TRANSPORT</v>
          </cell>
          <cell r="C26" t="str">
            <v xml:space="preserve">Frachten- und Transportausgleichsbeiträge                                                           </v>
          </cell>
          <cell r="D26" t="str">
            <v>Transport equality levy</v>
          </cell>
        </row>
        <row r="27">
          <cell r="A27" t="str">
            <v>D214AS</v>
          </cell>
          <cell r="B27" t="str">
            <v xml:space="preserve">D.214A_WEINST   </v>
          </cell>
          <cell r="C27" t="str">
            <v xml:space="preserve">Weinsteuer                                                                                          </v>
          </cell>
          <cell r="D27" t="str">
            <v>Tax on wine</v>
          </cell>
        </row>
        <row r="28">
          <cell r="A28" t="str">
            <v>D214AT</v>
          </cell>
          <cell r="B28" t="str">
            <v xml:space="preserve">D.214A_ZUCKER   </v>
          </cell>
          <cell r="C28" t="str">
            <v xml:space="preserve">Zuckerabgabe                                                                                        </v>
          </cell>
          <cell r="D28" t="str">
            <v>Levy on sugar</v>
          </cell>
        </row>
        <row r="29">
          <cell r="A29" t="str">
            <v>D214BA</v>
          </cell>
          <cell r="B29" t="str">
            <v xml:space="preserve">D.214B_STEMPEL  </v>
          </cell>
          <cell r="C29" t="str">
            <v xml:space="preserve">In Stempelmarken entrichtete Gebühren                                                               </v>
          </cell>
          <cell r="D29" t="str">
            <v>Stamp fees</v>
          </cell>
        </row>
        <row r="30">
          <cell r="A30" t="str">
            <v>D214CA</v>
          </cell>
          <cell r="B30" t="str">
            <v xml:space="preserve">D.214C_GRUNDERW </v>
          </cell>
          <cell r="C30" t="str">
            <v xml:space="preserve">Grunderwerbsteuer                                                                                   </v>
          </cell>
          <cell r="D30" t="str">
            <v>Land transfer tax</v>
          </cell>
        </row>
        <row r="31">
          <cell r="A31" t="str">
            <v>D214CB</v>
          </cell>
          <cell r="B31" t="str">
            <v xml:space="preserve">D.214C_KAPVER   </v>
          </cell>
          <cell r="C31" t="str">
            <v xml:space="preserve">Kapitalverkehrssteuer                                                                               </v>
          </cell>
          <cell r="D31" t="str">
            <v>Capital transfer tax</v>
          </cell>
        </row>
        <row r="32">
          <cell r="A32" t="str">
            <v>D214DA</v>
          </cell>
          <cell r="B32" t="str">
            <v>D.214D_UEBRIGEGE</v>
          </cell>
          <cell r="C32" t="str">
            <v xml:space="preserve">Kraftfahrzeugzulassungssteuer bezahlt von Unternehmen                                               </v>
          </cell>
          <cell r="D32" t="str">
            <v>Car registration taxes</v>
          </cell>
        </row>
        <row r="33">
          <cell r="A33" t="str">
            <v>D214EA</v>
          </cell>
          <cell r="B33" t="str">
            <v xml:space="preserve">D.214E_LUSTK    </v>
          </cell>
          <cell r="C33" t="str">
            <v xml:space="preserve">Lustbarkeitsabgabe                                                                                  </v>
          </cell>
          <cell r="D33" t="str">
            <v>Entertainment tax</v>
          </cell>
        </row>
        <row r="34">
          <cell r="A34" t="str">
            <v>D214EB</v>
          </cell>
          <cell r="B34" t="str">
            <v xml:space="preserve">D.214E_VERGNUEG </v>
          </cell>
          <cell r="C34" t="str">
            <v xml:space="preserve">Vergnügungssteuer                                                                                   </v>
          </cell>
          <cell r="D34" t="str">
            <v>Amusement tax</v>
          </cell>
        </row>
        <row r="35">
          <cell r="A35" t="str">
            <v>D214FA</v>
          </cell>
          <cell r="B35" t="str">
            <v xml:space="preserve">D.214F_GEWINST  </v>
          </cell>
          <cell r="C35" t="str">
            <v xml:space="preserve">Gewinstgebühr                                                                                       </v>
          </cell>
          <cell r="D35" t="str">
            <v>Tax on gambling stakes 2</v>
          </cell>
        </row>
        <row r="36">
          <cell r="A36" t="str">
            <v>D214FB</v>
          </cell>
          <cell r="B36" t="str">
            <v xml:space="preserve">D.214F_KONZESS  </v>
          </cell>
          <cell r="C36" t="str">
            <v xml:space="preserve">Konzessionsabgabe                                                                                   </v>
          </cell>
          <cell r="D36" t="str">
            <v>Tax on gambling stakes 1</v>
          </cell>
        </row>
        <row r="37">
          <cell r="A37" t="str">
            <v>D214FC</v>
          </cell>
          <cell r="B37" t="str">
            <v xml:space="preserve">D.214F_SPIEL    </v>
          </cell>
          <cell r="C37" t="str">
            <v xml:space="preserve">Spielbankenabgabe                                                                                   </v>
          </cell>
          <cell r="D37" t="str">
            <v>Duty on casinos</v>
          </cell>
        </row>
        <row r="38">
          <cell r="A38" t="str">
            <v>D214GA</v>
          </cell>
          <cell r="B38" t="str">
            <v xml:space="preserve">D.214G_FEUER    </v>
          </cell>
          <cell r="C38" t="str">
            <v xml:space="preserve">Feuerschutzsteuer                                                                                   </v>
          </cell>
          <cell r="D38" t="str">
            <v>Fire protection tax</v>
          </cell>
        </row>
        <row r="39">
          <cell r="A39" t="str">
            <v>D214GB</v>
          </cell>
          <cell r="B39" t="str">
            <v xml:space="preserve">D.214G_VERSST   </v>
          </cell>
          <cell r="C39" t="str">
            <v xml:space="preserve">Versicherungssteuer                                                                                 </v>
          </cell>
          <cell r="D39" t="str">
            <v>Insurance tax</v>
          </cell>
        </row>
        <row r="40">
          <cell r="A40" t="str">
            <v>D214HA</v>
          </cell>
          <cell r="B40" t="str">
            <v xml:space="preserve">D.214H_ALTLAST  </v>
          </cell>
          <cell r="C40" t="str">
            <v xml:space="preserve">Altlastenbeitrag                                                                                    </v>
          </cell>
          <cell r="D40" t="str">
            <v>Levy on dangerous waste</v>
          </cell>
        </row>
        <row r="41">
          <cell r="A41" t="str">
            <v>D214HB</v>
          </cell>
          <cell r="B41" t="str">
            <v xml:space="preserve">D.214H_ANKUEND  </v>
          </cell>
          <cell r="C41" t="str">
            <v xml:space="preserve">Ankündigungsabgabe                                                                                  </v>
          </cell>
          <cell r="D41" t="str">
            <v>Announcement tax</v>
          </cell>
        </row>
        <row r="42">
          <cell r="A42" t="str">
            <v>D214HC</v>
          </cell>
          <cell r="B42" t="str">
            <v xml:space="preserve">D.214H_ANZEIG   </v>
          </cell>
          <cell r="C42" t="str">
            <v xml:space="preserve">Anzeigenabgabe                                                                                      </v>
          </cell>
          <cell r="D42" t="str">
            <v>Advertisement tax</v>
          </cell>
        </row>
        <row r="43">
          <cell r="A43" t="str">
            <v>D214HD</v>
          </cell>
          <cell r="B43" t="str">
            <v xml:space="preserve">D.214H_FREMD    </v>
          </cell>
          <cell r="C43" t="str">
            <v xml:space="preserve">Fremdenverkehrsabgabe                                                                               </v>
          </cell>
          <cell r="D43" t="str">
            <v>Tax on tourism</v>
          </cell>
        </row>
        <row r="44">
          <cell r="A44" t="str">
            <v>D214HE</v>
          </cell>
          <cell r="B44" t="str">
            <v xml:space="preserve">D.214H_SICHER   </v>
          </cell>
          <cell r="C44" t="str">
            <v xml:space="preserve">Sicherheitsabgabe, Zivilluftfahrt                                                                   </v>
          </cell>
          <cell r="D44" t="str">
            <v>Duty for airways security</v>
          </cell>
        </row>
        <row r="45">
          <cell r="A45" t="str">
            <v>D214HF</v>
          </cell>
          <cell r="B45" t="str">
            <v xml:space="preserve">D.214H_WERBE    </v>
          </cell>
          <cell r="C45" t="str">
            <v xml:space="preserve">Werbeabgabe                                                                                         </v>
          </cell>
          <cell r="D45" t="str">
            <v>Tax on advertisement</v>
          </cell>
        </row>
        <row r="46">
          <cell r="A46" t="str">
            <v>D214JA</v>
          </cell>
          <cell r="B46" t="str">
            <v xml:space="preserve">D.214J_BRANNTW  </v>
          </cell>
          <cell r="C46" t="str">
            <v xml:space="preserve">Gewinne, Branntweinmonopol                                                                          </v>
          </cell>
          <cell r="D46" t="str">
            <v>Federal monopolies, spirits</v>
          </cell>
        </row>
        <row r="47">
          <cell r="A47" t="str">
            <v>D214JB</v>
          </cell>
          <cell r="B47" t="str">
            <v xml:space="preserve">D.214J_GLUECKS  </v>
          </cell>
          <cell r="C47" t="str">
            <v xml:space="preserve">Gewinne, Glückspielmonopol                                                                          </v>
          </cell>
          <cell r="D47" t="str">
            <v>Federal monopolies, gambling</v>
          </cell>
        </row>
        <row r="48">
          <cell r="A48" t="str">
            <v>D214LA</v>
          </cell>
          <cell r="B48" t="str">
            <v xml:space="preserve">D.214L_BEITRKHF </v>
          </cell>
          <cell r="C48" t="str">
            <v xml:space="preserve">Beiträge an den Künstler-Sozialversicherungsfonds                                                   </v>
          </cell>
          <cell r="D48" t="str">
            <v xml:space="preserve">Contribution to the artists' social security fund </v>
          </cell>
        </row>
        <row r="49">
          <cell r="A49" t="str">
            <v>D29AA</v>
          </cell>
          <cell r="B49" t="str">
            <v>D.29A_ABGLUFBETR</v>
          </cell>
          <cell r="C49" t="str">
            <v xml:space="preserve">Abgabe von land-und forstwirtschaftlichen Betrieben                                                 </v>
          </cell>
          <cell r="D49" t="str">
            <v>Duty on farms</v>
          </cell>
        </row>
        <row r="50">
          <cell r="A50" t="str">
            <v>D29AB</v>
          </cell>
          <cell r="B50" t="str">
            <v>D.29A_BEITRAFFBL</v>
          </cell>
          <cell r="C50" t="str">
            <v xml:space="preserve">Beiträge von land- und forstwirtschaftlichen Betrieben zum Familienlastenausgleichsfonds            </v>
          </cell>
          <cell r="D50" t="str">
            <v>Farm contribution</v>
          </cell>
        </row>
        <row r="51">
          <cell r="A51" t="str">
            <v>D29AC</v>
          </cell>
          <cell r="B51" t="str">
            <v xml:space="preserve">D.29A_BODEN     </v>
          </cell>
          <cell r="C51" t="str">
            <v xml:space="preserve">Bodenwertabgabe                                                                                     </v>
          </cell>
          <cell r="D51" t="str">
            <v>Tax on vacant plots</v>
          </cell>
        </row>
        <row r="52">
          <cell r="A52" t="str">
            <v>D29AD</v>
          </cell>
          <cell r="B52" t="str">
            <v xml:space="preserve">D.29A_GRUNDA    </v>
          </cell>
          <cell r="C52" t="str">
            <v xml:space="preserve">Grundsteuer A, landwirtschaftlicher Grund                                                           </v>
          </cell>
          <cell r="D52" t="str">
            <v>Land tax A (farm land)</v>
          </cell>
        </row>
        <row r="53">
          <cell r="A53" t="str">
            <v>D29AE</v>
          </cell>
          <cell r="B53" t="str">
            <v xml:space="preserve">D.29A_GRUNDB    </v>
          </cell>
          <cell r="C53" t="str">
            <v xml:space="preserve">Grundsteuer B, ausgenommen landwirtschaftlicher Grund                                               </v>
          </cell>
          <cell r="D53" t="str">
            <v>Land tax (except farm land)</v>
          </cell>
        </row>
        <row r="54">
          <cell r="A54" t="str">
            <v>D29AF</v>
          </cell>
          <cell r="B54" t="str">
            <v>D.29A_LKAMMBEITR</v>
          </cell>
          <cell r="C54" t="str">
            <v xml:space="preserve">Kammerbeiträge, Landwirtschaftskammer                                                               </v>
          </cell>
          <cell r="D54" t="str">
            <v>Farm contribution to chambers</v>
          </cell>
        </row>
        <row r="55">
          <cell r="A55" t="str">
            <v>D29CA</v>
          </cell>
          <cell r="B55" t="str">
            <v>D.29C_DGBEITRAFF</v>
          </cell>
          <cell r="C55" t="str">
            <v xml:space="preserve">Dienstgeberbeiträge zum AFFB                                                                        </v>
          </cell>
          <cell r="D55" t="str">
            <v>Employers contribution of family burdens</v>
          </cell>
        </row>
        <row r="56">
          <cell r="A56" t="str">
            <v>D29CB</v>
          </cell>
          <cell r="B56" t="str">
            <v xml:space="preserve">D.29C_INVALID   </v>
          </cell>
          <cell r="C56" t="str">
            <v xml:space="preserve">Invalidenausgleichstaxfonds                                                                         </v>
          </cell>
          <cell r="D56" t="str">
            <v>Disabled persons, equalization levy</v>
          </cell>
        </row>
        <row r="57">
          <cell r="A57" t="str">
            <v>D29CC</v>
          </cell>
          <cell r="B57" t="str">
            <v xml:space="preserve">D.29C_KAMMBEITR </v>
          </cell>
          <cell r="C57" t="str">
            <v xml:space="preserve">Kammerbeiträge                                                                                      </v>
          </cell>
          <cell r="D57" t="str">
            <v>Contribution to chambers</v>
          </cell>
        </row>
        <row r="58">
          <cell r="A58" t="str">
            <v>D29CD</v>
          </cell>
          <cell r="B58" t="str">
            <v xml:space="preserve">D.29C_KOMMU     </v>
          </cell>
          <cell r="C58" t="str">
            <v xml:space="preserve">Kommunalsteuer                                                               </v>
          </cell>
          <cell r="D58" t="str">
            <v>Tax on sum of wages</v>
          </cell>
        </row>
        <row r="59">
          <cell r="A59" t="str">
            <v>D29CE</v>
          </cell>
          <cell r="B59" t="str">
            <v xml:space="preserve">D.29C_UBAHN     </v>
          </cell>
          <cell r="C59" t="str">
            <v xml:space="preserve">U-Bahnabgabe                                                                                        </v>
          </cell>
          <cell r="D59" t="str">
            <v>Tax on employment (Vienna underground)</v>
          </cell>
        </row>
        <row r="60">
          <cell r="A60" t="str">
            <v>D29GA</v>
          </cell>
          <cell r="B60" t="str">
            <v xml:space="preserve">D.29G_MWST_KOMP </v>
          </cell>
          <cell r="C60" t="str">
            <v xml:space="preserve">Mehrwertsteuer - Unterkompensation, Landwirtschaft                                                  </v>
          </cell>
          <cell r="D60" t="str">
            <v>Under-compensation of VAT (flat rate system), agriculture</v>
          </cell>
        </row>
        <row r="61">
          <cell r="A61" t="str">
            <v>D29HB</v>
          </cell>
          <cell r="B61" t="str">
            <v xml:space="preserve">D.29H_GEBRAUCH  </v>
          </cell>
          <cell r="C61" t="str">
            <v xml:space="preserve">Gebrauchsabgabe                                                                                     </v>
          </cell>
          <cell r="D61" t="str">
            <v>Certain users fee</v>
          </cell>
        </row>
        <row r="62">
          <cell r="A62" t="str">
            <v>D29HC</v>
          </cell>
          <cell r="B62" t="str">
            <v xml:space="preserve">D.29H_KFZ       </v>
          </cell>
          <cell r="C62" t="str">
            <v xml:space="preserve">Kraftfahrzeugsteuer, Anteil der Unternehmen                                                         </v>
          </cell>
          <cell r="D62" t="str">
            <v>Motor vehicles tax 1, paid by enterprises</v>
          </cell>
        </row>
        <row r="63">
          <cell r="A63" t="str">
            <v>D29HD</v>
          </cell>
          <cell r="B63" t="str">
            <v xml:space="preserve">D.29H_MOTOR     </v>
          </cell>
          <cell r="C63" t="str">
            <v xml:space="preserve">Motorbezogene Versicherungssteuer, Anteil der Unternehmen                                           </v>
          </cell>
          <cell r="D63" t="str">
            <v>Motor vehicles tax 2, paid by enterprises</v>
          </cell>
        </row>
        <row r="64">
          <cell r="A64" t="str">
            <v>D29HE</v>
          </cell>
          <cell r="B64" t="str">
            <v xml:space="preserve">D.29H_NEBEN     </v>
          </cell>
          <cell r="C64" t="str">
            <v xml:space="preserve">Nebengebühren und Resteingänge sonstiger weggefallener Steuern                                      </v>
          </cell>
          <cell r="D64" t="str">
            <v>Fines related to tax offences, taxes on production and imports</v>
          </cell>
        </row>
        <row r="65">
          <cell r="A65" t="str">
            <v>D29HF</v>
          </cell>
          <cell r="B65" t="str">
            <v xml:space="preserve">D.29H_PUNZ      </v>
          </cell>
          <cell r="C65" t="str">
            <v xml:space="preserve">Punzierungsgebühr                                                                                   </v>
          </cell>
          <cell r="D65" t="str">
            <v>Embossment fee</v>
          </cell>
        </row>
        <row r="66">
          <cell r="A66" t="str">
            <v>D29HG</v>
          </cell>
          <cell r="B66" t="str">
            <v xml:space="preserve">D.29H_SONSTIGE  </v>
          </cell>
          <cell r="C66" t="str">
            <v xml:space="preserve">Sonstige Abgaben                                                                                    </v>
          </cell>
          <cell r="D66" t="str">
            <v>Other taxes, taxes on production n.e.c.</v>
          </cell>
        </row>
        <row r="67">
          <cell r="A67" t="str">
            <v>D29HH</v>
          </cell>
          <cell r="B67" t="str">
            <v>D.29H_STEMPEL</v>
          </cell>
          <cell r="C67" t="str">
            <v xml:space="preserve">In Stempelmarken entrichtete Gebühren                                                               </v>
          </cell>
          <cell r="D67" t="str">
            <v>Stamp fees</v>
          </cell>
        </row>
        <row r="68">
          <cell r="A68" t="str">
            <v>D29HI</v>
          </cell>
          <cell r="B68" t="str">
            <v xml:space="preserve">D.29H_STRASSENB </v>
          </cell>
          <cell r="C68" t="str">
            <v xml:space="preserve">Straßenbenützungsabgabe (Straßenverkehrsbeitrag)                                                    </v>
          </cell>
          <cell r="D68" t="str">
            <v>Road transport duty</v>
          </cell>
        </row>
        <row r="69">
          <cell r="A69" t="str">
            <v>D29HJ</v>
          </cell>
          <cell r="B69" t="str">
            <v>D.29H_UEBRIGEGEB</v>
          </cell>
          <cell r="C69" t="str">
            <v xml:space="preserve">Übrige Gebühren (ohne Gewinstgebühr)                                                                </v>
          </cell>
          <cell r="D69" t="str">
            <v>Other fees, taxes on production n.e.c.</v>
          </cell>
        </row>
        <row r="70">
          <cell r="A70" t="str">
            <v>D29HK</v>
          </cell>
          <cell r="B70" t="str">
            <v xml:space="preserve">D.29H_VERKEHRSF </v>
          </cell>
          <cell r="C70" t="str">
            <v xml:space="preserve">Abgaben an den Verkehrsicherheitsfonds, Anteil Unternehmen                                          </v>
          </cell>
          <cell r="D70" t="str">
            <v>Contribution to the Road Safety Fund, paid by enterprises</v>
          </cell>
        </row>
        <row r="71">
          <cell r="A71" t="str">
            <v>D29HL</v>
          </cell>
          <cell r="B71" t="str">
            <v xml:space="preserve">D.29H_VERWA     </v>
          </cell>
          <cell r="C71" t="str">
            <v xml:space="preserve">Verwaltungsabgben                                                                                   </v>
          </cell>
          <cell r="D71" t="str">
            <v>Administration duties</v>
          </cell>
        </row>
        <row r="72">
          <cell r="A72" t="str">
            <v>D51AA</v>
          </cell>
          <cell r="B72" t="str">
            <v xml:space="preserve">D.51A_EINKOMMEN </v>
          </cell>
          <cell r="C72" t="str">
            <v xml:space="preserve">Veranlagte Einkommensteuer                                                                          </v>
          </cell>
          <cell r="D72" t="str">
            <v>Income tax</v>
          </cell>
        </row>
        <row r="73">
          <cell r="A73" t="str">
            <v>D51AB</v>
          </cell>
          <cell r="B73" t="str">
            <v>D.51A_EUQUELL</v>
          </cell>
          <cell r="C73" t="str">
            <v>EU-Quellensteuer</v>
          </cell>
          <cell r="D73" t="str">
            <v>EU withholding tax on interest income of non-residents</v>
          </cell>
        </row>
        <row r="74">
          <cell r="A74" t="str">
            <v>D51AC</v>
          </cell>
          <cell r="B74" t="str">
            <v xml:space="preserve">D.51A_GEWERBE   </v>
          </cell>
          <cell r="C74" t="str">
            <v xml:space="preserve">Gewerbesteuer                                                                                       </v>
          </cell>
          <cell r="D74" t="str">
            <v>Tax on industry and trade</v>
          </cell>
        </row>
        <row r="75">
          <cell r="A75" t="str">
            <v>D51AD</v>
          </cell>
          <cell r="B75" t="str">
            <v xml:space="preserve">D.51A_KAMMBEITR </v>
          </cell>
          <cell r="C75" t="str">
            <v xml:space="preserve">Kammerbeiträge                                                                                      </v>
          </cell>
          <cell r="D75" t="str">
            <v>Contribution to chambers</v>
          </cell>
        </row>
        <row r="76">
          <cell r="A76" t="str">
            <v>D51AE</v>
          </cell>
          <cell r="B76" t="str">
            <v xml:space="preserve">D.51A_KAP       </v>
          </cell>
          <cell r="C76" t="str">
            <v xml:space="preserve">Kapitalertragssteuer                                                                                </v>
          </cell>
          <cell r="D76" t="str">
            <v>Tax on capital yields</v>
          </cell>
        </row>
        <row r="77">
          <cell r="A77" t="str">
            <v>D51AF</v>
          </cell>
          <cell r="B77" t="str">
            <v xml:space="preserve">D.51A_KAPZINSEN </v>
          </cell>
          <cell r="C77" t="str">
            <v xml:space="preserve">Kapitalertragssteuer auf Zinsen                                                                     </v>
          </cell>
          <cell r="D77" t="str">
            <v>Tax on interest</v>
          </cell>
        </row>
        <row r="78">
          <cell r="A78" t="str">
            <v>D51AG</v>
          </cell>
          <cell r="B78" t="str">
            <v xml:space="preserve">D.51A_LOHNST    </v>
          </cell>
          <cell r="C78" t="str">
            <v xml:space="preserve">Lohnsteuer                                                                                          </v>
          </cell>
          <cell r="D78" t="str">
            <v>Wage tax</v>
          </cell>
        </row>
        <row r="79">
          <cell r="A79" t="str">
            <v>D51BA</v>
          </cell>
          <cell r="B79" t="str">
            <v xml:space="preserve">D.51B_AUFSRAT   </v>
          </cell>
          <cell r="C79" t="str">
            <v xml:space="preserve">Aufsichtsratabgabe                                                                                  </v>
          </cell>
          <cell r="D79" t="str">
            <v>Directors tax</v>
          </cell>
        </row>
        <row r="80">
          <cell r="A80" t="str">
            <v>D51BB</v>
          </cell>
          <cell r="B80" t="str">
            <v xml:space="preserve">D.51B_GEWERBE   </v>
          </cell>
          <cell r="C80" t="str">
            <v xml:space="preserve">Gewerbesteuer                                                                                       </v>
          </cell>
          <cell r="D80" t="str">
            <v>Tax on industry and trade</v>
          </cell>
        </row>
        <row r="81">
          <cell r="A81" t="str">
            <v>D51BC</v>
          </cell>
          <cell r="B81" t="str">
            <v xml:space="preserve">D.51B_KAMMBEITR </v>
          </cell>
          <cell r="C81" t="str">
            <v xml:space="preserve">Kammerbeiträge                                                                                      </v>
          </cell>
          <cell r="D81" t="str">
            <v>Contribution to chambers</v>
          </cell>
        </row>
        <row r="82">
          <cell r="A82" t="str">
            <v>D51BD</v>
          </cell>
          <cell r="B82" t="str">
            <v xml:space="preserve">D.51B_KAP       </v>
          </cell>
          <cell r="C82" t="str">
            <v xml:space="preserve">Kapitalertragssteuer                                                                                </v>
          </cell>
          <cell r="D82" t="str">
            <v>Tax on capital yields</v>
          </cell>
        </row>
        <row r="83">
          <cell r="A83" t="str">
            <v>D51BE</v>
          </cell>
          <cell r="B83" t="str">
            <v xml:space="preserve">D.51B_KAPZINSEN </v>
          </cell>
          <cell r="C83" t="str">
            <v xml:space="preserve">Kapitalertragssteuer auf Zinsen                                                                     </v>
          </cell>
          <cell r="D83" t="str">
            <v>Tax on interest</v>
          </cell>
        </row>
        <row r="84">
          <cell r="A84" t="str">
            <v>D51BF</v>
          </cell>
          <cell r="B84" t="str">
            <v xml:space="preserve">D.51B_KOERPER   </v>
          </cell>
          <cell r="C84" t="str">
            <v xml:space="preserve">Körperschaftsteuer                                                                                  </v>
          </cell>
          <cell r="D84" t="str">
            <v>Corporation tax</v>
          </cell>
        </row>
        <row r="85">
          <cell r="A85" t="str">
            <v>D51EA</v>
          </cell>
          <cell r="B85" t="str">
            <v xml:space="preserve">D.51E_ABGZUWEN  </v>
          </cell>
          <cell r="C85" t="str">
            <v xml:space="preserve">Abgabe von Zuwendungen an politische Parteien                                                       </v>
          </cell>
          <cell r="D85" t="str">
            <v xml:space="preserve">Duty on contributions to political parties </v>
          </cell>
        </row>
        <row r="86">
          <cell r="A86" t="str">
            <v>D51EC</v>
          </cell>
          <cell r="B86" t="str">
            <v xml:space="preserve">D.51E_SABGKRE   </v>
          </cell>
          <cell r="C86" t="str">
            <v xml:space="preserve">Sonderabgabe von Kreditunternehmungen                                                               </v>
          </cell>
          <cell r="D86" t="str">
            <v>Tax on financial institutions</v>
          </cell>
        </row>
        <row r="87">
          <cell r="A87" t="str">
            <v>D51ED</v>
          </cell>
          <cell r="B87" t="str">
            <v xml:space="preserve">D.51E_WBF       </v>
          </cell>
          <cell r="C87" t="str">
            <v xml:space="preserve">Wohnbauförderungsbeitrag                                                                            </v>
          </cell>
          <cell r="D87" t="str">
            <v>Promotion residential buildings</v>
          </cell>
        </row>
        <row r="88">
          <cell r="A88" t="str">
            <v>D59AA</v>
          </cell>
          <cell r="B88" t="str">
            <v xml:space="preserve">D.59A_ERBAEQU   </v>
          </cell>
          <cell r="C88" t="str">
            <v xml:space="preserve">Erbschaftsteueräquivalent                                                                           </v>
          </cell>
          <cell r="D88" t="str">
            <v>Capital death duty</v>
          </cell>
        </row>
        <row r="89">
          <cell r="A89" t="str">
            <v>D59AB</v>
          </cell>
          <cell r="B89" t="str">
            <v xml:space="preserve">D.59A_VERMOE    </v>
          </cell>
          <cell r="C89" t="str">
            <v xml:space="preserve">Vermögensteuer                                                                                      </v>
          </cell>
          <cell r="D89" t="str">
            <v>Capital tax</v>
          </cell>
        </row>
        <row r="90">
          <cell r="A90" t="str">
            <v>D59FA</v>
          </cell>
          <cell r="B90" t="str">
            <v>D.59F_ KUNSTFBEI</v>
          </cell>
          <cell r="C90" t="str">
            <v xml:space="preserve">Kunstförderungsbeitrag                                                                              </v>
          </cell>
          <cell r="D90" t="str">
            <v>Contribution for the promotion of arts</v>
          </cell>
        </row>
        <row r="91">
          <cell r="A91" t="str">
            <v>D59FB</v>
          </cell>
          <cell r="B91" t="str">
            <v xml:space="preserve">D.59F_FERNSEH   </v>
          </cell>
          <cell r="C91" t="str">
            <v xml:space="preserve">Fernseh-, Radio- und Kulturschilling                                                                </v>
          </cell>
          <cell r="D91" t="str">
            <v>Tax on radio and TV-licences</v>
          </cell>
        </row>
        <row r="92">
          <cell r="A92" t="str">
            <v>D59FC</v>
          </cell>
          <cell r="B92" t="str">
            <v>D.59F_FISCH</v>
          </cell>
          <cell r="C92" t="str">
            <v xml:space="preserve">Jagd- und Fischereiabgabe                                                                           </v>
          </cell>
          <cell r="D92" t="str">
            <v>Hunting and fishing duties</v>
          </cell>
        </row>
        <row r="93">
          <cell r="A93" t="str">
            <v>D59FD</v>
          </cell>
          <cell r="B93" t="str">
            <v xml:space="preserve">D.59F_HSBEITR   </v>
          </cell>
          <cell r="C93" t="str">
            <v xml:space="preserve">Hochschülerschaftsbeiträge                                                                          </v>
          </cell>
          <cell r="D93" t="str">
            <v>Contributions to students' association</v>
          </cell>
        </row>
        <row r="94">
          <cell r="A94" t="str">
            <v>D59FE</v>
          </cell>
          <cell r="B94" t="str">
            <v xml:space="preserve">D.59F_HUND      </v>
          </cell>
          <cell r="C94" t="str">
            <v xml:space="preserve">Abgabe für das Halten von Tieren                                                                    </v>
          </cell>
          <cell r="D94" t="str">
            <v>Dog tax</v>
          </cell>
        </row>
        <row r="95">
          <cell r="A95" t="str">
            <v>D59FF</v>
          </cell>
          <cell r="B95" t="str">
            <v xml:space="preserve">D.59F_KFZ       </v>
          </cell>
          <cell r="C95" t="str">
            <v xml:space="preserve">Kraftfahrzeugsteuer, Anteil private Haushalte                                                       </v>
          </cell>
          <cell r="D95" t="str">
            <v>Motor vehicles tax 1, paid by households</v>
          </cell>
        </row>
        <row r="96">
          <cell r="A96" t="str">
            <v>D59FG</v>
          </cell>
          <cell r="B96" t="str">
            <v xml:space="preserve">D.59F_MOTOR     </v>
          </cell>
          <cell r="C96" t="str">
            <v xml:space="preserve">Motorbezogene Versicherungssteuer, Anteil private Haushalte                                         </v>
          </cell>
          <cell r="D96" t="str">
            <v>Motor vehicles tax 2, paid by households</v>
          </cell>
        </row>
        <row r="97">
          <cell r="A97" t="str">
            <v>D59FH</v>
          </cell>
          <cell r="B97" t="str">
            <v xml:space="preserve">D.59F_NEBEN     </v>
          </cell>
          <cell r="C97" t="str">
            <v xml:space="preserve">Nebenansprüche und Resteingänge sonstiger weggefallener Steuern                                     </v>
          </cell>
          <cell r="D97" t="str">
            <v>Fines related to tax offences, taxes on income, wealth etc.</v>
          </cell>
        </row>
        <row r="98">
          <cell r="A98" t="str">
            <v>D59FI</v>
          </cell>
          <cell r="B98" t="str">
            <v xml:space="preserve">D.59F_SONSTIGE  </v>
          </cell>
          <cell r="C98" t="str">
            <v xml:space="preserve">Sonstige Abgaben                                                                                    </v>
          </cell>
          <cell r="D98" t="str">
            <v>Other taxes</v>
          </cell>
        </row>
        <row r="99">
          <cell r="A99" t="str">
            <v>D59FJ</v>
          </cell>
          <cell r="B99" t="str">
            <v xml:space="preserve">D.59F_STEMPEL   </v>
          </cell>
          <cell r="C99" t="str">
            <v xml:space="preserve">In Stempelmarken entrichtete Gebühren                                                               </v>
          </cell>
          <cell r="D99" t="str">
            <v>Stamp fees</v>
          </cell>
        </row>
        <row r="100">
          <cell r="A100" t="str">
            <v>D59FK</v>
          </cell>
          <cell r="B100" t="str">
            <v>D.59F_UEBRIGEGEB</v>
          </cell>
          <cell r="C100" t="str">
            <v xml:space="preserve">Übrige Gebühren (ohne Gewinstgebühr)                                                                </v>
          </cell>
          <cell r="D100" t="str">
            <v>Other fees</v>
          </cell>
        </row>
        <row r="101">
          <cell r="A101" t="str">
            <v>D59FL</v>
          </cell>
          <cell r="B101" t="str">
            <v xml:space="preserve">D.59F_VERKEHRSF </v>
          </cell>
          <cell r="C101" t="str">
            <v xml:space="preserve">Abgaben an den Verkehrssicherheitsfonds, Anteil private Haushalte                                   </v>
          </cell>
          <cell r="D101" t="str">
            <v>Contribution to the Road Safety Fund, paid by households</v>
          </cell>
        </row>
        <row r="102">
          <cell r="A102" t="str">
            <v>D59FM</v>
          </cell>
          <cell r="B102" t="str">
            <v xml:space="preserve">D.59F_VERWA     </v>
          </cell>
          <cell r="C102" t="str">
            <v xml:space="preserve">Verwaltungsabgben                                                                                   </v>
          </cell>
          <cell r="D102" t="str">
            <v>Administration duties</v>
          </cell>
        </row>
        <row r="103">
          <cell r="A103" t="str">
            <v>D61111A</v>
          </cell>
          <cell r="B103" t="str">
            <v>D.61111_ARBLVERS</v>
          </cell>
          <cell r="C103" t="str">
            <v xml:space="preserve">Arbeitslosenversicherungsbeiträge                                                                   </v>
          </cell>
          <cell r="D103" t="str">
            <v>Unemployment insurance contributions</v>
          </cell>
        </row>
        <row r="104">
          <cell r="A104" t="str">
            <v>D61111B</v>
          </cell>
          <cell r="B104" t="str">
            <v xml:space="preserve">D.61111_BHG     </v>
          </cell>
          <cell r="C104" t="str">
            <v xml:space="preserve">Beiträge nach dem Betriebshilfegesetz                                                               </v>
          </cell>
          <cell r="D104" t="str">
            <v>Special health insurance contributions</v>
          </cell>
        </row>
        <row r="105">
          <cell r="A105" t="str">
            <v>D61111C</v>
          </cell>
          <cell r="B105" t="str">
            <v xml:space="preserve">D.61111_BUAK    </v>
          </cell>
          <cell r="C105" t="str">
            <v xml:space="preserve">Beiträge zur Bauarbeiter-Urlaubs- und Abfertigungskasse (BUAK)                                      </v>
          </cell>
          <cell r="D105" t="str">
            <v>Special unemployment insurance contributions, construction workers</v>
          </cell>
        </row>
        <row r="106">
          <cell r="A106" t="str">
            <v>D61111D</v>
          </cell>
          <cell r="B106" t="str">
            <v xml:space="preserve">D.61111_EFZG    </v>
          </cell>
          <cell r="C106" t="str">
            <v xml:space="preserve">Beiträge nach dem Entgeltfortzahlungsgesetz (EFZG)                                                  </v>
          </cell>
          <cell r="D106" t="str">
            <v>Contributions to sickness benefit fund</v>
          </cell>
        </row>
        <row r="107">
          <cell r="A107" t="str">
            <v>D61111E</v>
          </cell>
          <cell r="B107" t="str">
            <v xml:space="preserve">D.61111_IAF     </v>
          </cell>
          <cell r="C107" t="str">
            <v xml:space="preserve">Beiträge nach dem Insolvenz-Ausfallgeldgesetz (IESG)                                                </v>
          </cell>
          <cell r="D107" t="str">
            <v>Contributions to insolvency fund</v>
          </cell>
        </row>
        <row r="108">
          <cell r="A108" t="str">
            <v>D61111F</v>
          </cell>
          <cell r="B108" t="str">
            <v xml:space="preserve">D.61111_KFA     </v>
          </cell>
          <cell r="C108" t="str">
            <v xml:space="preserve">Beiträge an Krankenfürsorgeanstalten                                                                </v>
          </cell>
          <cell r="D108" t="str">
            <v>Health insurance contributions, local government employees</v>
          </cell>
        </row>
        <row r="109">
          <cell r="A109" t="str">
            <v>D61111G</v>
          </cell>
          <cell r="B109" t="str">
            <v xml:space="preserve">D.61111_KV      </v>
          </cell>
          <cell r="C109" t="str">
            <v xml:space="preserve">Beiträge zur Krankenversicherung                                                                    </v>
          </cell>
          <cell r="D109" t="str">
            <v>Health insurance contributions</v>
          </cell>
        </row>
        <row r="110">
          <cell r="A110" t="str">
            <v>D61111H</v>
          </cell>
          <cell r="B110" t="str">
            <v xml:space="preserve">D.61111_NSCHG   </v>
          </cell>
          <cell r="C110" t="str">
            <v xml:space="preserve">Beiträge nach dem Nachschicht - Schwerarbeitsgesetz                                                 </v>
          </cell>
          <cell r="D110" t="str">
            <v>Special pension contributions, nightshift worker</v>
          </cell>
        </row>
        <row r="111">
          <cell r="A111" t="str">
            <v>D61111I</v>
          </cell>
          <cell r="B111" t="str">
            <v xml:space="preserve">D.61111_PBEITR  </v>
          </cell>
          <cell r="C111" t="str">
            <v xml:space="preserve">Pensionsbeiträge der Beamten                                                                        </v>
          </cell>
          <cell r="D111" t="str">
            <v>Pension contributions, civil servants</v>
          </cell>
        </row>
        <row r="112">
          <cell r="A112" t="str">
            <v>D61111J</v>
          </cell>
          <cell r="B112" t="str">
            <v xml:space="preserve">D.61111_PV      </v>
          </cell>
          <cell r="C112" t="str">
            <v xml:space="preserve">Beiträge zur Pensionsversicherung                                                                   </v>
          </cell>
          <cell r="D112" t="str">
            <v>Pension insurance contributions</v>
          </cell>
        </row>
        <row r="113">
          <cell r="A113" t="str">
            <v>D61111K</v>
          </cell>
          <cell r="B113" t="str">
            <v>D.61111_SCHLECHT</v>
          </cell>
          <cell r="C113" t="str">
            <v xml:space="preserve">Schlechtwetterbeiträge                                                                              </v>
          </cell>
          <cell r="D113" t="str">
            <v>Special unemployment insurance contributions, construction workers, until 1996</v>
          </cell>
        </row>
        <row r="114">
          <cell r="A114" t="str">
            <v>D61111L</v>
          </cell>
          <cell r="B114" t="str">
            <v xml:space="preserve">D.61111_UV      </v>
          </cell>
          <cell r="C114" t="str">
            <v xml:space="preserve">Unfallversicherungsbeiträge                                                                         </v>
          </cell>
          <cell r="D114" t="str">
            <v>Accident insurance contributions</v>
          </cell>
        </row>
        <row r="115">
          <cell r="A115" t="str">
            <v>D61112A</v>
          </cell>
          <cell r="B115" t="str">
            <v xml:space="preserve">D.61112_KV      </v>
          </cell>
          <cell r="C115" t="str">
            <v xml:space="preserve">Beiträge zur Krankenversicherung                                                                    </v>
          </cell>
          <cell r="D115" t="str">
            <v>Health insurance contributions</v>
          </cell>
        </row>
        <row r="116">
          <cell r="A116" t="str">
            <v>D61112B</v>
          </cell>
          <cell r="B116" t="str">
            <v xml:space="preserve">D.61112_PV      </v>
          </cell>
          <cell r="C116" t="str">
            <v xml:space="preserve">Beiträge zur Pensionsversicherung                                                                   </v>
          </cell>
          <cell r="D116" t="str">
            <v>Pension insurance contributions</v>
          </cell>
        </row>
        <row r="117">
          <cell r="A117" t="str">
            <v>D61112C</v>
          </cell>
          <cell r="B117" t="str">
            <v xml:space="preserve">D.61112_UV      </v>
          </cell>
          <cell r="C117" t="str">
            <v xml:space="preserve">Unfallversicherungsbeiträge                                                                         </v>
          </cell>
          <cell r="D117" t="str">
            <v>Accident insurance contributions</v>
          </cell>
        </row>
        <row r="118">
          <cell r="A118" t="str">
            <v>D61121A</v>
          </cell>
          <cell r="B118" t="str">
            <v>D.61121_ARBLVERS</v>
          </cell>
          <cell r="C118" t="str">
            <v xml:space="preserve">Arbeitslosenversicherungsbeiträge                                                                   </v>
          </cell>
          <cell r="D118" t="str">
            <v>Unemployment insurance contributions</v>
          </cell>
        </row>
        <row r="119">
          <cell r="A119" t="str">
            <v>D61121B</v>
          </cell>
          <cell r="B119" t="str">
            <v xml:space="preserve">D.61121_BUAK    </v>
          </cell>
          <cell r="C119" t="str">
            <v xml:space="preserve">Beiträge zur Bauarbeiter-Urlaubs- und Abfertigungskasse (BUAK)                                      </v>
          </cell>
          <cell r="D119" t="str">
            <v>Special unemployment insurance contributions, construction workers</v>
          </cell>
        </row>
        <row r="120">
          <cell r="A120" t="str">
            <v>D61121C</v>
          </cell>
          <cell r="B120" t="str">
            <v xml:space="preserve">D.61121_KFA     </v>
          </cell>
          <cell r="C120" t="str">
            <v xml:space="preserve">Beiträge an Krankenfürsorgeanstalten                                                                </v>
          </cell>
          <cell r="D120" t="str">
            <v>Health insurance contributions, local government employees</v>
          </cell>
        </row>
        <row r="121">
          <cell r="A121" t="str">
            <v>D61121D</v>
          </cell>
          <cell r="B121" t="str">
            <v xml:space="preserve">D.61121_KV      </v>
          </cell>
          <cell r="C121" t="str">
            <v xml:space="preserve">Beiträge zur Krankenversicherung                                                                    </v>
          </cell>
          <cell r="D121" t="str">
            <v>Health insurance contributions</v>
          </cell>
        </row>
        <row r="122">
          <cell r="A122" t="str">
            <v>D61121E</v>
          </cell>
          <cell r="B122" t="str">
            <v xml:space="preserve">D.61121_PBEITR  </v>
          </cell>
          <cell r="C122" t="str">
            <v xml:space="preserve">Pensionsbeiträge der Beamten                                                                        </v>
          </cell>
          <cell r="D122" t="str">
            <v>Pension contributions, civil servants</v>
          </cell>
        </row>
        <row r="123">
          <cell r="A123" t="str">
            <v>D61121F</v>
          </cell>
          <cell r="B123" t="str">
            <v xml:space="preserve">D.61121_PV      </v>
          </cell>
          <cell r="C123" t="str">
            <v xml:space="preserve">Beiträge zur Pensionsversicherung                                                                   </v>
          </cell>
          <cell r="D123" t="str">
            <v>Pension insurance contributions</v>
          </cell>
        </row>
        <row r="124">
          <cell r="A124" t="str">
            <v>D61121G</v>
          </cell>
          <cell r="B124" t="str">
            <v>D.61121_SCHLECHT</v>
          </cell>
          <cell r="C124" t="str">
            <v xml:space="preserve">Schlechtwetterbeiträge                                                                              </v>
          </cell>
          <cell r="D124" t="str">
            <v>Special unemployment insurance contributions, construction workers, until 1996</v>
          </cell>
        </row>
        <row r="125">
          <cell r="A125" t="str">
            <v>D61121H</v>
          </cell>
          <cell r="B125" t="str">
            <v xml:space="preserve">D.61121_UV      </v>
          </cell>
          <cell r="C125" t="str">
            <v xml:space="preserve">Unfallversicherungsbeiträge                                                                         </v>
          </cell>
          <cell r="D125" t="str">
            <v>Accident insurance contributions</v>
          </cell>
        </row>
        <row r="126">
          <cell r="A126" t="str">
            <v>D61122A</v>
          </cell>
          <cell r="B126" t="str">
            <v xml:space="preserve">D.61122_KV      </v>
          </cell>
          <cell r="C126" t="str">
            <v xml:space="preserve">Beiträge zur Krankenversicherung                                                                    </v>
          </cell>
          <cell r="D126" t="str">
            <v>Health insurance contributions</v>
          </cell>
        </row>
        <row r="127">
          <cell r="A127" t="str">
            <v>D61122B</v>
          </cell>
          <cell r="B127" t="str">
            <v>D.61122_PBEITR_F</v>
          </cell>
          <cell r="C127" t="str">
            <v xml:space="preserve">Sonstige Pensionsbeiträge                                </v>
          </cell>
          <cell r="D127" t="str">
            <v>Other Pension contributions</v>
          </cell>
        </row>
        <row r="128">
          <cell r="A128" t="str">
            <v>D61122C</v>
          </cell>
          <cell r="B128" t="str">
            <v xml:space="preserve">D.61122_PV      </v>
          </cell>
          <cell r="C128" t="str">
            <v xml:space="preserve">Beiträge zur Pensionsversicherung                                                                   </v>
          </cell>
          <cell r="D128" t="str">
            <v>Pension insurance contributions</v>
          </cell>
        </row>
        <row r="129">
          <cell r="A129" t="str">
            <v>D61122D</v>
          </cell>
          <cell r="B129" t="str">
            <v xml:space="preserve">D.61122_UV      </v>
          </cell>
          <cell r="C129" t="str">
            <v xml:space="preserve">Unfallversicherungsbeiträge                                                                         </v>
          </cell>
          <cell r="D129" t="str">
            <v>Accident insurance contributions</v>
          </cell>
        </row>
        <row r="130">
          <cell r="A130" t="str">
            <v>D61131A</v>
          </cell>
          <cell r="B130" t="str">
            <v xml:space="preserve">D.61131_KFA     </v>
          </cell>
          <cell r="C130" t="str">
            <v xml:space="preserve">Beiträge an Krankenfürsorgeanstalten                                                                </v>
          </cell>
          <cell r="D130" t="str">
            <v>Health insurance contributions, local government employees</v>
          </cell>
        </row>
        <row r="131">
          <cell r="A131" t="str">
            <v>D61131B</v>
          </cell>
          <cell r="B131" t="str">
            <v xml:space="preserve">D.61131_KV      </v>
          </cell>
          <cell r="C131" t="str">
            <v xml:space="preserve">Beiträge zur Krankenversicherung                                                                    </v>
          </cell>
          <cell r="D131" t="str">
            <v>Health insurance contributions</v>
          </cell>
        </row>
        <row r="132">
          <cell r="A132" t="str">
            <v>D61131C</v>
          </cell>
          <cell r="B132" t="str">
            <v xml:space="preserve">D.61131_PSICHER </v>
          </cell>
          <cell r="C132" t="str">
            <v xml:space="preserve">Pensionssicherungsbeiträge der Beamten im Ruhestand                                                 </v>
          </cell>
          <cell r="D132" t="str">
            <v>Special pension contributions, civil servants (retired)</v>
          </cell>
        </row>
        <row r="133">
          <cell r="A133" t="str">
            <v>D61131D</v>
          </cell>
          <cell r="B133" t="str">
            <v xml:space="preserve">D.61131_PV      </v>
          </cell>
          <cell r="C133" t="str">
            <v xml:space="preserve">Beiträge zur Pensionsversicherung                                                                   </v>
          </cell>
          <cell r="D133" t="str">
            <v>Pension insurance contributions</v>
          </cell>
        </row>
        <row r="134">
          <cell r="A134" t="str">
            <v>D61131E</v>
          </cell>
          <cell r="B134" t="str">
            <v xml:space="preserve">D.61131_UV      </v>
          </cell>
          <cell r="C134" t="str">
            <v xml:space="preserve">Unfallversicherungsbeiträge                                                                         </v>
          </cell>
          <cell r="D134" t="str">
            <v>Accident insurance contributions</v>
          </cell>
        </row>
        <row r="135">
          <cell r="A135" t="str">
            <v>D61132A</v>
          </cell>
          <cell r="B135" t="str">
            <v xml:space="preserve">D.61132_KV      </v>
          </cell>
          <cell r="C135" t="str">
            <v xml:space="preserve">Beiträge zur Krankenversicherung                                                                    </v>
          </cell>
          <cell r="D135" t="str">
            <v>Health insurance contributions</v>
          </cell>
        </row>
        <row r="136">
          <cell r="A136" t="str">
            <v>D61132B</v>
          </cell>
          <cell r="B136" t="str">
            <v xml:space="preserve">D.61132_PV      </v>
          </cell>
          <cell r="C136" t="str">
            <v xml:space="preserve">Beiträge zur Pensionsversicherung                                                                   </v>
          </cell>
          <cell r="D136" t="str">
            <v>Pension insurance contributions</v>
          </cell>
        </row>
        <row r="137">
          <cell r="A137" t="str">
            <v>D61132C</v>
          </cell>
          <cell r="B137" t="str">
            <v xml:space="preserve">D.61132_UV      </v>
          </cell>
          <cell r="C137" t="str">
            <v xml:space="preserve">Unfallversicherungsbeiträge                                                                         </v>
          </cell>
          <cell r="D137" t="str">
            <v>Accident insurance contributions</v>
          </cell>
        </row>
        <row r="138">
          <cell r="A138" t="str">
            <v>D612</v>
          </cell>
          <cell r="B138" t="str">
            <v>D.612_IMPSOZ</v>
          </cell>
          <cell r="C138" t="str">
            <v>Imputierte Sozialbeiträge</v>
          </cell>
          <cell r="D138" t="str">
            <v>Imputed social contributions</v>
          </cell>
        </row>
        <row r="139">
          <cell r="A139" t="str">
            <v>D91AA</v>
          </cell>
          <cell r="B139" t="str">
            <v xml:space="preserve">D.91A_ERBSCHAFT </v>
          </cell>
          <cell r="C139" t="str">
            <v xml:space="preserve">Erbschaft- und Schenkungssteuer                                                                     </v>
          </cell>
          <cell r="D139" t="str">
            <v>Estate, inheritance and gift tax</v>
          </cell>
        </row>
        <row r="140">
          <cell r="A140" t="str">
            <v>D91AB</v>
          </cell>
          <cell r="B140" t="str">
            <v xml:space="preserve">D.91A_STIFTUNG </v>
          </cell>
          <cell r="C140" t="str">
            <v>Stiftungseingangssteuer</v>
          </cell>
          <cell r="D140" t="str">
            <v>Foundation Tax</v>
          </cell>
        </row>
        <row r="141">
          <cell r="A141" t="str">
            <v>D995EA</v>
          </cell>
          <cell r="B141" t="str">
            <v>D.9956111_AVU</v>
          </cell>
          <cell r="C141" t="str">
            <v>Tatsächliche Sozialbeiträge der Arbeitgeber, uneinbringlich</v>
          </cell>
          <cell r="D141" t="str">
            <v>Employers' actual social contributions assessed but unlikely to be collected</v>
          </cell>
        </row>
        <row r="142">
          <cell r="A142" t="str">
            <v>D995FA</v>
          </cell>
          <cell r="B142" t="str">
            <v>D.9956112_AVU</v>
          </cell>
          <cell r="C142" t="str">
            <v>Tatsächliche Sozialbeiträge der Arbeitnehmer, uneinbringlich</v>
          </cell>
          <cell r="D142" t="str">
            <v>Employees' social contributions assessed but unlikely to be collected</v>
          </cell>
        </row>
        <row r="143">
          <cell r="A143" t="str">
            <v>D995GA</v>
          </cell>
          <cell r="B143" t="str">
            <v>D.9956113_AVU</v>
          </cell>
          <cell r="C143" t="str">
            <v>Tatsächliche Sozialbeiträge der Selbständigen und Nichterwerbstätigen, uneinbringlich</v>
          </cell>
          <cell r="D143" t="str">
            <v>Social contributions by self- and unemployed persons assessed but unlikely to be collected</v>
          </cell>
        </row>
      </sheetData>
      <sheetData sheetId="3"/>
      <sheetData sheetId="4"/>
      <sheetData sheetId="5"/>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s"/>
      <sheetName val="CAP_BASE"/>
      <sheetName val="SPLIT_1"/>
      <sheetName val="SPLIT_2"/>
      <sheetName val="a_gdp_c"/>
      <sheetName val="gdp_growth"/>
      <sheetName val="output_gap"/>
      <sheetName val="D1_D29c"/>
      <sheetName val="P31_S14_DOM"/>
      <sheetName val="P31_S14_estimation"/>
      <sheetName val="exchange rates"/>
      <sheetName val="conversion factors"/>
      <sheetName val="ALLDATA"/>
      <sheetName val="nama_gdp_c_NAC"/>
    </sheetNames>
    <sheetDataSet>
      <sheetData sheetId="0" refreshError="1"/>
      <sheetData sheetId="1" refreshError="1"/>
      <sheetData sheetId="2" refreshError="1">
        <row r="3">
          <cell r="A3" t="str">
            <v>GEO</v>
          </cell>
          <cell r="B3" t="str">
            <v>SPLIT_TYPE</v>
          </cell>
          <cell r="C3">
            <v>1995</v>
          </cell>
          <cell r="D3">
            <v>1996</v>
          </cell>
          <cell r="E3">
            <v>1997</v>
          </cell>
          <cell r="F3">
            <v>1998</v>
          </cell>
          <cell r="G3">
            <v>1999</v>
          </cell>
          <cell r="H3">
            <v>2000</v>
          </cell>
          <cell r="I3">
            <v>2001</v>
          </cell>
          <cell r="J3">
            <v>2002</v>
          </cell>
          <cell r="K3">
            <v>2003</v>
          </cell>
          <cell r="L3">
            <v>2004</v>
          </cell>
          <cell r="M3">
            <v>2005</v>
          </cell>
          <cell r="N3">
            <v>2006</v>
          </cell>
        </row>
        <row r="4">
          <cell r="A4" t="str">
            <v>ie</v>
          </cell>
          <cell r="B4" t="str">
            <v>Labour</v>
          </cell>
          <cell r="C4">
            <v>0.84287529620774349</v>
          </cell>
          <cell r="D4">
            <v>0.84170718600901584</v>
          </cell>
          <cell r="E4">
            <v>0.83968144174008064</v>
          </cell>
          <cell r="F4">
            <v>0.83031624080779087</v>
          </cell>
          <cell r="G4">
            <v>0.84175243103754671</v>
          </cell>
          <cell r="H4">
            <v>0.83324696267849685</v>
          </cell>
          <cell r="I4">
            <v>0.81699999999999995</v>
          </cell>
          <cell r="J4">
            <v>0.81061452072004925</v>
          </cell>
          <cell r="K4">
            <v>0.80222213176887103</v>
          </cell>
          <cell r="L4">
            <v>0.80439412043138603</v>
          </cell>
          <cell r="M4">
            <v>0.80439412043138603</v>
          </cell>
          <cell r="N4">
            <v>0.80439412043138603</v>
          </cell>
        </row>
        <row r="5">
          <cell r="A5" t="str">
            <v>ie</v>
          </cell>
          <cell r="B5" t="str">
            <v>Self-employed</v>
          </cell>
          <cell r="C5">
            <v>0.10890880383738796</v>
          </cell>
          <cell r="D5">
            <v>0.10811476498293061</v>
          </cell>
          <cell r="E5">
            <v>0.10855992408887567</v>
          </cell>
          <cell r="F5">
            <v>0.11188705513927913</v>
          </cell>
          <cell r="G5">
            <v>0.11066319202119754</v>
          </cell>
          <cell r="H5">
            <v>0.11102019986719255</v>
          </cell>
          <cell r="I5">
            <v>0.11899999999999999</v>
          </cell>
          <cell r="J5">
            <v>0.1326150579945381</v>
          </cell>
          <cell r="K5">
            <v>0.11773453532002</v>
          </cell>
          <cell r="L5">
            <v>0.114165995590291</v>
          </cell>
          <cell r="M5">
            <v>0.114165995590291</v>
          </cell>
          <cell r="N5">
            <v>0.114165995590291</v>
          </cell>
        </row>
        <row r="6">
          <cell r="A6" t="str">
            <v>ie</v>
          </cell>
          <cell r="B6" t="str">
            <v>Capital</v>
          </cell>
          <cell r="C6">
            <v>3.2798617703098061E-2</v>
          </cell>
          <cell r="D6">
            <v>3.4712861035650668E-2</v>
          </cell>
          <cell r="E6">
            <v>3.8485835674272988E-2</v>
          </cell>
          <cell r="F6">
            <v>4.5406890057535551E-2</v>
          </cell>
          <cell r="G6">
            <v>3.7511651883592782E-2</v>
          </cell>
          <cell r="H6">
            <v>4.5898655983897481E-2</v>
          </cell>
          <cell r="I6">
            <v>5.6000000000000001E-2</v>
          </cell>
          <cell r="J6">
            <v>4.8490572896662226E-2</v>
          </cell>
          <cell r="K6">
            <v>6.8158273959799398E-2</v>
          </cell>
          <cell r="L6">
            <v>7.2374798535121299E-2</v>
          </cell>
          <cell r="M6">
            <v>7.2374798535121299E-2</v>
          </cell>
          <cell r="N6">
            <v>7.2374798535121299E-2</v>
          </cell>
        </row>
        <row r="7">
          <cell r="A7" t="str">
            <v>ie</v>
          </cell>
          <cell r="B7" t="str">
            <v>Transfers</v>
          </cell>
          <cell r="C7">
            <v>1.541728225177044E-2</v>
          </cell>
          <cell r="D7">
            <v>1.5465187972402922E-2</v>
          </cell>
          <cell r="E7">
            <v>1.3272798496770695E-2</v>
          </cell>
          <cell r="F7">
            <v>1.2389813995394456E-2</v>
          </cell>
          <cell r="G7">
            <v>1.0072725057663061E-2</v>
          </cell>
          <cell r="H7">
            <v>9.8341814704131364E-3</v>
          </cell>
          <cell r="I7">
            <v>8.0000000000000002E-3</v>
          </cell>
          <cell r="J7">
            <v>8.2798483887504479E-3</v>
          </cell>
          <cell r="K7">
            <v>1.1885058951310101E-2</v>
          </cell>
          <cell r="L7">
            <v>9.0650854432016599E-3</v>
          </cell>
          <cell r="M7">
            <v>9.0650854432016599E-3</v>
          </cell>
          <cell r="N7">
            <v>9.0650854432016599E-3</v>
          </cell>
        </row>
        <row r="8">
          <cell r="A8" t="str">
            <v>dk</v>
          </cell>
          <cell r="B8" t="str">
            <v>Labour</v>
          </cell>
          <cell r="C8">
            <v>0.72400000000000009</v>
          </cell>
          <cell r="D8">
            <v>0.72799999999999998</v>
          </cell>
          <cell r="E8">
            <v>0.73799999999999999</v>
          </cell>
          <cell r="F8">
            <v>0.72499999999999998</v>
          </cell>
          <cell r="G8">
            <v>0.72799999999999998</v>
          </cell>
          <cell r="H8">
            <v>0.755</v>
          </cell>
          <cell r="I8">
            <v>0.75800000000000001</v>
          </cell>
          <cell r="J8">
            <v>0.755</v>
          </cell>
          <cell r="K8">
            <v>0.745</v>
          </cell>
          <cell r="L8">
            <v>0.73299999999999998</v>
          </cell>
          <cell r="M8">
            <v>0.73299999999999998</v>
          </cell>
          <cell r="N8">
            <v>0.73299999999999998</v>
          </cell>
        </row>
        <row r="9">
          <cell r="A9" t="str">
            <v>dk</v>
          </cell>
          <cell r="B9" t="str">
            <v>Transfers</v>
          </cell>
          <cell r="C9">
            <v>0.253</v>
          </cell>
          <cell r="D9">
            <v>0.253</v>
          </cell>
          <cell r="E9">
            <v>0.23899999999999999</v>
          </cell>
          <cell r="F9">
            <v>0.23199999999999998</v>
          </cell>
          <cell r="G9">
            <v>0.223</v>
          </cell>
          <cell r="H9">
            <v>0.218</v>
          </cell>
          <cell r="I9">
            <v>0.215</v>
          </cell>
          <cell r="J9">
            <v>0.221</v>
          </cell>
          <cell r="K9">
            <v>0.23199999999999998</v>
          </cell>
          <cell r="L9">
            <v>0.23800000000000002</v>
          </cell>
          <cell r="M9">
            <v>0.23800000000000002</v>
          </cell>
          <cell r="N9">
            <v>0.23800000000000002</v>
          </cell>
        </row>
        <row r="10">
          <cell r="A10" t="str">
            <v>dk</v>
          </cell>
          <cell r="B10" t="str">
            <v>Capital</v>
          </cell>
          <cell r="C10">
            <v>-3.4000000000000002E-2</v>
          </cell>
          <cell r="D10">
            <v>-3.7000000000000005E-2</v>
          </cell>
          <cell r="E10">
            <v>-3.1E-2</v>
          </cell>
          <cell r="F10">
            <v>-1.8000000000000002E-2</v>
          </cell>
          <cell r="G10">
            <v>-1.3999999999999999E-2</v>
          </cell>
          <cell r="H10">
            <v>-2.7999999999999997E-2</v>
          </cell>
          <cell r="I10">
            <v>-3.3000000000000002E-2</v>
          </cell>
          <cell r="J10">
            <v>-2.7999999999999997E-2</v>
          </cell>
          <cell r="K10">
            <v>-2.9000000000000001E-2</v>
          </cell>
          <cell r="L10">
            <v>-2.5000000000000001E-2</v>
          </cell>
          <cell r="M10">
            <v>-2.5000000000000001E-2</v>
          </cell>
          <cell r="N10">
            <v>-2.5000000000000001E-2</v>
          </cell>
        </row>
        <row r="11">
          <cell r="A11" t="str">
            <v>dk</v>
          </cell>
          <cell r="B11" t="str">
            <v>Self-employed</v>
          </cell>
          <cell r="C11">
            <v>5.7000000000000002E-2</v>
          </cell>
          <cell r="D11">
            <v>5.5999999999999994E-2</v>
          </cell>
          <cell r="E11">
            <v>5.4000000000000006E-2</v>
          </cell>
          <cell r="F11">
            <v>6.0999999999999999E-2</v>
          </cell>
          <cell r="G11">
            <v>6.3E-2</v>
          </cell>
          <cell r="H11">
            <v>5.5E-2</v>
          </cell>
          <cell r="I11">
            <v>0.06</v>
          </cell>
          <cell r="J11">
            <v>5.2000000000000005E-2</v>
          </cell>
          <cell r="K11">
            <v>5.2000000000000005E-2</v>
          </cell>
          <cell r="L11">
            <v>5.4000000000000006E-2</v>
          </cell>
          <cell r="M11">
            <v>5.4000000000000006E-2</v>
          </cell>
          <cell r="N11">
            <v>5.4000000000000006E-2</v>
          </cell>
        </row>
        <row r="12">
          <cell r="A12" t="str">
            <v>no</v>
          </cell>
          <cell r="B12" t="str">
            <v>Labour</v>
          </cell>
          <cell r="C12">
            <v>0.74265734265734262</v>
          </cell>
          <cell r="D12">
            <v>0.74239482200647233</v>
          </cell>
          <cell r="E12">
            <v>0.74612634088200247</v>
          </cell>
          <cell r="F12">
            <v>0.75426058273776797</v>
          </cell>
          <cell r="G12">
            <v>0.75219865494050697</v>
          </cell>
          <cell r="H12">
            <v>0.73783132530120477</v>
          </cell>
          <cell r="I12">
            <v>0.74094452086199003</v>
          </cell>
          <cell r="J12">
            <v>0.75386654882898807</v>
          </cell>
          <cell r="K12">
            <v>0.76331615120274909</v>
          </cell>
          <cell r="L12">
            <v>0.75648298217179899</v>
          </cell>
          <cell r="M12">
            <v>0.73613251155624049</v>
          </cell>
          <cell r="N12">
            <v>0.73613251155624049</v>
          </cell>
        </row>
        <row r="13">
          <cell r="A13" t="str">
            <v>no</v>
          </cell>
          <cell r="B13" t="str">
            <v>Self-employed</v>
          </cell>
          <cell r="C13">
            <v>0.1048951048951049</v>
          </cell>
          <cell r="D13">
            <v>9.4498381877022627E-2</v>
          </cell>
          <cell r="E13">
            <v>9.4755661501787852E-2</v>
          </cell>
          <cell r="F13">
            <v>9.5107201759208351E-2</v>
          </cell>
          <cell r="G13">
            <v>8.5359544749094671E-2</v>
          </cell>
          <cell r="H13">
            <v>8.91566265060241E-2</v>
          </cell>
          <cell r="I13">
            <v>8.9867033470884941E-2</v>
          </cell>
          <cell r="J13">
            <v>9.0587715422006193E-2</v>
          </cell>
          <cell r="K13">
            <v>8.1615120274914091E-2</v>
          </cell>
          <cell r="L13">
            <v>8.8330632090761751E-2</v>
          </cell>
          <cell r="M13">
            <v>9.8998459167950706E-2</v>
          </cell>
          <cell r="N13">
            <v>9.8998459167950706E-2</v>
          </cell>
        </row>
        <row r="14">
          <cell r="A14" t="str">
            <v>no</v>
          </cell>
          <cell r="B14" t="str">
            <v>Capital</v>
          </cell>
          <cell r="C14">
            <v>6.0839160839160834E-2</v>
          </cell>
          <cell r="D14">
            <v>6.9902912621359212E-2</v>
          </cell>
          <cell r="E14">
            <v>6.6150178784266989E-2</v>
          </cell>
          <cell r="F14">
            <v>5.1126992853216056E-2</v>
          </cell>
          <cell r="G14">
            <v>6.2079668908432487E-2</v>
          </cell>
          <cell r="H14">
            <v>7.4698795180722893E-2</v>
          </cell>
          <cell r="I14">
            <v>6.9692801467216875E-2</v>
          </cell>
          <cell r="J14">
            <v>6.0539107379584622E-2</v>
          </cell>
          <cell r="K14">
            <v>5.7989690721649487E-2</v>
          </cell>
          <cell r="L14">
            <v>5.6320907617504051E-2</v>
          </cell>
          <cell r="M14">
            <v>6.7026194144838222E-2</v>
          </cell>
          <cell r="N14">
            <v>6.7026194144838222E-2</v>
          </cell>
        </row>
        <row r="15">
          <cell r="A15" t="str">
            <v>no</v>
          </cell>
          <cell r="B15" t="str">
            <v>Transfers</v>
          </cell>
          <cell r="C15">
            <v>9.1608391608391612E-2</v>
          </cell>
          <cell r="D15">
            <v>9.320388349514562E-2</v>
          </cell>
          <cell r="E15">
            <v>9.29678188319428E-2</v>
          </cell>
          <cell r="F15">
            <v>9.9505222649807587E-2</v>
          </cell>
          <cell r="G15">
            <v>0.10036213140196584</v>
          </cell>
          <cell r="H15">
            <v>9.8313253012048185E-2</v>
          </cell>
          <cell r="I15">
            <v>9.9495644199908306E-2</v>
          </cell>
          <cell r="J15">
            <v>9.5006628369421128E-2</v>
          </cell>
          <cell r="K15">
            <v>9.7079037800687301E-2</v>
          </cell>
          <cell r="L15">
            <v>9.8865478119935166E-2</v>
          </cell>
          <cell r="M15">
            <v>9.7842835130970737E-2</v>
          </cell>
          <cell r="N15">
            <v>9.7842835130970737E-2</v>
          </cell>
        </row>
        <row r="16">
          <cell r="A16" t="str">
            <v>se</v>
          </cell>
          <cell r="B16" t="str">
            <v>Labour</v>
          </cell>
          <cell r="C16">
            <v>0.71499999999999997</v>
          </cell>
          <cell r="D16">
            <v>0.70900000000000007</v>
          </cell>
          <cell r="E16">
            <v>0.70599999999999996</v>
          </cell>
          <cell r="F16">
            <v>0.71099999999999997</v>
          </cell>
          <cell r="G16">
            <v>0.68799999999999994</v>
          </cell>
          <cell r="H16">
            <v>0.67599999999999993</v>
          </cell>
          <cell r="I16">
            <v>0.71099999999999997</v>
          </cell>
          <cell r="J16">
            <v>0.71599999999999997</v>
          </cell>
          <cell r="K16">
            <v>0.69</v>
          </cell>
          <cell r="L16">
            <v>0.68400000000000005</v>
          </cell>
          <cell r="M16">
            <v>0.67099999999999993</v>
          </cell>
          <cell r="N16">
            <v>0.67099999999999993</v>
          </cell>
        </row>
        <row r="17">
          <cell r="A17" t="str">
            <v>se</v>
          </cell>
          <cell r="B17" t="str">
            <v>Self-employed</v>
          </cell>
          <cell r="C17">
            <v>2.3E-2</v>
          </cell>
          <cell r="D17">
            <v>2.6000000000000002E-2</v>
          </cell>
          <cell r="E17">
            <v>2.7000000000000003E-2</v>
          </cell>
          <cell r="F17">
            <v>2.7000000000000003E-2</v>
          </cell>
          <cell r="G17">
            <v>2.7999999999999997E-2</v>
          </cell>
          <cell r="H17">
            <v>2.8999999999999998E-2</v>
          </cell>
          <cell r="I17">
            <v>0.03</v>
          </cell>
          <cell r="J17">
            <v>2.8999999999999998E-2</v>
          </cell>
          <cell r="K17">
            <v>2.7999999999999997E-2</v>
          </cell>
          <cell r="L17">
            <v>2.7999999999999997E-2</v>
          </cell>
          <cell r="M17">
            <v>3.2000000000000001E-2</v>
          </cell>
          <cell r="N17">
            <v>0.03</v>
          </cell>
        </row>
        <row r="18">
          <cell r="A18" t="str">
            <v>se</v>
          </cell>
          <cell r="B18" t="str">
            <v>Capital</v>
          </cell>
          <cell r="C18">
            <v>-1.4999999999999999E-2</v>
          </cell>
          <cell r="D18">
            <v>0.01</v>
          </cell>
          <cell r="E18">
            <v>2.5000000000000001E-2</v>
          </cell>
          <cell r="F18">
            <v>2.6000000000000002E-2</v>
          </cell>
          <cell r="G18">
            <v>5.5999999999999994E-2</v>
          </cell>
          <cell r="H18">
            <v>7.8E-2</v>
          </cell>
          <cell r="I18">
            <v>3.2000000000000001E-2</v>
          </cell>
          <cell r="J18">
            <v>1.7000000000000001E-2</v>
          </cell>
          <cell r="K18">
            <v>1.8000000000000002E-2</v>
          </cell>
          <cell r="L18">
            <v>2.5000000000000001E-2</v>
          </cell>
          <cell r="M18">
            <v>4.4999999999999998E-2</v>
          </cell>
          <cell r="N18">
            <v>5.2999999999999999E-2</v>
          </cell>
        </row>
        <row r="19">
          <cell r="A19" t="str">
            <v>se</v>
          </cell>
          <cell r="B19" t="str">
            <v>Transfers</v>
          </cell>
          <cell r="C19">
            <v>0.27800000000000002</v>
          </cell>
          <cell r="D19">
            <v>0.255</v>
          </cell>
          <cell r="E19">
            <v>0.24299999999999999</v>
          </cell>
          <cell r="F19">
            <v>0.23600000000000002</v>
          </cell>
          <cell r="G19">
            <v>0.22800000000000001</v>
          </cell>
          <cell r="H19">
            <v>0.217</v>
          </cell>
          <cell r="I19">
            <v>0.22699999999999998</v>
          </cell>
          <cell r="J19">
            <v>0.23800000000000002</v>
          </cell>
          <cell r="K19">
            <v>0.26500000000000001</v>
          </cell>
          <cell r="L19">
            <v>0.26300000000000001</v>
          </cell>
          <cell r="M19">
            <v>0.252</v>
          </cell>
          <cell r="N19">
            <v>0.24600000000000002</v>
          </cell>
        </row>
        <row r="20">
          <cell r="A20" t="str">
            <v>de</v>
          </cell>
          <cell r="B20" t="str">
            <v>Labour</v>
          </cell>
          <cell r="C20">
            <v>0.75718092571480056</v>
          </cell>
          <cell r="D20">
            <v>0.72881197229711192</v>
          </cell>
          <cell r="E20">
            <v>0.7340000000000001</v>
          </cell>
          <cell r="F20">
            <v>0.72400000000000009</v>
          </cell>
          <cell r="G20">
            <v>0.70400000000000007</v>
          </cell>
          <cell r="H20">
            <v>0.73599999999999999</v>
          </cell>
          <cell r="I20">
            <v>0.752</v>
          </cell>
          <cell r="J20">
            <v>0.76300000000000001</v>
          </cell>
          <cell r="K20">
            <v>0.754</v>
          </cell>
          <cell r="L20">
            <v>0.74099999999999999</v>
          </cell>
          <cell r="M20">
            <v>0.70699999999999996</v>
          </cell>
          <cell r="N20">
            <v>0.72599999999999998</v>
          </cell>
        </row>
        <row r="21">
          <cell r="A21" t="str">
            <v>de</v>
          </cell>
          <cell r="B21" t="str">
            <v>Self-employed</v>
          </cell>
          <cell r="C21">
            <v>0.19013296277943151</v>
          </cell>
          <cell r="D21">
            <v>0.220954748720598</v>
          </cell>
          <cell r="E21">
            <v>0.214</v>
          </cell>
          <cell r="F21">
            <v>0.22399999999999998</v>
          </cell>
          <cell r="G21">
            <v>0.24199999999999999</v>
          </cell>
          <cell r="H21">
            <v>0.21299999999999999</v>
          </cell>
          <cell r="I21">
            <v>0.20100000000000001</v>
          </cell>
          <cell r="J21">
            <v>0.192</v>
          </cell>
          <cell r="K21">
            <v>0.183</v>
          </cell>
          <cell r="L21">
            <v>0.193</v>
          </cell>
          <cell r="M21">
            <v>0.221</v>
          </cell>
          <cell r="N21">
            <v>0.20699999999999999</v>
          </cell>
        </row>
        <row r="22">
          <cell r="A22" t="str">
            <v>de</v>
          </cell>
          <cell r="B22" t="str">
            <v>Capital</v>
          </cell>
          <cell r="C22">
            <v>1.9436753448819552E-2</v>
          </cell>
          <cell r="D22">
            <v>2.2817751804077947E-2</v>
          </cell>
          <cell r="E22">
            <v>2.3E-2</v>
          </cell>
          <cell r="F22">
            <v>2.5000000000000001E-2</v>
          </cell>
          <cell r="G22">
            <v>2.6000000000000002E-2</v>
          </cell>
          <cell r="H22">
            <v>2.6000000000000002E-2</v>
          </cell>
          <cell r="I22">
            <v>2.3E-2</v>
          </cell>
          <cell r="J22">
            <v>2.2000000000000002E-2</v>
          </cell>
          <cell r="K22">
            <v>3.6999999999999998E-2</v>
          </cell>
          <cell r="L22">
            <v>4.1000000000000002E-2</v>
          </cell>
          <cell r="M22">
            <v>4.7E-2</v>
          </cell>
          <cell r="N22">
            <v>3.5999999999999997E-2</v>
          </cell>
        </row>
        <row r="23">
          <cell r="A23" t="str">
            <v>de</v>
          </cell>
          <cell r="B23" t="str">
            <v>Transfers</v>
          </cell>
          <cell r="C23">
            <v>3.3249358056948411E-2</v>
          </cell>
          <cell r="D23">
            <v>2.7415527178212228E-2</v>
          </cell>
          <cell r="E23">
            <v>2.8999999999999998E-2</v>
          </cell>
          <cell r="F23">
            <v>2.7000000000000003E-2</v>
          </cell>
          <cell r="G23">
            <v>2.7999999999999997E-2</v>
          </cell>
          <cell r="H23">
            <v>2.5000000000000001E-2</v>
          </cell>
          <cell r="I23">
            <v>2.4E-2</v>
          </cell>
          <cell r="J23">
            <v>2.3E-2</v>
          </cell>
          <cell r="K23">
            <v>2.5999999999999999E-2</v>
          </cell>
          <cell r="L23">
            <v>2.5000000000000001E-2</v>
          </cell>
          <cell r="M23">
            <v>2.5000000000000001E-2</v>
          </cell>
          <cell r="N23">
            <v>3.1E-2</v>
          </cell>
        </row>
        <row r="24">
          <cell r="A24" t="str">
            <v>cy</v>
          </cell>
          <cell r="B24" t="str">
            <v>Labour</v>
          </cell>
          <cell r="C24">
            <v>0.89100000000000001</v>
          </cell>
          <cell r="D24">
            <v>0.89100000000000001</v>
          </cell>
          <cell r="E24">
            <v>0.89100000000000001</v>
          </cell>
          <cell r="F24">
            <v>0.89100000000000001</v>
          </cell>
          <cell r="G24">
            <v>0.89100000000000001</v>
          </cell>
          <cell r="H24">
            <v>0.89100000000000001</v>
          </cell>
          <cell r="I24">
            <v>0.89100000000000001</v>
          </cell>
          <cell r="J24">
            <v>0.91500000000000004</v>
          </cell>
          <cell r="K24">
            <v>0.91500000000000004</v>
          </cell>
          <cell r="L24">
            <v>0.91500000000000004</v>
          </cell>
          <cell r="M24">
            <v>0.91500000000000004</v>
          </cell>
          <cell r="N24">
            <v>0.91500000000000004</v>
          </cell>
        </row>
        <row r="25">
          <cell r="A25" t="str">
            <v>cy</v>
          </cell>
          <cell r="B25" t="str">
            <v>Self-employed</v>
          </cell>
          <cell r="C25">
            <v>3.3000000000000002E-2</v>
          </cell>
          <cell r="D25">
            <v>3.3000000000000002E-2</v>
          </cell>
          <cell r="E25">
            <v>3.3000000000000002E-2</v>
          </cell>
          <cell r="F25">
            <v>3.3000000000000002E-2</v>
          </cell>
          <cell r="G25">
            <v>3.3000000000000002E-2</v>
          </cell>
          <cell r="H25">
            <v>3.3000000000000002E-2</v>
          </cell>
          <cell r="I25">
            <v>3.3000000000000002E-2</v>
          </cell>
          <cell r="J25">
            <v>5.0999999999999997E-2</v>
          </cell>
          <cell r="K25">
            <v>5.0999999999999997E-2</v>
          </cell>
          <cell r="L25">
            <v>5.0999999999999997E-2</v>
          </cell>
          <cell r="M25">
            <v>5.0999999999999997E-2</v>
          </cell>
          <cell r="N25">
            <v>5.0999999999999997E-2</v>
          </cell>
        </row>
        <row r="26">
          <cell r="A26" t="str">
            <v>cy</v>
          </cell>
          <cell r="B26" t="str">
            <v>Capital</v>
          </cell>
          <cell r="C26">
            <v>7.0000000000000001E-3</v>
          </cell>
          <cell r="D26">
            <v>7.0000000000000001E-3</v>
          </cell>
          <cell r="E26">
            <v>7.0000000000000001E-3</v>
          </cell>
          <cell r="F26">
            <v>7.0000000000000001E-3</v>
          </cell>
          <cell r="G26">
            <v>7.0000000000000001E-3</v>
          </cell>
          <cell r="H26">
            <v>7.0000000000000001E-3</v>
          </cell>
          <cell r="I26">
            <v>7.0000000000000001E-3</v>
          </cell>
          <cell r="J26">
            <v>8.9999999999999993E-3</v>
          </cell>
          <cell r="K26">
            <v>8.9999999999999993E-3</v>
          </cell>
          <cell r="L26">
            <v>8.9999999999999993E-3</v>
          </cell>
          <cell r="M26">
            <v>8.9999999999999993E-3</v>
          </cell>
          <cell r="N26">
            <v>8.9999999999999993E-3</v>
          </cell>
        </row>
        <row r="27">
          <cell r="A27" t="str">
            <v>cy</v>
          </cell>
          <cell r="B27" t="str">
            <v>Transfers</v>
          </cell>
          <cell r="C27">
            <v>6.9000000000000006E-2</v>
          </cell>
          <cell r="D27">
            <v>6.9000000000000006E-2</v>
          </cell>
          <cell r="E27">
            <v>6.9000000000000006E-2</v>
          </cell>
          <cell r="F27">
            <v>6.9000000000000006E-2</v>
          </cell>
          <cell r="G27">
            <v>6.9000000000000006E-2</v>
          </cell>
          <cell r="H27">
            <v>6.9000000000000006E-2</v>
          </cell>
          <cell r="I27">
            <v>6.9000000000000006E-2</v>
          </cell>
          <cell r="J27">
            <v>2.5000000000000001E-2</v>
          </cell>
          <cell r="K27">
            <v>2.5000000000000001E-2</v>
          </cell>
          <cell r="L27">
            <v>2.5000000000000001E-2</v>
          </cell>
          <cell r="M27">
            <v>2.5000000000000001E-2</v>
          </cell>
          <cell r="N27">
            <v>2.5000000000000001E-2</v>
          </cell>
        </row>
        <row r="28">
          <cell r="A28" t="str">
            <v>cz</v>
          </cell>
          <cell r="B28" t="str">
            <v>Labour</v>
          </cell>
          <cell r="C28">
            <v>0.79700000000000004</v>
          </cell>
          <cell r="D28">
            <v>0.79700000000000004</v>
          </cell>
          <cell r="E28">
            <v>0.79700000000000004</v>
          </cell>
          <cell r="F28">
            <v>0.79700000000000004</v>
          </cell>
          <cell r="G28">
            <v>0.79700000000000004</v>
          </cell>
          <cell r="H28">
            <v>0.79700000000000004</v>
          </cell>
          <cell r="I28">
            <v>0.79700000000000004</v>
          </cell>
          <cell r="J28">
            <v>0.80800000000000005</v>
          </cell>
          <cell r="K28">
            <v>0.80900000000000005</v>
          </cell>
          <cell r="L28">
            <v>0.82099999999999995</v>
          </cell>
          <cell r="M28">
            <v>0.86699999999999999</v>
          </cell>
          <cell r="N28">
            <v>0.86699999999999999</v>
          </cell>
        </row>
        <row r="29">
          <cell r="A29" t="str">
            <v>cz</v>
          </cell>
          <cell r="B29" t="str">
            <v>Self-employed</v>
          </cell>
          <cell r="C29">
            <v>0.16500000000000001</v>
          </cell>
          <cell r="D29">
            <v>0.16500000000000001</v>
          </cell>
          <cell r="E29">
            <v>0.16500000000000001</v>
          </cell>
          <cell r="F29">
            <v>0.16500000000000001</v>
          </cell>
          <cell r="G29">
            <v>0.16500000000000001</v>
          </cell>
          <cell r="H29">
            <v>0.16500000000000001</v>
          </cell>
          <cell r="I29">
            <v>0.16500000000000001</v>
          </cell>
          <cell r="J29">
            <v>0.16</v>
          </cell>
          <cell r="K29">
            <v>0.159</v>
          </cell>
          <cell r="L29">
            <v>0.151</v>
          </cell>
          <cell r="M29">
            <v>0.108</v>
          </cell>
          <cell r="N29">
            <v>0.108</v>
          </cell>
        </row>
        <row r="30">
          <cell r="A30" t="str">
            <v>cz</v>
          </cell>
          <cell r="B30" t="str">
            <v>Capital</v>
          </cell>
          <cell r="C30">
            <v>3.7999999999999999E-2</v>
          </cell>
          <cell r="D30">
            <v>3.7999999999999999E-2</v>
          </cell>
          <cell r="E30">
            <v>3.7999999999999999E-2</v>
          </cell>
          <cell r="F30">
            <v>3.7999999999999999E-2</v>
          </cell>
          <cell r="G30">
            <v>3.7999999999999999E-2</v>
          </cell>
          <cell r="H30">
            <v>3.7999999999999999E-2</v>
          </cell>
          <cell r="I30">
            <v>3.7999999999999999E-2</v>
          </cell>
          <cell r="J30">
            <v>3.2000000000000001E-2</v>
          </cell>
          <cell r="K30">
            <v>3.1E-2</v>
          </cell>
          <cell r="L30">
            <v>2.8000000000000001E-2</v>
          </cell>
          <cell r="M30">
            <v>2.5000000000000001E-2</v>
          </cell>
          <cell r="N30">
            <v>2.5000000000000001E-2</v>
          </cell>
        </row>
        <row r="31">
          <cell r="A31" t="str">
            <v>cz</v>
          </cell>
          <cell r="B31" t="str">
            <v>Transfers</v>
          </cell>
          <cell r="C31">
            <v>0</v>
          </cell>
          <cell r="D31">
            <v>0</v>
          </cell>
          <cell r="E31">
            <v>0</v>
          </cell>
          <cell r="F31">
            <v>0</v>
          </cell>
          <cell r="G31">
            <v>0</v>
          </cell>
          <cell r="H31">
            <v>0</v>
          </cell>
          <cell r="I31">
            <v>0</v>
          </cell>
          <cell r="J31">
            <v>0</v>
          </cell>
          <cell r="K31">
            <v>0</v>
          </cell>
          <cell r="L31">
            <v>0</v>
          </cell>
          <cell r="M31">
            <v>0</v>
          </cell>
          <cell r="N31">
            <v>0</v>
          </cell>
        </row>
        <row r="32">
          <cell r="A32" t="str">
            <v>hu</v>
          </cell>
          <cell r="B32" t="str">
            <v>Labour</v>
          </cell>
          <cell r="C32">
            <v>0.80955811027027691</v>
          </cell>
          <cell r="D32">
            <v>0.80955811027027691</v>
          </cell>
          <cell r="E32">
            <v>0.80955811027027691</v>
          </cell>
          <cell r="F32">
            <v>0.80955811027027691</v>
          </cell>
          <cell r="G32">
            <v>0.80955811027027691</v>
          </cell>
          <cell r="H32">
            <v>0.80955811027027691</v>
          </cell>
          <cell r="I32">
            <v>0.80955811027027691</v>
          </cell>
          <cell r="J32">
            <v>0.80955811027027691</v>
          </cell>
          <cell r="K32">
            <v>0.81544065319411729</v>
          </cell>
          <cell r="L32">
            <v>0.81544065319411729</v>
          </cell>
          <cell r="M32">
            <v>0.81544065319411729</v>
          </cell>
          <cell r="N32">
            <v>0.81544065319411729</v>
          </cell>
        </row>
        <row r="33">
          <cell r="A33" t="str">
            <v>hu</v>
          </cell>
          <cell r="B33" t="str">
            <v>Self-employed</v>
          </cell>
          <cell r="C33">
            <v>1.9152263748524967E-2</v>
          </cell>
          <cell r="D33">
            <v>1.9152263748524967E-2</v>
          </cell>
          <cell r="E33">
            <v>1.9152263748524967E-2</v>
          </cell>
          <cell r="F33">
            <v>1.9152263748524967E-2</v>
          </cell>
          <cell r="G33">
            <v>1.9152263748524967E-2</v>
          </cell>
          <cell r="H33">
            <v>1.9152263748524967E-2</v>
          </cell>
          <cell r="I33">
            <v>1.9152263748524967E-2</v>
          </cell>
          <cell r="J33">
            <v>1.9152263748524967E-2</v>
          </cell>
          <cell r="K33">
            <v>1.5943875141473555E-2</v>
          </cell>
          <cell r="L33">
            <v>1.5943875141473555E-2</v>
          </cell>
          <cell r="M33">
            <v>1.5943875141473555E-2</v>
          </cell>
          <cell r="N33">
            <v>1.5943875141473555E-2</v>
          </cell>
        </row>
        <row r="34">
          <cell r="A34" t="str">
            <v>hu</v>
          </cell>
          <cell r="B34" t="str">
            <v>Capital</v>
          </cell>
          <cell r="C34">
            <v>9.1386848616959421E-2</v>
          </cell>
          <cell r="D34">
            <v>9.1386848616959421E-2</v>
          </cell>
          <cell r="E34">
            <v>9.1386848616959421E-2</v>
          </cell>
          <cell r="F34">
            <v>9.1386848616959421E-2</v>
          </cell>
          <cell r="G34">
            <v>9.1386848616959421E-2</v>
          </cell>
          <cell r="H34">
            <v>9.1386848616959421E-2</v>
          </cell>
          <cell r="I34">
            <v>9.1386848616959421E-2</v>
          </cell>
          <cell r="J34">
            <v>9.1386848616959421E-2</v>
          </cell>
          <cell r="K34">
            <v>8.9515866876047775E-2</v>
          </cell>
          <cell r="L34">
            <v>8.9515866876047775E-2</v>
          </cell>
          <cell r="M34">
            <v>8.9515866876047775E-2</v>
          </cell>
          <cell r="N34">
            <v>8.9515866876047775E-2</v>
          </cell>
        </row>
        <row r="35">
          <cell r="A35" t="str">
            <v>hu</v>
          </cell>
          <cell r="B35" t="str">
            <v>Transfers</v>
          </cell>
          <cell r="C35">
            <v>7.990277736423855E-2</v>
          </cell>
          <cell r="D35">
            <v>7.990277736423855E-2</v>
          </cell>
          <cell r="E35">
            <v>7.990277736423855E-2</v>
          </cell>
          <cell r="F35">
            <v>7.990277736423855E-2</v>
          </cell>
          <cell r="G35">
            <v>7.990277736423855E-2</v>
          </cell>
          <cell r="H35">
            <v>7.990277736423855E-2</v>
          </cell>
          <cell r="I35">
            <v>7.990277736423855E-2</v>
          </cell>
          <cell r="J35">
            <v>7.990277736423855E-2</v>
          </cell>
          <cell r="K35">
            <v>7.9099604788361297E-2</v>
          </cell>
          <cell r="L35">
            <v>7.9099604788361297E-2</v>
          </cell>
          <cell r="M35">
            <v>7.9099604788361297E-2</v>
          </cell>
          <cell r="N35">
            <v>7.9099604788361297E-2</v>
          </cell>
        </row>
        <row r="36">
          <cell r="A36" t="str">
            <v>es</v>
          </cell>
          <cell r="B36" t="str">
            <v>Labour</v>
          </cell>
          <cell r="C36">
            <v>0.52743455102785708</v>
          </cell>
          <cell r="D36">
            <v>0.53522000463304742</v>
          </cell>
          <cell r="E36">
            <v>0.54421863045735586</v>
          </cell>
          <cell r="F36">
            <v>0.54521132001543238</v>
          </cell>
          <cell r="G36">
            <v>0.53631531268632993</v>
          </cell>
          <cell r="H36">
            <v>0.54623233758457479</v>
          </cell>
          <cell r="I36">
            <v>0.55680199273988207</v>
          </cell>
          <cell r="J36">
            <v>0.55773071944989094</v>
          </cell>
          <cell r="K36">
            <v>0.56402358148131937</v>
          </cell>
          <cell r="L36">
            <v>0.56337604276158781</v>
          </cell>
          <cell r="M36">
            <v>0.55539982344853889</v>
          </cell>
          <cell r="N36">
            <v>0.55539982344853889</v>
          </cell>
        </row>
        <row r="37">
          <cell r="A37" t="str">
            <v>es</v>
          </cell>
          <cell r="B37" t="str">
            <v>Self-employed</v>
          </cell>
          <cell r="C37">
            <v>0.15245991680170584</v>
          </cell>
          <cell r="D37">
            <v>0.14441128741098919</v>
          </cell>
          <cell r="E37">
            <v>0.14808892069332841</v>
          </cell>
          <cell r="F37">
            <v>0.14517586231227936</v>
          </cell>
          <cell r="G37">
            <v>0.14608625223819022</v>
          </cell>
          <cell r="H37">
            <v>0.13431981338859858</v>
          </cell>
          <cell r="I37">
            <v>0.13047780033064441</v>
          </cell>
          <cell r="J37">
            <v>0.13077731100551943</v>
          </cell>
          <cell r="K37">
            <v>0.12612368480576225</v>
          </cell>
          <cell r="L37">
            <v>0.12539137283110918</v>
          </cell>
          <cell r="M37">
            <v>0.11689744228603392</v>
          </cell>
          <cell r="N37">
            <v>0.11689744228603392</v>
          </cell>
        </row>
        <row r="38">
          <cell r="A38" t="str">
            <v>es</v>
          </cell>
          <cell r="B38" t="str">
            <v>Capital</v>
          </cell>
          <cell r="C38">
            <v>0.10751801643879268</v>
          </cell>
          <cell r="D38">
            <v>0.10475813673348409</v>
          </cell>
          <cell r="E38">
            <v>9.667606374939898E-2</v>
          </cell>
          <cell r="F38">
            <v>0.10694766854373074</v>
          </cell>
          <cell r="G38">
            <v>0.12267566033653585</v>
          </cell>
          <cell r="H38">
            <v>0.12526512146285482</v>
          </cell>
          <cell r="I38">
            <v>0.1162711645173452</v>
          </cell>
          <cell r="J38">
            <v>0.10872578002137687</v>
          </cell>
          <cell r="K38">
            <v>0.10857000850466116</v>
          </cell>
          <cell r="L38">
            <v>0.10581089740420985</v>
          </cell>
          <cell r="M38">
            <v>0.12251054900900228</v>
          </cell>
          <cell r="N38">
            <v>0.12251054900900228</v>
          </cell>
        </row>
        <row r="39">
          <cell r="A39" t="str">
            <v>es</v>
          </cell>
          <cell r="B39" t="str">
            <v>Transfers</v>
          </cell>
          <cell r="C39">
            <v>0.21258751573164411</v>
          </cell>
          <cell r="D39">
            <v>0.2156105712224794</v>
          </cell>
          <cell r="E39">
            <v>0.21101638509991671</v>
          </cell>
          <cell r="F39">
            <v>0.20266514912855771</v>
          </cell>
          <cell r="G39">
            <v>0.19492277473894423</v>
          </cell>
          <cell r="H39">
            <v>0.19418272756397184</v>
          </cell>
          <cell r="I39">
            <v>0.19644904241212818</v>
          </cell>
          <cell r="J39">
            <v>0.20276618952321268</v>
          </cell>
          <cell r="K39">
            <v>0.20128272520825705</v>
          </cell>
          <cell r="L39">
            <v>0.2054216870030933</v>
          </cell>
          <cell r="M39">
            <v>0.20519218525642502</v>
          </cell>
          <cell r="N39">
            <v>0.20519218525642502</v>
          </cell>
        </row>
        <row r="40">
          <cell r="A40" t="str">
            <v>ee</v>
          </cell>
          <cell r="B40" t="str">
            <v>Labour</v>
          </cell>
          <cell r="C40">
            <v>0.95899999999999996</v>
          </cell>
          <cell r="D40">
            <v>0.95899999999999996</v>
          </cell>
          <cell r="E40">
            <v>0.93700000000000006</v>
          </cell>
          <cell r="F40">
            <v>0.94499999999999995</v>
          </cell>
          <cell r="G40">
            <v>0.93600000000000005</v>
          </cell>
          <cell r="H40">
            <v>0.92900000000000005</v>
          </cell>
          <cell r="I40">
            <v>0.93799999999999994</v>
          </cell>
          <cell r="J40">
            <v>0.91500000000000004</v>
          </cell>
          <cell r="K40">
            <v>0.91300000000000003</v>
          </cell>
          <cell r="L40">
            <v>0.90200000000000002</v>
          </cell>
          <cell r="M40">
            <v>0.86399999999999999</v>
          </cell>
          <cell r="N40">
            <v>0.88800000000000001</v>
          </cell>
        </row>
        <row r="41">
          <cell r="A41" t="str">
            <v>ee</v>
          </cell>
          <cell r="B41" t="str">
            <v>Self-employed</v>
          </cell>
          <cell r="C41">
            <v>2.1999999999999999E-2</v>
          </cell>
          <cell r="D41">
            <v>2.1999999999999999E-2</v>
          </cell>
          <cell r="E41">
            <v>2.5000000000000001E-2</v>
          </cell>
          <cell r="F41">
            <v>3.3000000000000002E-2</v>
          </cell>
          <cell r="G41">
            <v>2.1000000000000001E-2</v>
          </cell>
          <cell r="H41">
            <v>0.02</v>
          </cell>
          <cell r="I41">
            <v>2.3E-2</v>
          </cell>
          <cell r="J41">
            <v>2.4E-2</v>
          </cell>
          <cell r="K41">
            <v>2.1999999999999999E-2</v>
          </cell>
          <cell r="L41">
            <v>1.7999999999999999E-2</v>
          </cell>
          <cell r="M41">
            <v>0.02</v>
          </cell>
          <cell r="N41">
            <v>1.9E-2</v>
          </cell>
        </row>
        <row r="42">
          <cell r="A42" t="str">
            <v>ee</v>
          </cell>
          <cell r="B42" t="str">
            <v>Capital</v>
          </cell>
          <cell r="C42">
            <v>1.4E-2</v>
          </cell>
          <cell r="D42">
            <v>1.4E-2</v>
          </cell>
          <cell r="E42">
            <v>3.4000000000000002E-2</v>
          </cell>
          <cell r="F42">
            <v>1.9E-2</v>
          </cell>
          <cell r="G42">
            <v>1.0999999999999999E-2</v>
          </cell>
          <cell r="H42">
            <v>2.4E-2</v>
          </cell>
          <cell r="I42">
            <v>1.7000000000000001E-2</v>
          </cell>
          <cell r="J42">
            <v>2.8000000000000001E-2</v>
          </cell>
          <cell r="K42">
            <v>3.2000000000000001E-2</v>
          </cell>
          <cell r="L42">
            <v>0.02</v>
          </cell>
          <cell r="M42">
            <v>5.7000000000000002E-2</v>
          </cell>
          <cell r="N42">
            <v>4.3999999999999997E-2</v>
          </cell>
        </row>
        <row r="43">
          <cell r="A43" t="str">
            <v>ee</v>
          </cell>
          <cell r="B43" t="str">
            <v>Transfers</v>
          </cell>
          <cell r="C43">
            <v>5.0000000000000001E-3</v>
          </cell>
          <cell r="D43">
            <v>5.0000000000000001E-3</v>
          </cell>
          <cell r="E43">
            <v>4.0000000000000001E-3</v>
          </cell>
          <cell r="F43">
            <v>3.0000000000000001E-3</v>
          </cell>
          <cell r="G43">
            <v>3.2000000000000001E-2</v>
          </cell>
          <cell r="H43">
            <v>2.7E-2</v>
          </cell>
          <cell r="I43">
            <v>2.1999999999999999E-2</v>
          </cell>
          <cell r="J43">
            <v>3.3000000000000002E-2</v>
          </cell>
          <cell r="K43">
            <v>3.3000000000000002E-2</v>
          </cell>
          <cell r="L43">
            <v>0.06</v>
          </cell>
          <cell r="M43">
            <v>5.8999999999999997E-2</v>
          </cell>
          <cell r="N43">
            <v>4.9000000000000002E-2</v>
          </cell>
        </row>
        <row r="44">
          <cell r="A44" t="str">
            <v>fi</v>
          </cell>
          <cell r="B44" t="str">
            <v>Labour</v>
          </cell>
          <cell r="C44">
            <v>0.66100000000000003</v>
          </cell>
          <cell r="D44">
            <v>0.67600000000000005</v>
          </cell>
          <cell r="E44">
            <v>0.67300000000000004</v>
          </cell>
          <cell r="F44">
            <v>0.68600000000000005</v>
          </cell>
          <cell r="G44">
            <v>0.68300000000000005</v>
          </cell>
          <cell r="H44">
            <v>0.67900000000000005</v>
          </cell>
          <cell r="I44">
            <v>0.70260244244779813</v>
          </cell>
          <cell r="J44">
            <v>0.70599999999999996</v>
          </cell>
          <cell r="K44">
            <v>0.7026</v>
          </cell>
          <cell r="L44">
            <v>0.68804600072198441</v>
          </cell>
          <cell r="M44">
            <v>0.68178442605559098</v>
          </cell>
          <cell r="N44">
            <v>0.67250353394931706</v>
          </cell>
        </row>
        <row r="45">
          <cell r="A45" t="str">
            <v>fi</v>
          </cell>
          <cell r="B45" t="str">
            <v>Self-employed</v>
          </cell>
          <cell r="C45">
            <v>8.2000000000000003E-2</v>
          </cell>
          <cell r="D45">
            <v>7.3999999999999996E-2</v>
          </cell>
          <cell r="E45">
            <v>7.9000000000000001E-2</v>
          </cell>
          <cell r="F45">
            <v>7.4999999999999997E-2</v>
          </cell>
          <cell r="G45">
            <v>7.3999999999999996E-2</v>
          </cell>
          <cell r="H45">
            <v>7.3999999999999996E-2</v>
          </cell>
          <cell r="I45">
            <v>7.3962156892502642E-2</v>
          </cell>
          <cell r="J45">
            <v>8.1900000000000001E-2</v>
          </cell>
          <cell r="K45">
            <v>8.1199999999999994E-2</v>
          </cell>
          <cell r="L45">
            <v>7.8108400804496922E-2</v>
          </cell>
          <cell r="M45">
            <v>7.5747931253978371E-2</v>
          </cell>
          <cell r="N45">
            <v>7.7325619494294187E-2</v>
          </cell>
        </row>
        <row r="46">
          <cell r="A46" t="str">
            <v>fi</v>
          </cell>
          <cell r="B46" t="str">
            <v>Capital</v>
          </cell>
          <cell r="C46">
            <v>2.4E-2</v>
          </cell>
          <cell r="D46">
            <v>2.9000000000000001E-2</v>
          </cell>
          <cell r="E46">
            <v>4.1000000000000002E-2</v>
          </cell>
          <cell r="F46">
            <v>4.7E-2</v>
          </cell>
          <cell r="G46">
            <v>6.3E-2</v>
          </cell>
          <cell r="H46">
            <v>7.4999999999999997E-2</v>
          </cell>
          <cell r="I46">
            <v>5.9169725514002118E-2</v>
          </cell>
          <cell r="J46">
            <v>3.6900000000000002E-2</v>
          </cell>
          <cell r="K46">
            <v>3.7499999999999999E-2</v>
          </cell>
          <cell r="L46">
            <v>4.9842710535815585E-2</v>
          </cell>
          <cell r="M46">
            <v>5.7736820785834156E-2</v>
          </cell>
          <cell r="N46">
            <v>6.7505453047621719E-2</v>
          </cell>
        </row>
        <row r="47">
          <cell r="A47" t="str">
            <v>fi</v>
          </cell>
          <cell r="B47" t="str">
            <v>Transfers</v>
          </cell>
          <cell r="C47">
            <v>0.23300000000000001</v>
          </cell>
          <cell r="D47">
            <v>0.221</v>
          </cell>
          <cell r="E47">
            <v>0.20699999999999999</v>
          </cell>
          <cell r="F47">
            <v>0.192</v>
          </cell>
          <cell r="G47">
            <v>0.18099999999999999</v>
          </cell>
          <cell r="H47">
            <v>0.17199999999999999</v>
          </cell>
          <cell r="I47">
            <v>0.16426567514569698</v>
          </cell>
          <cell r="J47">
            <v>0.17519999999999999</v>
          </cell>
          <cell r="K47">
            <v>0.1787</v>
          </cell>
          <cell r="L47">
            <v>0.18400288793770306</v>
          </cell>
          <cell r="M47">
            <v>0.18473082190459661</v>
          </cell>
          <cell r="N47">
            <v>0.18266539350876701</v>
          </cell>
        </row>
        <row r="48">
          <cell r="A48" t="str">
            <v>fr</v>
          </cell>
          <cell r="B48" t="str">
            <v>Labour</v>
          </cell>
          <cell r="C48">
            <v>0.60299999999999998</v>
          </cell>
          <cell r="D48">
            <v>0.60299999999999998</v>
          </cell>
          <cell r="E48">
            <v>0.60299999999999998</v>
          </cell>
          <cell r="F48">
            <v>0.60299999999999998</v>
          </cell>
          <cell r="G48">
            <v>0.60299999999999998</v>
          </cell>
          <cell r="H48">
            <v>0.58299999999999996</v>
          </cell>
          <cell r="I48">
            <v>0.60299999999999998</v>
          </cell>
          <cell r="J48">
            <v>0.59299999999999997</v>
          </cell>
          <cell r="K48">
            <v>0.59299999999999997</v>
          </cell>
          <cell r="L48">
            <v>0.59299999999999997</v>
          </cell>
          <cell r="M48">
            <v>0.59399999999999997</v>
          </cell>
          <cell r="N48">
            <v>0.58299999999999996</v>
          </cell>
        </row>
        <row r="49">
          <cell r="A49" t="str">
            <v>fr</v>
          </cell>
          <cell r="B49" t="str">
            <v>Self-employed</v>
          </cell>
          <cell r="C49">
            <v>0.159</v>
          </cell>
          <cell r="D49">
            <v>0.159</v>
          </cell>
          <cell r="E49">
            <v>0.159</v>
          </cell>
          <cell r="F49">
            <v>0.159</v>
          </cell>
          <cell r="G49">
            <v>0.159</v>
          </cell>
          <cell r="H49">
            <v>0.17900000000000002</v>
          </cell>
          <cell r="I49">
            <v>0.17400000000000002</v>
          </cell>
          <cell r="J49">
            <v>0.16900000000000001</v>
          </cell>
          <cell r="K49">
            <v>0.16900000000000001</v>
          </cell>
          <cell r="L49">
            <v>0.16800000000000001</v>
          </cell>
          <cell r="M49">
            <v>0.16800000000000001</v>
          </cell>
          <cell r="N49">
            <v>0.154</v>
          </cell>
        </row>
        <row r="50">
          <cell r="A50" t="str">
            <v>fr</v>
          </cell>
          <cell r="B50" t="str">
            <v>Capital</v>
          </cell>
          <cell r="C50">
            <v>7.0000000000000007E-2</v>
          </cell>
          <cell r="D50">
            <v>7.0000000000000007E-2</v>
          </cell>
          <cell r="E50">
            <v>7.0000000000000007E-2</v>
          </cell>
          <cell r="F50">
            <v>7.0000000000000007E-2</v>
          </cell>
          <cell r="G50">
            <v>7.0000000000000007E-2</v>
          </cell>
          <cell r="H50">
            <v>7.0000000000000007E-2</v>
          </cell>
          <cell r="I50">
            <v>5.5E-2</v>
          </cell>
          <cell r="J50">
            <v>7.0000000000000007E-2</v>
          </cell>
          <cell r="K50">
            <v>7.0000000000000007E-2</v>
          </cell>
          <cell r="L50">
            <v>6.6000000000000003E-2</v>
          </cell>
          <cell r="M50">
            <v>7.2999999999999995E-2</v>
          </cell>
          <cell r="N50">
            <v>9.5000000000000001E-2</v>
          </cell>
        </row>
        <row r="51">
          <cell r="A51" t="str">
            <v>fr</v>
          </cell>
          <cell r="B51" t="str">
            <v>Transfers</v>
          </cell>
          <cell r="C51">
            <v>0.16799999999999998</v>
          </cell>
          <cell r="D51">
            <v>0.16799999999999998</v>
          </cell>
          <cell r="E51">
            <v>0.16799999999999998</v>
          </cell>
          <cell r="F51">
            <v>0.16799999999999998</v>
          </cell>
          <cell r="G51">
            <v>0.16799999999999998</v>
          </cell>
          <cell r="H51">
            <v>0.16799999999999998</v>
          </cell>
          <cell r="I51">
            <v>0.16799999999999998</v>
          </cell>
          <cell r="J51">
            <v>0.16799999999999998</v>
          </cell>
          <cell r="K51">
            <v>0.16800000000000001</v>
          </cell>
          <cell r="L51">
            <v>0.17299999999999999</v>
          </cell>
          <cell r="M51">
            <v>0.16500000000000001</v>
          </cell>
          <cell r="N51">
            <v>0.16800000000000001</v>
          </cell>
        </row>
        <row r="52">
          <cell r="A52" t="str">
            <v>gr</v>
          </cell>
          <cell r="B52" t="str">
            <v>Labour</v>
          </cell>
          <cell r="C52">
            <v>0.47299999999999998</v>
          </cell>
          <cell r="D52">
            <v>0.48399999999999999</v>
          </cell>
          <cell r="E52">
            <v>0.49700000000000005</v>
          </cell>
          <cell r="F52">
            <v>0.48399999999999999</v>
          </cell>
          <cell r="G52">
            <v>0.498</v>
          </cell>
          <cell r="H52">
            <v>0.495</v>
          </cell>
          <cell r="I52">
            <v>0.49399999999999999</v>
          </cell>
          <cell r="J52">
            <v>0.48700000000000004</v>
          </cell>
          <cell r="K52">
            <v>0.48700000000000004</v>
          </cell>
          <cell r="L52">
            <v>0.50676013178568946</v>
          </cell>
          <cell r="M52">
            <v>0.51900000000000002</v>
          </cell>
          <cell r="N52">
            <v>0.5101</v>
          </cell>
        </row>
        <row r="53">
          <cell r="A53" t="str">
            <v>gr</v>
          </cell>
          <cell r="B53" t="str">
            <v>Self-employed</v>
          </cell>
          <cell r="C53">
            <v>0.27899999999999997</v>
          </cell>
          <cell r="D53">
            <v>0.26500000000000001</v>
          </cell>
          <cell r="E53">
            <v>0.245</v>
          </cell>
          <cell r="F53">
            <v>0.25900000000000001</v>
          </cell>
          <cell r="G53">
            <v>0.23800000000000002</v>
          </cell>
          <cell r="H53">
            <v>0.245</v>
          </cell>
          <cell r="I53">
            <v>0.24199999999999999</v>
          </cell>
          <cell r="J53">
            <v>0.248</v>
          </cell>
          <cell r="K53">
            <v>0.248</v>
          </cell>
          <cell r="L53">
            <v>0.23232012505297064</v>
          </cell>
          <cell r="M53">
            <v>0.20300000000000001</v>
          </cell>
          <cell r="N53">
            <v>0.20230000000000001</v>
          </cell>
        </row>
        <row r="54">
          <cell r="A54" t="str">
            <v>gr</v>
          </cell>
          <cell r="B54" t="str">
            <v>Capital</v>
          </cell>
          <cell r="C54">
            <v>0.114</v>
          </cell>
          <cell r="D54">
            <v>0.115</v>
          </cell>
          <cell r="E54">
            <v>0.11699999999999999</v>
          </cell>
          <cell r="F54">
            <v>0.12</v>
          </cell>
          <cell r="G54">
            <v>0.124</v>
          </cell>
          <cell r="H54">
            <v>0.121</v>
          </cell>
          <cell r="I54">
            <v>0.121</v>
          </cell>
          <cell r="J54">
            <v>0.12300000000000001</v>
          </cell>
          <cell r="K54">
            <v>0.12300000000000001</v>
          </cell>
          <cell r="L54">
            <v>0.11997215579794947</v>
          </cell>
          <cell r="M54">
            <v>0.11799999999999999</v>
          </cell>
          <cell r="N54">
            <v>0.11799999999999999</v>
          </cell>
        </row>
        <row r="55">
          <cell r="A55" t="str">
            <v>gr</v>
          </cell>
          <cell r="B55" t="str">
            <v>Transfers</v>
          </cell>
          <cell r="C55">
            <v>0.13300000000000001</v>
          </cell>
          <cell r="D55">
            <v>0.13699999999999998</v>
          </cell>
          <cell r="E55">
            <v>0.14000000000000001</v>
          </cell>
          <cell r="F55">
            <v>0.13699999999999998</v>
          </cell>
          <cell r="G55">
            <v>0.14000000000000001</v>
          </cell>
          <cell r="H55">
            <v>0.14000000000000001</v>
          </cell>
          <cell r="I55">
            <v>0.14300000000000002</v>
          </cell>
          <cell r="J55">
            <v>0.14199999999999999</v>
          </cell>
          <cell r="K55">
            <v>0.14199999999999999</v>
          </cell>
          <cell r="L55">
            <v>0.14094758736339039</v>
          </cell>
          <cell r="M55">
            <v>0.16</v>
          </cell>
          <cell r="N55">
            <v>0.1696</v>
          </cell>
        </row>
        <row r="56">
          <cell r="A56" t="str">
            <v>at</v>
          </cell>
          <cell r="B56" t="str">
            <v>Labour</v>
          </cell>
          <cell r="C56">
            <v>0.6295570283138644</v>
          </cell>
          <cell r="D56">
            <v>0.60473728864904663</v>
          </cell>
          <cell r="E56">
            <v>0.62437875534231824</v>
          </cell>
          <cell r="F56">
            <v>0.62234275052703125</v>
          </cell>
          <cell r="G56">
            <v>0.62472126887784951</v>
          </cell>
          <cell r="H56">
            <v>0.6293048894176323</v>
          </cell>
          <cell r="I56">
            <v>0.59460331842224912</v>
          </cell>
          <cell r="J56">
            <v>0.61863006063698744</v>
          </cell>
          <cell r="K56">
            <v>0.62129065176470133</v>
          </cell>
          <cell r="L56">
            <v>0.6192418125271596</v>
          </cell>
          <cell r="M56">
            <v>0.63367310627338469</v>
          </cell>
          <cell r="N56">
            <v>0.64668331899955644</v>
          </cell>
        </row>
        <row r="57">
          <cell r="A57" t="str">
            <v>at</v>
          </cell>
          <cell r="B57" t="str">
            <v>Self-employed</v>
          </cell>
          <cell r="C57">
            <v>0.17517621799849206</v>
          </cell>
          <cell r="D57">
            <v>0.19439592878544804</v>
          </cell>
          <cell r="E57">
            <v>0.17455924974807327</v>
          </cell>
          <cell r="F57">
            <v>0.17783194808446467</v>
          </cell>
          <cell r="G57">
            <v>0.1718069767441433</v>
          </cell>
          <cell r="H57">
            <v>0.17011342239576821</v>
          </cell>
          <cell r="I57">
            <v>0.20500579296036162</v>
          </cell>
          <cell r="J57">
            <v>0.17015500647077419</v>
          </cell>
          <cell r="K57">
            <v>0.16283981575207335</v>
          </cell>
          <cell r="L57">
            <v>0.17241785981273994</v>
          </cell>
          <cell r="M57">
            <v>0.16441689002672266</v>
          </cell>
          <cell r="N57">
            <v>0.14887312985336951</v>
          </cell>
        </row>
        <row r="58">
          <cell r="A58" t="str">
            <v>at</v>
          </cell>
          <cell r="B58" t="str">
            <v>Capital</v>
          </cell>
          <cell r="C58">
            <v>2.3117383811352452E-2</v>
          </cell>
          <cell r="D58">
            <v>2.5653740835620869E-2</v>
          </cell>
          <cell r="E58">
            <v>2.3035964700885789E-2</v>
          </cell>
          <cell r="F58">
            <v>2.3467851085953118E-2</v>
          </cell>
          <cell r="G58">
            <v>2.0663291165749362E-2</v>
          </cell>
          <cell r="H58">
            <v>1.8510644694398809E-2</v>
          </cell>
          <cell r="I58">
            <v>2.2307407260046631E-2</v>
          </cell>
          <cell r="J58">
            <v>1.8515169605052777E-2</v>
          </cell>
          <cell r="K58">
            <v>1.7719177764087945E-2</v>
          </cell>
          <cell r="L58">
            <v>1.8761398701021531E-2</v>
          </cell>
          <cell r="M58">
            <v>1.7890784808044735E-2</v>
          </cell>
          <cell r="N58">
            <v>1.61994131471155E-2</v>
          </cell>
        </row>
        <row r="59">
          <cell r="A59" t="str">
            <v>at</v>
          </cell>
          <cell r="B59" t="str">
            <v>Transfers</v>
          </cell>
          <cell r="C59">
            <v>0.17214936987629104</v>
          </cell>
          <cell r="D59">
            <v>0.17521304172988439</v>
          </cell>
          <cell r="E59">
            <v>0.17802603020872287</v>
          </cell>
          <cell r="F59">
            <v>0.1763574503025509</v>
          </cell>
          <cell r="G59">
            <v>0.18280846321225783</v>
          </cell>
          <cell r="H59">
            <v>0.18207104349220063</v>
          </cell>
          <cell r="I59">
            <v>0.17808348135734267</v>
          </cell>
          <cell r="J59">
            <v>0.19269976328718541</v>
          </cell>
          <cell r="K59">
            <v>0.19815035471913739</v>
          </cell>
          <cell r="L59">
            <v>0.1895789289590788</v>
          </cell>
          <cell r="M59">
            <v>0.18401921889184797</v>
          </cell>
          <cell r="N59">
            <v>0.18824413799995851</v>
          </cell>
        </row>
        <row r="60">
          <cell r="A60" t="str">
            <v>be</v>
          </cell>
          <cell r="B60" t="str">
            <v>Labour</v>
          </cell>
          <cell r="C60">
            <v>0.74915863406734873</v>
          </cell>
          <cell r="D60">
            <v>0.74096673767793686</v>
          </cell>
          <cell r="E60">
            <v>0.74704351687554427</v>
          </cell>
          <cell r="F60">
            <v>0.73992933723177934</v>
          </cell>
          <cell r="G60">
            <v>0.74386377753220057</v>
          </cell>
          <cell r="H60">
            <v>0.75023319697369628</v>
          </cell>
          <cell r="I60">
            <v>0.75199266622868655</v>
          </cell>
          <cell r="J60">
            <v>0.75290007221260724</v>
          </cell>
          <cell r="K60">
            <v>0.75056355426793175</v>
          </cell>
          <cell r="L60">
            <v>0.76840752365056275</v>
          </cell>
          <cell r="M60">
            <v>0.76840752365056275</v>
          </cell>
          <cell r="N60">
            <v>0.76840752365056275</v>
          </cell>
        </row>
        <row r="61">
          <cell r="A61" t="str">
            <v>be</v>
          </cell>
          <cell r="B61" t="str">
            <v>Self-employed</v>
          </cell>
          <cell r="C61">
            <v>0.12709411277454002</v>
          </cell>
          <cell r="D61">
            <v>0.13020448715784186</v>
          </cell>
          <cell r="E61">
            <v>0.12223050108011829</v>
          </cell>
          <cell r="F61">
            <v>0.12920895761926995</v>
          </cell>
          <cell r="G61">
            <v>0.13218245717332822</v>
          </cell>
          <cell r="H61">
            <v>0.12850316913396526</v>
          </cell>
          <cell r="I61">
            <v>0.12582003701939362</v>
          </cell>
          <cell r="J61">
            <v>0.12205077390742018</v>
          </cell>
          <cell r="K61">
            <v>0.12279437919040226</v>
          </cell>
          <cell r="L61">
            <v>0.12577796910324904</v>
          </cell>
          <cell r="M61">
            <v>0.12577796910324904</v>
          </cell>
          <cell r="N61">
            <v>0.12577796910324904</v>
          </cell>
        </row>
        <row r="62">
          <cell r="A62" t="str">
            <v>be</v>
          </cell>
          <cell r="B62" t="str">
            <v>Capital</v>
          </cell>
          <cell r="C62">
            <v>-1.5909264033680898E-2</v>
          </cell>
          <cell r="D62">
            <v>-1.571925135433791E-2</v>
          </cell>
          <cell r="E62">
            <v>-1.6690219841390401E-2</v>
          </cell>
          <cell r="F62">
            <v>-1.5756002673207592E-2</v>
          </cell>
          <cell r="G62">
            <v>-1.73045912358437E-2</v>
          </cell>
          <cell r="H62">
            <v>-1.6280045571222583E-2</v>
          </cell>
          <cell r="I62">
            <v>-1.8125830070175812E-2</v>
          </cell>
          <cell r="J62">
            <v>-1.6501836224798977E-2</v>
          </cell>
          <cell r="K62">
            <v>-1.7891362035409336E-2</v>
          </cell>
          <cell r="L62">
            <v>-1.6303776281434007E-2</v>
          </cell>
          <cell r="M62">
            <v>-1.6303776281434007E-2</v>
          </cell>
          <cell r="N62">
            <v>-1.6303776281434007E-2</v>
          </cell>
        </row>
        <row r="63">
          <cell r="A63" t="str">
            <v>be</v>
          </cell>
          <cell r="B63" t="str">
            <v>Transfers</v>
          </cell>
          <cell r="C63">
            <v>0.13965651719179215</v>
          </cell>
          <cell r="D63">
            <v>0.1445480265185593</v>
          </cell>
          <cell r="E63">
            <v>0.14741620188572782</v>
          </cell>
          <cell r="F63">
            <v>0.14661770782215824</v>
          </cell>
          <cell r="G63">
            <v>0.14125835653031485</v>
          </cell>
          <cell r="H63">
            <v>0.13754367946356097</v>
          </cell>
          <cell r="I63">
            <v>0.14031312682209585</v>
          </cell>
          <cell r="J63">
            <v>0.14155099010477157</v>
          </cell>
          <cell r="K63">
            <v>0.14453342857707527</v>
          </cell>
          <cell r="L63">
            <v>0.1221182835276224</v>
          </cell>
          <cell r="M63">
            <v>0.1221182835276224</v>
          </cell>
          <cell r="N63">
            <v>0.1221182835276224</v>
          </cell>
        </row>
        <row r="64">
          <cell r="A64" t="str">
            <v>it</v>
          </cell>
          <cell r="B64" t="str">
            <v>Labour</v>
          </cell>
          <cell r="C64">
            <v>0.58899999999999997</v>
          </cell>
          <cell r="D64">
            <v>0.57799999999999996</v>
          </cell>
          <cell r="E64">
            <v>0.56699999999999995</v>
          </cell>
          <cell r="F64">
            <v>0.55600000000000005</v>
          </cell>
          <cell r="G64">
            <v>0.56372237432201733</v>
          </cell>
          <cell r="H64">
            <v>0.55478938651356857</v>
          </cell>
          <cell r="I64">
            <v>0.55276961481603837</v>
          </cell>
          <cell r="J64">
            <v>0.56105289556182869</v>
          </cell>
          <cell r="K64">
            <v>0.55159999999999998</v>
          </cell>
          <cell r="L64">
            <v>0.54469202598446886</v>
          </cell>
          <cell r="M64">
            <v>0.54600000000000004</v>
          </cell>
          <cell r="N64">
            <v>0.54469202598446886</v>
          </cell>
        </row>
        <row r="65">
          <cell r="A65" t="str">
            <v>it</v>
          </cell>
          <cell r="B65" t="str">
            <v>Self-employed</v>
          </cell>
          <cell r="C65">
            <v>0.16200000000000001</v>
          </cell>
          <cell r="D65">
            <v>0.16866666666666666</v>
          </cell>
          <cell r="E65">
            <v>0.17533333333333331</v>
          </cell>
          <cell r="F65">
            <v>0.182</v>
          </cell>
          <cell r="G65">
            <v>0.18567037468735972</v>
          </cell>
          <cell r="H65">
            <v>0.18817540660582713</v>
          </cell>
          <cell r="I65">
            <v>0.18260471196474595</v>
          </cell>
          <cell r="J65">
            <v>0.17443087873712876</v>
          </cell>
          <cell r="K65">
            <v>0.18279999999999999</v>
          </cell>
          <cell r="L65">
            <v>0.18065307988917229</v>
          </cell>
          <cell r="M65">
            <v>0.1767</v>
          </cell>
          <cell r="N65">
            <v>0.18065307988917229</v>
          </cell>
        </row>
        <row r="66">
          <cell r="A66" t="str">
            <v>it</v>
          </cell>
          <cell r="B66" t="str">
            <v>Capital</v>
          </cell>
          <cell r="C66">
            <v>4.8000000000000001E-2</v>
          </cell>
          <cell r="D66">
            <v>4.8666666666666671E-2</v>
          </cell>
          <cell r="E66">
            <v>4.933333333333334E-2</v>
          </cell>
          <cell r="F66">
            <v>0.05</v>
          </cell>
          <cell r="G66">
            <v>5.6738275668772126E-2</v>
          </cell>
          <cell r="H66">
            <v>5.9051180948818595E-2</v>
          </cell>
          <cell r="I66">
            <v>5.4484820527675358E-2</v>
          </cell>
          <cell r="J66">
            <v>5.5439708723311727E-2</v>
          </cell>
          <cell r="K66">
            <v>5.67E-2</v>
          </cell>
          <cell r="L66">
            <v>6.0687238631954993E-2</v>
          </cell>
          <cell r="M66">
            <v>6.0999999999999999E-2</v>
          </cell>
          <cell r="N66">
            <v>6.0687238631954993E-2</v>
          </cell>
        </row>
        <row r="67">
          <cell r="A67" t="str">
            <v>it</v>
          </cell>
          <cell r="B67" t="str">
            <v>Transfers</v>
          </cell>
          <cell r="C67">
            <v>0.20100000000000001</v>
          </cell>
          <cell r="D67">
            <v>0.20466666666666666</v>
          </cell>
          <cell r="E67">
            <v>0.20833333333333331</v>
          </cell>
          <cell r="F67">
            <v>0.21199999999999999</v>
          </cell>
          <cell r="G67">
            <v>0.19386897532185099</v>
          </cell>
          <cell r="H67">
            <v>0.19798402593178574</v>
          </cell>
          <cell r="I67">
            <v>0.21014085269154023</v>
          </cell>
          <cell r="J67">
            <v>0.20907651697773108</v>
          </cell>
          <cell r="K67">
            <v>0.2089</v>
          </cell>
          <cell r="L67">
            <v>0.21396765549440383</v>
          </cell>
          <cell r="M67">
            <v>0.216</v>
          </cell>
          <cell r="N67">
            <v>0.21396765549440383</v>
          </cell>
        </row>
        <row r="68">
          <cell r="A68" t="str">
            <v>lu</v>
          </cell>
          <cell r="B68" t="str">
            <v>Labour</v>
          </cell>
          <cell r="C68">
            <v>0.69459595390631035</v>
          </cell>
          <cell r="D68">
            <v>0.69463733965474228</v>
          </cell>
          <cell r="E68">
            <v>0.68743050408222639</v>
          </cell>
          <cell r="F68">
            <v>0.69633507369421754</v>
          </cell>
          <cell r="G68">
            <v>0.71584398883630762</v>
          </cell>
          <cell r="H68">
            <v>0.73617469879726871</v>
          </cell>
          <cell r="I68">
            <v>0.74524450116352847</v>
          </cell>
          <cell r="J68">
            <v>0.73635391786242921</v>
          </cell>
          <cell r="K68">
            <v>0.7238271875111878</v>
          </cell>
          <cell r="L68">
            <v>0.74279957792947904</v>
          </cell>
          <cell r="M68">
            <v>0.75628784921708492</v>
          </cell>
          <cell r="N68">
            <v>0.75628784921708492</v>
          </cell>
        </row>
        <row r="69">
          <cell r="A69" t="str">
            <v>lu</v>
          </cell>
          <cell r="B69" t="str">
            <v>Self-employed</v>
          </cell>
          <cell r="C69">
            <v>0.12111847459498933</v>
          </cell>
          <cell r="D69">
            <v>0.12111847475016968</v>
          </cell>
          <cell r="E69">
            <v>0.11558291123877339</v>
          </cell>
          <cell r="F69">
            <v>0.13264227317220834</v>
          </cell>
          <cell r="G69">
            <v>0.10208186227307824</v>
          </cell>
          <cell r="H69">
            <v>0.10556568196355713</v>
          </cell>
          <cell r="I69">
            <v>0.12108373319355314</v>
          </cell>
          <cell r="J69">
            <v>0.14493634146273718</v>
          </cell>
          <cell r="K69">
            <v>0.1585198363754784</v>
          </cell>
          <cell r="L69">
            <v>0.11589640199112657</v>
          </cell>
          <cell r="M69">
            <v>0.11290141629219359</v>
          </cell>
          <cell r="N69">
            <v>0.11290141629219359</v>
          </cell>
        </row>
        <row r="70">
          <cell r="A70" t="str">
            <v>lu</v>
          </cell>
          <cell r="B70" t="str">
            <v>Capital</v>
          </cell>
          <cell r="C70">
            <v>5.7354858938789215E-2</v>
          </cell>
          <cell r="D70">
            <v>5.7354859012273829E-2</v>
          </cell>
          <cell r="E70">
            <v>6.0772391211302033E-2</v>
          </cell>
          <cell r="F70">
            <v>5.5181655004486928E-2</v>
          </cell>
          <cell r="G70">
            <v>6.6950271583640419E-2</v>
          </cell>
          <cell r="H70">
            <v>4.9355886262084175E-2</v>
          </cell>
          <cell r="I70">
            <v>3.8207764328231343E-2</v>
          </cell>
          <cell r="J70">
            <v>2.6204031629683881E-2</v>
          </cell>
          <cell r="K70">
            <v>1.4875063922581871E-2</v>
          </cell>
          <cell r="L70">
            <v>4.0970710274392322E-2</v>
          </cell>
          <cell r="M70">
            <v>3.0809679271439745E-2</v>
          </cell>
          <cell r="N70">
            <v>3.0809679271439745E-2</v>
          </cell>
        </row>
        <row r="71">
          <cell r="A71" t="str">
            <v>lu</v>
          </cell>
          <cell r="B71" t="str">
            <v>Transfers</v>
          </cell>
          <cell r="C71">
            <v>0.12693071255991106</v>
          </cell>
          <cell r="D71">
            <v>0.12688932658281413</v>
          </cell>
          <cell r="E71">
            <v>0.13621419346769822</v>
          </cell>
          <cell r="F71">
            <v>0.11584099812908714</v>
          </cell>
          <cell r="G71">
            <v>0.11512387730697368</v>
          </cell>
          <cell r="H71">
            <v>0.10890373297708997</v>
          </cell>
          <cell r="I71">
            <v>9.5464001314687102E-2</v>
          </cell>
          <cell r="J71">
            <v>9.250570904514975E-2</v>
          </cell>
          <cell r="K71">
            <v>0.102777912190752</v>
          </cell>
          <cell r="L71">
            <v>0.10033330980500195</v>
          </cell>
          <cell r="M71">
            <v>0.10000105521928174</v>
          </cell>
          <cell r="N71">
            <v>0.10000105521928174</v>
          </cell>
        </row>
        <row r="72">
          <cell r="A72" t="str">
            <v>lt</v>
          </cell>
          <cell r="B72" t="str">
            <v>Labour</v>
          </cell>
          <cell r="C72">
            <v>0.91710000000000003</v>
          </cell>
          <cell r="D72">
            <v>0.91710000000000003</v>
          </cell>
          <cell r="E72">
            <v>0.91710000000000003</v>
          </cell>
          <cell r="F72">
            <v>0.91710000000000003</v>
          </cell>
          <cell r="G72">
            <v>0.91710000000000003</v>
          </cell>
          <cell r="H72">
            <v>0.90769999999999995</v>
          </cell>
          <cell r="I72">
            <v>0.90769999999999995</v>
          </cell>
          <cell r="J72">
            <v>0.89956773643282795</v>
          </cell>
          <cell r="K72">
            <v>0.91234522504188176</v>
          </cell>
          <cell r="L72">
            <v>0.91254939080782649</v>
          </cell>
          <cell r="M72">
            <v>0.90122955820144823</v>
          </cell>
          <cell r="N72">
            <v>0.89522831111995638</v>
          </cell>
        </row>
        <row r="73">
          <cell r="A73" t="str">
            <v>lt</v>
          </cell>
          <cell r="B73" t="str">
            <v>Self-employed</v>
          </cell>
          <cell r="C73">
            <v>6.2199999999999998E-2</v>
          </cell>
          <cell r="D73">
            <v>6.2199999999999998E-2</v>
          </cell>
          <cell r="E73">
            <v>6.2199999999999998E-2</v>
          </cell>
          <cell r="F73">
            <v>6.2199999999999998E-2</v>
          </cell>
          <cell r="G73">
            <v>6.2199999999999998E-2</v>
          </cell>
          <cell r="H73">
            <v>6.7199999999999996E-2</v>
          </cell>
          <cell r="I73">
            <v>6.7199999999999996E-2</v>
          </cell>
          <cell r="J73">
            <v>4.0844964739225671E-2</v>
          </cell>
          <cell r="K73">
            <v>2.7103525321275055E-2</v>
          </cell>
          <cell r="L73">
            <v>1.4044873454433435E-2</v>
          </cell>
          <cell r="M73">
            <v>1.3445926806089803E-2</v>
          </cell>
          <cell r="N73">
            <v>2.9100331661973487E-2</v>
          </cell>
        </row>
        <row r="74">
          <cell r="A74" t="str">
            <v>lt</v>
          </cell>
          <cell r="B74" t="str">
            <v>Capital</v>
          </cell>
          <cell r="C74">
            <v>1.6E-2</v>
          </cell>
          <cell r="D74">
            <v>1.6E-2</v>
          </cell>
          <cell r="E74">
            <v>1.6E-2</v>
          </cell>
          <cell r="F74">
            <v>1.6E-2</v>
          </cell>
          <cell r="G74">
            <v>1.6E-2</v>
          </cell>
          <cell r="H74">
            <v>1.8700000000000001E-2</v>
          </cell>
          <cell r="I74">
            <v>1.8700000000000001E-2</v>
          </cell>
          <cell r="J74">
            <v>3.7242688929019128E-2</v>
          </cell>
          <cell r="K74">
            <v>3.5258760154045513E-2</v>
          </cell>
          <cell r="L74">
            <v>4.8649527938290041E-2</v>
          </cell>
          <cell r="M74">
            <v>5.9557512366241731E-2</v>
          </cell>
          <cell r="N74">
            <v>4.5595822893351158E-2</v>
          </cell>
        </row>
        <row r="75">
          <cell r="A75" t="str">
            <v>lt</v>
          </cell>
          <cell r="B75" t="str">
            <v>Transfers</v>
          </cell>
          <cell r="C75">
            <v>4.7000000000000002E-3</v>
          </cell>
          <cell r="D75">
            <v>4.7000000000000002E-3</v>
          </cell>
          <cell r="E75">
            <v>4.7000000000000002E-3</v>
          </cell>
          <cell r="F75">
            <v>4.7000000000000002E-3</v>
          </cell>
          <cell r="G75">
            <v>4.7000000000000002E-3</v>
          </cell>
          <cell r="H75">
            <v>6.4000000000000003E-3</v>
          </cell>
          <cell r="I75">
            <v>6.4000000000000003E-3</v>
          </cell>
          <cell r="J75">
            <v>2.2344609898927347E-2</v>
          </cell>
          <cell r="K75">
            <v>2.5292489482798164E-2</v>
          </cell>
          <cell r="L75">
            <v>2.4756207799450067E-2</v>
          </cell>
          <cell r="M75">
            <v>2.5767002626220128E-2</v>
          </cell>
          <cell r="N75">
            <v>3.0075534324718971E-2</v>
          </cell>
        </row>
        <row r="76">
          <cell r="A76" t="str">
            <v>lv</v>
          </cell>
          <cell r="B76" t="str">
            <v>Labour</v>
          </cell>
          <cell r="C76">
            <v>0.99547315610403087</v>
          </cell>
          <cell r="D76">
            <v>0.99319052833287713</v>
          </cell>
          <cell r="E76">
            <v>0.99213395984322639</v>
          </cell>
          <cell r="F76">
            <v>0.98932307023805843</v>
          </cell>
          <cell r="G76">
            <v>0.97469175258590535</v>
          </cell>
          <cell r="H76">
            <v>0.95284692992259923</v>
          </cell>
          <cell r="I76">
            <v>0.96490822973203505</v>
          </cell>
          <cell r="J76">
            <v>0.95029906091469618</v>
          </cell>
          <cell r="K76">
            <v>0.96837610779385519</v>
          </cell>
          <cell r="L76">
            <v>0.97223369318094044</v>
          </cell>
          <cell r="M76">
            <v>0.97416653622182658</v>
          </cell>
          <cell r="N76">
            <v>0.96260783129252059</v>
          </cell>
        </row>
        <row r="77">
          <cell r="A77" t="str">
            <v>lv</v>
          </cell>
          <cell r="B77" t="str">
            <v>Self-employed</v>
          </cell>
          <cell r="C77">
            <v>1.5708350152817021E-3</v>
          </cell>
          <cell r="D77">
            <v>2.3843690117711469E-3</v>
          </cell>
          <cell r="E77">
            <v>2.4639284526553418E-3</v>
          </cell>
          <cell r="F77">
            <v>2.4764123210350595E-3</v>
          </cell>
          <cell r="G77">
            <v>2.482973832803105E-3</v>
          </cell>
          <cell r="H77">
            <v>2.4682872957480745E-3</v>
          </cell>
          <cell r="I77">
            <v>1.7049473435014047E-3</v>
          </cell>
          <cell r="J77">
            <v>2.341405483807308E-3</v>
          </cell>
          <cell r="K77">
            <v>2.3441749101836096E-3</v>
          </cell>
          <cell r="L77">
            <v>2.7115723609376463E-3</v>
          </cell>
          <cell r="M77">
            <v>3.8613114726532036E-3</v>
          </cell>
          <cell r="N77">
            <v>3.751773321870083E-3</v>
          </cell>
        </row>
        <row r="78">
          <cell r="A78" t="str">
            <v>lv</v>
          </cell>
          <cell r="B78" t="str">
            <v>Capital</v>
          </cell>
          <cell r="C78">
            <v>2.9560088806873885E-3</v>
          </cell>
          <cell r="D78">
            <v>4.4251026553517652E-3</v>
          </cell>
          <cell r="E78">
            <v>4.0975137422256617E-3</v>
          </cell>
          <cell r="F78">
            <v>4.6381296750364698E-3</v>
          </cell>
          <cell r="G78">
            <v>7.3898218564913973E-3</v>
          </cell>
          <cell r="H78">
            <v>2.9016751088220473E-2</v>
          </cell>
          <cell r="I78">
            <v>1.7706476453406308E-2</v>
          </cell>
          <cell r="J78">
            <v>3.1302528735882837E-2</v>
          </cell>
          <cell r="K78">
            <v>1.3396111717190717E-2</v>
          </cell>
          <cell r="L78">
            <v>8.3102684999301381E-3</v>
          </cell>
          <cell r="M78">
            <v>2.6957391843374619E-3</v>
          </cell>
          <cell r="N78">
            <v>1.6428874531734635E-2</v>
          </cell>
        </row>
        <row r="79">
          <cell r="A79" t="str">
            <v>lv</v>
          </cell>
          <cell r="B79" t="str">
            <v>Transfers</v>
          </cell>
          <cell r="C79">
            <v>0</v>
          </cell>
          <cell r="D79">
            <v>0</v>
          </cell>
          <cell r="E79">
            <v>1.3045979618926014E-3</v>
          </cell>
          <cell r="F79">
            <v>3.5623877658701839E-3</v>
          </cell>
          <cell r="G79">
            <v>1.5435451724800162E-2</v>
          </cell>
          <cell r="H79">
            <v>1.5668031693432203E-2</v>
          </cell>
          <cell r="I79">
            <v>1.5680346471057208E-2</v>
          </cell>
          <cell r="J79">
            <v>1.605700486561366E-2</v>
          </cell>
          <cell r="K79">
            <v>1.5818037621480902E-2</v>
          </cell>
          <cell r="L79">
            <v>1.6635506940327931E-2</v>
          </cell>
          <cell r="M79">
            <v>1.9276413121182796E-2</v>
          </cell>
          <cell r="N79">
            <v>1.7211520853874569E-2</v>
          </cell>
        </row>
        <row r="80">
          <cell r="A80" t="str">
            <v>si</v>
          </cell>
          <cell r="B80" t="str">
            <v>Labour</v>
          </cell>
          <cell r="C80">
            <v>0.89395747952699012</v>
          </cell>
          <cell r="D80">
            <v>0.88917002147401636</v>
          </cell>
          <cell r="E80">
            <v>0.89076660309664257</v>
          </cell>
          <cell r="F80">
            <v>0.89293005832178074</v>
          </cell>
          <cell r="G80">
            <v>0.88851431884721077</v>
          </cell>
          <cell r="H80">
            <v>0.90184600107952073</v>
          </cell>
          <cell r="I80">
            <v>0.90683969421235933</v>
          </cell>
          <cell r="J80">
            <v>0.90432434697376263</v>
          </cell>
          <cell r="K80">
            <v>0.90751034240270489</v>
          </cell>
          <cell r="L80">
            <v>0.90014917216661627</v>
          </cell>
          <cell r="M80">
            <v>0.89353061490346164</v>
          </cell>
          <cell r="N80">
            <v>0.89353061490346164</v>
          </cell>
        </row>
        <row r="81">
          <cell r="A81" t="str">
            <v>si</v>
          </cell>
          <cell r="B81" t="str">
            <v>Self-employed</v>
          </cell>
          <cell r="C81">
            <v>5.6546673326836279E-2</v>
          </cell>
          <cell r="D81">
            <v>5.761712551299799E-2</v>
          </cell>
          <cell r="E81">
            <v>5.5364676046319949E-2</v>
          </cell>
          <cell r="F81">
            <v>5.0953679647435544E-2</v>
          </cell>
          <cell r="G81">
            <v>5.6998485521008793E-2</v>
          </cell>
          <cell r="H81">
            <v>4.913864695180243E-2</v>
          </cell>
          <cell r="I81">
            <v>4.6089476240616982E-2</v>
          </cell>
          <cell r="J81">
            <v>4.7962849467714272E-2</v>
          </cell>
          <cell r="K81">
            <v>4.8757594931496104E-2</v>
          </cell>
          <cell r="L81">
            <v>5.3363221190708424E-2</v>
          </cell>
          <cell r="M81">
            <v>5.5319155190713218E-2</v>
          </cell>
          <cell r="N81">
            <v>5.5319155190713218E-2</v>
          </cell>
        </row>
        <row r="82">
          <cell r="A82" t="str">
            <v>si</v>
          </cell>
          <cell r="B82" t="str">
            <v>Capital</v>
          </cell>
          <cell r="C82">
            <v>1.5917187665056672E-2</v>
          </cell>
          <cell r="D82">
            <v>2.0366243465770484E-2</v>
          </cell>
          <cell r="E82">
            <v>1.9774618380735291E-2</v>
          </cell>
          <cell r="F82">
            <v>1.909261674669941E-2</v>
          </cell>
          <cell r="G82">
            <v>1.8968080827236892E-2</v>
          </cell>
          <cell r="H82">
            <v>1.6737944175044154E-2</v>
          </cell>
          <cell r="I82">
            <v>1.7077472716999928E-2</v>
          </cell>
          <cell r="J82">
            <v>2.0146200769016891E-2</v>
          </cell>
          <cell r="K82">
            <v>1.8170779584353629E-2</v>
          </cell>
          <cell r="L82">
            <v>2.1935515418460585E-2</v>
          </cell>
          <cell r="M82">
            <v>2.6607212495326753E-2</v>
          </cell>
          <cell r="N82">
            <v>2.6607212495326753E-2</v>
          </cell>
        </row>
        <row r="83">
          <cell r="A83" t="str">
            <v>si</v>
          </cell>
          <cell r="B83" t="str">
            <v>Transfers</v>
          </cell>
          <cell r="C83">
            <v>3.3578659481116838E-2</v>
          </cell>
          <cell r="D83">
            <v>3.4094102476302166E-2</v>
          </cell>
          <cell r="E83">
            <v>3.4094102476302166E-2</v>
          </cell>
          <cell r="F83">
            <v>3.7023645284084271E-2</v>
          </cell>
          <cell r="G83">
            <v>3.5519114804543596E-2</v>
          </cell>
          <cell r="H83">
            <v>3.2277407793632695E-2</v>
          </cell>
          <cell r="I83">
            <v>2.9993356830023826E-2</v>
          </cell>
          <cell r="J83">
            <v>2.7566602789506168E-2</v>
          </cell>
          <cell r="K83">
            <v>2.5561283081445348E-2</v>
          </cell>
          <cell r="L83">
            <v>2.4552091224214652E-2</v>
          </cell>
          <cell r="M83">
            <v>2.4543017410498472E-2</v>
          </cell>
          <cell r="N83">
            <v>2.4543017410498472E-2</v>
          </cell>
        </row>
        <row r="84">
          <cell r="A84" t="str">
            <v>sk</v>
          </cell>
          <cell r="B84" t="str">
            <v>Labour</v>
          </cell>
          <cell r="C84">
            <v>0.81854490528030732</v>
          </cell>
          <cell r="D84">
            <v>0.81854490528030732</v>
          </cell>
          <cell r="E84">
            <v>0.81854490528030732</v>
          </cell>
          <cell r="F84">
            <v>0.81854490528030732</v>
          </cell>
          <cell r="G84">
            <v>0.81854490528030732</v>
          </cell>
          <cell r="H84">
            <v>0.81854490528030732</v>
          </cell>
          <cell r="I84">
            <v>0.82961591410821622</v>
          </cell>
          <cell r="J84">
            <v>0.8301246497011554</v>
          </cell>
          <cell r="K84">
            <v>0.87303299904012266</v>
          </cell>
          <cell r="L84">
            <v>0.80207641303687238</v>
          </cell>
          <cell r="M84">
            <v>0.84464733332383135</v>
          </cell>
          <cell r="N84">
            <v>0.84464733332383135</v>
          </cell>
        </row>
        <row r="85">
          <cell r="A85" t="str">
            <v>sk</v>
          </cell>
          <cell r="B85" t="str">
            <v>Self-employed</v>
          </cell>
          <cell r="C85">
            <v>0.13100079747042992</v>
          </cell>
          <cell r="D85">
            <v>0.13100079747042992</v>
          </cell>
          <cell r="E85">
            <v>0.13100079747042992</v>
          </cell>
          <cell r="F85">
            <v>0.13100079747042992</v>
          </cell>
          <cell r="G85">
            <v>0.13100079747042992</v>
          </cell>
          <cell r="H85">
            <v>0.13100079747042992</v>
          </cell>
          <cell r="I85">
            <v>0.12196552782816389</v>
          </cell>
          <cell r="J85">
            <v>0.13456298910562409</v>
          </cell>
          <cell r="K85">
            <v>9.546073915816615E-2</v>
          </cell>
          <cell r="L85">
            <v>0.17340681332615468</v>
          </cell>
          <cell r="M85">
            <v>0.14027954815310456</v>
          </cell>
          <cell r="N85">
            <v>0.14027954815310456</v>
          </cell>
        </row>
        <row r="86">
          <cell r="A86" t="str">
            <v>sk</v>
          </cell>
          <cell r="B86" t="str">
            <v>Capital</v>
          </cell>
          <cell r="C86">
            <v>5.0454297249262862E-2</v>
          </cell>
          <cell r="D86">
            <v>5.0454297249262862E-2</v>
          </cell>
          <cell r="E86">
            <v>5.0454297249262862E-2</v>
          </cell>
          <cell r="F86">
            <v>5.0454297249262862E-2</v>
          </cell>
          <cell r="G86">
            <v>5.0454297249262862E-2</v>
          </cell>
          <cell r="H86">
            <v>5.0454297249262862E-2</v>
          </cell>
          <cell r="I86">
            <v>4.8418558063619999E-2</v>
          </cell>
          <cell r="J86">
            <v>3.531236119322044E-2</v>
          </cell>
          <cell r="K86">
            <v>3.1506261801711288E-2</v>
          </cell>
          <cell r="L86">
            <v>2.4516773636973029E-2</v>
          </cell>
          <cell r="M86">
            <v>1.5073118523063939E-2</v>
          </cell>
          <cell r="N86">
            <v>1.5073118523063939E-2</v>
          </cell>
        </row>
        <row r="87">
          <cell r="A87" t="str">
            <v>sk</v>
          </cell>
          <cell r="B87" t="str">
            <v>Transfers</v>
          </cell>
          <cell r="C87">
            <v>0</v>
          </cell>
          <cell r="D87">
            <v>0</v>
          </cell>
          <cell r="E87">
            <v>0</v>
          </cell>
          <cell r="F87">
            <v>0</v>
          </cell>
          <cell r="G87">
            <v>0</v>
          </cell>
          <cell r="H87">
            <v>0</v>
          </cell>
          <cell r="I87">
            <v>0</v>
          </cell>
          <cell r="J87">
            <v>0</v>
          </cell>
          <cell r="K87">
            <v>0</v>
          </cell>
          <cell r="L87">
            <v>0</v>
          </cell>
          <cell r="M87">
            <v>0</v>
          </cell>
          <cell r="N87">
            <v>0</v>
          </cell>
        </row>
        <row r="88">
          <cell r="A88" t="str">
            <v>uk</v>
          </cell>
          <cell r="B88" t="str">
            <v>Labour</v>
          </cell>
          <cell r="C88">
            <v>0.76357230615860017</v>
          </cell>
          <cell r="D88">
            <v>0.75542882908490461</v>
          </cell>
          <cell r="E88">
            <v>0.74646025613093669</v>
          </cell>
          <cell r="F88">
            <v>0.74303879162361697</v>
          </cell>
          <cell r="G88">
            <v>0.73515470112246384</v>
          </cell>
          <cell r="H88">
            <v>0.74277691440104054</v>
          </cell>
          <cell r="I88">
            <v>0.73887608797287019</v>
          </cell>
          <cell r="J88">
            <v>0.73581615409242118</v>
          </cell>
          <cell r="K88">
            <v>0.7261057563827108</v>
          </cell>
          <cell r="L88">
            <v>0.71961146160848122</v>
          </cell>
          <cell r="M88">
            <v>0.7186120588760434</v>
          </cell>
          <cell r="N88">
            <v>0.71935064330107723</v>
          </cell>
        </row>
        <row r="89">
          <cell r="A89" t="str">
            <v>uk</v>
          </cell>
          <cell r="B89" t="str">
            <v>Self-employed</v>
          </cell>
          <cell r="C89">
            <v>0.12140435767966036</v>
          </cell>
          <cell r="D89">
            <v>0.12215812672541911</v>
          </cell>
          <cell r="E89">
            <v>0.12586601430070529</v>
          </cell>
          <cell r="F89">
            <v>0.119975080414143</v>
          </cell>
          <cell r="G89">
            <v>0.12162904931074012</v>
          </cell>
          <cell r="H89">
            <v>0.11893178759318754</v>
          </cell>
          <cell r="I89">
            <v>0.12397651141813759</v>
          </cell>
          <cell r="J89">
            <v>0.1267356379370308</v>
          </cell>
          <cell r="K89">
            <v>0.12926737323784779</v>
          </cell>
          <cell r="L89">
            <v>0.12866781805745389</v>
          </cell>
          <cell r="M89">
            <v>0.12398755244557635</v>
          </cell>
          <cell r="N89">
            <v>0.11916537089265777</v>
          </cell>
        </row>
        <row r="90">
          <cell r="A90" t="str">
            <v>uk</v>
          </cell>
          <cell r="B90" t="str">
            <v>Capital</v>
          </cell>
          <cell r="C90">
            <v>9.9552628174705879E-2</v>
          </cell>
          <cell r="D90">
            <v>0.10672247109886433</v>
          </cell>
          <cell r="E90">
            <v>0.11217687192272788</v>
          </cell>
          <cell r="F90">
            <v>0.12115898719411589</v>
          </cell>
          <cell r="G90">
            <v>0.12812169570436402</v>
          </cell>
          <cell r="H90">
            <v>0.12393627031600181</v>
          </cell>
          <cell r="I90">
            <v>0.12151014785988169</v>
          </cell>
          <cell r="J90">
            <v>0.12080093579086826</v>
          </cell>
          <cell r="K90">
            <v>0.12768647273201</v>
          </cell>
          <cell r="L90">
            <v>0.13494618766454913</v>
          </cell>
          <cell r="M90">
            <v>0.14156882661444134</v>
          </cell>
          <cell r="N90">
            <v>0.14589220770918843</v>
          </cell>
        </row>
        <row r="91">
          <cell r="A91" t="str">
            <v>uk</v>
          </cell>
          <cell r="B91" t="str">
            <v>Transfers</v>
          </cell>
          <cell r="C91">
            <v>1.547070798703363E-2</v>
          </cell>
          <cell r="D91">
            <v>1.5690573090812138E-2</v>
          </cell>
          <cell r="E91">
            <v>1.549685764563013E-2</v>
          </cell>
          <cell r="F91">
            <v>1.5827140768124328E-2</v>
          </cell>
          <cell r="G91">
            <v>1.5094553862431836E-2</v>
          </cell>
          <cell r="H91">
            <v>1.4355027689770013E-2</v>
          </cell>
          <cell r="I91">
            <v>1.5637252749110448E-2</v>
          </cell>
          <cell r="J91">
            <v>1.6647272179679887E-2</v>
          </cell>
          <cell r="K91">
            <v>1.6940397647431341E-2</v>
          </cell>
          <cell r="L91">
            <v>1.677453266951565E-2</v>
          </cell>
          <cell r="M91">
            <v>1.5831562063938903E-2</v>
          </cell>
          <cell r="N91">
            <v>1.5591778097076466E-2</v>
          </cell>
        </row>
        <row r="92">
          <cell r="A92" t="str">
            <v>pt</v>
          </cell>
          <cell r="B92" t="str">
            <v>Labour</v>
          </cell>
          <cell r="C92">
            <v>0.63100000000000001</v>
          </cell>
          <cell r="D92">
            <v>0.63100000000000001</v>
          </cell>
          <cell r="E92">
            <v>0.63100000000000001</v>
          </cell>
          <cell r="F92">
            <v>0.63100000000000001</v>
          </cell>
          <cell r="G92">
            <v>0.65100000000000002</v>
          </cell>
          <cell r="H92">
            <v>0.64800000000000002</v>
          </cell>
          <cell r="I92">
            <v>0.63500000000000001</v>
          </cell>
          <cell r="J92">
            <v>0.64100000000000001</v>
          </cell>
          <cell r="K92">
            <v>0.63500000000000001</v>
          </cell>
          <cell r="L92">
            <v>0.63500000000000001</v>
          </cell>
          <cell r="M92">
            <v>0.63500000000000001</v>
          </cell>
          <cell r="N92">
            <v>0.63500000000000001</v>
          </cell>
        </row>
        <row r="93">
          <cell r="A93" t="str">
            <v>pt</v>
          </cell>
          <cell r="B93" t="str">
            <v>Self-employed</v>
          </cell>
          <cell r="C93">
            <v>9.2999999999999999E-2</v>
          </cell>
          <cell r="D93">
            <v>9.2999999999999999E-2</v>
          </cell>
          <cell r="E93">
            <v>9.2999999999999999E-2</v>
          </cell>
          <cell r="F93">
            <v>9.2999999999999999E-2</v>
          </cell>
          <cell r="G93">
            <v>9.6000000000000002E-2</v>
          </cell>
          <cell r="H93">
            <v>9.1999999999999998E-2</v>
          </cell>
          <cell r="I93">
            <v>0.106</v>
          </cell>
          <cell r="J93">
            <v>9.0999999999999998E-2</v>
          </cell>
          <cell r="K93">
            <v>8.6999999999999994E-2</v>
          </cell>
          <cell r="L93">
            <v>8.6999999999999994E-2</v>
          </cell>
          <cell r="M93">
            <v>8.6999999999999994E-2</v>
          </cell>
          <cell r="N93">
            <v>8.6999999999999994E-2</v>
          </cell>
        </row>
        <row r="94">
          <cell r="A94" t="str">
            <v>pt</v>
          </cell>
          <cell r="B94" t="str">
            <v>Capital</v>
          </cell>
          <cell r="C94">
            <v>0.189</v>
          </cell>
          <cell r="D94">
            <v>0.189</v>
          </cell>
          <cell r="E94">
            <v>0.189</v>
          </cell>
          <cell r="F94">
            <v>0.189</v>
          </cell>
          <cell r="G94">
            <v>0.161</v>
          </cell>
          <cell r="H94">
            <v>0.16500000000000001</v>
          </cell>
          <cell r="I94">
            <v>0.156</v>
          </cell>
          <cell r="J94">
            <v>0.154</v>
          </cell>
          <cell r="K94">
            <v>0.154</v>
          </cell>
          <cell r="L94">
            <v>0.154</v>
          </cell>
          <cell r="M94">
            <v>0.154</v>
          </cell>
          <cell r="N94">
            <v>0.154</v>
          </cell>
        </row>
        <row r="95">
          <cell r="A95" t="str">
            <v>pt</v>
          </cell>
          <cell r="B95" t="str">
            <v>Transfers</v>
          </cell>
          <cell r="C95">
            <v>8.6999999999999994E-2</v>
          </cell>
          <cell r="D95">
            <v>8.6999999999999994E-2</v>
          </cell>
          <cell r="E95">
            <v>8.6999999999999994E-2</v>
          </cell>
          <cell r="F95">
            <v>8.6999999999999994E-2</v>
          </cell>
          <cell r="G95">
            <v>9.0999999999999998E-2</v>
          </cell>
          <cell r="H95">
            <v>9.6000000000000002E-2</v>
          </cell>
          <cell r="I95">
            <v>0.104</v>
          </cell>
          <cell r="J95">
            <v>0.113</v>
          </cell>
          <cell r="K95">
            <v>0.124</v>
          </cell>
          <cell r="L95">
            <v>0.124</v>
          </cell>
          <cell r="M95">
            <v>0.124</v>
          </cell>
          <cell r="N95">
            <v>0.124</v>
          </cell>
        </row>
        <row r="96">
          <cell r="A96" t="str">
            <v>pl</v>
          </cell>
          <cell r="B96" t="str">
            <v>Labour</v>
          </cell>
          <cell r="C96">
            <v>0.48836871129273413</v>
          </cell>
          <cell r="D96">
            <v>0.52006316958676058</v>
          </cell>
          <cell r="E96">
            <v>0.51656001762296933</v>
          </cell>
          <cell r="F96">
            <v>0.51011980395716106</v>
          </cell>
          <cell r="G96">
            <v>0.52500673128702213</v>
          </cell>
          <cell r="H96">
            <v>0.52638896349497755</v>
          </cell>
          <cell r="I96">
            <v>0.52989278055754108</v>
          </cell>
          <cell r="J96">
            <v>0.51934477963046677</v>
          </cell>
          <cell r="K96">
            <v>0.50908007499037322</v>
          </cell>
          <cell r="L96">
            <v>0.53006993421970083</v>
          </cell>
          <cell r="M96">
            <v>0.53006993421970083</v>
          </cell>
          <cell r="N96">
            <v>0.53006993421970083</v>
          </cell>
        </row>
        <row r="97">
          <cell r="A97" t="str">
            <v>pl</v>
          </cell>
          <cell r="B97" t="str">
            <v>Self-employed</v>
          </cell>
          <cell r="C97">
            <v>0.22367719491869839</v>
          </cell>
          <cell r="D97">
            <v>0.18532020713170985</v>
          </cell>
          <cell r="E97">
            <v>0.22325966542898923</v>
          </cell>
          <cell r="F97">
            <v>0.23221092757306225</v>
          </cell>
          <cell r="G97">
            <v>0.28772886375875062</v>
          </cell>
          <cell r="H97">
            <v>0.26510615305377644</v>
          </cell>
          <cell r="I97">
            <v>0.26338813438170117</v>
          </cell>
          <cell r="J97">
            <v>0.25372657305004565</v>
          </cell>
          <cell r="K97">
            <v>0.25636701435441667</v>
          </cell>
          <cell r="L97">
            <v>0.24620880571816836</v>
          </cell>
          <cell r="M97">
            <v>0.24620880571816836</v>
          </cell>
          <cell r="N97">
            <v>0.24620880571816836</v>
          </cell>
        </row>
        <row r="98">
          <cell r="A98" t="str">
            <v>pl</v>
          </cell>
          <cell r="B98" t="str">
            <v>Capital</v>
          </cell>
          <cell r="C98">
            <v>5.0298472402955045E-3</v>
          </cell>
          <cell r="D98">
            <v>7.0957192986810941E-3</v>
          </cell>
          <cell r="E98">
            <v>6.3724020054089382E-3</v>
          </cell>
          <cell r="F98">
            <v>8.7357052096569254E-3</v>
          </cell>
          <cell r="G98">
            <v>1.8410070005385026E-2</v>
          </cell>
          <cell r="H98">
            <v>4.0214612752269507E-2</v>
          </cell>
          <cell r="I98">
            <v>2.9592566118656183E-2</v>
          </cell>
          <cell r="J98">
            <v>5.2786759688226131E-2</v>
          </cell>
          <cell r="K98">
            <v>5.8038838717293609E-2</v>
          </cell>
          <cell r="L98">
            <v>4.3174070041034796E-2</v>
          </cell>
          <cell r="M98">
            <v>4.3174070041034796E-2</v>
          </cell>
          <cell r="N98">
            <v>4.3174070041034796E-2</v>
          </cell>
        </row>
        <row r="99">
          <cell r="A99" t="str">
            <v>pl</v>
          </cell>
          <cell r="B99" t="str">
            <v>Transfers</v>
          </cell>
          <cell r="C99">
            <v>0.28292424654827192</v>
          </cell>
          <cell r="D99">
            <v>0.28752090398284869</v>
          </cell>
          <cell r="E99">
            <v>0.25380791494263244</v>
          </cell>
          <cell r="F99">
            <v>0.24893356326011978</v>
          </cell>
          <cell r="G99">
            <v>0.16885433494884217</v>
          </cell>
          <cell r="H99">
            <v>0.16829027069897654</v>
          </cell>
          <cell r="I99">
            <v>0.17712651894210149</v>
          </cell>
          <cell r="J99">
            <v>0.17414188763126145</v>
          </cell>
          <cell r="K99">
            <v>0.17651407193791652</v>
          </cell>
          <cell r="L99">
            <v>0.18054719002109598</v>
          </cell>
          <cell r="M99">
            <v>0.18054719002109598</v>
          </cell>
          <cell r="N99">
            <v>0.18054719002109598</v>
          </cell>
        </row>
        <row r="100">
          <cell r="A100" t="str">
            <v>nl</v>
          </cell>
          <cell r="B100" t="str">
            <v>Labour</v>
          </cell>
          <cell r="C100">
            <v>0.65500000000000003</v>
          </cell>
          <cell r="D100">
            <v>0.65100000000000002</v>
          </cell>
          <cell r="E100">
            <v>0.64700000000000002</v>
          </cell>
          <cell r="F100">
            <v>0.65866642602282066</v>
          </cell>
          <cell r="G100">
            <v>0.6703328520456413</v>
          </cell>
          <cell r="H100">
            <v>0.68199927806846206</v>
          </cell>
          <cell r="I100">
            <v>0.64300000000000002</v>
          </cell>
          <cell r="J100">
            <v>0.64300000000000002</v>
          </cell>
          <cell r="K100">
            <v>0.64300000000000002</v>
          </cell>
          <cell r="L100">
            <v>0.64300000000000002</v>
          </cell>
          <cell r="M100">
            <v>0.64300000000000002</v>
          </cell>
          <cell r="N100">
            <v>0.64300000000000002</v>
          </cell>
        </row>
        <row r="101">
          <cell r="A101" t="str">
            <v>nl</v>
          </cell>
          <cell r="B101" t="str">
            <v>Self-employed</v>
          </cell>
          <cell r="C101">
            <v>0.185</v>
          </cell>
          <cell r="D101">
            <v>0.19600000000000001</v>
          </cell>
          <cell r="E101">
            <v>0.20699999999999999</v>
          </cell>
          <cell r="F101">
            <v>0.21610523332894774</v>
          </cell>
          <cell r="G101">
            <v>0.22521046665789549</v>
          </cell>
          <cell r="H101">
            <v>0.23431569998684326</v>
          </cell>
          <cell r="I101">
            <v>0.23400000000000001</v>
          </cell>
          <cell r="J101">
            <v>0.23400000000000001</v>
          </cell>
          <cell r="K101">
            <v>0.23400000000000001</v>
          </cell>
          <cell r="L101">
            <v>0.23400000000000001</v>
          </cell>
          <cell r="M101">
            <v>0.23400000000000001</v>
          </cell>
          <cell r="N101">
            <v>0.23400000000000001</v>
          </cell>
        </row>
        <row r="102">
          <cell r="A102" t="str">
            <v>nl</v>
          </cell>
          <cell r="B102" t="str">
            <v>Capital</v>
          </cell>
          <cell r="C102">
            <v>-8.0000000000000002E-3</v>
          </cell>
          <cell r="D102">
            <v>-8.0000000000000002E-3</v>
          </cell>
          <cell r="E102">
            <v>-8.0000000000000002E-3</v>
          </cell>
          <cell r="F102">
            <v>-2.7925742256946898E-2</v>
          </cell>
          <cell r="G102">
            <v>-4.7851484513893795E-2</v>
          </cell>
          <cell r="H102">
            <v>-6.7777226770840693E-2</v>
          </cell>
          <cell r="I102">
            <v>8.9999999999999993E-3</v>
          </cell>
          <cell r="J102">
            <v>8.9999999999999993E-3</v>
          </cell>
          <cell r="K102">
            <v>8.9999999999999993E-3</v>
          </cell>
          <cell r="L102">
            <v>8.9999999999999993E-3</v>
          </cell>
          <cell r="M102">
            <v>8.9999999999999993E-3</v>
          </cell>
          <cell r="N102">
            <v>8.9999999999999993E-3</v>
          </cell>
        </row>
        <row r="103">
          <cell r="A103" t="str">
            <v>nl</v>
          </cell>
          <cell r="B103" t="str">
            <v>Transfers</v>
          </cell>
          <cell r="C103">
            <v>0.16799999999999998</v>
          </cell>
          <cell r="D103">
            <v>0.16099999999999998</v>
          </cell>
          <cell r="E103">
            <v>0.154</v>
          </cell>
          <cell r="F103">
            <v>0.15315408290517846</v>
          </cell>
          <cell r="G103">
            <v>0.15230816581035692</v>
          </cell>
          <cell r="H103">
            <v>0.15146224871553537</v>
          </cell>
          <cell r="I103">
            <v>0.114</v>
          </cell>
          <cell r="J103">
            <v>0.114</v>
          </cell>
          <cell r="K103">
            <v>0.114</v>
          </cell>
          <cell r="L103">
            <v>0.114</v>
          </cell>
          <cell r="M103">
            <v>0.114</v>
          </cell>
          <cell r="N103">
            <v>0.114</v>
          </cell>
        </row>
        <row r="104">
          <cell r="A104" t="str">
            <v>mt</v>
          </cell>
          <cell r="B104" t="str">
            <v>Labour</v>
          </cell>
          <cell r="C104">
            <v>0.69285418974946333</v>
          </cell>
          <cell r="D104">
            <v>0.69285418974946333</v>
          </cell>
          <cell r="E104">
            <v>0.69285418974946333</v>
          </cell>
          <cell r="F104">
            <v>0.70852733125364098</v>
          </cell>
          <cell r="G104">
            <v>0.70888950313971744</v>
          </cell>
          <cell r="H104">
            <v>0.70651065577118399</v>
          </cell>
          <cell r="I104">
            <v>0.70764910191379105</v>
          </cell>
          <cell r="J104">
            <v>0.70973238382739023</v>
          </cell>
          <cell r="K104">
            <v>0.70566334335255931</v>
          </cell>
          <cell r="L104">
            <v>0.69181090723168415</v>
          </cell>
          <cell r="M104">
            <v>0.68891928741953223</v>
          </cell>
          <cell r="N104">
            <v>0.69940459048511794</v>
          </cell>
        </row>
        <row r="105">
          <cell r="A105" t="str">
            <v>mt</v>
          </cell>
          <cell r="B105" t="str">
            <v>Self-employed</v>
          </cell>
          <cell r="C105">
            <v>9.0600612686273369E-2</v>
          </cell>
          <cell r="D105">
            <v>9.0600612686273369E-2</v>
          </cell>
          <cell r="E105">
            <v>9.0600612686273369E-2</v>
          </cell>
          <cell r="F105">
            <v>8.1136752518650379E-2</v>
          </cell>
          <cell r="G105">
            <v>7.937426282257562E-2</v>
          </cell>
          <cell r="H105">
            <v>8.1777084046502899E-2</v>
          </cell>
          <cell r="I105">
            <v>7.9496726406914103E-2</v>
          </cell>
          <cell r="J105">
            <v>8.0144666952020063E-2</v>
          </cell>
          <cell r="K105">
            <v>8.1124425291876232E-2</v>
          </cell>
          <cell r="L105">
            <v>8.1147106600975169E-2</v>
          </cell>
          <cell r="M105">
            <v>8.1570593202535999E-2</v>
          </cell>
          <cell r="N105">
            <v>7.9749812304274303E-2</v>
          </cell>
        </row>
        <row r="106">
          <cell r="A106" t="str">
            <v>mt</v>
          </cell>
          <cell r="B106" t="str">
            <v>Capital</v>
          </cell>
          <cell r="C106">
            <v>8.6093508381548042E-2</v>
          </cell>
          <cell r="D106">
            <v>8.6093508381548042E-2</v>
          </cell>
          <cell r="E106">
            <v>8.6093508381548042E-2</v>
          </cell>
          <cell r="F106">
            <v>7.1269338316406763E-2</v>
          </cell>
          <cell r="G106">
            <v>6.7939857305092985E-2</v>
          </cell>
          <cell r="H106">
            <v>6.5498418824996671E-2</v>
          </cell>
          <cell r="I106">
            <v>6.5680195145084441E-2</v>
          </cell>
          <cell r="J106">
            <v>6.1204019394719686E-2</v>
          </cell>
          <cell r="K106">
            <v>6.278064749604495E-2</v>
          </cell>
          <cell r="L106">
            <v>7.3414091940653292E-2</v>
          </cell>
          <cell r="M106">
            <v>7.1849454300836696E-2</v>
          </cell>
          <cell r="N106">
            <v>5.4340436583457871E-2</v>
          </cell>
        </row>
        <row r="107">
          <cell r="A107" t="str">
            <v>mt</v>
          </cell>
          <cell r="B107" t="str">
            <v>Transfers</v>
          </cell>
          <cell r="C107">
            <v>0.13215704354969893</v>
          </cell>
          <cell r="D107">
            <v>0.13215704354969893</v>
          </cell>
          <cell r="E107">
            <v>0.13215704354969893</v>
          </cell>
          <cell r="F107">
            <v>0.13906657791130189</v>
          </cell>
          <cell r="G107">
            <v>0.143796376732614</v>
          </cell>
          <cell r="H107">
            <v>0.14621384135731644</v>
          </cell>
          <cell r="I107">
            <v>0.14717397653421044</v>
          </cell>
          <cell r="J107">
            <v>0.14891892982586999</v>
          </cell>
          <cell r="K107">
            <v>0.15043158385951949</v>
          </cell>
          <cell r="L107">
            <v>0.15362789422668749</v>
          </cell>
          <cell r="M107">
            <v>0.15766066507709511</v>
          </cell>
          <cell r="N107">
            <v>0.16650516062715007</v>
          </cell>
        </row>
        <row r="108">
          <cell r="A108" t="str">
            <v>ro</v>
          </cell>
          <cell r="B108" t="str">
            <v>Labour</v>
          </cell>
          <cell r="J108">
            <v>0.62098739521635538</v>
          </cell>
          <cell r="K108">
            <v>0.64340381362953214</v>
          </cell>
          <cell r="L108">
            <v>0.63397445715057688</v>
          </cell>
          <cell r="M108">
            <v>0.68986271959028611</v>
          </cell>
          <cell r="N108">
            <v>0.68986271959028611</v>
          </cell>
        </row>
        <row r="109">
          <cell r="A109" t="str">
            <v>ro</v>
          </cell>
          <cell r="B109" t="str">
            <v>Self-employed</v>
          </cell>
          <cell r="J109">
            <v>3.5332249530381485E-2</v>
          </cell>
          <cell r="K109">
            <v>3.7268092730752052E-2</v>
          </cell>
          <cell r="L109">
            <v>3.8157557493174295E-2</v>
          </cell>
          <cell r="M109">
            <v>4.1143672968265238E-2</v>
          </cell>
          <cell r="N109">
            <v>4.1143672968265238E-2</v>
          </cell>
        </row>
        <row r="110">
          <cell r="A110" t="str">
            <v>ro</v>
          </cell>
          <cell r="B110" t="str">
            <v>Capital</v>
          </cell>
          <cell r="J110">
            <v>0.34045019384168085</v>
          </cell>
          <cell r="K110">
            <v>0.31429452402317221</v>
          </cell>
          <cell r="L110">
            <v>0.3232847808088638</v>
          </cell>
          <cell r="M110">
            <v>0.25807799042992008</v>
          </cell>
          <cell r="N110">
            <v>0.25807799042992008</v>
          </cell>
        </row>
        <row r="111">
          <cell r="A111" t="str">
            <v>ro</v>
          </cell>
          <cell r="B111" t="str">
            <v>Transfers</v>
          </cell>
          <cell r="J111">
            <v>3.2301614115821864E-3</v>
          </cell>
          <cell r="K111">
            <v>5.033569616543665E-3</v>
          </cell>
          <cell r="L111">
            <v>4.5832045473852036E-3</v>
          </cell>
          <cell r="M111">
            <v>1.0915617011528655E-2</v>
          </cell>
          <cell r="N111">
            <v>1.0915617011528655E-2</v>
          </cell>
        </row>
        <row r="112">
          <cell r="A112" t="str">
            <v>bg</v>
          </cell>
          <cell r="B112" t="str">
            <v>Labour</v>
          </cell>
          <cell r="H112">
            <v>0.8818506075608068</v>
          </cell>
          <cell r="I112">
            <v>0.88826314613063118</v>
          </cell>
          <cell r="J112">
            <v>0.85862431928024918</v>
          </cell>
          <cell r="K112">
            <v>0.89111269394772619</v>
          </cell>
          <cell r="L112">
            <v>0.87772456002707699</v>
          </cell>
          <cell r="M112">
            <v>0.85613672087057702</v>
          </cell>
          <cell r="N112">
            <v>0.8411661134692664</v>
          </cell>
        </row>
        <row r="113">
          <cell r="A113" t="str">
            <v>bg</v>
          </cell>
          <cell r="B113" t="str">
            <v>Self-employed</v>
          </cell>
          <cell r="H113">
            <v>9.6470072376973054E-2</v>
          </cell>
          <cell r="I113">
            <v>8.6317746834616321E-2</v>
          </cell>
          <cell r="J113">
            <v>0.11099686327587462</v>
          </cell>
          <cell r="K113">
            <v>8.7242783674900903E-2</v>
          </cell>
          <cell r="L113">
            <v>0.1006086016966776</v>
          </cell>
          <cell r="M113">
            <v>0.11862141394666807</v>
          </cell>
          <cell r="N113">
            <v>0.11810633319763549</v>
          </cell>
        </row>
        <row r="114">
          <cell r="A114" t="str">
            <v>bg</v>
          </cell>
          <cell r="B114" t="str">
            <v>Capital</v>
          </cell>
          <cell r="H114">
            <v>2.1679320062220123E-2</v>
          </cell>
          <cell r="I114">
            <v>2.541910703475244E-2</v>
          </cell>
          <cell r="J114">
            <v>3.037881744387616E-2</v>
          </cell>
          <cell r="K114">
            <v>2.1644522377372934E-2</v>
          </cell>
          <cell r="L114">
            <v>2.1666838276245444E-2</v>
          </cell>
          <cell r="M114">
            <v>2.5241865182754748E-2</v>
          </cell>
          <cell r="N114">
            <v>4.0727553333098125E-2</v>
          </cell>
        </row>
        <row r="115">
          <cell r="A115" t="str">
            <v>bg</v>
          </cell>
          <cell r="B115" t="str">
            <v>Transfers</v>
          </cell>
          <cell r="H115">
            <v>0</v>
          </cell>
          <cell r="I115">
            <v>0</v>
          </cell>
          <cell r="J115">
            <v>0</v>
          </cell>
          <cell r="K115">
            <v>0</v>
          </cell>
          <cell r="L115">
            <v>0</v>
          </cell>
          <cell r="M115">
            <v>0</v>
          </cell>
          <cell r="N115">
            <v>0</v>
          </cell>
        </row>
      </sheetData>
      <sheetData sheetId="3" refreshError="1">
        <row r="2">
          <cell r="A2" t="str">
            <v>GEO</v>
          </cell>
          <cell r="B2" t="str">
            <v>SPLIT_TYPE</v>
          </cell>
          <cell r="C2">
            <v>1995</v>
          </cell>
          <cell r="D2">
            <v>1996</v>
          </cell>
          <cell r="E2">
            <v>1997</v>
          </cell>
          <cell r="F2">
            <v>1998</v>
          </cell>
          <cell r="G2">
            <v>1999</v>
          </cell>
          <cell r="H2">
            <v>2000</v>
          </cell>
          <cell r="I2">
            <v>2001</v>
          </cell>
          <cell r="J2">
            <v>2002</v>
          </cell>
          <cell r="K2">
            <v>2003</v>
          </cell>
          <cell r="L2">
            <v>2004</v>
          </cell>
          <cell r="M2">
            <v>2005</v>
          </cell>
          <cell r="N2">
            <v>2006</v>
          </cell>
        </row>
        <row r="3">
          <cell r="A3" t="str">
            <v>ie</v>
          </cell>
          <cell r="B3" t="str">
            <v>Self-employed</v>
          </cell>
          <cell r="C3">
            <v>1</v>
          </cell>
          <cell r="D3">
            <v>1</v>
          </cell>
          <cell r="E3">
            <v>1</v>
          </cell>
          <cell r="F3">
            <v>1</v>
          </cell>
          <cell r="G3">
            <v>1</v>
          </cell>
          <cell r="H3">
            <v>1</v>
          </cell>
          <cell r="I3">
            <v>1</v>
          </cell>
          <cell r="J3">
            <v>1</v>
          </cell>
          <cell r="K3">
            <v>1</v>
          </cell>
          <cell r="L3">
            <v>1</v>
          </cell>
          <cell r="M3">
            <v>1</v>
          </cell>
          <cell r="N3">
            <v>1</v>
          </cell>
        </row>
        <row r="4">
          <cell r="A4" t="str">
            <v>ie</v>
          </cell>
          <cell r="B4" t="str">
            <v>Non-employed</v>
          </cell>
          <cell r="C4">
            <v>0</v>
          </cell>
          <cell r="D4">
            <v>0</v>
          </cell>
          <cell r="E4">
            <v>0</v>
          </cell>
          <cell r="F4">
            <v>0</v>
          </cell>
          <cell r="G4">
            <v>0</v>
          </cell>
          <cell r="H4">
            <v>0</v>
          </cell>
          <cell r="I4">
            <v>0</v>
          </cell>
          <cell r="J4">
            <v>0</v>
          </cell>
          <cell r="K4">
            <v>0</v>
          </cell>
          <cell r="L4">
            <v>0</v>
          </cell>
          <cell r="M4">
            <v>0</v>
          </cell>
          <cell r="N4">
            <v>0</v>
          </cell>
        </row>
        <row r="5">
          <cell r="A5" t="str">
            <v>se</v>
          </cell>
          <cell r="B5" t="str">
            <v>Self-employed</v>
          </cell>
          <cell r="C5">
            <v>1</v>
          </cell>
          <cell r="D5">
            <v>1</v>
          </cell>
          <cell r="E5">
            <v>1</v>
          </cell>
          <cell r="F5">
            <v>1</v>
          </cell>
          <cell r="G5">
            <v>1</v>
          </cell>
          <cell r="H5">
            <v>1</v>
          </cell>
          <cell r="I5">
            <v>1</v>
          </cell>
          <cell r="J5">
            <v>1</v>
          </cell>
          <cell r="K5">
            <v>1</v>
          </cell>
          <cell r="L5">
            <v>1</v>
          </cell>
          <cell r="M5">
            <v>1</v>
          </cell>
          <cell r="N5">
            <v>1</v>
          </cell>
        </row>
        <row r="6">
          <cell r="A6" t="str">
            <v>se</v>
          </cell>
          <cell r="B6" t="str">
            <v>Non-employed</v>
          </cell>
          <cell r="C6">
            <v>0</v>
          </cell>
          <cell r="D6">
            <v>0</v>
          </cell>
          <cell r="E6">
            <v>0</v>
          </cell>
          <cell r="F6">
            <v>0</v>
          </cell>
          <cell r="G6">
            <v>0</v>
          </cell>
          <cell r="H6">
            <v>0</v>
          </cell>
          <cell r="I6">
            <v>0</v>
          </cell>
          <cell r="J6">
            <v>0</v>
          </cell>
          <cell r="K6">
            <v>0</v>
          </cell>
          <cell r="L6">
            <v>0</v>
          </cell>
          <cell r="M6">
            <v>0</v>
          </cell>
          <cell r="N6">
            <v>0</v>
          </cell>
        </row>
        <row r="7">
          <cell r="A7" t="str">
            <v>dk</v>
          </cell>
          <cell r="B7" t="str">
            <v>Self-employed</v>
          </cell>
          <cell r="C7">
            <v>0</v>
          </cell>
          <cell r="D7">
            <v>0</v>
          </cell>
          <cell r="E7">
            <v>0</v>
          </cell>
          <cell r="F7">
            <v>0</v>
          </cell>
          <cell r="G7">
            <v>0</v>
          </cell>
          <cell r="H7">
            <v>0</v>
          </cell>
          <cell r="I7">
            <v>0</v>
          </cell>
          <cell r="J7">
            <v>0</v>
          </cell>
          <cell r="K7">
            <v>0</v>
          </cell>
          <cell r="L7">
            <v>0</v>
          </cell>
          <cell r="M7">
            <v>0</v>
          </cell>
          <cell r="N7">
            <v>0</v>
          </cell>
        </row>
        <row r="8">
          <cell r="A8" t="str">
            <v>dk</v>
          </cell>
          <cell r="B8" t="str">
            <v>Non-employed</v>
          </cell>
          <cell r="C8">
            <v>0</v>
          </cell>
          <cell r="D8">
            <v>0</v>
          </cell>
          <cell r="E8">
            <v>0</v>
          </cell>
          <cell r="F8">
            <v>0</v>
          </cell>
          <cell r="G8">
            <v>0</v>
          </cell>
          <cell r="H8">
            <v>0</v>
          </cell>
          <cell r="I8">
            <v>0</v>
          </cell>
          <cell r="J8">
            <v>0</v>
          </cell>
          <cell r="K8">
            <v>0</v>
          </cell>
          <cell r="L8">
            <v>0</v>
          </cell>
          <cell r="M8">
            <v>0</v>
          </cell>
          <cell r="N8">
            <v>0</v>
          </cell>
        </row>
        <row r="9">
          <cell r="A9" t="str">
            <v>mt</v>
          </cell>
          <cell r="B9" t="str">
            <v>Self-employed</v>
          </cell>
          <cell r="C9">
            <v>1</v>
          </cell>
          <cell r="D9">
            <v>1</v>
          </cell>
          <cell r="E9">
            <v>1</v>
          </cell>
          <cell r="F9">
            <v>1</v>
          </cell>
          <cell r="G9">
            <v>1</v>
          </cell>
          <cell r="H9">
            <v>1</v>
          </cell>
          <cell r="I9">
            <v>1</v>
          </cell>
          <cell r="J9">
            <v>1</v>
          </cell>
          <cell r="K9">
            <v>1</v>
          </cell>
          <cell r="L9">
            <v>1</v>
          </cell>
          <cell r="M9">
            <v>1</v>
          </cell>
          <cell r="N9">
            <v>1</v>
          </cell>
        </row>
        <row r="10">
          <cell r="A10" t="str">
            <v>mt</v>
          </cell>
          <cell r="B10" t="str">
            <v>Non-employed</v>
          </cell>
          <cell r="C10">
            <v>0</v>
          </cell>
          <cell r="D10">
            <v>0</v>
          </cell>
          <cell r="E10">
            <v>0</v>
          </cell>
          <cell r="F10">
            <v>0</v>
          </cell>
          <cell r="G10">
            <v>0</v>
          </cell>
          <cell r="H10">
            <v>0</v>
          </cell>
          <cell r="I10">
            <v>0</v>
          </cell>
          <cell r="J10">
            <v>0</v>
          </cell>
          <cell r="K10">
            <v>0</v>
          </cell>
          <cell r="L10">
            <v>0</v>
          </cell>
          <cell r="M10">
            <v>0</v>
          </cell>
          <cell r="N10">
            <v>0</v>
          </cell>
        </row>
        <row r="11">
          <cell r="A11" t="str">
            <v>fi</v>
          </cell>
          <cell r="B11" t="str">
            <v>Self-employed</v>
          </cell>
          <cell r="C11">
            <v>0.44965517241379305</v>
          </cell>
          <cell r="D11">
            <v>0.44246917315984569</v>
          </cell>
          <cell r="E11">
            <v>0.50389376178375278</v>
          </cell>
          <cell r="F11">
            <v>0.53095299255073203</v>
          </cell>
          <cell r="G11">
            <v>0.53156586578293286</v>
          </cell>
          <cell r="H11">
            <v>0.54877425944841673</v>
          </cell>
          <cell r="I11">
            <v>0.58178881142662819</v>
          </cell>
          <cell r="J11">
            <v>0.6201624049758121</v>
          </cell>
          <cell r="K11">
            <v>0.6201624049758121</v>
          </cell>
          <cell r="L11">
            <v>0.62016240497581199</v>
          </cell>
          <cell r="M11">
            <v>0.62016240497581199</v>
          </cell>
          <cell r="N11">
            <v>0.62016240497581199</v>
          </cell>
        </row>
        <row r="12">
          <cell r="A12" t="str">
            <v>fi</v>
          </cell>
          <cell r="B12" t="str">
            <v>Non-employed</v>
          </cell>
          <cell r="C12">
            <v>0.55034482758620695</v>
          </cell>
          <cell r="D12">
            <v>0.55753082684015431</v>
          </cell>
          <cell r="E12">
            <v>0.49610623821624722</v>
          </cell>
          <cell r="F12">
            <v>0.46904700744926797</v>
          </cell>
          <cell r="G12">
            <v>0.46843413421706714</v>
          </cell>
          <cell r="H12">
            <v>0.45122574055158327</v>
          </cell>
          <cell r="I12">
            <v>0.41821118857337181</v>
          </cell>
          <cell r="J12">
            <v>0.3798375950241879</v>
          </cell>
          <cell r="K12">
            <v>0.3798375950241879</v>
          </cell>
          <cell r="L12">
            <v>0.3798375950241879</v>
          </cell>
          <cell r="M12">
            <v>0.3798375950241879</v>
          </cell>
          <cell r="N12">
            <v>0.3798375950241879</v>
          </cell>
        </row>
        <row r="13">
          <cell r="A13" t="str">
            <v>ee</v>
          </cell>
          <cell r="B13" t="str">
            <v>Self-employed</v>
          </cell>
          <cell r="C13">
            <v>1</v>
          </cell>
          <cell r="D13">
            <v>1</v>
          </cell>
          <cell r="E13">
            <v>1</v>
          </cell>
          <cell r="F13">
            <v>1</v>
          </cell>
          <cell r="G13">
            <v>1</v>
          </cell>
          <cell r="H13">
            <v>1</v>
          </cell>
          <cell r="I13">
            <v>1</v>
          </cell>
          <cell r="J13">
            <v>1</v>
          </cell>
          <cell r="K13">
            <v>1</v>
          </cell>
          <cell r="L13">
            <v>1</v>
          </cell>
          <cell r="M13">
            <v>1</v>
          </cell>
          <cell r="N13">
            <v>1</v>
          </cell>
        </row>
        <row r="14">
          <cell r="A14" t="str">
            <v>ee</v>
          </cell>
          <cell r="B14" t="str">
            <v>Non-employed</v>
          </cell>
          <cell r="C14">
            <v>0</v>
          </cell>
          <cell r="D14">
            <v>0</v>
          </cell>
          <cell r="E14">
            <v>0</v>
          </cell>
          <cell r="F14">
            <v>0</v>
          </cell>
          <cell r="G14">
            <v>0</v>
          </cell>
          <cell r="H14">
            <v>0</v>
          </cell>
          <cell r="I14">
            <v>0</v>
          </cell>
          <cell r="J14">
            <v>0</v>
          </cell>
          <cell r="K14">
            <v>0</v>
          </cell>
          <cell r="L14">
            <v>0</v>
          </cell>
          <cell r="M14">
            <v>0</v>
          </cell>
          <cell r="N14">
            <v>0</v>
          </cell>
        </row>
        <row r="15">
          <cell r="A15" t="str">
            <v>no</v>
          </cell>
          <cell r="B15" t="str">
            <v>Self-employed</v>
          </cell>
          <cell r="C15">
            <v>1</v>
          </cell>
          <cell r="D15">
            <v>1</v>
          </cell>
          <cell r="E15">
            <v>1</v>
          </cell>
          <cell r="F15">
            <v>1</v>
          </cell>
          <cell r="G15">
            <v>1</v>
          </cell>
          <cell r="H15">
            <v>1</v>
          </cell>
          <cell r="I15">
            <v>1</v>
          </cell>
          <cell r="J15">
            <v>1</v>
          </cell>
          <cell r="K15">
            <v>1</v>
          </cell>
          <cell r="L15">
            <v>1</v>
          </cell>
          <cell r="M15">
            <v>1</v>
          </cell>
          <cell r="N15">
            <v>1</v>
          </cell>
        </row>
        <row r="16">
          <cell r="A16" t="str">
            <v>no</v>
          </cell>
          <cell r="B16" t="str">
            <v>Non-employed</v>
          </cell>
          <cell r="C16">
            <v>0</v>
          </cell>
          <cell r="D16">
            <v>0</v>
          </cell>
          <cell r="E16">
            <v>0</v>
          </cell>
          <cell r="F16">
            <v>0</v>
          </cell>
          <cell r="G16">
            <v>0</v>
          </cell>
          <cell r="H16">
            <v>0</v>
          </cell>
          <cell r="I16">
            <v>0</v>
          </cell>
          <cell r="J16">
            <v>0</v>
          </cell>
          <cell r="K16">
            <v>0</v>
          </cell>
          <cell r="L16">
            <v>0</v>
          </cell>
          <cell r="M16">
            <v>0</v>
          </cell>
          <cell r="N16">
            <v>0</v>
          </cell>
        </row>
        <row r="17">
          <cell r="A17" t="str">
            <v>de</v>
          </cell>
          <cell r="B17" t="str">
            <v>Self-employed</v>
          </cell>
          <cell r="C17">
            <v>0.12989107142226375</v>
          </cell>
          <cell r="D17">
            <v>0.1181835441245333</v>
          </cell>
          <cell r="E17">
            <v>0.11989361110445844</v>
          </cell>
          <cell r="F17">
            <v>0.12245007323651101</v>
          </cell>
          <cell r="G17">
            <v>0.12387474183818478</v>
          </cell>
          <cell r="H17">
            <v>0.13033587052787718</v>
          </cell>
          <cell r="I17">
            <v>0.13187039763378222</v>
          </cell>
          <cell r="J17">
            <v>0.12977967346039423</v>
          </cell>
          <cell r="K17">
            <v>0.12977967346039423</v>
          </cell>
          <cell r="L17">
            <v>0.12977967346039423</v>
          </cell>
          <cell r="M17">
            <v>0.12977967346039423</v>
          </cell>
          <cell r="N17">
            <v>0.12977967346039423</v>
          </cell>
        </row>
        <row r="18">
          <cell r="A18" t="str">
            <v>de</v>
          </cell>
          <cell r="B18" t="str">
            <v>Non-employed</v>
          </cell>
          <cell r="C18">
            <v>0.87010892857773625</v>
          </cell>
          <cell r="D18">
            <v>0.88181645587546664</v>
          </cell>
          <cell r="E18">
            <v>0.8801063888955416</v>
          </cell>
          <cell r="F18">
            <v>0.87754992676348897</v>
          </cell>
          <cell r="G18">
            <v>0.87612525816181519</v>
          </cell>
          <cell r="H18">
            <v>0.86966412947212279</v>
          </cell>
          <cell r="I18">
            <v>0.86812960236621772</v>
          </cell>
          <cell r="J18">
            <v>0.87022032653960579</v>
          </cell>
          <cell r="K18">
            <v>0.87022032653960579</v>
          </cell>
          <cell r="L18">
            <v>0.87022032653960579</v>
          </cell>
          <cell r="M18">
            <v>0.87022032653960579</v>
          </cell>
          <cell r="N18">
            <v>0.87022032653960579</v>
          </cell>
        </row>
        <row r="19">
          <cell r="A19" t="str">
            <v>cy</v>
          </cell>
          <cell r="B19" t="str">
            <v>Self-employed</v>
          </cell>
          <cell r="C19">
            <v>1</v>
          </cell>
          <cell r="D19">
            <v>1</v>
          </cell>
          <cell r="E19">
            <v>1</v>
          </cell>
          <cell r="F19">
            <v>1</v>
          </cell>
          <cell r="G19">
            <v>1</v>
          </cell>
          <cell r="H19">
            <v>1</v>
          </cell>
          <cell r="I19">
            <v>1</v>
          </cell>
          <cell r="J19">
            <v>1</v>
          </cell>
          <cell r="K19">
            <v>1</v>
          </cell>
          <cell r="L19">
            <v>1</v>
          </cell>
          <cell r="M19">
            <v>1</v>
          </cell>
          <cell r="N19">
            <v>1</v>
          </cell>
        </row>
        <row r="20">
          <cell r="A20" t="str">
            <v>cy</v>
          </cell>
          <cell r="B20" t="str">
            <v>Non-employed</v>
          </cell>
          <cell r="C20">
            <v>0</v>
          </cell>
          <cell r="D20">
            <v>0</v>
          </cell>
          <cell r="E20">
            <v>0</v>
          </cell>
          <cell r="F20">
            <v>0</v>
          </cell>
          <cell r="G20">
            <v>0</v>
          </cell>
          <cell r="H20">
            <v>0</v>
          </cell>
          <cell r="I20">
            <v>0</v>
          </cell>
          <cell r="J20">
            <v>0</v>
          </cell>
          <cell r="K20">
            <v>0</v>
          </cell>
          <cell r="L20">
            <v>0</v>
          </cell>
          <cell r="M20">
            <v>0</v>
          </cell>
          <cell r="N20">
            <v>0</v>
          </cell>
        </row>
        <row r="21">
          <cell r="A21" t="str">
            <v>cz</v>
          </cell>
          <cell r="B21" t="str">
            <v>Self-employed</v>
          </cell>
          <cell r="C21">
            <v>1</v>
          </cell>
          <cell r="D21">
            <v>1</v>
          </cell>
          <cell r="E21">
            <v>1</v>
          </cell>
          <cell r="F21">
            <v>1</v>
          </cell>
          <cell r="G21">
            <v>1</v>
          </cell>
          <cell r="H21">
            <v>1</v>
          </cell>
          <cell r="I21">
            <v>1</v>
          </cell>
          <cell r="J21">
            <v>1</v>
          </cell>
          <cell r="K21">
            <v>1</v>
          </cell>
          <cell r="L21">
            <v>1</v>
          </cell>
          <cell r="M21">
            <v>1</v>
          </cell>
          <cell r="N21">
            <v>1</v>
          </cell>
        </row>
        <row r="22">
          <cell r="A22" t="str">
            <v>cz</v>
          </cell>
          <cell r="B22" t="str">
            <v>Non-employed</v>
          </cell>
          <cell r="C22">
            <v>0</v>
          </cell>
          <cell r="D22">
            <v>0</v>
          </cell>
          <cell r="E22">
            <v>0</v>
          </cell>
          <cell r="F22">
            <v>0</v>
          </cell>
          <cell r="G22">
            <v>0</v>
          </cell>
          <cell r="H22">
            <v>0</v>
          </cell>
          <cell r="I22">
            <v>0</v>
          </cell>
          <cell r="J22">
            <v>0</v>
          </cell>
          <cell r="K22">
            <v>0</v>
          </cell>
          <cell r="L22">
            <v>0</v>
          </cell>
          <cell r="M22">
            <v>0</v>
          </cell>
          <cell r="N22">
            <v>0</v>
          </cell>
        </row>
        <row r="23">
          <cell r="A23" t="str">
            <v>hu</v>
          </cell>
          <cell r="B23" t="str">
            <v>Self-employed</v>
          </cell>
          <cell r="C23">
            <v>0.4041095890410959</v>
          </cell>
          <cell r="D23">
            <v>0.4041095890410959</v>
          </cell>
          <cell r="E23">
            <v>0.4041095890410959</v>
          </cell>
          <cell r="F23">
            <v>0.4041095890410959</v>
          </cell>
          <cell r="G23">
            <v>0.4041095890410959</v>
          </cell>
          <cell r="H23">
            <v>0.32722513089005234</v>
          </cell>
          <cell r="I23">
            <v>0.48729792147806011</v>
          </cell>
          <cell r="J23">
            <v>0.44610281923714756</v>
          </cell>
          <cell r="K23">
            <v>0.44610281923714756</v>
          </cell>
          <cell r="L23">
            <v>0.44610281923714756</v>
          </cell>
          <cell r="M23">
            <v>0.44610281923714756</v>
          </cell>
          <cell r="N23">
            <v>0.44610281923714756</v>
          </cell>
        </row>
        <row r="24">
          <cell r="A24" t="str">
            <v>hu</v>
          </cell>
          <cell r="B24" t="str">
            <v>Non-employed</v>
          </cell>
          <cell r="C24">
            <v>0.59589041095890405</v>
          </cell>
          <cell r="D24">
            <v>0.59589041095890405</v>
          </cell>
          <cell r="E24">
            <v>0.59589041095890405</v>
          </cell>
          <cell r="F24">
            <v>0.59589041095890405</v>
          </cell>
          <cell r="G24">
            <v>0.59589041095890405</v>
          </cell>
          <cell r="H24">
            <v>0.67277486910994766</v>
          </cell>
          <cell r="I24">
            <v>0.51270207852193983</v>
          </cell>
          <cell r="J24">
            <v>0.55389718076285244</v>
          </cell>
          <cell r="K24">
            <v>0.55389718076285244</v>
          </cell>
          <cell r="L24">
            <v>0.55389718076285244</v>
          </cell>
          <cell r="M24">
            <v>0.55389718076285244</v>
          </cell>
          <cell r="N24">
            <v>0.55389718076285244</v>
          </cell>
        </row>
        <row r="25">
          <cell r="A25" t="str">
            <v>es</v>
          </cell>
          <cell r="B25" t="str">
            <v>Self-employed</v>
          </cell>
          <cell r="C25">
            <v>0.64746897921951341</v>
          </cell>
          <cell r="D25">
            <v>0.69661149591767613</v>
          </cell>
          <cell r="E25">
            <v>0.71971547964286531</v>
          </cell>
          <cell r="F25">
            <v>0.73768453417132007</v>
          </cell>
          <cell r="G25">
            <v>0.73488599880285133</v>
          </cell>
          <cell r="H25">
            <v>0.74154437851567723</v>
          </cell>
          <cell r="I25">
            <v>0.73639497539751919</v>
          </cell>
          <cell r="J25">
            <v>0.7005805567575365</v>
          </cell>
          <cell r="K25">
            <v>0.7005805567575365</v>
          </cell>
          <cell r="L25">
            <v>0.7005805567575365</v>
          </cell>
          <cell r="M25">
            <v>0.7005805567575365</v>
          </cell>
          <cell r="N25">
            <v>0.7005805567575365</v>
          </cell>
        </row>
        <row r="26">
          <cell r="A26" t="str">
            <v>es</v>
          </cell>
          <cell r="B26" t="str">
            <v>Non-employed</v>
          </cell>
          <cell r="C26">
            <v>0.35253102078048659</v>
          </cell>
          <cell r="D26">
            <v>0.30338850408232387</v>
          </cell>
          <cell r="E26">
            <v>0.28028452035713469</v>
          </cell>
          <cell r="F26">
            <v>0.26231546582867993</v>
          </cell>
          <cell r="G26">
            <v>0.26511400119714867</v>
          </cell>
          <cell r="H26">
            <v>0.25845562148432277</v>
          </cell>
          <cell r="I26">
            <v>0.26360502460248081</v>
          </cell>
          <cell r="J26">
            <v>0.2994194432424635</v>
          </cell>
          <cell r="K26">
            <v>0.2994194432424635</v>
          </cell>
          <cell r="L26">
            <v>0.2994194432424635</v>
          </cell>
          <cell r="M26">
            <v>0.2994194432424635</v>
          </cell>
          <cell r="N26">
            <v>0.2994194432424635</v>
          </cell>
        </row>
        <row r="27">
          <cell r="A27" t="str">
            <v>fr</v>
          </cell>
          <cell r="B27" t="str">
            <v>Self-employed</v>
          </cell>
          <cell r="C27">
            <v>0.66184289930979334</v>
          </cell>
          <cell r="D27">
            <v>0.69967108013431945</v>
          </cell>
          <cell r="E27">
            <v>0.65736423014281531</v>
          </cell>
          <cell r="F27">
            <v>0.74093740332499947</v>
          </cell>
          <cell r="G27">
            <v>0.75269516206288178</v>
          </cell>
          <cell r="H27">
            <v>0.75393290558440829</v>
          </cell>
          <cell r="I27">
            <v>0.75464628375202136</v>
          </cell>
          <cell r="J27">
            <v>0.75461956481080594</v>
          </cell>
          <cell r="K27">
            <v>0.75461956481080594</v>
          </cell>
          <cell r="L27">
            <v>0.75461956481080594</v>
          </cell>
          <cell r="M27">
            <v>0.75461956481080594</v>
          </cell>
          <cell r="N27">
            <v>0.75461956481080594</v>
          </cell>
        </row>
        <row r="28">
          <cell r="A28" t="str">
            <v>fr</v>
          </cell>
          <cell r="B28" t="str">
            <v>Non-employed</v>
          </cell>
          <cell r="C28">
            <v>0.33815710069020666</v>
          </cell>
          <cell r="D28">
            <v>0.30032891986568055</v>
          </cell>
          <cell r="E28">
            <v>0.34263576985718469</v>
          </cell>
          <cell r="F28">
            <v>0.25906259667500053</v>
          </cell>
          <cell r="G28">
            <v>0.24730483793711822</v>
          </cell>
          <cell r="H28">
            <v>0.24606709441559171</v>
          </cell>
          <cell r="I28">
            <v>0.24535371624797864</v>
          </cell>
          <cell r="J28">
            <v>0.24535371624797864</v>
          </cell>
          <cell r="K28">
            <v>0.24535371624797864</v>
          </cell>
          <cell r="L28">
            <v>0.24535371624797864</v>
          </cell>
          <cell r="M28">
            <v>0.24535371624797864</v>
          </cell>
          <cell r="N28">
            <v>0.24535371624797864</v>
          </cell>
        </row>
        <row r="29">
          <cell r="A29" t="str">
            <v>gr</v>
          </cell>
          <cell r="B29" t="str">
            <v>Self-employed</v>
          </cell>
          <cell r="C29">
            <v>0.83758366516987204</v>
          </cell>
          <cell r="D29">
            <v>0.82331994848094547</v>
          </cell>
          <cell r="E29">
            <v>0.81750900120016001</v>
          </cell>
          <cell r="F29">
            <v>0.84148911261999548</v>
          </cell>
          <cell r="G29">
            <v>0.83877923370376517</v>
          </cell>
          <cell r="H29">
            <v>0.8382519725734725</v>
          </cell>
          <cell r="I29">
            <v>0.81790772802297862</v>
          </cell>
          <cell r="J29">
            <v>0.83089447152893348</v>
          </cell>
          <cell r="K29">
            <v>0.83089447152893348</v>
          </cell>
          <cell r="L29">
            <v>0.83089447152893348</v>
          </cell>
          <cell r="M29">
            <v>0.83089447152893348</v>
          </cell>
          <cell r="N29">
            <v>0.83089447152893348</v>
          </cell>
        </row>
        <row r="30">
          <cell r="A30" t="str">
            <v>gr</v>
          </cell>
          <cell r="B30" t="str">
            <v>Non-employed</v>
          </cell>
          <cell r="C30">
            <v>0.16241633483012796</v>
          </cell>
          <cell r="D30">
            <v>0.17668005151905453</v>
          </cell>
          <cell r="E30">
            <v>0.18249099879983999</v>
          </cell>
          <cell r="F30">
            <v>0.15851088738000452</v>
          </cell>
          <cell r="G30">
            <v>0.16122076629623483</v>
          </cell>
          <cell r="H30">
            <v>0.1617480274265275</v>
          </cell>
          <cell r="I30">
            <v>0.18209227197702138</v>
          </cell>
          <cell r="J30">
            <v>0.16910552847106652</v>
          </cell>
          <cell r="K30">
            <v>0.16910552847106652</v>
          </cell>
          <cell r="L30">
            <v>0.16910552847106652</v>
          </cell>
          <cell r="M30">
            <v>0.16910552847106652</v>
          </cell>
          <cell r="N30">
            <v>0.16910552847106652</v>
          </cell>
        </row>
        <row r="31">
          <cell r="A31" t="str">
            <v>at</v>
          </cell>
          <cell r="B31" t="str">
            <v>Self-employed</v>
          </cell>
          <cell r="C31">
            <v>0.54704636385031769</v>
          </cell>
          <cell r="D31">
            <v>0.55647906627171839</v>
          </cell>
          <cell r="E31">
            <v>0.57649013499480783</v>
          </cell>
          <cell r="F31">
            <v>0.58453546453546457</v>
          </cell>
          <cell r="G31">
            <v>0.5875710525311868</v>
          </cell>
          <cell r="H31">
            <v>0.58623631979224633</v>
          </cell>
          <cell r="I31">
            <v>0.58710952397462113</v>
          </cell>
          <cell r="J31">
            <v>0.59057130367530863</v>
          </cell>
          <cell r="K31">
            <v>0.59057130367530863</v>
          </cell>
          <cell r="L31">
            <v>0.59057130367530863</v>
          </cell>
          <cell r="M31">
            <v>0.59057130367530863</v>
          </cell>
          <cell r="N31">
            <v>0.59057130367530863</v>
          </cell>
        </row>
        <row r="32">
          <cell r="A32" t="str">
            <v>at</v>
          </cell>
          <cell r="B32" t="str">
            <v>Non-employed</v>
          </cell>
          <cell r="C32">
            <v>0.45295363614968231</v>
          </cell>
          <cell r="D32">
            <v>0.44352093372828161</v>
          </cell>
          <cell r="E32">
            <v>0.42350986500519217</v>
          </cell>
          <cell r="F32">
            <v>0.41546453546453543</v>
          </cell>
          <cell r="G32">
            <v>0.4124289474688132</v>
          </cell>
          <cell r="H32">
            <v>0.41376368020775367</v>
          </cell>
          <cell r="I32">
            <v>0.41289047602537887</v>
          </cell>
          <cell r="J32">
            <v>0.40942869632469137</v>
          </cell>
          <cell r="K32">
            <v>0.40942869632469137</v>
          </cell>
          <cell r="L32">
            <v>0.40942869632469137</v>
          </cell>
          <cell r="M32">
            <v>0.40942869632469137</v>
          </cell>
          <cell r="N32">
            <v>0.40942869632469137</v>
          </cell>
        </row>
        <row r="33">
          <cell r="A33" t="str">
            <v>be</v>
          </cell>
          <cell r="B33" t="str">
            <v>Self-employed</v>
          </cell>
          <cell r="C33">
            <v>0.73081499107673997</v>
          </cell>
          <cell r="D33">
            <v>0.71709312004632486</v>
          </cell>
          <cell r="E33">
            <v>0.71418487276320908</v>
          </cell>
          <cell r="F33">
            <v>0.71449290376048891</v>
          </cell>
          <cell r="G33">
            <v>0.71049032346303775</v>
          </cell>
          <cell r="H33">
            <v>0.70325657894736848</v>
          </cell>
          <cell r="I33">
            <v>0.70277671634186722</v>
          </cell>
          <cell r="J33">
            <v>0.69724881832505148</v>
          </cell>
          <cell r="K33">
            <v>0.69281391386097879</v>
          </cell>
          <cell r="L33">
            <v>0.69281391386097879</v>
          </cell>
          <cell r="M33">
            <v>0.69281391386097879</v>
          </cell>
          <cell r="N33">
            <v>0.69281391386097879</v>
          </cell>
        </row>
        <row r="34">
          <cell r="A34" t="str">
            <v>be</v>
          </cell>
          <cell r="B34" t="str">
            <v>Non-employed</v>
          </cell>
          <cell r="C34">
            <v>0.26918500892326003</v>
          </cell>
          <cell r="D34">
            <v>0.28290687995367514</v>
          </cell>
          <cell r="E34">
            <v>0.28581512723679092</v>
          </cell>
          <cell r="F34">
            <v>0.28550709623951109</v>
          </cell>
          <cell r="G34">
            <v>0.28950967653696225</v>
          </cell>
          <cell r="H34">
            <v>0.29674342105263152</v>
          </cell>
          <cell r="I34">
            <v>0.29722328365813278</v>
          </cell>
          <cell r="J34">
            <v>0.30275118167494852</v>
          </cell>
          <cell r="K34">
            <v>0.30718608613902121</v>
          </cell>
          <cell r="L34">
            <v>0.30718608613902121</v>
          </cell>
          <cell r="M34">
            <v>0.30718608613902121</v>
          </cell>
          <cell r="N34">
            <v>0.30718608613902121</v>
          </cell>
        </row>
        <row r="35">
          <cell r="A35" t="str">
            <v>it</v>
          </cell>
          <cell r="B35" t="str">
            <v>Self-employed</v>
          </cell>
          <cell r="C35">
            <v>0.9435149107392975</v>
          </cell>
          <cell r="D35">
            <v>0.94252820257156433</v>
          </cell>
          <cell r="E35">
            <v>0.93498796924260774</v>
          </cell>
          <cell r="F35">
            <v>0.96726613089086977</v>
          </cell>
          <cell r="G35">
            <v>0.9760388629948139</v>
          </cell>
          <cell r="H35">
            <v>0.97834128878281623</v>
          </cell>
          <cell r="I35">
            <v>0.97047028800583301</v>
          </cell>
          <cell r="J35">
            <v>0.97768004398020891</v>
          </cell>
          <cell r="K35">
            <v>0.97768004398020891</v>
          </cell>
          <cell r="L35">
            <v>0.97768004398020891</v>
          </cell>
          <cell r="M35">
            <v>0.97768004398020891</v>
          </cell>
          <cell r="N35">
            <v>0.97768004398020891</v>
          </cell>
        </row>
        <row r="36">
          <cell r="A36" t="str">
            <v>it</v>
          </cell>
          <cell r="B36" t="str">
            <v>Non-employed</v>
          </cell>
          <cell r="C36">
            <v>5.6485089260702503E-2</v>
          </cell>
          <cell r="D36">
            <v>5.7471797428435667E-2</v>
          </cell>
          <cell r="E36">
            <v>6.5012030757392258E-2</v>
          </cell>
          <cell r="F36">
            <v>3.2733869109130231E-2</v>
          </cell>
          <cell r="G36">
            <v>2.3961137005186095E-2</v>
          </cell>
          <cell r="H36">
            <v>2.1658711217183768E-2</v>
          </cell>
          <cell r="I36">
            <v>2.9529711994166985E-2</v>
          </cell>
          <cell r="J36">
            <v>2.2319956019791087E-2</v>
          </cell>
          <cell r="K36">
            <v>2.2319956019791087E-2</v>
          </cell>
          <cell r="L36">
            <v>2.2319956019791087E-2</v>
          </cell>
          <cell r="M36">
            <v>2.2319956019791087E-2</v>
          </cell>
          <cell r="N36">
            <v>2.2319956019791087E-2</v>
          </cell>
        </row>
        <row r="37">
          <cell r="A37" t="str">
            <v>lu</v>
          </cell>
          <cell r="B37" t="str">
            <v>Self-employed</v>
          </cell>
          <cell r="C37">
            <v>0.42479001636833824</v>
          </cell>
          <cell r="D37">
            <v>0.44116377765922155</v>
          </cell>
          <cell r="E37">
            <v>0.44436799631811447</v>
          </cell>
          <cell r="F37">
            <v>0.44524911079071527</v>
          </cell>
          <cell r="G37">
            <v>0.41825549192337946</v>
          </cell>
          <cell r="H37">
            <v>0.38710880635461714</v>
          </cell>
          <cell r="I37">
            <v>0.42065415742233042</v>
          </cell>
          <cell r="J37">
            <v>0.4061801545224234</v>
          </cell>
          <cell r="K37">
            <v>0.4061801545224234</v>
          </cell>
          <cell r="L37">
            <v>0.4061801545224234</v>
          </cell>
          <cell r="M37">
            <v>0.4061801545224234</v>
          </cell>
          <cell r="N37">
            <v>0.4061801545224234</v>
          </cell>
        </row>
        <row r="38">
          <cell r="A38" t="str">
            <v>lu</v>
          </cell>
          <cell r="B38" t="str">
            <v>Non-employed</v>
          </cell>
          <cell r="C38">
            <v>0.57520998363166176</v>
          </cell>
          <cell r="D38">
            <v>0.55883622234077845</v>
          </cell>
          <cell r="E38">
            <v>0.55563200368188559</v>
          </cell>
          <cell r="F38">
            <v>0.55475088920928473</v>
          </cell>
          <cell r="G38">
            <v>0.58174450807662059</v>
          </cell>
          <cell r="H38">
            <v>0.61289119364538291</v>
          </cell>
          <cell r="I38">
            <v>0.57934584257766963</v>
          </cell>
          <cell r="J38">
            <v>0.57934584257766963</v>
          </cell>
          <cell r="K38">
            <v>0.57934584257766963</v>
          </cell>
          <cell r="L38">
            <v>0.57934584257766963</v>
          </cell>
          <cell r="M38">
            <v>0.57934584257766963</v>
          </cell>
          <cell r="N38">
            <v>0.57934584257766963</v>
          </cell>
        </row>
        <row r="39">
          <cell r="A39" t="str">
            <v>lt</v>
          </cell>
          <cell r="B39" t="str">
            <v>Self-employed</v>
          </cell>
          <cell r="C39">
            <v>1</v>
          </cell>
          <cell r="D39">
            <v>1</v>
          </cell>
          <cell r="E39">
            <v>1</v>
          </cell>
          <cell r="F39">
            <v>1</v>
          </cell>
          <cell r="G39">
            <v>1</v>
          </cell>
          <cell r="H39">
            <v>1</v>
          </cell>
          <cell r="I39">
            <v>1</v>
          </cell>
          <cell r="J39">
            <v>1</v>
          </cell>
          <cell r="K39">
            <v>1</v>
          </cell>
          <cell r="L39">
            <v>1</v>
          </cell>
          <cell r="M39">
            <v>1</v>
          </cell>
          <cell r="N39">
            <v>1</v>
          </cell>
        </row>
        <row r="40">
          <cell r="A40" t="str">
            <v>lt</v>
          </cell>
          <cell r="B40" t="str">
            <v>Non-employed</v>
          </cell>
          <cell r="C40">
            <v>0</v>
          </cell>
          <cell r="D40">
            <v>0</v>
          </cell>
          <cell r="E40">
            <v>0</v>
          </cell>
          <cell r="F40">
            <v>0</v>
          </cell>
          <cell r="G40">
            <v>0</v>
          </cell>
          <cell r="H40">
            <v>0</v>
          </cell>
          <cell r="I40">
            <v>0</v>
          </cell>
          <cell r="J40">
            <v>0</v>
          </cell>
          <cell r="K40">
            <v>0</v>
          </cell>
          <cell r="L40">
            <v>0</v>
          </cell>
          <cell r="M40">
            <v>0</v>
          </cell>
          <cell r="N40">
            <v>0</v>
          </cell>
        </row>
        <row r="41">
          <cell r="A41" t="str">
            <v>lv</v>
          </cell>
          <cell r="B41" t="str">
            <v>Self-employed</v>
          </cell>
          <cell r="C41">
            <v>1</v>
          </cell>
          <cell r="D41">
            <v>1</v>
          </cell>
          <cell r="E41">
            <v>1</v>
          </cell>
          <cell r="F41">
            <v>1</v>
          </cell>
          <cell r="G41">
            <v>1</v>
          </cell>
          <cell r="H41">
            <v>1</v>
          </cell>
          <cell r="I41">
            <v>1</v>
          </cell>
          <cell r="J41">
            <v>1</v>
          </cell>
          <cell r="K41">
            <v>1</v>
          </cell>
          <cell r="L41">
            <v>1</v>
          </cell>
          <cell r="M41">
            <v>1</v>
          </cell>
          <cell r="N41">
            <v>1</v>
          </cell>
        </row>
        <row r="42">
          <cell r="A42" t="str">
            <v>lv</v>
          </cell>
          <cell r="B42" t="str">
            <v>Non-employed</v>
          </cell>
          <cell r="C42">
            <v>0</v>
          </cell>
          <cell r="D42">
            <v>0</v>
          </cell>
          <cell r="E42">
            <v>0</v>
          </cell>
          <cell r="F42">
            <v>0</v>
          </cell>
          <cell r="G42">
            <v>0</v>
          </cell>
          <cell r="H42">
            <v>0</v>
          </cell>
          <cell r="I42">
            <v>0</v>
          </cell>
          <cell r="J42">
            <v>0</v>
          </cell>
          <cell r="K42">
            <v>0</v>
          </cell>
          <cell r="L42">
            <v>0</v>
          </cell>
          <cell r="M42">
            <v>0</v>
          </cell>
          <cell r="N42">
            <v>0</v>
          </cell>
        </row>
        <row r="43">
          <cell r="A43" t="str">
            <v>si</v>
          </cell>
          <cell r="B43" t="str">
            <v>Self-employed</v>
          </cell>
          <cell r="C43">
            <v>0.47133512889572921</v>
          </cell>
          <cell r="D43">
            <v>0.47133512889572921</v>
          </cell>
          <cell r="E43">
            <v>0.53445065176908757</v>
          </cell>
          <cell r="F43">
            <v>0.50334788937409025</v>
          </cell>
          <cell r="G43">
            <v>0.43432835820895521</v>
          </cell>
          <cell r="H43">
            <v>0.43480356712460838</v>
          </cell>
          <cell r="I43">
            <v>0.42958057395143484</v>
          </cell>
          <cell r="J43">
            <v>0.40606571187868573</v>
          </cell>
          <cell r="K43">
            <v>0.40606571187868573</v>
          </cell>
          <cell r="L43">
            <v>0.40606571187868573</v>
          </cell>
          <cell r="M43">
            <v>0.40606571187868573</v>
          </cell>
          <cell r="N43">
            <v>0.40606571187868573</v>
          </cell>
        </row>
        <row r="44">
          <cell r="A44" t="str">
            <v>si</v>
          </cell>
          <cell r="B44" t="str">
            <v>Non-employed</v>
          </cell>
          <cell r="C44">
            <v>0.52866487110427074</v>
          </cell>
          <cell r="D44">
            <v>0.52866487110427074</v>
          </cell>
          <cell r="E44">
            <v>0.46554934823091243</v>
          </cell>
          <cell r="F44">
            <v>0.49665211062590975</v>
          </cell>
          <cell r="G44">
            <v>0.56567164179104479</v>
          </cell>
          <cell r="H44">
            <v>0.56519643287539156</v>
          </cell>
          <cell r="I44">
            <v>0.5704194260485651</v>
          </cell>
          <cell r="J44">
            <v>0.59393428812131432</v>
          </cell>
          <cell r="K44">
            <v>0.59393428812131432</v>
          </cell>
          <cell r="L44">
            <v>0.59393428812131432</v>
          </cell>
          <cell r="M44">
            <v>0.59393428812131432</v>
          </cell>
          <cell r="N44">
            <v>0.59393428812131432</v>
          </cell>
        </row>
        <row r="45">
          <cell r="A45" t="str">
            <v>sk</v>
          </cell>
          <cell r="B45" t="str">
            <v>Self-employed</v>
          </cell>
          <cell r="C45">
            <v>0.98944591029023754</v>
          </cell>
          <cell r="D45">
            <v>0.92125134843581447</v>
          </cell>
          <cell r="E45">
            <v>0.9452054794520548</v>
          </cell>
          <cell r="F45">
            <v>0.91967871485943775</v>
          </cell>
          <cell r="G45">
            <v>0.89655172413793105</v>
          </cell>
          <cell r="H45">
            <v>0.89077340569877894</v>
          </cell>
          <cell r="I45">
            <v>0.86517664023071394</v>
          </cell>
          <cell r="J45">
            <v>0.84913217623497983</v>
          </cell>
          <cell r="K45">
            <v>0.84913217623497983</v>
          </cell>
          <cell r="L45">
            <v>0.84913217623497983</v>
          </cell>
          <cell r="M45">
            <v>0.84913217623497983</v>
          </cell>
          <cell r="N45">
            <v>0.84913217623497983</v>
          </cell>
        </row>
        <row r="46">
          <cell r="A46" t="str">
            <v>sk</v>
          </cell>
          <cell r="B46" t="str">
            <v>Non-employed</v>
          </cell>
          <cell r="C46">
            <v>1.055408970976246E-2</v>
          </cell>
          <cell r="D46">
            <v>7.8748651564185534E-2</v>
          </cell>
          <cell r="E46">
            <v>5.4794520547945202E-2</v>
          </cell>
          <cell r="F46">
            <v>8.0321285140562249E-2</v>
          </cell>
          <cell r="G46">
            <v>0.10344827586206895</v>
          </cell>
          <cell r="H46">
            <v>0.10922659430122106</v>
          </cell>
          <cell r="I46">
            <v>0.13482335976928606</v>
          </cell>
          <cell r="J46">
            <v>0.15086782376502017</v>
          </cell>
          <cell r="K46">
            <v>0.15086782376502017</v>
          </cell>
          <cell r="L46">
            <v>0.15086782376502017</v>
          </cell>
          <cell r="M46">
            <v>0.15086782376502017</v>
          </cell>
          <cell r="N46">
            <v>0.15086782376502017</v>
          </cell>
        </row>
        <row r="47">
          <cell r="A47" t="str">
            <v>uk</v>
          </cell>
          <cell r="B47" t="str">
            <v>Self-employed</v>
          </cell>
          <cell r="C47">
            <v>0.96543510773832597</v>
          </cell>
          <cell r="D47">
            <v>0.95675949367088609</v>
          </cell>
          <cell r="E47">
            <v>0.95554083702446491</v>
          </cell>
          <cell r="F47">
            <v>0.96125769569041342</v>
          </cell>
          <cell r="G47">
            <v>0.96064502959787712</v>
          </cell>
          <cell r="H47">
            <v>0.95362812808323616</v>
          </cell>
          <cell r="I47">
            <v>0.96314277506463652</v>
          </cell>
          <cell r="J47">
            <v>0.95979748056175029</v>
          </cell>
          <cell r="K47">
            <v>0.95979748056175029</v>
          </cell>
          <cell r="L47">
            <v>0.95979748056175029</v>
          </cell>
          <cell r="M47">
            <v>0.95979748056175029</v>
          </cell>
          <cell r="N47">
            <v>0.95979748056175029</v>
          </cell>
        </row>
        <row r="48">
          <cell r="A48" t="str">
            <v>uk</v>
          </cell>
          <cell r="B48" t="str">
            <v>Non-employed</v>
          </cell>
          <cell r="C48">
            <v>3.456489226167403E-2</v>
          </cell>
          <cell r="D48">
            <v>4.3240506329113915E-2</v>
          </cell>
          <cell r="E48">
            <v>4.4459162975535094E-2</v>
          </cell>
          <cell r="F48">
            <v>3.8742304309586584E-2</v>
          </cell>
          <cell r="G48">
            <v>3.935497040212288E-2</v>
          </cell>
          <cell r="H48">
            <v>4.637187191676384E-2</v>
          </cell>
          <cell r="I48">
            <v>3.6857224935363475E-2</v>
          </cell>
          <cell r="J48">
            <v>4.0202519438249706E-2</v>
          </cell>
          <cell r="K48">
            <v>4.0202519438249706E-2</v>
          </cell>
          <cell r="L48">
            <v>4.0202519438249706E-2</v>
          </cell>
          <cell r="M48">
            <v>4.0202519438249706E-2</v>
          </cell>
          <cell r="N48">
            <v>4.0202519438249706E-2</v>
          </cell>
        </row>
        <row r="49">
          <cell r="A49" t="str">
            <v>pt</v>
          </cell>
          <cell r="B49" t="str">
            <v>Self-employed</v>
          </cell>
          <cell r="C49">
            <v>0.8883318140382862</v>
          </cell>
          <cell r="D49">
            <v>0.89197644460802361</v>
          </cell>
          <cell r="E49">
            <v>0.87957023733162276</v>
          </cell>
          <cell r="F49">
            <v>0.85815157696532252</v>
          </cell>
          <cell r="G49">
            <v>0.81043219076005957</v>
          </cell>
          <cell r="H49">
            <v>0.79889690284259662</v>
          </cell>
          <cell r="I49">
            <v>0.73518318965517238</v>
          </cell>
          <cell r="J49">
            <v>0.74782288728075552</v>
          </cell>
          <cell r="K49">
            <v>0.74782288728075552</v>
          </cell>
          <cell r="L49">
            <v>0.74782288728075552</v>
          </cell>
          <cell r="M49">
            <v>0.74782288728075552</v>
          </cell>
          <cell r="N49">
            <v>0.74782288728075552</v>
          </cell>
        </row>
        <row r="50">
          <cell r="A50" t="str">
            <v>pt</v>
          </cell>
          <cell r="B50" t="str">
            <v>Non-employed</v>
          </cell>
          <cell r="C50">
            <v>0.1116681859617138</v>
          </cell>
          <cell r="D50">
            <v>0.10802355539197639</v>
          </cell>
          <cell r="E50">
            <v>0.12042976266837724</v>
          </cell>
          <cell r="F50">
            <v>0.14184842303467748</v>
          </cell>
          <cell r="G50">
            <v>0.18956780923994043</v>
          </cell>
          <cell r="H50">
            <v>0.20110309715740338</v>
          </cell>
          <cell r="I50">
            <v>0.26481681034482762</v>
          </cell>
          <cell r="J50">
            <v>0.25217711271924448</v>
          </cell>
          <cell r="K50">
            <v>0.25217711271924448</v>
          </cell>
          <cell r="L50">
            <v>0.25217711271924448</v>
          </cell>
          <cell r="M50">
            <v>0.25217711271924448</v>
          </cell>
          <cell r="N50">
            <v>0.25217711271924448</v>
          </cell>
        </row>
        <row r="51">
          <cell r="A51" t="str">
            <v>pl</v>
          </cell>
          <cell r="B51" t="str">
            <v>Self-employed</v>
          </cell>
          <cell r="C51">
            <v>1</v>
          </cell>
          <cell r="D51">
            <v>1</v>
          </cell>
          <cell r="E51">
            <v>1</v>
          </cell>
          <cell r="F51">
            <v>1</v>
          </cell>
          <cell r="G51">
            <v>1</v>
          </cell>
          <cell r="H51">
            <v>1</v>
          </cell>
          <cell r="I51">
            <v>1</v>
          </cell>
          <cell r="J51">
            <v>1</v>
          </cell>
          <cell r="K51">
            <v>1</v>
          </cell>
          <cell r="L51">
            <v>1</v>
          </cell>
          <cell r="M51">
            <v>1</v>
          </cell>
          <cell r="N51">
            <v>1</v>
          </cell>
        </row>
        <row r="52">
          <cell r="A52" t="str">
            <v>pl</v>
          </cell>
          <cell r="B52" t="str">
            <v>Non-employed</v>
          </cell>
          <cell r="C52">
            <v>0</v>
          </cell>
          <cell r="D52">
            <v>0</v>
          </cell>
          <cell r="E52">
            <v>0</v>
          </cell>
          <cell r="F52">
            <v>0</v>
          </cell>
          <cell r="G52">
            <v>0</v>
          </cell>
          <cell r="H52">
            <v>0</v>
          </cell>
          <cell r="I52">
            <v>0</v>
          </cell>
          <cell r="J52">
            <v>0</v>
          </cell>
          <cell r="K52">
            <v>0</v>
          </cell>
          <cell r="L52">
            <v>0</v>
          </cell>
          <cell r="M52">
            <v>0</v>
          </cell>
          <cell r="N52">
            <v>0</v>
          </cell>
        </row>
        <row r="53">
          <cell r="A53" t="str">
            <v>nl</v>
          </cell>
          <cell r="B53" t="str">
            <v>Self-employed</v>
          </cell>
        </row>
        <row r="54">
          <cell r="A54" t="str">
            <v>nl</v>
          </cell>
          <cell r="B54" t="str">
            <v>Non-employed</v>
          </cell>
        </row>
        <row r="55">
          <cell r="A55" t="str">
            <v>ro</v>
          </cell>
          <cell r="B55" t="str">
            <v>Self-employed</v>
          </cell>
          <cell r="C55">
            <v>1</v>
          </cell>
          <cell r="D55">
            <v>1</v>
          </cell>
          <cell r="E55">
            <v>1</v>
          </cell>
          <cell r="F55">
            <v>1</v>
          </cell>
          <cell r="G55">
            <v>1</v>
          </cell>
          <cell r="H55">
            <v>1</v>
          </cell>
          <cell r="I55">
            <v>1</v>
          </cell>
          <cell r="J55">
            <v>1</v>
          </cell>
          <cell r="K55">
            <v>1</v>
          </cell>
          <cell r="L55">
            <v>1</v>
          </cell>
          <cell r="M55">
            <v>1</v>
          </cell>
          <cell r="N55">
            <v>1</v>
          </cell>
        </row>
        <row r="56">
          <cell r="A56" t="str">
            <v>ro</v>
          </cell>
          <cell r="B56" t="str">
            <v>Non-employed</v>
          </cell>
          <cell r="C56">
            <v>0</v>
          </cell>
          <cell r="D56">
            <v>0</v>
          </cell>
          <cell r="E56">
            <v>0</v>
          </cell>
          <cell r="F56">
            <v>0</v>
          </cell>
          <cell r="G56">
            <v>0</v>
          </cell>
          <cell r="H56">
            <v>0</v>
          </cell>
          <cell r="I56">
            <v>0</v>
          </cell>
          <cell r="J56">
            <v>0</v>
          </cell>
          <cell r="K56">
            <v>0</v>
          </cell>
          <cell r="L56">
            <v>0</v>
          </cell>
          <cell r="M56">
            <v>0</v>
          </cell>
          <cell r="N56">
            <v>0</v>
          </cell>
        </row>
        <row r="57">
          <cell r="A57" t="str">
            <v>bg</v>
          </cell>
          <cell r="B57" t="str">
            <v>Self-employed</v>
          </cell>
          <cell r="C57">
            <v>1</v>
          </cell>
          <cell r="D57">
            <v>1</v>
          </cell>
          <cell r="E57">
            <v>1</v>
          </cell>
          <cell r="F57">
            <v>1</v>
          </cell>
          <cell r="G57">
            <v>1</v>
          </cell>
          <cell r="H57">
            <v>1</v>
          </cell>
          <cell r="I57">
            <v>1</v>
          </cell>
          <cell r="J57">
            <v>1</v>
          </cell>
          <cell r="K57">
            <v>1</v>
          </cell>
          <cell r="L57">
            <v>1</v>
          </cell>
          <cell r="M57">
            <v>1</v>
          </cell>
          <cell r="N57">
            <v>1</v>
          </cell>
        </row>
        <row r="58">
          <cell r="A58" t="str">
            <v>bg</v>
          </cell>
          <cell r="B58" t="str">
            <v>Non-employed</v>
          </cell>
          <cell r="C58">
            <v>0</v>
          </cell>
          <cell r="D58">
            <v>0</v>
          </cell>
          <cell r="E58">
            <v>0</v>
          </cell>
          <cell r="F58">
            <v>0</v>
          </cell>
          <cell r="G58">
            <v>0</v>
          </cell>
          <cell r="H58">
            <v>0</v>
          </cell>
          <cell r="I58">
            <v>0</v>
          </cell>
          <cell r="J58">
            <v>0</v>
          </cell>
          <cell r="K58">
            <v>0</v>
          </cell>
          <cell r="L58">
            <v>0</v>
          </cell>
          <cell r="M58">
            <v>0</v>
          </cell>
          <cell r="N5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persons/person.xml><?xml version="1.0" encoding="utf-8"?>
<personList xmlns="http://schemas.microsoft.com/office/spreadsheetml/2018/threadedcomments" xmlns:x="http://schemas.openxmlformats.org/spreadsheetml/2006/main">
  <person displayName="Ieva Kodoliņa-Miglāne" id="{C56A1902-EF92-4D5E-A5A9-849551EEB151}" userId="Ieva Kodoliņa-Miglāne" providerId="None"/>
  <person displayName="Helena Lehtis" id="{1FE0BC03-F2E7-426F-AFCE-B3FF1AF1A773}" userId="S::helena.lehtis@fin.ee::35ae6fc8-5c4a-4be7-9e97-df8356141a6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Y70" dT="2023-01-03T13:39:49.72" personId="{1FE0BC03-F2E7-426F-AFCE-B3FF1AF1A773}" id="{0380A509-A3C2-4338-8FCE-B7DE404E6AA3}">
    <text xml:space="preserve">From 2018 onwards, a lower CIT at the rate of 14% for those companies making regular profit distributions is available. The payment of dividends in the amount that is below or equal to the extent of taxed dividends paid during the three preceding years will be taxed with a rate of 14% (the tax rate on the net amount being 14/86 instead of the regular 20/80). In cases where the recipient of the 14% dividend is either a resident or non-resident individual, a 7% WHT rate will apply unless a tax treaty provides for a lower WHT rate (5% or 0%). 2018 is the first year to be taken into consideration for the purposes of determining the average dividend.
</text>
  </threadedComment>
  <threadedComment ref="X106" dT="2022-03-16T07:19:34.43" personId="{C56A1902-EF92-4D5E-A5A9-849551EEB151}" id="{6E4D5E2B-602F-480A-9782-F245C6BD444F}">
    <text>Excise duties on fuel were originally to be increased from May 1, the state decided to postpone the increase in these excise duties until 2023.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www.finmin.lt/" TargetMode="External"/><Relationship Id="rId7" Type="http://schemas.openxmlformats.org/officeDocument/2006/relationships/vmlDrawing" Target="../drawings/vmlDrawing3.vml"/><Relationship Id="rId2" Type="http://schemas.openxmlformats.org/officeDocument/2006/relationships/hyperlink" Target="http://db1.stat.gov.lt/" TargetMode="External"/><Relationship Id="rId1" Type="http://schemas.openxmlformats.org/officeDocument/2006/relationships/hyperlink" Target="https://www.emta.ee/eng/private-client/declaration-income/amount-tax-free-income-beginning-1-january-2018" TargetMode="External"/><Relationship Id="rId6" Type="http://schemas.openxmlformats.org/officeDocument/2006/relationships/printerSettings" Target="../printerSettings/printerSettings3.bin"/><Relationship Id="rId5" Type="http://schemas.openxmlformats.org/officeDocument/2006/relationships/hyperlink" Target="http://www.ssa.gov/policy/docs/progdesc/ssptw/2014-2015/europe/ssptw14europe.pdf" TargetMode="External"/><Relationship Id="rId4" Type="http://schemas.openxmlformats.org/officeDocument/2006/relationships/hyperlink" Target="http://www3.lrs.lt/"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auditum.lt/index.php/atlyginimu-skaiciuokle/atlyginimu-palyginimo-skaiciuokle.html" TargetMode="External"/><Relationship Id="rId7" Type="http://schemas.openxmlformats.org/officeDocument/2006/relationships/comments" Target="../comments4.xml"/><Relationship Id="rId2" Type="http://schemas.openxmlformats.org/officeDocument/2006/relationships/hyperlink" Target="http://palk.crew.ee/2018/kalkulaator.html" TargetMode="External"/><Relationship Id="rId1" Type="http://schemas.openxmlformats.org/officeDocument/2006/relationships/hyperlink" Target="https://www.tax.lt/skaiciuokles/atlyginimo_ir_mokesciu_skaiciuokle" TargetMode="External"/><Relationship Id="rId6" Type="http://schemas.openxmlformats.org/officeDocument/2006/relationships/vmlDrawing" Target="../drawings/vmlDrawing4.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1414E-810B-4529-A2B7-4A932EDE3184}">
  <sheetPr>
    <tabColor rgb="FFFF0000"/>
    <pageSetUpPr fitToPage="1"/>
  </sheetPr>
  <dimension ref="A1:AG390"/>
  <sheetViews>
    <sheetView tabSelected="1" zoomScale="90" zoomScaleNormal="90" workbookViewId="0">
      <pane xSplit="1" ySplit="2" topLeftCell="S3" activePane="bottomRight" state="frozen"/>
      <selection pane="topRight" activeCell="B1" sqref="B1"/>
      <selection pane="bottomLeft" activeCell="A3" sqref="A3"/>
      <selection pane="bottomRight" activeCell="A236" sqref="A236:A237"/>
    </sheetView>
  </sheetViews>
  <sheetFormatPr defaultColWidth="9" defaultRowHeight="13.8" outlineLevelRow="1"/>
  <cols>
    <col min="1" max="1" width="42.5" style="1670" customWidth="1"/>
    <col min="2" max="2" width="7.09765625" style="1670" customWidth="1"/>
    <col min="3" max="3" width="7" style="39" customWidth="1"/>
    <col min="4" max="4" width="7.59765625" style="39" bestFit="1" customWidth="1"/>
    <col min="5" max="5" width="8.59765625" style="39" customWidth="1"/>
    <col min="6" max="6" width="8.5" style="39" customWidth="1"/>
    <col min="7" max="7" width="7.09765625" style="39" bestFit="1" customWidth="1"/>
    <col min="8" max="8" width="7.5" style="39" bestFit="1" customWidth="1"/>
    <col min="9" max="9" width="7.09765625" style="39" customWidth="1"/>
    <col min="10" max="10" width="8.59765625" style="39" bestFit="1" customWidth="1"/>
    <col min="11" max="13" width="7.59765625" style="39" customWidth="1"/>
    <col min="14" max="14" width="7.09765625" style="39" customWidth="1"/>
    <col min="15" max="18" width="7.5" style="39" customWidth="1"/>
    <col min="19" max="19" width="7.09765625" style="39" customWidth="1"/>
    <col min="20" max="20" width="8" style="39" customWidth="1"/>
    <col min="21" max="21" width="7.09765625" style="39" customWidth="1"/>
    <col min="22" max="23" width="7.59765625" style="39" customWidth="1"/>
    <col min="24" max="25" width="6.09765625" style="39" customWidth="1"/>
    <col min="26" max="30" width="10.3984375" style="39" customWidth="1"/>
    <col min="31" max="31" width="46.5" style="39" customWidth="1"/>
    <col min="32" max="32" width="9" style="39"/>
    <col min="33" max="33" width="9.3984375" style="39" customWidth="1"/>
    <col min="34" max="16384" width="9" style="39"/>
  </cols>
  <sheetData>
    <row r="1" spans="1:33" s="4" customFormat="1" ht="17.399999999999999">
      <c r="A1" s="1" t="s">
        <v>0</v>
      </c>
      <c r="B1" s="2"/>
      <c r="C1" s="3"/>
      <c r="D1" s="3"/>
      <c r="E1" s="3"/>
      <c r="M1" s="5"/>
      <c r="N1" s="6" t="s">
        <v>1</v>
      </c>
      <c r="O1" s="7">
        <v>0.70280399999999998</v>
      </c>
      <c r="P1" s="5"/>
      <c r="AE1" s="8" t="s">
        <v>2</v>
      </c>
    </row>
    <row r="2" spans="1:33" s="4" customFormat="1" ht="15.6">
      <c r="A2" s="9"/>
      <c r="B2" s="10">
        <v>2000</v>
      </c>
      <c r="C2" s="11">
        <v>2001</v>
      </c>
      <c r="D2" s="11">
        <v>2002</v>
      </c>
      <c r="E2" s="11">
        <v>2003</v>
      </c>
      <c r="F2" s="11">
        <v>2004</v>
      </c>
      <c r="G2" s="11">
        <v>2005</v>
      </c>
      <c r="H2" s="11">
        <v>2006</v>
      </c>
      <c r="I2" s="11">
        <v>2007</v>
      </c>
      <c r="J2" s="11">
        <v>2008</v>
      </c>
      <c r="K2" s="11">
        <v>2009</v>
      </c>
      <c r="L2" s="11">
        <v>2010</v>
      </c>
      <c r="M2" s="11">
        <v>2011</v>
      </c>
      <c r="N2" s="11">
        <v>2012</v>
      </c>
      <c r="O2" s="11">
        <v>2013</v>
      </c>
      <c r="P2" s="11">
        <v>2014</v>
      </c>
      <c r="Q2" s="11">
        <v>2015</v>
      </c>
      <c r="R2" s="11">
        <v>2016</v>
      </c>
      <c r="S2" s="11">
        <v>2017</v>
      </c>
      <c r="T2" s="11">
        <v>2018</v>
      </c>
      <c r="U2" s="11">
        <v>2019</v>
      </c>
      <c r="V2" s="11">
        <v>2020</v>
      </c>
      <c r="W2" s="11">
        <v>2021</v>
      </c>
      <c r="X2" s="4642">
        <v>2022</v>
      </c>
      <c r="Y2" s="4642"/>
      <c r="Z2" s="12">
        <v>2023</v>
      </c>
      <c r="AA2" s="12">
        <v>2024</v>
      </c>
      <c r="AB2" s="12">
        <v>2025</v>
      </c>
      <c r="AC2" s="12">
        <v>2026</v>
      </c>
      <c r="AD2" s="12">
        <v>2027</v>
      </c>
      <c r="AE2" s="13"/>
    </row>
    <row r="3" spans="1:33" s="4" customFormat="1" ht="21.6" customHeight="1">
      <c r="A3" s="14" t="s">
        <v>3</v>
      </c>
      <c r="B3" s="15">
        <f>B4/O1</f>
        <v>71.14359053164182</v>
      </c>
      <c r="C3" s="16">
        <f>C4/O1</f>
        <v>85.372308637970193</v>
      </c>
      <c r="D3" s="17">
        <f>D4/O1</f>
        <v>85.372308637970193</v>
      </c>
      <c r="E3" s="16">
        <f>E4/O1</f>
        <v>99.601026744298551</v>
      </c>
      <c r="F3" s="18">
        <f>F4/O1</f>
        <v>113.82974485062692</v>
      </c>
      <c r="G3" s="19">
        <f>G4/O1</f>
        <v>113.82974485062692</v>
      </c>
      <c r="H3" s="18">
        <f>H4/O1</f>
        <v>128.05846295695528</v>
      </c>
      <c r="I3" s="18">
        <f>I4/O1</f>
        <v>170.74461727594039</v>
      </c>
      <c r="J3" s="18">
        <f>J4/O1</f>
        <v>227.65948970125385</v>
      </c>
      <c r="K3" s="18">
        <f>K4/O1</f>
        <v>256.11692591391056</v>
      </c>
      <c r="L3" s="19">
        <f>L4/O1</f>
        <v>256.11692591391056</v>
      </c>
      <c r="M3" s="18">
        <f>M4/O1</f>
        <v>284.57436212656728</v>
      </c>
      <c r="N3" s="19">
        <f>N4/O1</f>
        <v>284.57436212656728</v>
      </c>
      <c r="O3" s="19">
        <f>O4/O1</f>
        <v>284.57436212656728</v>
      </c>
      <c r="P3" s="20">
        <v>320</v>
      </c>
      <c r="Q3" s="20">
        <v>360</v>
      </c>
      <c r="R3" s="20">
        <v>370</v>
      </c>
      <c r="S3" s="20">
        <v>380</v>
      </c>
      <c r="T3" s="20">
        <v>430</v>
      </c>
      <c r="U3" s="21">
        <v>430</v>
      </c>
      <c r="V3" s="22">
        <v>430</v>
      </c>
      <c r="W3" s="23">
        <v>500</v>
      </c>
      <c r="X3" s="4643">
        <v>500</v>
      </c>
      <c r="Y3" s="4643"/>
      <c r="Z3" s="23">
        <v>620</v>
      </c>
      <c r="AA3" s="23">
        <v>700</v>
      </c>
      <c r="AB3" s="23">
        <v>740</v>
      </c>
      <c r="AC3" s="23">
        <v>780</v>
      </c>
      <c r="AD3" s="23">
        <v>820</v>
      </c>
      <c r="AE3" s="24" t="s">
        <v>4</v>
      </c>
    </row>
    <row r="4" spans="1:33" s="31" customFormat="1" ht="16.350000000000001" customHeight="1">
      <c r="A4" s="25" t="s">
        <v>5</v>
      </c>
      <c r="B4" s="26">
        <v>50</v>
      </c>
      <c r="C4" s="27">
        <v>60</v>
      </c>
      <c r="D4" s="28">
        <v>60</v>
      </c>
      <c r="E4" s="27">
        <v>70</v>
      </c>
      <c r="F4" s="27">
        <v>80</v>
      </c>
      <c r="G4" s="28">
        <v>80</v>
      </c>
      <c r="H4" s="27">
        <v>90</v>
      </c>
      <c r="I4" s="27">
        <v>120</v>
      </c>
      <c r="J4" s="27">
        <v>160</v>
      </c>
      <c r="K4" s="27">
        <v>180</v>
      </c>
      <c r="L4" s="28">
        <v>180</v>
      </c>
      <c r="M4" s="27">
        <v>200</v>
      </c>
      <c r="N4" s="28">
        <v>200</v>
      </c>
      <c r="O4" s="28">
        <v>200</v>
      </c>
      <c r="P4" s="29"/>
      <c r="Q4" s="29"/>
      <c r="R4" s="29"/>
      <c r="S4" s="29"/>
      <c r="T4" s="29"/>
      <c r="U4" s="29"/>
      <c r="V4" s="29"/>
      <c r="W4" s="29"/>
      <c r="X4" s="4644"/>
      <c r="Y4" s="4644"/>
      <c r="Z4" s="29"/>
      <c r="AA4" s="29"/>
      <c r="AB4" s="29"/>
      <c r="AC4" s="29"/>
      <c r="AD4" s="29"/>
      <c r="AE4" s="30" t="s">
        <v>6</v>
      </c>
    </row>
    <row r="5" spans="1:33" s="4" customFormat="1" ht="15.6">
      <c r="A5" s="14" t="s">
        <v>7</v>
      </c>
      <c r="B5" s="32"/>
      <c r="C5" s="20"/>
      <c r="D5" s="33"/>
      <c r="E5" s="20"/>
      <c r="F5" s="20"/>
      <c r="G5" s="33"/>
      <c r="H5" s="20"/>
      <c r="I5" s="20"/>
      <c r="J5" s="20"/>
      <c r="K5" s="20"/>
      <c r="L5" s="33"/>
      <c r="M5" s="20"/>
      <c r="N5" s="33"/>
      <c r="O5" s="33"/>
      <c r="P5" s="20"/>
      <c r="Q5" s="20"/>
      <c r="R5" s="20"/>
      <c r="S5" s="20"/>
      <c r="T5" s="20"/>
      <c r="U5" s="20"/>
      <c r="V5" s="20"/>
      <c r="W5" s="20"/>
      <c r="X5" s="4645"/>
      <c r="Y5" s="4645"/>
      <c r="Z5" s="20"/>
      <c r="AA5" s="20"/>
      <c r="AB5" s="20"/>
      <c r="AC5" s="20"/>
      <c r="AD5" s="20"/>
      <c r="AE5" s="24" t="s">
        <v>8</v>
      </c>
    </row>
    <row r="6" spans="1:33">
      <c r="A6" s="34" t="s">
        <v>9</v>
      </c>
      <c r="B6" s="4646">
        <v>0.25</v>
      </c>
      <c r="C6" s="4638">
        <v>0.25</v>
      </c>
      <c r="D6" s="4638">
        <v>0.25</v>
      </c>
      <c r="E6" s="4638">
        <v>0.25</v>
      </c>
      <c r="F6" s="4638">
        <v>0.25</v>
      </c>
      <c r="G6" s="4638">
        <v>0.25</v>
      </c>
      <c r="H6" s="4638">
        <v>0.25</v>
      </c>
      <c r="I6" s="4638">
        <v>0.25</v>
      </c>
      <c r="J6" s="4638">
        <v>0.25</v>
      </c>
      <c r="K6" s="4636">
        <v>0.23</v>
      </c>
      <c r="L6" s="4640">
        <v>0.26</v>
      </c>
      <c r="M6" s="4636">
        <v>0.25</v>
      </c>
      <c r="N6" s="4634">
        <v>0.25</v>
      </c>
      <c r="O6" s="4636">
        <v>0.24</v>
      </c>
      <c r="P6" s="4634">
        <v>0.24</v>
      </c>
      <c r="Q6" s="4636">
        <v>0.23</v>
      </c>
      <c r="R6" s="4634">
        <v>0.23</v>
      </c>
      <c r="S6" s="4634">
        <v>0.23</v>
      </c>
      <c r="T6" s="35"/>
      <c r="U6" s="36"/>
      <c r="V6" s="35"/>
      <c r="W6" s="35"/>
      <c r="X6" s="4625"/>
      <c r="Y6" s="4625"/>
      <c r="Z6" s="37"/>
      <c r="AA6" s="37"/>
      <c r="AB6" s="4626">
        <v>0.255</v>
      </c>
      <c r="AC6" s="4629">
        <v>0.255</v>
      </c>
      <c r="AD6" s="4629">
        <v>0.255</v>
      </c>
      <c r="AE6" s="38" t="s">
        <v>10</v>
      </c>
    </row>
    <row r="7" spans="1:33" ht="15.6" customHeight="1">
      <c r="A7" s="40" t="s">
        <v>11</v>
      </c>
      <c r="B7" s="4646"/>
      <c r="C7" s="4638"/>
      <c r="D7" s="4638"/>
      <c r="E7" s="4638"/>
      <c r="F7" s="4638"/>
      <c r="G7" s="4638"/>
      <c r="H7" s="4638"/>
      <c r="I7" s="4638"/>
      <c r="J7" s="4638"/>
      <c r="K7" s="4636"/>
      <c r="L7" s="4640"/>
      <c r="M7" s="4636"/>
      <c r="N7" s="4634"/>
      <c r="O7" s="4636"/>
      <c r="P7" s="4634"/>
      <c r="Q7" s="4636"/>
      <c r="R7" s="4634"/>
      <c r="S7" s="4634"/>
      <c r="T7" s="41">
        <v>0.2</v>
      </c>
      <c r="U7" s="42">
        <v>0.2</v>
      </c>
      <c r="V7" s="42">
        <v>0.2</v>
      </c>
      <c r="W7" s="42">
        <v>0.2</v>
      </c>
      <c r="X7" s="4632">
        <v>0.2</v>
      </c>
      <c r="Y7" s="4632"/>
      <c r="Z7" s="42">
        <v>0.2</v>
      </c>
      <c r="AA7" s="42">
        <v>0.2</v>
      </c>
      <c r="AB7" s="4627"/>
      <c r="AC7" s="4630"/>
      <c r="AD7" s="4630"/>
      <c r="AE7" s="43" t="s">
        <v>12</v>
      </c>
    </row>
    <row r="8" spans="1:33" ht="43.35" customHeight="1">
      <c r="A8" s="44" t="s">
        <v>13</v>
      </c>
      <c r="B8" s="4646"/>
      <c r="C8" s="4638"/>
      <c r="D8" s="4638"/>
      <c r="E8" s="4638"/>
      <c r="F8" s="4638"/>
      <c r="G8" s="4638"/>
      <c r="H8" s="4638"/>
      <c r="I8" s="4638"/>
      <c r="J8" s="4638"/>
      <c r="K8" s="4636"/>
      <c r="L8" s="4640"/>
      <c r="M8" s="4636"/>
      <c r="N8" s="4634"/>
      <c r="O8" s="4636"/>
      <c r="P8" s="4634"/>
      <c r="Q8" s="4636"/>
      <c r="R8" s="4634"/>
      <c r="S8" s="4634"/>
      <c r="T8" s="45">
        <v>0.23</v>
      </c>
      <c r="U8" s="46">
        <v>0.23</v>
      </c>
      <c r="V8" s="46">
        <v>0.23</v>
      </c>
      <c r="W8" s="46">
        <v>0.23</v>
      </c>
      <c r="X8" s="4633">
        <v>0.23</v>
      </c>
      <c r="Y8" s="4633"/>
      <c r="Z8" s="46">
        <v>0.23</v>
      </c>
      <c r="AA8" s="46">
        <v>0.23</v>
      </c>
      <c r="AB8" s="4628"/>
      <c r="AC8" s="4631"/>
      <c r="AD8" s="4631"/>
      <c r="AE8" s="47" t="s">
        <v>14</v>
      </c>
    </row>
    <row r="9" spans="1:33" ht="42" customHeight="1">
      <c r="A9" s="48" t="s">
        <v>15</v>
      </c>
      <c r="B9" s="4647"/>
      <c r="C9" s="4639"/>
      <c r="D9" s="4639"/>
      <c r="E9" s="4639"/>
      <c r="F9" s="4639"/>
      <c r="G9" s="4639"/>
      <c r="H9" s="4639"/>
      <c r="I9" s="4639"/>
      <c r="J9" s="4639"/>
      <c r="K9" s="4637"/>
      <c r="L9" s="4641"/>
      <c r="M9" s="4637"/>
      <c r="N9" s="4635"/>
      <c r="O9" s="4637"/>
      <c r="P9" s="4635"/>
      <c r="Q9" s="4637"/>
      <c r="R9" s="4635"/>
      <c r="S9" s="4635"/>
      <c r="T9" s="49">
        <v>0.314</v>
      </c>
      <c r="U9" s="50">
        <v>0.314</v>
      </c>
      <c r="V9" s="50">
        <v>0.314</v>
      </c>
      <c r="W9" s="51">
        <v>0.31</v>
      </c>
      <c r="X9" s="4566">
        <v>0.31</v>
      </c>
      <c r="Y9" s="4566"/>
      <c r="Z9" s="50">
        <v>0.31</v>
      </c>
      <c r="AA9" s="50">
        <v>0.31</v>
      </c>
      <c r="AB9" s="52">
        <v>0.33</v>
      </c>
      <c r="AC9" s="53">
        <v>0.33</v>
      </c>
      <c r="AD9" s="53">
        <v>0.33</v>
      </c>
      <c r="AE9" s="54" t="s">
        <v>16</v>
      </c>
    </row>
    <row r="10" spans="1:33" ht="15.6" customHeight="1">
      <c r="A10" s="55" t="s">
        <v>17</v>
      </c>
      <c r="B10" s="56" t="s">
        <v>18</v>
      </c>
      <c r="C10" s="57" t="s">
        <v>18</v>
      </c>
      <c r="D10" s="57" t="s">
        <v>18</v>
      </c>
      <c r="E10" s="57" t="s">
        <v>18</v>
      </c>
      <c r="F10" s="57" t="s">
        <v>18</v>
      </c>
      <c r="G10" s="57" t="s">
        <v>18</v>
      </c>
      <c r="H10" s="57" t="s">
        <v>18</v>
      </c>
      <c r="I10" s="57" t="s">
        <v>18</v>
      </c>
      <c r="J10" s="57" t="s">
        <v>18</v>
      </c>
      <c r="K10" s="57" t="s">
        <v>18</v>
      </c>
      <c r="L10" s="58">
        <v>0.1</v>
      </c>
      <c r="M10" s="59">
        <v>0.1</v>
      </c>
      <c r="N10" s="59">
        <v>0.1</v>
      </c>
      <c r="O10" s="59">
        <f>N10</f>
        <v>0.1</v>
      </c>
      <c r="P10" s="59">
        <v>0.1</v>
      </c>
      <c r="Q10" s="59">
        <v>0.1</v>
      </c>
      <c r="R10" s="59">
        <v>0.1</v>
      </c>
      <c r="S10" s="59">
        <v>0.1</v>
      </c>
      <c r="T10" s="58">
        <v>0.2</v>
      </c>
      <c r="U10" s="60">
        <v>0.2</v>
      </c>
      <c r="V10" s="60">
        <v>0.2</v>
      </c>
      <c r="W10" s="60">
        <v>0.2</v>
      </c>
      <c r="X10" s="4621">
        <v>0.2</v>
      </c>
      <c r="Y10" s="4621"/>
      <c r="Z10" s="60">
        <v>0.2</v>
      </c>
      <c r="AA10" s="60">
        <v>0.2</v>
      </c>
      <c r="AB10" s="61">
        <v>0.255</v>
      </c>
      <c r="AC10" s="62">
        <v>0.255</v>
      </c>
      <c r="AD10" s="62">
        <v>0.255</v>
      </c>
      <c r="AE10" s="63" t="s">
        <v>19</v>
      </c>
    </row>
    <row r="11" spans="1:33">
      <c r="A11" s="64" t="s">
        <v>20</v>
      </c>
      <c r="B11" s="65" t="s">
        <v>18</v>
      </c>
      <c r="C11" s="66" t="s">
        <v>18</v>
      </c>
      <c r="D11" s="66" t="s">
        <v>18</v>
      </c>
      <c r="E11" s="66" t="s">
        <v>18</v>
      </c>
      <c r="F11" s="66" t="s">
        <v>18</v>
      </c>
      <c r="G11" s="66" t="s">
        <v>18</v>
      </c>
      <c r="H11" s="66" t="s">
        <v>18</v>
      </c>
      <c r="I11" s="66" t="s">
        <v>18</v>
      </c>
      <c r="J11" s="66" t="s">
        <v>18</v>
      </c>
      <c r="K11" s="66" t="s">
        <v>18</v>
      </c>
      <c r="L11" s="67">
        <v>0.15</v>
      </c>
      <c r="M11" s="68">
        <v>0.15</v>
      </c>
      <c r="N11" s="68">
        <v>0.15</v>
      </c>
      <c r="O11" s="68">
        <f>N11</f>
        <v>0.15</v>
      </c>
      <c r="P11" s="68">
        <v>0.15</v>
      </c>
      <c r="Q11" s="68">
        <v>0.15</v>
      </c>
      <c r="R11" s="68">
        <v>0.15</v>
      </c>
      <c r="S11" s="68">
        <v>0.15</v>
      </c>
      <c r="T11" s="67">
        <v>0.2</v>
      </c>
      <c r="U11" s="69">
        <v>0.2</v>
      </c>
      <c r="V11" s="69">
        <v>0.2</v>
      </c>
      <c r="W11" s="69">
        <v>0.2</v>
      </c>
      <c r="X11" s="4622">
        <v>0.2</v>
      </c>
      <c r="Y11" s="4622"/>
      <c r="Z11" s="69">
        <v>0.2</v>
      </c>
      <c r="AA11" s="69">
        <v>0.2</v>
      </c>
      <c r="AB11" s="70">
        <v>0.255</v>
      </c>
      <c r="AC11" s="71">
        <v>0.255</v>
      </c>
      <c r="AD11" s="71">
        <v>0.255</v>
      </c>
      <c r="AE11" s="72" t="s">
        <v>21</v>
      </c>
      <c r="AG11" s="73"/>
    </row>
    <row r="12" spans="1:33" ht="15.6" customHeight="1">
      <c r="A12" s="74" t="s">
        <v>22</v>
      </c>
      <c r="B12" s="75">
        <f t="shared" ref="B12:O12" si="0">B16/$O$1</f>
        <v>29.880308023289565</v>
      </c>
      <c r="C12" s="76">
        <f t="shared" si="0"/>
        <v>29.880308023289565</v>
      </c>
      <c r="D12" s="76">
        <f t="shared" si="0"/>
        <v>29.880308023289565</v>
      </c>
      <c r="E12" s="76">
        <f t="shared" si="0"/>
        <v>29.880308023289565</v>
      </c>
      <c r="F12" s="76">
        <f t="shared" si="0"/>
        <v>29.880308023289565</v>
      </c>
      <c r="G12" s="76">
        <f t="shared" si="0"/>
        <v>29.880308023289565</v>
      </c>
      <c r="H12" s="77">
        <f t="shared" si="0"/>
        <v>45.531897940250765</v>
      </c>
      <c r="I12" s="77">
        <f t="shared" si="0"/>
        <v>71.14359053164182</v>
      </c>
      <c r="J12" s="77">
        <f t="shared" si="0"/>
        <v>113.82974485062692</v>
      </c>
      <c r="K12" s="77">
        <f t="shared" si="0"/>
        <v>128.05846295695528</v>
      </c>
      <c r="L12" s="76">
        <f t="shared" si="0"/>
        <v>49.800513372149275</v>
      </c>
      <c r="M12" s="77">
        <f t="shared" si="0"/>
        <v>64.029231478477641</v>
      </c>
      <c r="N12" s="76">
        <f t="shared" si="0"/>
        <v>64.029231478477641</v>
      </c>
      <c r="O12" s="76">
        <f t="shared" si="0"/>
        <v>64.029231478477641</v>
      </c>
      <c r="P12" s="78">
        <v>75</v>
      </c>
      <c r="Q12" s="79">
        <v>75</v>
      </c>
      <c r="R12" s="80" t="s">
        <v>18</v>
      </c>
      <c r="S12" s="81" t="s">
        <v>18</v>
      </c>
      <c r="T12" s="81" t="s">
        <v>18</v>
      </c>
      <c r="U12" s="81" t="s">
        <v>18</v>
      </c>
      <c r="V12" s="81" t="s">
        <v>18</v>
      </c>
      <c r="W12" s="81" t="s">
        <v>18</v>
      </c>
      <c r="X12" s="4623" t="s">
        <v>18</v>
      </c>
      <c r="Y12" s="4623"/>
      <c r="Z12" s="81" t="s">
        <v>18</v>
      </c>
      <c r="AA12" s="81" t="s">
        <v>18</v>
      </c>
      <c r="AB12" s="82">
        <v>510</v>
      </c>
      <c r="AC12" s="82">
        <v>550</v>
      </c>
      <c r="AD12" s="82">
        <v>570</v>
      </c>
      <c r="AE12" s="83" t="s">
        <v>23</v>
      </c>
    </row>
    <row r="13" spans="1:33" ht="15.75" customHeight="1">
      <c r="A13" s="84"/>
      <c r="B13" s="85"/>
      <c r="C13" s="86"/>
      <c r="D13" s="86"/>
      <c r="E13" s="86"/>
      <c r="F13" s="86"/>
      <c r="G13" s="86"/>
      <c r="H13" s="87"/>
      <c r="I13" s="87"/>
      <c r="J13" s="87"/>
      <c r="K13" s="88" t="s">
        <v>24</v>
      </c>
      <c r="L13" s="86"/>
      <c r="M13" s="87"/>
      <c r="N13" s="86"/>
      <c r="O13" s="86"/>
      <c r="P13" s="89"/>
      <c r="Q13" s="90"/>
      <c r="R13" s="91"/>
      <c r="S13" s="92"/>
      <c r="T13" s="92"/>
      <c r="U13" s="92"/>
      <c r="V13" s="92"/>
      <c r="W13" s="92"/>
      <c r="X13" s="4624"/>
      <c r="Y13" s="4624"/>
      <c r="Z13" s="93"/>
      <c r="AA13" s="93"/>
      <c r="AB13" s="93"/>
      <c r="AC13" s="93"/>
      <c r="AD13" s="93"/>
      <c r="AE13" s="94"/>
    </row>
    <row r="14" spans="1:33">
      <c r="A14" s="84"/>
      <c r="B14" s="85"/>
      <c r="C14" s="86"/>
      <c r="D14" s="86"/>
      <c r="E14" s="86"/>
      <c r="F14" s="86"/>
      <c r="G14" s="86"/>
      <c r="H14" s="87"/>
      <c r="I14" s="87"/>
      <c r="J14" s="87"/>
      <c r="K14" s="95">
        <f>K18/$O$1</f>
        <v>49.800513372149275</v>
      </c>
      <c r="L14" s="86"/>
      <c r="M14" s="87"/>
      <c r="N14" s="86"/>
      <c r="O14" s="86"/>
      <c r="P14" s="89"/>
      <c r="Q14" s="90"/>
      <c r="R14" s="91"/>
      <c r="S14" s="92"/>
      <c r="T14" s="92"/>
      <c r="U14" s="92"/>
      <c r="V14" s="92"/>
      <c r="W14" s="92"/>
      <c r="X14" s="4624"/>
      <c r="Y14" s="4624"/>
      <c r="Z14" s="93"/>
      <c r="AA14" s="93"/>
      <c r="AB14" s="93"/>
      <c r="AC14" s="93"/>
      <c r="AD14" s="93"/>
      <c r="AE14" s="94"/>
    </row>
    <row r="15" spans="1:33" ht="17.25" customHeight="1">
      <c r="A15" s="84"/>
      <c r="B15" s="85"/>
      <c r="C15" s="86"/>
      <c r="D15" s="86"/>
      <c r="E15" s="86"/>
      <c r="F15" s="86"/>
      <c r="G15" s="86"/>
      <c r="H15" s="87"/>
      <c r="I15" s="87"/>
      <c r="J15" s="87"/>
      <c r="K15" s="88" t="s">
        <v>25</v>
      </c>
      <c r="L15" s="86"/>
      <c r="M15" s="87"/>
      <c r="N15" s="86"/>
      <c r="O15" s="86"/>
      <c r="P15" s="89"/>
      <c r="Q15" s="90"/>
      <c r="R15" s="91"/>
      <c r="S15" s="92"/>
      <c r="T15" s="92"/>
      <c r="U15" s="92"/>
      <c r="V15" s="92"/>
      <c r="W15" s="92"/>
      <c r="X15" s="4616"/>
      <c r="Y15" s="4616"/>
      <c r="Z15" s="93"/>
      <c r="AA15" s="93"/>
      <c r="AB15" s="93"/>
      <c r="AC15" s="93"/>
      <c r="AD15" s="93"/>
      <c r="AE15" s="94"/>
    </row>
    <row r="16" spans="1:33" s="31" customFormat="1" ht="13.2">
      <c r="A16" s="96" t="s">
        <v>26</v>
      </c>
      <c r="B16" s="97">
        <v>21</v>
      </c>
      <c r="C16" s="98">
        <v>21</v>
      </c>
      <c r="D16" s="98">
        <v>21</v>
      </c>
      <c r="E16" s="98">
        <v>21</v>
      </c>
      <c r="F16" s="98">
        <v>21</v>
      </c>
      <c r="G16" s="98">
        <v>21</v>
      </c>
      <c r="H16" s="99">
        <v>32</v>
      </c>
      <c r="I16" s="99">
        <v>50</v>
      </c>
      <c r="J16" s="99">
        <v>80</v>
      </c>
      <c r="K16" s="100">
        <v>90</v>
      </c>
      <c r="L16" s="98">
        <v>35</v>
      </c>
      <c r="M16" s="99">
        <v>45</v>
      </c>
      <c r="N16" s="98">
        <v>45</v>
      </c>
      <c r="O16" s="98">
        <v>45</v>
      </c>
      <c r="P16" s="101"/>
      <c r="Q16" s="102"/>
      <c r="R16" s="103"/>
      <c r="S16" s="104"/>
      <c r="T16" s="104"/>
      <c r="U16" s="104"/>
      <c r="V16" s="104"/>
      <c r="W16" s="104"/>
      <c r="X16" s="4617"/>
      <c r="Y16" s="4617"/>
      <c r="Z16" s="104"/>
      <c r="AA16" s="104"/>
      <c r="AB16" s="104"/>
      <c r="AC16" s="104"/>
      <c r="AD16" s="104"/>
      <c r="AE16" s="105" t="s">
        <v>27</v>
      </c>
    </row>
    <row r="17" spans="1:31" s="31" customFormat="1" ht="13.2">
      <c r="A17" s="106"/>
      <c r="B17" s="107"/>
      <c r="C17" s="108"/>
      <c r="D17" s="108"/>
      <c r="E17" s="108"/>
      <c r="F17" s="108"/>
      <c r="G17" s="108"/>
      <c r="H17" s="109"/>
      <c r="I17" s="109"/>
      <c r="J17" s="109"/>
      <c r="K17" s="88" t="s">
        <v>28</v>
      </c>
      <c r="L17" s="108"/>
      <c r="M17" s="109"/>
      <c r="N17" s="108"/>
      <c r="O17" s="108"/>
      <c r="P17" s="110"/>
      <c r="Q17" s="111"/>
      <c r="R17" s="112"/>
      <c r="S17" s="113"/>
      <c r="T17" s="113"/>
      <c r="U17" s="113"/>
      <c r="V17" s="113"/>
      <c r="W17" s="113"/>
      <c r="X17" s="4618"/>
      <c r="Y17" s="4618"/>
      <c r="Z17" s="113"/>
      <c r="AA17" s="113"/>
      <c r="AB17" s="113"/>
      <c r="AC17" s="113"/>
      <c r="AD17" s="113"/>
      <c r="AE17" s="114"/>
    </row>
    <row r="18" spans="1:31" s="31" customFormat="1">
      <c r="A18" s="106"/>
      <c r="B18" s="107"/>
      <c r="C18" s="108"/>
      <c r="D18" s="108"/>
      <c r="E18" s="108"/>
      <c r="F18" s="108"/>
      <c r="G18" s="108"/>
      <c r="H18" s="109"/>
      <c r="I18" s="109"/>
      <c r="J18" s="109"/>
      <c r="K18" s="115">
        <v>35</v>
      </c>
      <c r="L18" s="108"/>
      <c r="M18" s="109"/>
      <c r="N18" s="108"/>
      <c r="O18" s="108"/>
      <c r="P18" s="110"/>
      <c r="Q18" s="111"/>
      <c r="R18" s="112"/>
      <c r="S18" s="113"/>
      <c r="T18" s="113"/>
      <c r="U18" s="113"/>
      <c r="V18" s="113"/>
      <c r="W18" s="113"/>
      <c r="X18" s="4618"/>
      <c r="Y18" s="4618"/>
      <c r="Z18" s="113"/>
      <c r="AA18" s="113"/>
      <c r="AB18" s="113"/>
      <c r="AC18" s="113"/>
      <c r="AD18" s="113"/>
      <c r="AE18" s="114"/>
    </row>
    <row r="19" spans="1:31" s="31" customFormat="1" ht="13.2">
      <c r="A19" s="106"/>
      <c r="B19" s="107"/>
      <c r="C19" s="108"/>
      <c r="D19" s="108"/>
      <c r="E19" s="108"/>
      <c r="F19" s="108"/>
      <c r="G19" s="108"/>
      <c r="H19" s="109"/>
      <c r="I19" s="109"/>
      <c r="J19" s="109"/>
      <c r="K19" s="88" t="s">
        <v>29</v>
      </c>
      <c r="L19" s="108"/>
      <c r="M19" s="109"/>
      <c r="N19" s="108"/>
      <c r="O19" s="108"/>
      <c r="P19" s="110"/>
      <c r="Q19" s="111"/>
      <c r="R19" s="112"/>
      <c r="S19" s="113"/>
      <c r="T19" s="113"/>
      <c r="U19" s="113"/>
      <c r="V19" s="113"/>
      <c r="W19" s="113"/>
      <c r="X19" s="4619"/>
      <c r="Y19" s="4619"/>
      <c r="Z19" s="113"/>
      <c r="AA19" s="113"/>
      <c r="AB19" s="113"/>
      <c r="AC19" s="113"/>
      <c r="AD19" s="113"/>
      <c r="AE19" s="114"/>
    </row>
    <row r="20" spans="1:31">
      <c r="A20" s="117" t="s">
        <v>30</v>
      </c>
      <c r="B20" s="118" t="s">
        <v>18</v>
      </c>
      <c r="C20" s="119" t="s">
        <v>18</v>
      </c>
      <c r="D20" s="119" t="s">
        <v>18</v>
      </c>
      <c r="E20" s="119" t="s">
        <v>18</v>
      </c>
      <c r="F20" s="119" t="s">
        <v>18</v>
      </c>
      <c r="G20" s="119" t="s">
        <v>18</v>
      </c>
      <c r="H20" s="119" t="s">
        <v>18</v>
      </c>
      <c r="I20" s="119" t="s">
        <v>18</v>
      </c>
      <c r="J20" s="119" t="s">
        <v>18</v>
      </c>
      <c r="K20" s="119" t="s">
        <v>18</v>
      </c>
      <c r="L20" s="119" t="s">
        <v>18</v>
      </c>
      <c r="M20" s="119" t="s">
        <v>18</v>
      </c>
      <c r="N20" s="119" t="s">
        <v>18</v>
      </c>
      <c r="O20" s="119" t="s">
        <v>18</v>
      </c>
      <c r="P20" s="119" t="s">
        <v>18</v>
      </c>
      <c r="Q20" s="119" t="s">
        <v>18</v>
      </c>
      <c r="R20" s="120"/>
      <c r="S20" s="121"/>
      <c r="T20" s="121"/>
      <c r="U20" s="121"/>
      <c r="V20" s="121"/>
      <c r="W20" s="121"/>
      <c r="X20" s="4620"/>
      <c r="Y20" s="4620"/>
      <c r="Z20" s="121"/>
      <c r="AA20" s="121"/>
      <c r="AB20" s="121"/>
      <c r="AC20" s="121"/>
      <c r="AD20" s="121"/>
      <c r="AE20" s="122" t="s">
        <v>31</v>
      </c>
    </row>
    <row r="21" spans="1:31" ht="15" customHeight="1">
      <c r="A21" s="123" t="s">
        <v>32</v>
      </c>
      <c r="B21" s="4614"/>
      <c r="C21" s="4606"/>
      <c r="D21" s="4606"/>
      <c r="E21" s="4606"/>
      <c r="F21" s="4606"/>
      <c r="G21" s="4606"/>
      <c r="H21" s="4608"/>
      <c r="I21" s="4608"/>
      <c r="J21" s="4608"/>
      <c r="K21" s="4612"/>
      <c r="L21" s="4606"/>
      <c r="M21" s="4608"/>
      <c r="N21" s="4606"/>
      <c r="O21" s="4606"/>
      <c r="P21" s="4608"/>
      <c r="Q21" s="4570"/>
      <c r="R21" s="125">
        <v>75</v>
      </c>
      <c r="S21" s="126">
        <v>60</v>
      </c>
      <c r="T21" s="126">
        <v>0</v>
      </c>
      <c r="U21" s="126">
        <v>0</v>
      </c>
      <c r="V21" s="126">
        <v>0</v>
      </c>
      <c r="W21" s="126">
        <v>0</v>
      </c>
      <c r="X21" s="4610">
        <v>0</v>
      </c>
      <c r="Y21" s="4610"/>
      <c r="Z21" s="126">
        <v>0</v>
      </c>
      <c r="AA21" s="126">
        <v>0</v>
      </c>
      <c r="AB21" s="127" t="s">
        <v>18</v>
      </c>
      <c r="AC21" s="126" t="s">
        <v>18</v>
      </c>
      <c r="AD21" s="126" t="s">
        <v>18</v>
      </c>
      <c r="AE21" s="128" t="s">
        <v>33</v>
      </c>
    </row>
    <row r="22" spans="1:31" ht="15" customHeight="1">
      <c r="A22" s="129" t="s">
        <v>34</v>
      </c>
      <c r="B22" s="4615"/>
      <c r="C22" s="4607"/>
      <c r="D22" s="4607"/>
      <c r="E22" s="4607"/>
      <c r="F22" s="4607"/>
      <c r="G22" s="4607"/>
      <c r="H22" s="4609"/>
      <c r="I22" s="4609"/>
      <c r="J22" s="4609"/>
      <c r="K22" s="4613"/>
      <c r="L22" s="4607"/>
      <c r="M22" s="4609"/>
      <c r="N22" s="4607"/>
      <c r="O22" s="4607"/>
      <c r="P22" s="4609"/>
      <c r="Q22" s="4571"/>
      <c r="R22" s="131">
        <v>100</v>
      </c>
      <c r="S22" s="132">
        <v>115</v>
      </c>
      <c r="T22" s="132">
        <v>200</v>
      </c>
      <c r="U22" s="132">
        <v>230</v>
      </c>
      <c r="V22" s="132">
        <v>300</v>
      </c>
      <c r="W22" s="133">
        <v>300</v>
      </c>
      <c r="X22" s="132">
        <v>350</v>
      </c>
      <c r="Y22" s="134">
        <v>500</v>
      </c>
      <c r="Z22" s="133">
        <v>500</v>
      </c>
      <c r="AA22" s="133">
        <v>500</v>
      </c>
      <c r="AB22" s="132" t="s">
        <v>18</v>
      </c>
      <c r="AC22" s="133" t="s">
        <v>18</v>
      </c>
      <c r="AD22" s="133" t="s">
        <v>18</v>
      </c>
      <c r="AE22" s="135" t="s">
        <v>35</v>
      </c>
    </row>
    <row r="23" spans="1:31" ht="16.350000000000001" customHeight="1">
      <c r="A23" s="129" t="s">
        <v>36</v>
      </c>
      <c r="B23" s="4615"/>
      <c r="C23" s="4607"/>
      <c r="D23" s="4607"/>
      <c r="E23" s="4607"/>
      <c r="F23" s="4607"/>
      <c r="G23" s="4607"/>
      <c r="H23" s="4609"/>
      <c r="I23" s="4609"/>
      <c r="J23" s="4609"/>
      <c r="K23" s="4613"/>
      <c r="L23" s="4607"/>
      <c r="M23" s="4609"/>
      <c r="N23" s="4607"/>
      <c r="O23" s="4607"/>
      <c r="P23" s="4609"/>
      <c r="Q23" s="4571"/>
      <c r="R23" s="136">
        <v>380</v>
      </c>
      <c r="S23" s="136">
        <v>400</v>
      </c>
      <c r="T23" s="136">
        <v>440</v>
      </c>
      <c r="U23" s="136">
        <v>440</v>
      </c>
      <c r="V23" s="137">
        <v>500</v>
      </c>
      <c r="W23" s="136">
        <v>500</v>
      </c>
      <c r="X23" s="4611">
        <v>500</v>
      </c>
      <c r="Y23" s="4611"/>
      <c r="Z23" s="136">
        <v>500</v>
      </c>
      <c r="AA23" s="136">
        <v>500</v>
      </c>
      <c r="AB23" s="137" t="s">
        <v>18</v>
      </c>
      <c r="AC23" s="136" t="s">
        <v>18</v>
      </c>
      <c r="AD23" s="136" t="s">
        <v>18</v>
      </c>
      <c r="AE23" s="135" t="s">
        <v>37</v>
      </c>
    </row>
    <row r="24" spans="1:31" ht="16.350000000000001" customHeight="1">
      <c r="A24" s="139" t="s">
        <v>38</v>
      </c>
      <c r="B24" s="4615"/>
      <c r="C24" s="4607"/>
      <c r="D24" s="4607"/>
      <c r="E24" s="4607"/>
      <c r="F24" s="4607"/>
      <c r="G24" s="4607"/>
      <c r="H24" s="4609"/>
      <c r="I24" s="4609"/>
      <c r="J24" s="4609"/>
      <c r="K24" s="4613"/>
      <c r="L24" s="4607"/>
      <c r="M24" s="4609"/>
      <c r="N24" s="4607"/>
      <c r="O24" s="4607"/>
      <c r="P24" s="4609"/>
      <c r="Q24" s="4571"/>
      <c r="R24" s="138">
        <v>1000</v>
      </c>
      <c r="S24" s="138">
        <v>1100</v>
      </c>
      <c r="T24" s="138">
        <v>1000</v>
      </c>
      <c r="U24" s="138">
        <v>1100</v>
      </c>
      <c r="V24" s="138">
        <v>1200</v>
      </c>
      <c r="W24" s="140">
        <v>1800</v>
      </c>
      <c r="X24" s="4611">
        <v>1800</v>
      </c>
      <c r="Y24" s="4611"/>
      <c r="Z24" s="141">
        <v>1800</v>
      </c>
      <c r="AA24" s="141">
        <v>1800</v>
      </c>
      <c r="AB24" s="140" t="s">
        <v>18</v>
      </c>
      <c r="AC24" s="141" t="s">
        <v>18</v>
      </c>
      <c r="AD24" s="141" t="s">
        <v>18</v>
      </c>
      <c r="AE24" s="142" t="s">
        <v>39</v>
      </c>
    </row>
    <row r="25" spans="1:31" s="31" customFormat="1" ht="13.2">
      <c r="A25" s="143" t="s">
        <v>40</v>
      </c>
      <c r="B25" s="144"/>
      <c r="C25" s="145"/>
      <c r="D25" s="145"/>
      <c r="E25" s="145"/>
      <c r="F25" s="145"/>
      <c r="G25" s="145"/>
      <c r="H25" s="110"/>
      <c r="I25" s="110"/>
      <c r="J25" s="110"/>
      <c r="K25" s="146"/>
      <c r="L25" s="145"/>
      <c r="M25" s="110"/>
      <c r="N25" s="145"/>
      <c r="O25" s="145"/>
      <c r="P25" s="110"/>
      <c r="Q25" s="111"/>
      <c r="R25" s="147">
        <f t="shared" ref="R25:Z25" si="1">(R22-R21)/(R24-R23)</f>
        <v>4.0322580645161289E-2</v>
      </c>
      <c r="S25" s="147">
        <f>(S22-S21)/(S24-S23)</f>
        <v>7.857142857142857E-2</v>
      </c>
      <c r="T25" s="147">
        <f t="shared" si="1"/>
        <v>0.35714285714285715</v>
      </c>
      <c r="U25" s="147">
        <f>(U22-U21)/(U24-U23)</f>
        <v>0.34848484848484851</v>
      </c>
      <c r="V25" s="148">
        <f>(V22-V21)/(V24-V23)</f>
        <v>0.42857142857142855</v>
      </c>
      <c r="W25" s="148">
        <f t="shared" si="1"/>
        <v>0.23076923076923078</v>
      </c>
      <c r="X25" s="148">
        <f t="shared" si="1"/>
        <v>0.26923076923076922</v>
      </c>
      <c r="Y25" s="148">
        <f>(Y22-X21)/(X24-X23)</f>
        <v>0.38461538461538464</v>
      </c>
      <c r="Z25" s="148">
        <f t="shared" si="1"/>
        <v>0.38461538461538464</v>
      </c>
      <c r="AA25" s="148">
        <f>(AA22-AA21)/(AA24-AA23)</f>
        <v>0.38461538461538464</v>
      </c>
      <c r="AB25" s="149" t="s">
        <v>18</v>
      </c>
      <c r="AC25" s="148" t="s">
        <v>18</v>
      </c>
      <c r="AD25" s="148" t="s">
        <v>18</v>
      </c>
      <c r="AE25" s="150" t="s">
        <v>41</v>
      </c>
    </row>
    <row r="26" spans="1:31" s="31" customFormat="1" ht="14.85" customHeight="1">
      <c r="A26" s="151" t="s">
        <v>42</v>
      </c>
      <c r="B26" s="152"/>
      <c r="C26" s="153"/>
      <c r="D26" s="153"/>
      <c r="E26" s="153"/>
      <c r="F26" s="153"/>
      <c r="G26" s="153"/>
      <c r="H26" s="154"/>
      <c r="I26" s="154"/>
      <c r="J26" s="154"/>
      <c r="K26" s="155"/>
      <c r="L26" s="153"/>
      <c r="M26" s="154"/>
      <c r="N26" s="153"/>
      <c r="O26" s="153"/>
      <c r="P26" s="154"/>
      <c r="Q26" s="156"/>
      <c r="R26" s="4600" t="s">
        <v>43</v>
      </c>
      <c r="S26" s="4600"/>
      <c r="T26" s="4600"/>
      <c r="U26" s="4600"/>
      <c r="V26" s="4600"/>
      <c r="W26" s="4600"/>
      <c r="X26" s="4600"/>
      <c r="Y26" s="4600"/>
      <c r="Z26" s="157"/>
      <c r="AA26" s="157"/>
      <c r="AB26" s="157"/>
      <c r="AC26" s="158"/>
      <c r="AD26" s="157"/>
      <c r="AE26" s="159" t="s">
        <v>44</v>
      </c>
    </row>
    <row r="27" spans="1:31">
      <c r="A27" s="160" t="s">
        <v>45</v>
      </c>
      <c r="B27" s="161">
        <f t="shared" ref="B27:G27" si="2">B28/$O$1</f>
        <v>142.28718106328364</v>
      </c>
      <c r="C27" s="162">
        <f t="shared" si="2"/>
        <v>142.28718106328364</v>
      </c>
      <c r="D27" s="162">
        <f t="shared" si="2"/>
        <v>142.28718106328364</v>
      </c>
      <c r="E27" s="162">
        <f t="shared" si="2"/>
        <v>142.28718106328364</v>
      </c>
      <c r="F27" s="162">
        <f t="shared" si="2"/>
        <v>142.28718106328364</v>
      </c>
      <c r="G27" s="162">
        <f t="shared" si="2"/>
        <v>142.28718106328364</v>
      </c>
      <c r="H27" s="163">
        <f>H28/O1</f>
        <v>156.51589916961203</v>
      </c>
      <c r="I27" s="163">
        <f t="shared" ref="I27:O27" si="3">I28/$O$1</f>
        <v>234.77384875441803</v>
      </c>
      <c r="J27" s="164">
        <f t="shared" si="3"/>
        <v>234.77384875441803</v>
      </c>
      <c r="K27" s="164">
        <f t="shared" si="3"/>
        <v>234.77384875441803</v>
      </c>
      <c r="L27" s="164">
        <f t="shared" si="3"/>
        <v>234.77384875441803</v>
      </c>
      <c r="M27" s="164">
        <f t="shared" si="3"/>
        <v>234.77384875441803</v>
      </c>
      <c r="N27" s="164">
        <f t="shared" si="3"/>
        <v>234.77384875441803</v>
      </c>
      <c r="O27" s="164">
        <f t="shared" si="3"/>
        <v>234.77384875441803</v>
      </c>
      <c r="P27" s="165">
        <v>235</v>
      </c>
      <c r="Q27" s="165">
        <v>235</v>
      </c>
      <c r="R27" s="165">
        <v>235</v>
      </c>
      <c r="S27" s="166">
        <v>235</v>
      </c>
      <c r="T27" s="167">
        <v>250</v>
      </c>
      <c r="U27" s="167">
        <v>270</v>
      </c>
      <c r="V27" s="167">
        <v>300</v>
      </c>
      <c r="W27" s="167">
        <v>330</v>
      </c>
      <c r="X27" s="168">
        <v>350</v>
      </c>
      <c r="Y27" s="169">
        <v>500</v>
      </c>
      <c r="Z27" s="170">
        <v>500</v>
      </c>
      <c r="AA27" s="170">
        <v>500</v>
      </c>
      <c r="AB27" s="171">
        <v>1000</v>
      </c>
      <c r="AC27" s="170">
        <v>1000</v>
      </c>
      <c r="AD27" s="170">
        <v>1000</v>
      </c>
      <c r="AE27" s="172" t="s">
        <v>46</v>
      </c>
    </row>
    <row r="28" spans="1:31" s="31" customFormat="1" ht="13.2">
      <c r="A28" s="173" t="s">
        <v>47</v>
      </c>
      <c r="B28" s="174">
        <f t="shared" ref="B28:G28" si="4">1200/12</f>
        <v>100</v>
      </c>
      <c r="C28" s="175">
        <f t="shared" si="4"/>
        <v>100</v>
      </c>
      <c r="D28" s="175">
        <f t="shared" si="4"/>
        <v>100</v>
      </c>
      <c r="E28" s="175">
        <f t="shared" si="4"/>
        <v>100</v>
      </c>
      <c r="F28" s="175">
        <f t="shared" si="4"/>
        <v>100</v>
      </c>
      <c r="G28" s="175">
        <f t="shared" si="4"/>
        <v>100</v>
      </c>
      <c r="H28" s="176">
        <f>1320/12</f>
        <v>110</v>
      </c>
      <c r="I28" s="176">
        <f t="shared" ref="I28:O28" si="5">1980/12</f>
        <v>165</v>
      </c>
      <c r="J28" s="177">
        <f t="shared" si="5"/>
        <v>165</v>
      </c>
      <c r="K28" s="177">
        <f t="shared" si="5"/>
        <v>165</v>
      </c>
      <c r="L28" s="177">
        <f t="shared" si="5"/>
        <v>165</v>
      </c>
      <c r="M28" s="177">
        <f t="shared" si="5"/>
        <v>165</v>
      </c>
      <c r="N28" s="177">
        <f t="shared" si="5"/>
        <v>165</v>
      </c>
      <c r="O28" s="177">
        <f t="shared" si="5"/>
        <v>165</v>
      </c>
      <c r="P28" s="178"/>
      <c r="Q28" s="178"/>
      <c r="R28" s="178"/>
      <c r="S28" s="179"/>
      <c r="T28" s="180"/>
      <c r="U28" s="180"/>
      <c r="V28" s="180"/>
      <c r="W28" s="180"/>
      <c r="X28" s="4601"/>
      <c r="Y28" s="4601"/>
      <c r="Z28" s="180"/>
      <c r="AA28" s="180"/>
      <c r="AB28" s="180"/>
      <c r="AC28" s="180"/>
      <c r="AD28" s="180"/>
      <c r="AE28" s="181" t="s">
        <v>48</v>
      </c>
    </row>
    <row r="29" spans="1:31" ht="27.6">
      <c r="A29" s="182" t="s">
        <v>49</v>
      </c>
      <c r="B29" s="183">
        <f>B31/$O$1</f>
        <v>29.880308023289565</v>
      </c>
      <c r="C29" s="184">
        <f t="shared" ref="C29:O29" si="6">C31/$O$1</f>
        <v>29.880308023289565</v>
      </c>
      <c r="D29" s="184">
        <f t="shared" si="6"/>
        <v>29.880308023289565</v>
      </c>
      <c r="E29" s="184">
        <f t="shared" si="6"/>
        <v>29.880308023289565</v>
      </c>
      <c r="F29" s="184">
        <f t="shared" si="6"/>
        <v>29.880308023289565</v>
      </c>
      <c r="G29" s="184">
        <f t="shared" si="6"/>
        <v>29.880308023289565</v>
      </c>
      <c r="H29" s="185">
        <f t="shared" si="6"/>
        <v>31.303179833922403</v>
      </c>
      <c r="I29" s="186">
        <f t="shared" si="6"/>
        <v>49.800513372149275</v>
      </c>
      <c r="J29" s="186">
        <f t="shared" si="6"/>
        <v>79.680821395438841</v>
      </c>
      <c r="K29" s="186">
        <f t="shared" si="6"/>
        <v>89.640924069868703</v>
      </c>
      <c r="L29" s="187">
        <f t="shared" si="6"/>
        <v>89.640924069868703</v>
      </c>
      <c r="M29" s="186">
        <f t="shared" si="6"/>
        <v>99.601026744298551</v>
      </c>
      <c r="N29" s="187">
        <f t="shared" si="6"/>
        <v>99.601026744298551</v>
      </c>
      <c r="O29" s="186">
        <f t="shared" si="6"/>
        <v>113.82974485062692</v>
      </c>
      <c r="P29" s="78">
        <v>165</v>
      </c>
      <c r="Q29" s="188">
        <v>165</v>
      </c>
      <c r="R29" s="78">
        <v>175</v>
      </c>
      <c r="S29" s="189">
        <v>175</v>
      </c>
      <c r="T29" s="82">
        <v>200</v>
      </c>
      <c r="U29" s="82">
        <v>230</v>
      </c>
      <c r="V29" s="82">
        <v>250</v>
      </c>
      <c r="W29" s="190">
        <v>250</v>
      </c>
      <c r="X29" s="4602">
        <v>250</v>
      </c>
      <c r="Y29" s="4602"/>
      <c r="Z29" s="190">
        <v>250</v>
      </c>
      <c r="AA29" s="190">
        <v>250</v>
      </c>
      <c r="AB29" s="190">
        <v>250</v>
      </c>
      <c r="AC29" s="190">
        <v>250</v>
      </c>
      <c r="AD29" s="190">
        <v>250</v>
      </c>
      <c r="AE29" s="191" t="s">
        <v>50</v>
      </c>
    </row>
    <row r="30" spans="1:31">
      <c r="A30" s="192"/>
      <c r="B30" s="193"/>
      <c r="C30" s="194"/>
      <c r="D30" s="194"/>
      <c r="E30" s="194"/>
      <c r="F30" s="194"/>
      <c r="G30" s="194"/>
      <c r="H30" s="195"/>
      <c r="I30" s="195"/>
      <c r="J30" s="195"/>
      <c r="K30" s="195"/>
      <c r="L30" s="196"/>
      <c r="M30" s="195"/>
      <c r="N30" s="196"/>
      <c r="O30" s="88" t="s">
        <v>25</v>
      </c>
      <c r="P30" s="89"/>
      <c r="Q30" s="130"/>
      <c r="R30" s="89"/>
      <c r="S30" s="197"/>
      <c r="T30" s="198"/>
      <c r="U30" s="198"/>
      <c r="V30" s="198"/>
      <c r="W30" s="198"/>
      <c r="X30" s="4603"/>
      <c r="Y30" s="4603"/>
      <c r="Z30" s="198"/>
      <c r="AA30" s="198"/>
      <c r="AB30" s="198"/>
      <c r="AC30" s="198"/>
      <c r="AD30" s="198"/>
      <c r="AE30" s="199"/>
    </row>
    <row r="31" spans="1:31" s="31" customFormat="1" ht="14.4" customHeight="1">
      <c r="A31" s="200" t="s">
        <v>51</v>
      </c>
      <c r="B31" s="201">
        <v>21</v>
      </c>
      <c r="C31" s="202">
        <v>21</v>
      </c>
      <c r="D31" s="202">
        <v>21</v>
      </c>
      <c r="E31" s="202">
        <v>21</v>
      </c>
      <c r="F31" s="202">
        <v>21</v>
      </c>
      <c r="G31" s="202">
        <v>21</v>
      </c>
      <c r="H31" s="203">
        <v>22</v>
      </c>
      <c r="I31" s="203">
        <v>35</v>
      </c>
      <c r="J31" s="203">
        <v>56</v>
      </c>
      <c r="K31" s="203">
        <v>63</v>
      </c>
      <c r="L31" s="202">
        <v>63</v>
      </c>
      <c r="M31" s="203">
        <v>70</v>
      </c>
      <c r="N31" s="202">
        <v>70</v>
      </c>
      <c r="O31" s="204">
        <v>80</v>
      </c>
      <c r="P31" s="203"/>
      <c r="Q31" s="205"/>
      <c r="R31" s="206"/>
      <c r="S31" s="113"/>
      <c r="T31" s="207"/>
      <c r="U31" s="207"/>
      <c r="V31" s="207"/>
      <c r="W31" s="207"/>
      <c r="X31" s="4604"/>
      <c r="Y31" s="4604"/>
      <c r="Z31" s="207"/>
      <c r="AA31" s="207"/>
      <c r="AB31" s="207"/>
      <c r="AC31" s="207"/>
      <c r="AD31" s="207"/>
      <c r="AE31" s="208" t="s">
        <v>52</v>
      </c>
    </row>
    <row r="32" spans="1:31" s="31" customFormat="1" ht="13.2">
      <c r="A32" s="209"/>
      <c r="B32" s="210"/>
      <c r="C32" s="211"/>
      <c r="D32" s="211"/>
      <c r="E32" s="211"/>
      <c r="F32" s="211"/>
      <c r="G32" s="211"/>
      <c r="H32" s="212"/>
      <c r="I32" s="212"/>
      <c r="J32" s="212"/>
      <c r="K32" s="212"/>
      <c r="L32" s="211"/>
      <c r="M32" s="212"/>
      <c r="N32" s="211"/>
      <c r="O32" s="88" t="s">
        <v>25</v>
      </c>
      <c r="P32" s="212"/>
      <c r="Q32" s="213"/>
      <c r="R32" s="214"/>
      <c r="S32" s="116"/>
      <c r="T32" s="215"/>
      <c r="U32" s="215"/>
      <c r="V32" s="215"/>
      <c r="W32" s="215"/>
      <c r="X32" s="4605"/>
      <c r="Y32" s="4605"/>
      <c r="Z32" s="215"/>
      <c r="AA32" s="215"/>
      <c r="AB32" s="215"/>
      <c r="AC32" s="215"/>
      <c r="AD32" s="215"/>
      <c r="AE32" s="216"/>
    </row>
    <row r="33" spans="1:31">
      <c r="A33" s="217" t="s">
        <v>53</v>
      </c>
      <c r="B33" s="218"/>
      <c r="C33" s="219"/>
      <c r="D33" s="219"/>
      <c r="E33" s="219"/>
      <c r="F33" s="219"/>
      <c r="G33" s="219"/>
      <c r="H33" s="35"/>
      <c r="I33" s="220"/>
      <c r="J33" s="220"/>
      <c r="K33" s="220"/>
      <c r="L33" s="219"/>
      <c r="M33" s="220"/>
      <c r="N33" s="219"/>
      <c r="O33" s="221"/>
      <c r="P33" s="220"/>
      <c r="Q33" s="219"/>
      <c r="R33" s="220"/>
      <c r="S33" s="222"/>
      <c r="T33" s="167"/>
      <c r="U33" s="167"/>
      <c r="V33" s="167"/>
      <c r="W33" s="167"/>
      <c r="X33" s="4595"/>
      <c r="Y33" s="4595"/>
      <c r="Z33" s="167"/>
      <c r="AA33" s="167"/>
      <c r="AB33" s="167"/>
      <c r="AC33" s="167"/>
      <c r="AD33" s="167"/>
      <c r="AE33" s="223" t="s">
        <v>54</v>
      </c>
    </row>
    <row r="34" spans="1:31">
      <c r="A34" s="224" t="s">
        <v>55</v>
      </c>
      <c r="B34" s="225">
        <f>B35/$O$1</f>
        <v>35.57179526582091</v>
      </c>
      <c r="C34" s="226">
        <f>C35/$O$1</f>
        <v>35.57179526582091</v>
      </c>
      <c r="D34" s="226">
        <f>D35/$O$1</f>
        <v>35.57179526582091</v>
      </c>
      <c r="E34" s="226">
        <f>E35/$O$1</f>
        <v>35.57179526582091</v>
      </c>
      <c r="F34" s="226">
        <f>F35/$O$1</f>
        <v>35.57179526582091</v>
      </c>
      <c r="G34" s="226">
        <f t="shared" ref="G34:O34" si="7">G35/$O$1</f>
        <v>35.57179526582091</v>
      </c>
      <c r="H34" s="227">
        <f t="shared" si="7"/>
        <v>54.069128804047786</v>
      </c>
      <c r="I34" s="227">
        <f t="shared" si="7"/>
        <v>85.372308637970193</v>
      </c>
      <c r="J34" s="227">
        <f t="shared" si="7"/>
        <v>136.5956938207523</v>
      </c>
      <c r="K34" s="227">
        <f t="shared" si="7"/>
        <v>153.67015554834634</v>
      </c>
      <c r="L34" s="228">
        <f t="shared" si="7"/>
        <v>153.67015554834634</v>
      </c>
      <c r="M34" s="228">
        <f t="shared" si="7"/>
        <v>153.67015554834634</v>
      </c>
      <c r="N34" s="228">
        <f t="shared" si="7"/>
        <v>153.67015554834634</v>
      </c>
      <c r="O34" s="228">
        <f t="shared" si="7"/>
        <v>153.67015554834634</v>
      </c>
      <c r="P34" s="229">
        <f>1848/12</f>
        <v>154</v>
      </c>
      <c r="Q34" s="229">
        <f>1848/12</f>
        <v>154</v>
      </c>
      <c r="R34" s="229">
        <f t="shared" ref="R34:W34" si="8">1848/12</f>
        <v>154</v>
      </c>
      <c r="S34" s="229">
        <f t="shared" si="8"/>
        <v>154</v>
      </c>
      <c r="T34" s="229">
        <f t="shared" si="8"/>
        <v>154</v>
      </c>
      <c r="U34" s="229">
        <f t="shared" si="8"/>
        <v>154</v>
      </c>
      <c r="V34" s="229">
        <f t="shared" si="8"/>
        <v>154</v>
      </c>
      <c r="W34" s="229">
        <f t="shared" si="8"/>
        <v>154</v>
      </c>
      <c r="X34" s="4596">
        <v>154</v>
      </c>
      <c r="Y34" s="4596"/>
      <c r="Z34" s="229">
        <v>154</v>
      </c>
      <c r="AA34" s="229">
        <v>154</v>
      </c>
      <c r="AB34" s="229">
        <v>154</v>
      </c>
      <c r="AC34" s="229">
        <v>154</v>
      </c>
      <c r="AD34" s="229">
        <v>154</v>
      </c>
      <c r="AE34" s="230" t="s">
        <v>56</v>
      </c>
    </row>
    <row r="35" spans="1:31" s="31" customFormat="1" ht="13.2">
      <c r="A35" s="231" t="s">
        <v>57</v>
      </c>
      <c r="B35" s="232">
        <f t="shared" ref="B35:G35" si="9">300/12</f>
        <v>25</v>
      </c>
      <c r="C35" s="233">
        <f t="shared" si="9"/>
        <v>25</v>
      </c>
      <c r="D35" s="233">
        <f t="shared" si="9"/>
        <v>25</v>
      </c>
      <c r="E35" s="233">
        <f t="shared" si="9"/>
        <v>25</v>
      </c>
      <c r="F35" s="233">
        <f t="shared" si="9"/>
        <v>25</v>
      </c>
      <c r="G35" s="233">
        <f t="shared" si="9"/>
        <v>25</v>
      </c>
      <c r="H35" s="234">
        <f>456/12</f>
        <v>38</v>
      </c>
      <c r="I35" s="234">
        <f>720/12</f>
        <v>60</v>
      </c>
      <c r="J35" s="234">
        <f>1152/12</f>
        <v>96</v>
      </c>
      <c r="K35" s="234">
        <f>1296/12</f>
        <v>108</v>
      </c>
      <c r="L35" s="235">
        <f>1296/12</f>
        <v>108</v>
      </c>
      <c r="M35" s="235">
        <f>1296/12</f>
        <v>108</v>
      </c>
      <c r="N35" s="235">
        <f>1296/12</f>
        <v>108</v>
      </c>
      <c r="O35" s="235">
        <f>1296/12</f>
        <v>108</v>
      </c>
      <c r="P35" s="235"/>
      <c r="Q35" s="235"/>
      <c r="R35" s="235"/>
      <c r="S35" s="235"/>
      <c r="T35" s="235"/>
      <c r="U35" s="236"/>
      <c r="V35" s="236"/>
      <c r="W35" s="236"/>
      <c r="X35" s="4597"/>
      <c r="Y35" s="4597"/>
      <c r="Z35" s="237"/>
      <c r="AA35" s="237"/>
      <c r="AB35" s="237"/>
      <c r="AC35" s="237"/>
      <c r="AD35" s="237"/>
      <c r="AE35" s="238" t="s">
        <v>58</v>
      </c>
    </row>
    <row r="36" spans="1:31">
      <c r="A36" s="224" t="s">
        <v>59</v>
      </c>
      <c r="B36" s="225">
        <f t="shared" ref="B36:O36" si="10">B37/$O$1</f>
        <v>28.457436212656731</v>
      </c>
      <c r="C36" s="226">
        <f t="shared" si="10"/>
        <v>28.457436212656731</v>
      </c>
      <c r="D36" s="226">
        <f t="shared" si="10"/>
        <v>28.457436212656731</v>
      </c>
      <c r="E36" s="226">
        <f t="shared" si="10"/>
        <v>28.457436212656731</v>
      </c>
      <c r="F36" s="226">
        <f t="shared" si="10"/>
        <v>28.457436212656731</v>
      </c>
      <c r="G36" s="226">
        <f t="shared" si="10"/>
        <v>28.457436212656731</v>
      </c>
      <c r="H36" s="227">
        <f t="shared" si="10"/>
        <v>42.686154318985096</v>
      </c>
      <c r="I36" s="227">
        <f t="shared" si="10"/>
        <v>66.756402448857244</v>
      </c>
      <c r="J36" s="227">
        <f t="shared" si="10"/>
        <v>106.71538579746274</v>
      </c>
      <c r="K36" s="227">
        <f t="shared" si="10"/>
        <v>119.52123209315826</v>
      </c>
      <c r="L36" s="228">
        <f t="shared" si="10"/>
        <v>119.52123209315826</v>
      </c>
      <c r="M36" s="228">
        <f t="shared" si="10"/>
        <v>119.52123209315826</v>
      </c>
      <c r="N36" s="228">
        <f t="shared" si="10"/>
        <v>119.52123209315826</v>
      </c>
      <c r="O36" s="228">
        <f t="shared" si="10"/>
        <v>119.52123209315826</v>
      </c>
      <c r="P36" s="229">
        <f t="shared" ref="P36:W36" si="11">1440/12</f>
        <v>120</v>
      </c>
      <c r="Q36" s="229">
        <f t="shared" si="11"/>
        <v>120</v>
      </c>
      <c r="R36" s="229">
        <f t="shared" si="11"/>
        <v>120</v>
      </c>
      <c r="S36" s="229">
        <f t="shared" si="11"/>
        <v>120</v>
      </c>
      <c r="T36" s="229">
        <f t="shared" si="11"/>
        <v>120</v>
      </c>
      <c r="U36" s="229">
        <f t="shared" si="11"/>
        <v>120</v>
      </c>
      <c r="V36" s="229">
        <f t="shared" si="11"/>
        <v>120</v>
      </c>
      <c r="W36" s="229">
        <f t="shared" si="11"/>
        <v>120</v>
      </c>
      <c r="X36" s="4596">
        <v>120</v>
      </c>
      <c r="Y36" s="4596"/>
      <c r="Z36" s="229">
        <v>120</v>
      </c>
      <c r="AA36" s="229">
        <v>120</v>
      </c>
      <c r="AB36" s="229">
        <v>120</v>
      </c>
      <c r="AC36" s="229">
        <v>120</v>
      </c>
      <c r="AD36" s="229">
        <v>120</v>
      </c>
      <c r="AE36" s="230" t="s">
        <v>60</v>
      </c>
    </row>
    <row r="37" spans="1:31" s="31" customFormat="1" ht="13.2">
      <c r="A37" s="239" t="s">
        <v>61</v>
      </c>
      <c r="B37" s="174">
        <f t="shared" ref="B37:G37" si="12">240/12</f>
        <v>20</v>
      </c>
      <c r="C37" s="175">
        <f t="shared" si="12"/>
        <v>20</v>
      </c>
      <c r="D37" s="175">
        <f t="shared" si="12"/>
        <v>20</v>
      </c>
      <c r="E37" s="175">
        <f t="shared" si="12"/>
        <v>20</v>
      </c>
      <c r="F37" s="175">
        <f t="shared" si="12"/>
        <v>20</v>
      </c>
      <c r="G37" s="175">
        <f t="shared" si="12"/>
        <v>20</v>
      </c>
      <c r="H37" s="176">
        <f>360/12</f>
        <v>30</v>
      </c>
      <c r="I37" s="176">
        <f>563/12</f>
        <v>46.916666666666664</v>
      </c>
      <c r="J37" s="176">
        <f>900/12</f>
        <v>75</v>
      </c>
      <c r="K37" s="176">
        <f>1008/12</f>
        <v>84</v>
      </c>
      <c r="L37" s="177">
        <f>1008/12</f>
        <v>84</v>
      </c>
      <c r="M37" s="177">
        <f>1008/12</f>
        <v>84</v>
      </c>
      <c r="N37" s="177">
        <f>1008/12</f>
        <v>84</v>
      </c>
      <c r="O37" s="177">
        <f>1008/12</f>
        <v>84</v>
      </c>
      <c r="P37" s="177"/>
      <c r="Q37" s="177"/>
      <c r="R37" s="177"/>
      <c r="S37" s="177"/>
      <c r="T37" s="177"/>
      <c r="U37" s="240"/>
      <c r="V37" s="240"/>
      <c r="W37" s="240"/>
      <c r="X37" s="4598"/>
      <c r="Y37" s="4598"/>
      <c r="Z37" s="240"/>
      <c r="AA37" s="240"/>
      <c r="AB37" s="240"/>
      <c r="AC37" s="240"/>
      <c r="AD37" s="240"/>
      <c r="AE37" s="181" t="s">
        <v>62</v>
      </c>
    </row>
    <row r="38" spans="1:31" ht="40.35" customHeight="1">
      <c r="A38" s="241" t="s">
        <v>63</v>
      </c>
      <c r="B38" s="242"/>
      <c r="C38" s="243"/>
      <c r="D38" s="243"/>
      <c r="E38" s="243"/>
      <c r="F38" s="243"/>
      <c r="G38" s="243"/>
      <c r="H38" s="244"/>
      <c r="I38" s="244"/>
      <c r="J38" s="244"/>
      <c r="K38" s="244"/>
      <c r="L38" s="243"/>
      <c r="M38" s="244"/>
      <c r="N38" s="243"/>
      <c r="O38" s="245"/>
      <c r="P38" s="244"/>
      <c r="Q38" s="243"/>
      <c r="R38" s="244"/>
      <c r="S38" s="246"/>
      <c r="T38" s="247"/>
      <c r="U38" s="247"/>
      <c r="V38" s="247"/>
      <c r="W38" s="247"/>
      <c r="X38" s="4599"/>
      <c r="Y38" s="4599"/>
      <c r="Z38" s="247"/>
      <c r="AA38" s="247"/>
      <c r="AB38" s="247"/>
      <c r="AC38" s="247"/>
      <c r="AD38" s="247"/>
      <c r="AE38" s="248" t="s">
        <v>64</v>
      </c>
    </row>
    <row r="39" spans="1:31">
      <c r="A39" s="249" t="s">
        <v>65</v>
      </c>
      <c r="B39" s="250">
        <f t="shared" ref="B39:J39" si="13">B40/$O$1</f>
        <v>35.57179526582091</v>
      </c>
      <c r="C39" s="251">
        <f t="shared" si="13"/>
        <v>35.57179526582091</v>
      </c>
      <c r="D39" s="251">
        <f t="shared" si="13"/>
        <v>35.57179526582091</v>
      </c>
      <c r="E39" s="251">
        <f t="shared" si="13"/>
        <v>35.57179526582091</v>
      </c>
      <c r="F39" s="251">
        <f t="shared" si="13"/>
        <v>35.57179526582091</v>
      </c>
      <c r="G39" s="251">
        <f t="shared" si="13"/>
        <v>35.57179526582091</v>
      </c>
      <c r="H39" s="252">
        <f t="shared" si="13"/>
        <v>54.069128804047786</v>
      </c>
      <c r="I39" s="252">
        <f t="shared" si="13"/>
        <v>85.372308637970193</v>
      </c>
      <c r="J39" s="252">
        <f t="shared" si="13"/>
        <v>136.5956938207523</v>
      </c>
      <c r="K39" s="4593">
        <f>K42/$O$1</f>
        <v>153.67015554834634</v>
      </c>
      <c r="L39" s="4594">
        <f>L42/$O$1</f>
        <v>153.67015554834634</v>
      </c>
      <c r="M39" s="4594">
        <f>M42/$O$1</f>
        <v>153.67015554834634</v>
      </c>
      <c r="N39" s="4594">
        <f>N42/$O$1</f>
        <v>153.67015554834634</v>
      </c>
      <c r="O39" s="4594">
        <f>O42/$O$1</f>
        <v>153.67015554834634</v>
      </c>
      <c r="P39" s="4569">
        <f>1848/12</f>
        <v>154</v>
      </c>
      <c r="Q39" s="4569">
        <f>1848/12</f>
        <v>154</v>
      </c>
      <c r="R39" s="4569">
        <f t="shared" ref="R39:W39" si="14">1848/12</f>
        <v>154</v>
      </c>
      <c r="S39" s="4569">
        <f t="shared" si="14"/>
        <v>154</v>
      </c>
      <c r="T39" s="4569">
        <f t="shared" si="14"/>
        <v>154</v>
      </c>
      <c r="U39" s="4569">
        <f t="shared" si="14"/>
        <v>154</v>
      </c>
      <c r="V39" s="4569">
        <f t="shared" si="14"/>
        <v>154</v>
      </c>
      <c r="W39" s="4569">
        <f t="shared" si="14"/>
        <v>154</v>
      </c>
      <c r="X39" s="4570">
        <v>154</v>
      </c>
      <c r="Y39" s="4570"/>
      <c r="Z39" s="124"/>
      <c r="AA39" s="124"/>
      <c r="AB39" s="124"/>
      <c r="AC39" s="124"/>
      <c r="AD39" s="124"/>
      <c r="AE39" s="253" t="s">
        <v>66</v>
      </c>
    </row>
    <row r="40" spans="1:31" s="31" customFormat="1">
      <c r="A40" s="254" t="s">
        <v>67</v>
      </c>
      <c r="B40" s="255">
        <f t="shared" ref="B40:G40" si="15">300/12</f>
        <v>25</v>
      </c>
      <c r="C40" s="256">
        <f t="shared" si="15"/>
        <v>25</v>
      </c>
      <c r="D40" s="256">
        <f t="shared" si="15"/>
        <v>25</v>
      </c>
      <c r="E40" s="256">
        <f t="shared" si="15"/>
        <v>25</v>
      </c>
      <c r="F40" s="256">
        <f t="shared" si="15"/>
        <v>25</v>
      </c>
      <c r="G40" s="256">
        <f t="shared" si="15"/>
        <v>25</v>
      </c>
      <c r="H40" s="257">
        <f>456/12</f>
        <v>38</v>
      </c>
      <c r="I40" s="257">
        <f>720/12</f>
        <v>60</v>
      </c>
      <c r="J40" s="257">
        <f>1152/12</f>
        <v>96</v>
      </c>
      <c r="K40" s="4593"/>
      <c r="L40" s="4594"/>
      <c r="M40" s="4594"/>
      <c r="N40" s="4594"/>
      <c r="O40" s="4594"/>
      <c r="P40" s="4569"/>
      <c r="Q40" s="4569"/>
      <c r="R40" s="4569"/>
      <c r="S40" s="4569"/>
      <c r="T40" s="4569"/>
      <c r="U40" s="4569"/>
      <c r="V40" s="4569"/>
      <c r="W40" s="4569"/>
      <c r="X40" s="4571"/>
      <c r="Y40" s="4571"/>
      <c r="Z40" s="90">
        <v>154</v>
      </c>
      <c r="AA40" s="90">
        <v>154</v>
      </c>
      <c r="AB40" s="90">
        <v>154</v>
      </c>
      <c r="AC40" s="90">
        <v>154</v>
      </c>
      <c r="AD40" s="90">
        <v>154</v>
      </c>
      <c r="AE40" s="258" t="s">
        <v>68</v>
      </c>
    </row>
    <row r="41" spans="1:31">
      <c r="A41" s="249" t="s">
        <v>69</v>
      </c>
      <c r="B41" s="250">
        <f t="shared" ref="B41:J41" si="16">B42/$O$1</f>
        <v>65.452103289110482</v>
      </c>
      <c r="C41" s="251">
        <f t="shared" si="16"/>
        <v>65.452103289110482</v>
      </c>
      <c r="D41" s="251">
        <f t="shared" si="16"/>
        <v>65.452103289110482</v>
      </c>
      <c r="E41" s="251">
        <f t="shared" si="16"/>
        <v>65.452103289110482</v>
      </c>
      <c r="F41" s="251">
        <f t="shared" si="16"/>
        <v>65.452103289110482</v>
      </c>
      <c r="G41" s="251">
        <f t="shared" si="16"/>
        <v>65.452103289110482</v>
      </c>
      <c r="H41" s="252">
        <f t="shared" si="16"/>
        <v>99.601026744298551</v>
      </c>
      <c r="I41" s="252">
        <f t="shared" si="16"/>
        <v>156.51589916961203</v>
      </c>
      <c r="J41" s="252">
        <f t="shared" si="16"/>
        <v>250.42543867137923</v>
      </c>
      <c r="K41" s="4593"/>
      <c r="L41" s="4594"/>
      <c r="M41" s="4594"/>
      <c r="N41" s="4594"/>
      <c r="O41" s="4594"/>
      <c r="P41" s="4569"/>
      <c r="Q41" s="4569"/>
      <c r="R41" s="4569"/>
      <c r="S41" s="4569"/>
      <c r="T41" s="4569"/>
      <c r="U41" s="4569"/>
      <c r="V41" s="4569"/>
      <c r="W41" s="4569"/>
      <c r="X41" s="4572"/>
      <c r="Y41" s="4572"/>
      <c r="Z41" s="259"/>
      <c r="AA41" s="259"/>
      <c r="AB41" s="259"/>
      <c r="AC41" s="259"/>
      <c r="AD41" s="259"/>
      <c r="AE41" s="253" t="s">
        <v>70</v>
      </c>
    </row>
    <row r="42" spans="1:31" s="31" customFormat="1" ht="13.2">
      <c r="A42" s="260" t="s">
        <v>71</v>
      </c>
      <c r="B42" s="261">
        <f t="shared" ref="B42:G42" si="17">552/12</f>
        <v>46</v>
      </c>
      <c r="C42" s="262">
        <f t="shared" si="17"/>
        <v>46</v>
      </c>
      <c r="D42" s="262">
        <f t="shared" si="17"/>
        <v>46</v>
      </c>
      <c r="E42" s="262">
        <f t="shared" si="17"/>
        <v>46</v>
      </c>
      <c r="F42" s="262">
        <f t="shared" si="17"/>
        <v>46</v>
      </c>
      <c r="G42" s="262">
        <f t="shared" si="17"/>
        <v>46</v>
      </c>
      <c r="H42" s="263">
        <f>840/12</f>
        <v>70</v>
      </c>
      <c r="I42" s="263">
        <f>1320/12</f>
        <v>110</v>
      </c>
      <c r="J42" s="263">
        <f>2112/12</f>
        <v>176</v>
      </c>
      <c r="K42" s="263">
        <f>1296/12</f>
        <v>108</v>
      </c>
      <c r="L42" s="264">
        <f>1296/12</f>
        <v>108</v>
      </c>
      <c r="M42" s="264">
        <f>1296/12</f>
        <v>108</v>
      </c>
      <c r="N42" s="264">
        <f>1296/12</f>
        <v>108</v>
      </c>
      <c r="O42" s="264">
        <f>1296/12</f>
        <v>108</v>
      </c>
      <c r="P42" s="265"/>
      <c r="Q42" s="265"/>
      <c r="R42" s="265"/>
      <c r="S42" s="265"/>
      <c r="T42" s="265"/>
      <c r="U42" s="265"/>
      <c r="V42" s="265"/>
      <c r="W42" s="265"/>
      <c r="X42" s="4573"/>
      <c r="Y42" s="4573"/>
      <c r="Z42" s="265"/>
      <c r="AA42" s="265"/>
      <c r="AB42" s="265"/>
      <c r="AC42" s="265"/>
      <c r="AD42" s="265"/>
      <c r="AE42" s="266" t="s">
        <v>72</v>
      </c>
    </row>
    <row r="43" spans="1:31" ht="21.6" customHeight="1">
      <c r="A43" s="267" t="s">
        <v>73</v>
      </c>
      <c r="B43" s="268"/>
      <c r="C43" s="269"/>
      <c r="D43" s="269"/>
      <c r="E43" s="269"/>
      <c r="F43" s="269"/>
      <c r="G43" s="269"/>
      <c r="H43" s="269"/>
      <c r="I43" s="269"/>
      <c r="J43" s="269"/>
      <c r="K43" s="269"/>
      <c r="L43" s="269"/>
      <c r="M43" s="269"/>
      <c r="N43" s="269"/>
      <c r="O43" s="269"/>
      <c r="P43" s="269"/>
      <c r="Q43" s="269"/>
      <c r="R43" s="269"/>
      <c r="S43" s="269"/>
      <c r="T43" s="269"/>
      <c r="U43" s="269"/>
      <c r="V43" s="269"/>
      <c r="W43" s="269"/>
      <c r="X43" s="4574"/>
      <c r="Y43" s="4574"/>
      <c r="Z43" s="269"/>
      <c r="AA43" s="269"/>
      <c r="AB43" s="269"/>
      <c r="AC43" s="269"/>
      <c r="AD43" s="269"/>
      <c r="AE43" s="267" t="s">
        <v>74</v>
      </c>
    </row>
    <row r="44" spans="1:31" s="277" customFormat="1" ht="27.6" customHeight="1">
      <c r="A44" s="270" t="s">
        <v>75</v>
      </c>
      <c r="B44" s="271" t="s">
        <v>76</v>
      </c>
      <c r="C44" s="272">
        <f t="shared" ref="C44:O44" si="18">C45/$O$1</f>
        <v>213.43077159492549</v>
      </c>
      <c r="D44" s="273">
        <f t="shared" si="18"/>
        <v>213.43077159492549</v>
      </c>
      <c r="E44" s="273">
        <f t="shared" si="18"/>
        <v>213.43077159492549</v>
      </c>
      <c r="F44" s="273">
        <f t="shared" si="18"/>
        <v>213.43077159492549</v>
      </c>
      <c r="G44" s="273">
        <f t="shared" si="18"/>
        <v>213.43077159492549</v>
      </c>
      <c r="H44" s="273">
        <f t="shared" si="18"/>
        <v>213.43077159492549</v>
      </c>
      <c r="I44" s="273">
        <f t="shared" si="18"/>
        <v>213.43077159492549</v>
      </c>
      <c r="J44" s="273">
        <f t="shared" si="18"/>
        <v>213.43077159492549</v>
      </c>
      <c r="K44" s="272">
        <f t="shared" si="18"/>
        <v>426.86154318985098</v>
      </c>
      <c r="L44" s="274">
        <f t="shared" si="18"/>
        <v>213.43077159492549</v>
      </c>
      <c r="M44" s="273">
        <f t="shared" si="18"/>
        <v>213.43077159492549</v>
      </c>
      <c r="N44" s="273">
        <f t="shared" si="18"/>
        <v>213.43077159492549</v>
      </c>
      <c r="O44" s="273">
        <f t="shared" si="18"/>
        <v>213.43077159492549</v>
      </c>
      <c r="P44" s="275">
        <v>213.43</v>
      </c>
      <c r="Q44" s="275">
        <v>213.43</v>
      </c>
      <c r="R44" s="276">
        <v>215</v>
      </c>
      <c r="S44" s="275">
        <v>215</v>
      </c>
      <c r="T44" s="4575" t="s">
        <v>77</v>
      </c>
      <c r="U44" s="4576"/>
      <c r="V44" s="4576"/>
      <c r="W44" s="4576"/>
      <c r="X44" s="4576"/>
      <c r="Y44" s="4576"/>
      <c r="Z44" s="4576"/>
      <c r="AA44" s="4576"/>
      <c r="AB44" s="4576"/>
      <c r="AC44" s="4576"/>
      <c r="AD44" s="4577"/>
      <c r="AE44" s="270" t="s">
        <v>78</v>
      </c>
    </row>
    <row r="45" spans="1:31" s="31" customFormat="1" ht="15.6" customHeight="1">
      <c r="A45" s="278" t="s">
        <v>79</v>
      </c>
      <c r="B45" s="279" t="s">
        <v>80</v>
      </c>
      <c r="C45" s="280">
        <v>150</v>
      </c>
      <c r="D45" s="280">
        <v>150</v>
      </c>
      <c r="E45" s="280">
        <v>150</v>
      </c>
      <c r="F45" s="280">
        <v>150</v>
      </c>
      <c r="G45" s="280">
        <v>150</v>
      </c>
      <c r="H45" s="280">
        <v>150</v>
      </c>
      <c r="I45" s="280">
        <v>150</v>
      </c>
      <c r="J45" s="280">
        <v>150</v>
      </c>
      <c r="K45" s="280">
        <v>300</v>
      </c>
      <c r="L45" s="280">
        <v>150</v>
      </c>
      <c r="M45" s="280">
        <v>150</v>
      </c>
      <c r="N45" s="280">
        <v>150</v>
      </c>
      <c r="O45" s="280">
        <v>150</v>
      </c>
      <c r="P45" s="281"/>
      <c r="Q45" s="281"/>
      <c r="R45" s="281"/>
      <c r="S45" s="281"/>
      <c r="T45" s="4578"/>
      <c r="U45" s="4579"/>
      <c r="V45" s="4579"/>
      <c r="W45" s="4579"/>
      <c r="X45" s="4579"/>
      <c r="Y45" s="4579"/>
      <c r="Z45" s="4579"/>
      <c r="AA45" s="4579"/>
      <c r="AB45" s="4579"/>
      <c r="AC45" s="4579"/>
      <c r="AD45" s="4580"/>
      <c r="AE45" s="282" t="s">
        <v>81</v>
      </c>
    </row>
    <row r="46" spans="1:31" s="31" customFormat="1" ht="30.6" customHeight="1">
      <c r="A46" s="283" t="s">
        <v>82</v>
      </c>
      <c r="B46" s="284">
        <v>0.25</v>
      </c>
      <c r="C46" s="285">
        <v>0.25</v>
      </c>
      <c r="D46" s="285">
        <v>0.25</v>
      </c>
      <c r="E46" s="285">
        <v>0.25</v>
      </c>
      <c r="F46" s="285">
        <v>0.25</v>
      </c>
      <c r="G46" s="285">
        <v>0.25</v>
      </c>
      <c r="H46" s="285">
        <v>0.25</v>
      </c>
      <c r="I46" s="285">
        <v>0.25</v>
      </c>
      <c r="J46" s="285">
        <v>0.25</v>
      </c>
      <c r="K46" s="285">
        <v>0.23</v>
      </c>
      <c r="L46" s="285">
        <v>0.26</v>
      </c>
      <c r="M46" s="285">
        <v>0.25</v>
      </c>
      <c r="N46" s="285">
        <v>0.25</v>
      </c>
      <c r="O46" s="285">
        <v>0.24</v>
      </c>
      <c r="P46" s="285">
        <v>0.24</v>
      </c>
      <c r="Q46" s="285">
        <v>0.23</v>
      </c>
      <c r="R46" s="285">
        <v>0.23</v>
      </c>
      <c r="S46" s="285">
        <v>0.23</v>
      </c>
      <c r="T46" s="4578"/>
      <c r="U46" s="4579"/>
      <c r="V46" s="4579"/>
      <c r="W46" s="4579"/>
      <c r="X46" s="4579"/>
      <c r="Y46" s="4579"/>
      <c r="Z46" s="4579"/>
      <c r="AA46" s="4579"/>
      <c r="AB46" s="4579"/>
      <c r="AC46" s="4579"/>
      <c r="AD46" s="4580"/>
      <c r="AE46" s="286" t="s">
        <v>83</v>
      </c>
    </row>
    <row r="47" spans="1:31" ht="47.25" customHeight="1">
      <c r="A47" s="287" t="s">
        <v>84</v>
      </c>
      <c r="B47" s="288"/>
      <c r="C47" s="288"/>
      <c r="D47" s="288"/>
      <c r="E47" s="288"/>
      <c r="F47" s="288"/>
      <c r="G47" s="288"/>
      <c r="H47" s="288"/>
      <c r="I47" s="288">
        <v>0.2</v>
      </c>
      <c r="J47" s="288">
        <v>0.2</v>
      </c>
      <c r="K47" s="289">
        <v>0.2</v>
      </c>
      <c r="L47" s="289">
        <v>0.2</v>
      </c>
      <c r="M47" s="289">
        <v>0.2</v>
      </c>
      <c r="N47" s="289">
        <v>0.2</v>
      </c>
      <c r="O47" s="289">
        <v>0.2</v>
      </c>
      <c r="P47" s="289">
        <v>0.2</v>
      </c>
      <c r="Q47" s="289">
        <v>0.2</v>
      </c>
      <c r="R47" s="290">
        <v>0.2</v>
      </c>
      <c r="S47" s="290">
        <v>0.2</v>
      </c>
      <c r="T47" s="4581"/>
      <c r="U47" s="4582"/>
      <c r="V47" s="4582"/>
      <c r="W47" s="4582"/>
      <c r="X47" s="4582"/>
      <c r="Y47" s="4582"/>
      <c r="Z47" s="4582"/>
      <c r="AA47" s="4582"/>
      <c r="AB47" s="4582"/>
      <c r="AC47" s="4582"/>
      <c r="AD47" s="4583"/>
      <c r="AE47" s="287" t="s">
        <v>85</v>
      </c>
    </row>
    <row r="48" spans="1:31" ht="30" customHeight="1">
      <c r="A48" s="283" t="s">
        <v>86</v>
      </c>
      <c r="B48" s="289"/>
      <c r="C48" s="289"/>
      <c r="D48" s="289"/>
      <c r="E48" s="289"/>
      <c r="F48" s="289"/>
      <c r="G48" s="289"/>
      <c r="H48" s="289"/>
      <c r="I48" s="291">
        <v>0.2</v>
      </c>
      <c r="J48" s="288">
        <v>0.2</v>
      </c>
      <c r="K48" s="289">
        <v>0.2</v>
      </c>
      <c r="L48" s="292">
        <v>0.1</v>
      </c>
      <c r="M48" s="289">
        <v>0.1</v>
      </c>
      <c r="N48" s="289">
        <v>0.1</v>
      </c>
      <c r="O48" s="289">
        <v>0.1</v>
      </c>
      <c r="P48" s="289">
        <v>0.1</v>
      </c>
      <c r="Q48" s="289">
        <v>0.1</v>
      </c>
      <c r="R48" s="290">
        <v>0.1</v>
      </c>
      <c r="S48" s="290">
        <v>0.1</v>
      </c>
      <c r="T48" s="4584" t="s">
        <v>87</v>
      </c>
      <c r="U48" s="4585"/>
      <c r="V48" s="4585"/>
      <c r="W48" s="4585"/>
      <c r="X48" s="4585"/>
      <c r="Y48" s="4585"/>
      <c r="Z48" s="4585"/>
      <c r="AA48" s="4585"/>
      <c r="AB48" s="4585"/>
      <c r="AC48" s="4585"/>
      <c r="AD48" s="4586"/>
      <c r="AE48" s="283" t="s">
        <v>88</v>
      </c>
    </row>
    <row r="49" spans="1:31" ht="41.4">
      <c r="A49" s="293" t="s">
        <v>89</v>
      </c>
      <c r="B49" s="289"/>
      <c r="C49" s="289"/>
      <c r="D49" s="289"/>
      <c r="E49" s="289"/>
      <c r="F49" s="289"/>
      <c r="G49" s="289"/>
      <c r="H49" s="289"/>
      <c r="I49" s="294">
        <v>0.2</v>
      </c>
      <c r="J49" s="289">
        <v>0.2</v>
      </c>
      <c r="K49" s="289">
        <v>0.2</v>
      </c>
      <c r="L49" s="292">
        <v>0.1</v>
      </c>
      <c r="M49" s="289">
        <v>0.1</v>
      </c>
      <c r="N49" s="289">
        <v>0.1</v>
      </c>
      <c r="O49" s="289">
        <v>0.1</v>
      </c>
      <c r="P49" s="289">
        <v>0.1</v>
      </c>
      <c r="Q49" s="289">
        <v>0.1</v>
      </c>
      <c r="R49" s="290">
        <v>0.1</v>
      </c>
      <c r="S49" s="290">
        <v>0.1</v>
      </c>
      <c r="T49" s="4587"/>
      <c r="U49" s="4588"/>
      <c r="V49" s="4588"/>
      <c r="W49" s="4588"/>
      <c r="X49" s="4588"/>
      <c r="Y49" s="4588"/>
      <c r="Z49" s="4588"/>
      <c r="AA49" s="4588"/>
      <c r="AB49" s="4588"/>
      <c r="AC49" s="4588"/>
      <c r="AD49" s="4589"/>
      <c r="AE49" s="296" t="s">
        <v>90</v>
      </c>
    </row>
    <row r="50" spans="1:31" ht="55.8" thickBot="1">
      <c r="A50" s="297" t="s">
        <v>91</v>
      </c>
      <c r="B50" s="298"/>
      <c r="C50" s="298"/>
      <c r="D50" s="298"/>
      <c r="E50" s="298"/>
      <c r="F50" s="298"/>
      <c r="G50" s="298"/>
      <c r="H50" s="298"/>
      <c r="I50" s="298">
        <v>0.2</v>
      </c>
      <c r="J50" s="298">
        <v>0.2</v>
      </c>
      <c r="K50" s="299">
        <v>0.2</v>
      </c>
      <c r="L50" s="299"/>
      <c r="M50" s="299"/>
      <c r="N50" s="299"/>
      <c r="O50" s="299"/>
      <c r="P50" s="299"/>
      <c r="Q50" s="299"/>
      <c r="R50" s="299"/>
      <c r="S50" s="299"/>
      <c r="T50" s="4590"/>
      <c r="U50" s="4591"/>
      <c r="V50" s="4591"/>
      <c r="W50" s="4591"/>
      <c r="X50" s="4591"/>
      <c r="Y50" s="4591"/>
      <c r="Z50" s="4591"/>
      <c r="AA50" s="4591"/>
      <c r="AB50" s="4591"/>
      <c r="AC50" s="4591"/>
      <c r="AD50" s="4592"/>
      <c r="AE50" s="300" t="s">
        <v>92</v>
      </c>
    </row>
    <row r="51" spans="1:31" s="4" customFormat="1" ht="16.2" thickBot="1">
      <c r="A51" s="301" t="s">
        <v>93</v>
      </c>
      <c r="B51" s="302"/>
      <c r="C51" s="303"/>
      <c r="D51" s="304"/>
      <c r="E51" s="303"/>
      <c r="F51" s="303"/>
      <c r="G51" s="304"/>
      <c r="H51" s="303"/>
      <c r="I51" s="303"/>
      <c r="J51" s="303"/>
      <c r="K51" s="303"/>
      <c r="L51" s="304"/>
      <c r="M51" s="303"/>
      <c r="N51" s="304"/>
      <c r="O51" s="304"/>
      <c r="P51" s="303"/>
      <c r="Q51" s="303"/>
      <c r="R51" s="303"/>
      <c r="S51" s="303"/>
      <c r="T51" s="303"/>
      <c r="U51" s="303"/>
      <c r="V51" s="303"/>
      <c r="W51" s="303"/>
      <c r="X51" s="4563"/>
      <c r="Y51" s="4563"/>
      <c r="Z51" s="303"/>
      <c r="AA51" s="303"/>
      <c r="AB51" s="303"/>
      <c r="AC51" s="303"/>
      <c r="AD51" s="303"/>
      <c r="AE51" s="305" t="s">
        <v>94</v>
      </c>
    </row>
    <row r="52" spans="1:31" ht="15.6" customHeight="1">
      <c r="A52" s="306" t="s">
        <v>95</v>
      </c>
      <c r="B52" s="307">
        <f t="shared" ref="B52:W52" si="19">B53+B54</f>
        <v>0.36090000000000005</v>
      </c>
      <c r="C52" s="308">
        <f t="shared" si="19"/>
        <v>0.35089999999999999</v>
      </c>
      <c r="D52" s="309">
        <f t="shared" si="19"/>
        <v>0.35090000000000005</v>
      </c>
      <c r="E52" s="308">
        <f t="shared" si="19"/>
        <v>0.33089999999999997</v>
      </c>
      <c r="F52" s="309">
        <f t="shared" si="19"/>
        <v>0.33089999999999997</v>
      </c>
      <c r="G52" s="309">
        <f t="shared" si="19"/>
        <v>0.33089999999999997</v>
      </c>
      <c r="H52" s="310">
        <f t="shared" si="19"/>
        <v>0.33089999999999992</v>
      </c>
      <c r="I52" s="309">
        <f t="shared" si="19"/>
        <v>0.33089999999999997</v>
      </c>
      <c r="J52" s="309">
        <f t="shared" si="19"/>
        <v>0.33089999999999997</v>
      </c>
      <c r="K52" s="309">
        <f t="shared" si="19"/>
        <v>0.33089999999999992</v>
      </c>
      <c r="L52" s="309">
        <f t="shared" si="19"/>
        <v>0.33089999999999997</v>
      </c>
      <c r="M52" s="311">
        <f t="shared" si="19"/>
        <v>0.35089999999999999</v>
      </c>
      <c r="N52" s="309">
        <f t="shared" si="19"/>
        <v>0.35089999999999999</v>
      </c>
      <c r="O52" s="309">
        <f t="shared" si="19"/>
        <v>0.35089999999999999</v>
      </c>
      <c r="P52" s="308">
        <f t="shared" si="19"/>
        <v>0.34089999999999993</v>
      </c>
      <c r="Q52" s="310">
        <f t="shared" si="19"/>
        <v>0.34089999999999993</v>
      </c>
      <c r="R52" s="310">
        <f t="shared" si="19"/>
        <v>0.34089999999999987</v>
      </c>
      <c r="S52" s="310">
        <f t="shared" si="19"/>
        <v>0.34089999999999993</v>
      </c>
      <c r="T52" s="311">
        <f t="shared" si="19"/>
        <v>0.35089999999999999</v>
      </c>
      <c r="U52" s="310">
        <f t="shared" si="19"/>
        <v>0.35089999999999999</v>
      </c>
      <c r="V52" s="310">
        <f t="shared" si="19"/>
        <v>0.35089999999999999</v>
      </c>
      <c r="W52" s="308">
        <f t="shared" si="19"/>
        <v>0.34089999999999998</v>
      </c>
      <c r="X52" s="4564">
        <v>0.34089999999999998</v>
      </c>
      <c r="Y52" s="4564"/>
      <c r="Z52" s="310">
        <v>0.34089999999999998</v>
      </c>
      <c r="AA52" s="310">
        <v>0.34089999999999998</v>
      </c>
      <c r="AB52" s="310">
        <v>0.34089999999999998</v>
      </c>
      <c r="AC52" s="310">
        <v>0.34089999999999998</v>
      </c>
      <c r="AD52" s="310">
        <v>0.34089999999999998</v>
      </c>
      <c r="AE52" s="312" t="s">
        <v>96</v>
      </c>
    </row>
    <row r="53" spans="1:31" s="319" customFormat="1">
      <c r="A53" s="224" t="s">
        <v>97</v>
      </c>
      <c r="B53" s="313">
        <v>0.27090000000000003</v>
      </c>
      <c r="C53" s="314">
        <v>0.26089999999999997</v>
      </c>
      <c r="D53" s="315">
        <v>0.26090000000000002</v>
      </c>
      <c r="E53" s="314">
        <v>0.2409</v>
      </c>
      <c r="F53" s="315">
        <v>0.24089999999999998</v>
      </c>
      <c r="G53" s="316">
        <v>0.24089999999999998</v>
      </c>
      <c r="H53" s="316">
        <v>0.24089999999999995</v>
      </c>
      <c r="I53" s="316">
        <v>0.24089999999999998</v>
      </c>
      <c r="J53" s="316">
        <v>0.24089999999999995</v>
      </c>
      <c r="K53" s="316">
        <v>0.24089999999999995</v>
      </c>
      <c r="L53" s="316">
        <v>0.24089999999999998</v>
      </c>
      <c r="M53" s="316">
        <v>0.24089999999999998</v>
      </c>
      <c r="N53" s="316">
        <v>0.24089999999999998</v>
      </c>
      <c r="O53" s="316">
        <v>0.24089999999999998</v>
      </c>
      <c r="P53" s="314">
        <v>0.23589999999999994</v>
      </c>
      <c r="Q53" s="315">
        <v>0.23589999999999994</v>
      </c>
      <c r="R53" s="315">
        <v>0.23589999999999992</v>
      </c>
      <c r="S53" s="315">
        <v>0.23589999999999994</v>
      </c>
      <c r="T53" s="317">
        <v>0.24089999999999998</v>
      </c>
      <c r="U53" s="315">
        <v>0.24089999999999998</v>
      </c>
      <c r="V53" s="315">
        <v>0.24089999999999998</v>
      </c>
      <c r="W53" s="314">
        <v>0.2359</v>
      </c>
      <c r="X53" s="4565">
        <v>0.2359</v>
      </c>
      <c r="Y53" s="4565"/>
      <c r="Z53" s="315">
        <v>0.2359</v>
      </c>
      <c r="AA53" s="315">
        <v>0.2359</v>
      </c>
      <c r="AB53" s="315">
        <v>0.2359</v>
      </c>
      <c r="AC53" s="315">
        <v>0.2359</v>
      </c>
      <c r="AD53" s="315">
        <v>0.2359</v>
      </c>
      <c r="AE53" s="318" t="s">
        <v>98</v>
      </c>
    </row>
    <row r="54" spans="1:31" s="319" customFormat="1">
      <c r="A54" s="320" t="s">
        <v>99</v>
      </c>
      <c r="B54" s="321">
        <v>9.0000000000000011E-2</v>
      </c>
      <c r="C54" s="322">
        <v>9.0000000000000011E-2</v>
      </c>
      <c r="D54" s="322">
        <v>9.0000000000000011E-2</v>
      </c>
      <c r="E54" s="322">
        <v>0.09</v>
      </c>
      <c r="F54" s="322">
        <v>0.09</v>
      </c>
      <c r="G54" s="322">
        <v>8.9999999999999983E-2</v>
      </c>
      <c r="H54" s="322">
        <v>8.9999999999999983E-2</v>
      </c>
      <c r="I54" s="322">
        <v>8.9999999999999983E-2</v>
      </c>
      <c r="J54" s="322">
        <v>0.09</v>
      </c>
      <c r="K54" s="322">
        <v>8.9999999999999983E-2</v>
      </c>
      <c r="L54" s="322">
        <v>8.9999999999999983E-2</v>
      </c>
      <c r="M54" s="52">
        <v>0.10999999999999999</v>
      </c>
      <c r="N54" s="53">
        <v>0.11</v>
      </c>
      <c r="O54" s="53">
        <v>0.11</v>
      </c>
      <c r="P54" s="51">
        <v>0.10499999999999997</v>
      </c>
      <c r="Q54" s="50">
        <v>0.105</v>
      </c>
      <c r="R54" s="50">
        <v>0.10499999999999998</v>
      </c>
      <c r="S54" s="50">
        <v>0.10499999999999998</v>
      </c>
      <c r="T54" s="49">
        <v>0.10999999999999999</v>
      </c>
      <c r="U54" s="50">
        <v>0.10999999999999999</v>
      </c>
      <c r="V54" s="50">
        <v>0.10999999999999999</v>
      </c>
      <c r="W54" s="51">
        <v>0.105</v>
      </c>
      <c r="X54" s="4566">
        <v>0.105</v>
      </c>
      <c r="Y54" s="4566"/>
      <c r="Z54" s="50">
        <v>0.105</v>
      </c>
      <c r="AA54" s="50">
        <v>0.105</v>
      </c>
      <c r="AB54" s="50">
        <v>0.105</v>
      </c>
      <c r="AC54" s="50">
        <v>0.105</v>
      </c>
      <c r="AD54" s="50">
        <v>0.105</v>
      </c>
      <c r="AE54" s="323" t="s">
        <v>100</v>
      </c>
    </row>
    <row r="55" spans="1:31" ht="27.6">
      <c r="A55" s="324" t="s">
        <v>101</v>
      </c>
      <c r="B55" s="325">
        <f t="shared" ref="B55:X55" si="20">SUM(B56:B62)</f>
        <v>0.36090000000000005</v>
      </c>
      <c r="C55" s="326">
        <f t="shared" si="20"/>
        <v>0.35089999999999999</v>
      </c>
      <c r="D55" s="327">
        <f t="shared" si="20"/>
        <v>0.35090000000000005</v>
      </c>
      <c r="E55" s="326">
        <f t="shared" si="20"/>
        <v>0.33090000000000003</v>
      </c>
      <c r="F55" s="327">
        <f t="shared" si="20"/>
        <v>0.33090000000000003</v>
      </c>
      <c r="G55" s="328">
        <f t="shared" si="20"/>
        <v>0.33090000000000003</v>
      </c>
      <c r="H55" s="328">
        <f t="shared" si="20"/>
        <v>0.33090000000000003</v>
      </c>
      <c r="I55" s="328">
        <f t="shared" si="20"/>
        <v>0.33090000000000003</v>
      </c>
      <c r="J55" s="328">
        <f t="shared" si="20"/>
        <v>0.33090000000000003</v>
      </c>
      <c r="K55" s="328">
        <f t="shared" si="20"/>
        <v>0.33089999999999997</v>
      </c>
      <c r="L55" s="328">
        <f t="shared" si="20"/>
        <v>0.33089999999999997</v>
      </c>
      <c r="M55" s="329">
        <f t="shared" si="20"/>
        <v>0.35089999999999999</v>
      </c>
      <c r="N55" s="328">
        <f t="shared" si="20"/>
        <v>0.35090000000000005</v>
      </c>
      <c r="O55" s="327">
        <f t="shared" si="20"/>
        <v>0.35089999999999999</v>
      </c>
      <c r="P55" s="326">
        <f t="shared" si="20"/>
        <v>0.34089999999999998</v>
      </c>
      <c r="Q55" s="327">
        <f t="shared" si="20"/>
        <v>0.34089999999999998</v>
      </c>
      <c r="R55" s="327">
        <f t="shared" si="20"/>
        <v>0.34089999999999998</v>
      </c>
      <c r="S55" s="327">
        <f t="shared" si="20"/>
        <v>0.34089999999999998</v>
      </c>
      <c r="T55" s="329">
        <f t="shared" si="20"/>
        <v>0.35089999999999999</v>
      </c>
      <c r="U55" s="327">
        <f t="shared" si="20"/>
        <v>0.35089999999999999</v>
      </c>
      <c r="V55" s="327">
        <f t="shared" si="20"/>
        <v>0.35089999999999999</v>
      </c>
      <c r="W55" s="327">
        <f t="shared" si="20"/>
        <v>0.34089999999999998</v>
      </c>
      <c r="X55" s="4567">
        <f t="shared" si="20"/>
        <v>0.34089999999999998</v>
      </c>
      <c r="Y55" s="4567"/>
      <c r="Z55" s="327">
        <v>0.34089999999999998</v>
      </c>
      <c r="AA55" s="327">
        <v>0.34089999999999998</v>
      </c>
      <c r="AB55" s="327">
        <v>0.34089999999999998</v>
      </c>
      <c r="AC55" s="327">
        <v>0.34089999999999998</v>
      </c>
      <c r="AD55" s="327">
        <v>0.34089999999999998</v>
      </c>
      <c r="AE55" s="330" t="s">
        <v>102</v>
      </c>
    </row>
    <row r="56" spans="1:31">
      <c r="A56" s="331" t="s">
        <v>103</v>
      </c>
      <c r="B56" s="332">
        <v>0.27100000000000002</v>
      </c>
      <c r="C56" s="333">
        <v>0.26929999999999998</v>
      </c>
      <c r="D56" s="333">
        <v>0.27100000000000002</v>
      </c>
      <c r="E56" s="333">
        <v>0.25590000000000002</v>
      </c>
      <c r="F56" s="333">
        <v>0.25509999999999999</v>
      </c>
      <c r="G56" s="333">
        <v>0.25259999999999999</v>
      </c>
      <c r="H56" s="333">
        <v>0.24790000000000001</v>
      </c>
      <c r="I56" s="333">
        <v>0.24490000000000001</v>
      </c>
      <c r="J56" s="333">
        <v>0.23649999999999999</v>
      </c>
      <c r="K56" s="333">
        <v>0.2286</v>
      </c>
      <c r="L56" s="333">
        <v>0.21659999999999999</v>
      </c>
      <c r="M56" s="334">
        <v>0.25559999999999999</v>
      </c>
      <c r="N56" s="334">
        <v>0.26740000000000003</v>
      </c>
      <c r="O56" s="335">
        <v>0.26600000000000001</v>
      </c>
      <c r="P56" s="335">
        <v>0.25159999999999999</v>
      </c>
      <c r="Q56" s="335">
        <v>0.24389999999999998</v>
      </c>
      <c r="R56" s="335">
        <v>0.23859999999999998</v>
      </c>
      <c r="S56" s="336">
        <v>0.24539999999999995</v>
      </c>
      <c r="T56" s="337">
        <v>0.245</v>
      </c>
      <c r="U56" s="337">
        <v>0.245</v>
      </c>
      <c r="V56" s="337">
        <v>0.245</v>
      </c>
      <c r="W56" s="337">
        <v>0.23910000000000001</v>
      </c>
      <c r="X56" s="4568">
        <v>0.23910000000000001</v>
      </c>
      <c r="Y56" s="4568"/>
      <c r="Z56" s="337">
        <v>0.23910000000000001</v>
      </c>
      <c r="AA56" s="337">
        <v>0.23910000000000001</v>
      </c>
      <c r="AB56" s="337">
        <v>0.23910000000000001</v>
      </c>
      <c r="AC56" s="337">
        <v>0.23910000000000001</v>
      </c>
      <c r="AD56" s="337">
        <v>0.23910000000000001</v>
      </c>
      <c r="AE56" s="338" t="s">
        <v>104</v>
      </c>
    </row>
    <row r="57" spans="1:31">
      <c r="A57" s="331" t="s">
        <v>105</v>
      </c>
      <c r="B57" s="339">
        <v>2.4500000000000001E-2</v>
      </c>
      <c r="C57" s="340">
        <v>2.1999999999999999E-2</v>
      </c>
      <c r="D57" s="340">
        <v>1.9E-2</v>
      </c>
      <c r="E57" s="340">
        <v>1.9400000000000001E-2</v>
      </c>
      <c r="F57" s="340">
        <v>1.89E-2</v>
      </c>
      <c r="G57" s="340">
        <v>1.7999999999999999E-2</v>
      </c>
      <c r="H57" s="340">
        <v>1.8599999999999998E-2</v>
      </c>
      <c r="I57" s="340">
        <v>1.7999999999999999E-2</v>
      </c>
      <c r="J57" s="340">
        <v>1.7500000000000002E-2</v>
      </c>
      <c r="K57" s="340">
        <v>1.7000000000000001E-2</v>
      </c>
      <c r="L57" s="340">
        <v>3.8100000000000002E-2</v>
      </c>
      <c r="M57" s="341">
        <v>2.5600000000000001E-2</v>
      </c>
      <c r="N57" s="341">
        <v>1.4999999999999999E-2</v>
      </c>
      <c r="O57" s="342">
        <v>1.4800000000000001E-2</v>
      </c>
      <c r="P57" s="342">
        <v>1.6299999999999999E-2</v>
      </c>
      <c r="Q57" s="342">
        <v>2.0999999999999998E-2</v>
      </c>
      <c r="R57" s="342">
        <v>2.0799999999999996E-2</v>
      </c>
      <c r="S57" s="343">
        <v>1.8999999999999996E-2</v>
      </c>
      <c r="T57" s="344">
        <v>1.84E-2</v>
      </c>
      <c r="U57" s="344">
        <v>1.84E-2</v>
      </c>
      <c r="V57" s="344">
        <v>1.84E-2</v>
      </c>
      <c r="W57" s="344">
        <v>1.6E-2</v>
      </c>
      <c r="X57" s="4560">
        <v>1.6E-2</v>
      </c>
      <c r="Y57" s="4560"/>
      <c r="Z57" s="344">
        <v>1.6E-2</v>
      </c>
      <c r="AA57" s="344">
        <v>1.6E-2</v>
      </c>
      <c r="AB57" s="344">
        <v>1.6E-2</v>
      </c>
      <c r="AC57" s="344">
        <v>1.6E-2</v>
      </c>
      <c r="AD57" s="344">
        <v>1.6E-2</v>
      </c>
      <c r="AE57" s="338" t="s">
        <v>106</v>
      </c>
    </row>
    <row r="58" spans="1:31">
      <c r="A58" s="345" t="s">
        <v>107</v>
      </c>
      <c r="B58" s="339">
        <v>8.9999999999999998E-4</v>
      </c>
      <c r="C58" s="340">
        <v>8.9999999999999998E-4</v>
      </c>
      <c r="D58" s="340">
        <v>8.9999999999999998E-4</v>
      </c>
      <c r="E58" s="340">
        <v>8.9999999999999998E-4</v>
      </c>
      <c r="F58" s="340">
        <v>8.9999999999999998E-4</v>
      </c>
      <c r="G58" s="340">
        <v>8.9999999999999998E-4</v>
      </c>
      <c r="H58" s="340">
        <v>2.5000000000000001E-3</v>
      </c>
      <c r="I58" s="340">
        <v>2.5000000000000001E-3</v>
      </c>
      <c r="J58" s="340">
        <v>2.3999999999999998E-3</v>
      </c>
      <c r="K58" s="340">
        <v>2.5999999999999999E-3</v>
      </c>
      <c r="L58" s="340">
        <v>2.8999999999999998E-3</v>
      </c>
      <c r="M58" s="341">
        <v>3.0999999999999999E-3</v>
      </c>
      <c r="N58" s="341">
        <v>4.1000000000000003E-3</v>
      </c>
      <c r="O58" s="342">
        <v>4.1999999999999997E-3</v>
      </c>
      <c r="P58" s="342">
        <v>4.5999999999999999E-3</v>
      </c>
      <c r="Q58" s="342">
        <v>5.2999999999999992E-3</v>
      </c>
      <c r="R58" s="342">
        <v>5.3999999999999994E-3</v>
      </c>
      <c r="S58" s="343">
        <v>4.7999999999999987E-3</v>
      </c>
      <c r="T58" s="344">
        <v>5.3E-3</v>
      </c>
      <c r="U58" s="344">
        <v>5.3E-3</v>
      </c>
      <c r="V58" s="344">
        <v>5.3E-3</v>
      </c>
      <c r="W58" s="344">
        <v>6.6E-3</v>
      </c>
      <c r="X58" s="4560">
        <v>6.6E-3</v>
      </c>
      <c r="Y58" s="4560"/>
      <c r="Z58" s="344">
        <v>6.6E-3</v>
      </c>
      <c r="AA58" s="344">
        <v>6.6E-3</v>
      </c>
      <c r="AB58" s="344">
        <v>6.6E-3</v>
      </c>
      <c r="AC58" s="344">
        <v>6.6E-3</v>
      </c>
      <c r="AD58" s="344">
        <v>6.6E-3</v>
      </c>
      <c r="AE58" s="338" t="s">
        <v>108</v>
      </c>
    </row>
    <row r="59" spans="1:31">
      <c r="A59" s="345" t="s">
        <v>109</v>
      </c>
      <c r="B59" s="339">
        <v>4.1599999999999998E-2</v>
      </c>
      <c r="C59" s="340">
        <v>3.8899999999999997E-2</v>
      </c>
      <c r="D59" s="340">
        <v>3.7600000000000001E-2</v>
      </c>
      <c r="E59" s="340">
        <v>3.3099999999999997E-2</v>
      </c>
      <c r="F59" s="340">
        <v>3.2300000000000002E-2</v>
      </c>
      <c r="G59" s="340">
        <v>3.1699999999999999E-2</v>
      </c>
      <c r="H59" s="340">
        <v>3.0300000000000001E-2</v>
      </c>
      <c r="I59" s="340">
        <v>2.5499999999999998E-2</v>
      </c>
      <c r="J59" s="340">
        <v>2.92E-2</v>
      </c>
      <c r="K59" s="340">
        <v>2.9499999999999998E-2</v>
      </c>
      <c r="L59" s="340">
        <v>3.1800000000000002E-2</v>
      </c>
      <c r="M59" s="341">
        <v>3.0200000000000001E-2</v>
      </c>
      <c r="N59" s="341">
        <v>3.1600000000000003E-2</v>
      </c>
      <c r="O59" s="342">
        <v>3.3700000000000001E-2</v>
      </c>
      <c r="P59" s="342">
        <v>3.2100000000000004E-2</v>
      </c>
      <c r="Q59" s="342">
        <v>3.139999999999999E-2</v>
      </c>
      <c r="R59" s="342">
        <v>3.1099999999999996E-2</v>
      </c>
      <c r="S59" s="343">
        <v>2.2999999999999996E-2</v>
      </c>
      <c r="T59" s="344">
        <v>2.23E-2</v>
      </c>
      <c r="U59" s="344">
        <v>2.23E-2</v>
      </c>
      <c r="V59" s="344">
        <v>2.23E-2</v>
      </c>
      <c r="W59" s="344">
        <v>2.29E-2</v>
      </c>
      <c r="X59" s="4560">
        <v>2.29E-2</v>
      </c>
      <c r="Y59" s="4560"/>
      <c r="Z59" s="344">
        <v>2.29E-2</v>
      </c>
      <c r="AA59" s="344">
        <v>2.29E-2</v>
      </c>
      <c r="AB59" s="344">
        <v>2.29E-2</v>
      </c>
      <c r="AC59" s="344">
        <v>2.29E-2</v>
      </c>
      <c r="AD59" s="344">
        <v>2.29E-2</v>
      </c>
      <c r="AE59" s="338" t="s">
        <v>110</v>
      </c>
    </row>
    <row r="60" spans="1:31">
      <c r="A60" s="331" t="s">
        <v>111</v>
      </c>
      <c r="B60" s="339">
        <v>2.29E-2</v>
      </c>
      <c r="C60" s="340">
        <v>1.9800000000000002E-2</v>
      </c>
      <c r="D60" s="340">
        <v>2.24E-2</v>
      </c>
      <c r="E60" s="340">
        <v>2.1600000000000001E-2</v>
      </c>
      <c r="F60" s="340">
        <v>2.3699999999999999E-2</v>
      </c>
      <c r="G60" s="340">
        <v>2.7699999999999999E-2</v>
      </c>
      <c r="H60" s="340">
        <v>3.1600000000000003E-2</v>
      </c>
      <c r="I60" s="340">
        <v>0.04</v>
      </c>
      <c r="J60" s="340">
        <v>3.4500000000000003E-2</v>
      </c>
      <c r="K60" s="340">
        <v>3.4700000000000002E-2</v>
      </c>
      <c r="L60" s="340">
        <v>2.47E-2</v>
      </c>
      <c r="M60" s="341">
        <v>2.2700000000000001E-2</v>
      </c>
      <c r="N60" s="341">
        <v>2.2800000000000001E-2</v>
      </c>
      <c r="O60" s="342">
        <v>2.2800000000000001E-2</v>
      </c>
      <c r="P60" s="342">
        <v>2.46E-2</v>
      </c>
      <c r="Q60" s="342">
        <v>2.7899999999999998E-2</v>
      </c>
      <c r="R60" s="342">
        <v>3.0499999999999992E-2</v>
      </c>
      <c r="S60" s="343">
        <v>3.4899999999999994E-2</v>
      </c>
      <c r="T60" s="344">
        <v>3.6499999999999998E-2</v>
      </c>
      <c r="U60" s="344">
        <v>3.6499999999999998E-2</v>
      </c>
      <c r="V60" s="344">
        <v>3.6499999999999998E-2</v>
      </c>
      <c r="W60" s="344">
        <v>3.4700000000000002E-2</v>
      </c>
      <c r="X60" s="4560">
        <v>3.4700000000000002E-2</v>
      </c>
      <c r="Y60" s="4560"/>
      <c r="Z60" s="344">
        <v>3.4700000000000002E-2</v>
      </c>
      <c r="AA60" s="344">
        <v>3.4700000000000002E-2</v>
      </c>
      <c r="AB60" s="344">
        <v>3.4700000000000002E-2</v>
      </c>
      <c r="AC60" s="344">
        <v>3.4700000000000002E-2</v>
      </c>
      <c r="AD60" s="344">
        <v>3.4700000000000002E-2</v>
      </c>
      <c r="AE60" s="338" t="s">
        <v>112</v>
      </c>
    </row>
    <row r="61" spans="1:31">
      <c r="A61" s="346" t="s">
        <v>113</v>
      </c>
      <c r="B61" s="347"/>
      <c r="C61" s="348"/>
      <c r="D61" s="349"/>
      <c r="E61" s="349"/>
      <c r="F61" s="349"/>
      <c r="G61" s="348"/>
      <c r="H61" s="348"/>
      <c r="I61" s="348"/>
      <c r="J61" s="350">
        <v>1.0800000000000001E-2</v>
      </c>
      <c r="K61" s="348">
        <v>1.8499999999999999E-2</v>
      </c>
      <c r="L61" s="348">
        <v>1.6799999999999999E-2</v>
      </c>
      <c r="M61" s="351">
        <v>1.37E-2</v>
      </c>
      <c r="N61" s="351">
        <v>0.01</v>
      </c>
      <c r="O61" s="352">
        <v>9.4000000000000004E-3</v>
      </c>
      <c r="P61" s="352">
        <v>1.1699999999999999E-2</v>
      </c>
      <c r="Q61" s="352">
        <v>1.1399999999999999E-2</v>
      </c>
      <c r="R61" s="352">
        <v>1.4499999999999999E-2</v>
      </c>
      <c r="S61" s="353">
        <v>1.3799999999999998E-2</v>
      </c>
      <c r="T61" s="354">
        <v>1.34E-2</v>
      </c>
      <c r="U61" s="354">
        <v>1.34E-2</v>
      </c>
      <c r="V61" s="354">
        <v>1.34E-2</v>
      </c>
      <c r="W61" s="354">
        <v>1.1599999999999999E-2</v>
      </c>
      <c r="X61" s="4561">
        <v>1.1599999999999999E-2</v>
      </c>
      <c r="Y61" s="4561"/>
      <c r="Z61" s="354">
        <v>1.1599999999999999E-2</v>
      </c>
      <c r="AA61" s="354">
        <v>1.1599999999999999E-2</v>
      </c>
      <c r="AB61" s="354">
        <v>1.1599999999999999E-2</v>
      </c>
      <c r="AC61" s="354">
        <v>1.1599999999999999E-2</v>
      </c>
      <c r="AD61" s="354">
        <v>1.1599999999999999E-2</v>
      </c>
      <c r="AE61" s="355" t="s">
        <v>114</v>
      </c>
    </row>
    <row r="62" spans="1:31">
      <c r="A62" s="356" t="s">
        <v>115</v>
      </c>
      <c r="B62" s="357"/>
      <c r="C62" s="358"/>
      <c r="D62" s="359"/>
      <c r="E62" s="359"/>
      <c r="F62" s="360"/>
      <c r="G62" s="358"/>
      <c r="H62" s="358"/>
      <c r="I62" s="358"/>
      <c r="J62" s="358"/>
      <c r="K62" s="358"/>
      <c r="L62" s="358"/>
      <c r="M62" s="361"/>
      <c r="N62" s="362"/>
      <c r="O62" s="363"/>
      <c r="P62" s="363"/>
      <c r="Q62" s="363"/>
      <c r="R62" s="363"/>
      <c r="S62" s="363"/>
      <c r="T62" s="364">
        <v>0.01</v>
      </c>
      <c r="U62" s="365">
        <v>0.01</v>
      </c>
      <c r="V62" s="365">
        <v>0.01</v>
      </c>
      <c r="W62" s="365">
        <v>0.01</v>
      </c>
      <c r="X62" s="4562">
        <v>0.01</v>
      </c>
      <c r="Y62" s="4562"/>
      <c r="Z62" s="365">
        <v>0.01</v>
      </c>
      <c r="AA62" s="365">
        <v>0.01</v>
      </c>
      <c r="AB62" s="365">
        <v>0.01</v>
      </c>
      <c r="AC62" s="365">
        <v>0.01</v>
      </c>
      <c r="AD62" s="365">
        <v>0.01</v>
      </c>
      <c r="AE62" s="366" t="s">
        <v>116</v>
      </c>
    </row>
    <row r="63" spans="1:31" hidden="1" outlineLevel="1">
      <c r="A63" s="324" t="s">
        <v>117</v>
      </c>
      <c r="B63" s="367">
        <f t="shared" ref="B63:U63" si="21">SUM(B64:B70)</f>
        <v>0.27090000000000003</v>
      </c>
      <c r="C63" s="368">
        <f t="shared" si="21"/>
        <v>0.26089999999999997</v>
      </c>
      <c r="D63" s="368">
        <f t="shared" si="21"/>
        <v>0.26090000000000002</v>
      </c>
      <c r="E63" s="368">
        <f t="shared" si="21"/>
        <v>0.24090000000000003</v>
      </c>
      <c r="F63" s="368">
        <f t="shared" si="21"/>
        <v>0.2409</v>
      </c>
      <c r="G63" s="368">
        <f t="shared" si="21"/>
        <v>0.24089999999999998</v>
      </c>
      <c r="H63" s="368">
        <f t="shared" si="21"/>
        <v>0.2409</v>
      </c>
      <c r="I63" s="368">
        <f t="shared" si="21"/>
        <v>0.24089999999999998</v>
      </c>
      <c r="J63" s="368">
        <f t="shared" si="21"/>
        <v>0.24089999999999995</v>
      </c>
      <c r="K63" s="368">
        <f t="shared" si="21"/>
        <v>0.24089999999999998</v>
      </c>
      <c r="L63" s="368">
        <f t="shared" si="21"/>
        <v>0.24089999999999998</v>
      </c>
      <c r="M63" s="368">
        <f t="shared" si="21"/>
        <v>0.24089999999999998</v>
      </c>
      <c r="N63" s="368">
        <f t="shared" si="21"/>
        <v>0.24089999999999998</v>
      </c>
      <c r="O63" s="368">
        <f t="shared" si="21"/>
        <v>0.24089999999999998</v>
      </c>
      <c r="P63" s="368">
        <f t="shared" si="21"/>
        <v>0.23589999999999997</v>
      </c>
      <c r="Q63" s="368">
        <f t="shared" si="21"/>
        <v>0.23589999999999997</v>
      </c>
      <c r="R63" s="368">
        <f t="shared" si="21"/>
        <v>0.23589999999999994</v>
      </c>
      <c r="S63" s="368">
        <f t="shared" si="21"/>
        <v>0.23589999999999997</v>
      </c>
      <c r="T63" s="368">
        <f t="shared" si="21"/>
        <v>0.2409</v>
      </c>
      <c r="U63" s="368">
        <f t="shared" si="21"/>
        <v>0.2409</v>
      </c>
      <c r="V63" s="368">
        <f>SUM(V64:V70)</f>
        <v>0.2409</v>
      </c>
      <c r="W63" s="368">
        <f>SUM(W64:W70)</f>
        <v>0.23590000000000005</v>
      </c>
      <c r="X63" s="368"/>
      <c r="Y63" s="368"/>
      <c r="Z63" s="368"/>
      <c r="AA63" s="368"/>
      <c r="AB63" s="368"/>
      <c r="AC63" s="368"/>
      <c r="AD63" s="368"/>
      <c r="AE63" s="369" t="s">
        <v>118</v>
      </c>
    </row>
    <row r="64" spans="1:31" ht="14.4" hidden="1" outlineLevel="1">
      <c r="A64" s="356" t="s">
        <v>103</v>
      </c>
      <c r="B64" s="370">
        <f t="shared" ref="B64:R64" si="22">B53/B52*B56</f>
        <v>0.20341895261845389</v>
      </c>
      <c r="C64" s="371">
        <f t="shared" si="22"/>
        <v>0.20022903961242516</v>
      </c>
      <c r="D64" s="371">
        <f t="shared" si="22"/>
        <v>0.20149301795383301</v>
      </c>
      <c r="E64" s="371">
        <f t="shared" si="22"/>
        <v>0.1862989120580236</v>
      </c>
      <c r="F64" s="371">
        <f t="shared" si="22"/>
        <v>0.18571650045330915</v>
      </c>
      <c r="G64" s="371">
        <f t="shared" si="22"/>
        <v>0.18389646418857658</v>
      </c>
      <c r="H64" s="371">
        <f t="shared" si="22"/>
        <v>0.18047479601087943</v>
      </c>
      <c r="I64" s="371">
        <f t="shared" si="22"/>
        <v>0.17829075249320034</v>
      </c>
      <c r="J64" s="371">
        <f t="shared" si="22"/>
        <v>0.17217543064369897</v>
      </c>
      <c r="K64" s="371">
        <f t="shared" si="22"/>
        <v>0.16642411604714416</v>
      </c>
      <c r="L64" s="371">
        <f t="shared" si="22"/>
        <v>0.15768794197642791</v>
      </c>
      <c r="M64" s="371">
        <f t="shared" si="22"/>
        <v>0.1754746081504702</v>
      </c>
      <c r="N64" s="371">
        <f t="shared" si="22"/>
        <v>0.18357554858934169</v>
      </c>
      <c r="O64" s="371">
        <f t="shared" si="22"/>
        <v>0.1826144200626959</v>
      </c>
      <c r="P64" s="371">
        <f t="shared" si="22"/>
        <v>0.17410513347022585</v>
      </c>
      <c r="Q64" s="371">
        <f t="shared" si="22"/>
        <v>0.16877679671457904</v>
      </c>
      <c r="R64" s="371">
        <f t="shared" si="22"/>
        <v>0.16510924024640655</v>
      </c>
      <c r="S64" s="371">
        <f t="shared" ref="S64:V69" si="23">$S$53/$S$52*S56</f>
        <v>0.16981478439425049</v>
      </c>
      <c r="T64" s="371">
        <f t="shared" si="23"/>
        <v>0.16953798767967146</v>
      </c>
      <c r="U64" s="371">
        <f t="shared" si="23"/>
        <v>0.16953798767967146</v>
      </c>
      <c r="V64" s="371">
        <f t="shared" si="23"/>
        <v>0.16953798767967146</v>
      </c>
      <c r="W64" s="371">
        <f t="shared" ref="W64:W69" si="24">23.09/33.09*W56</f>
        <v>0.16684252039891206</v>
      </c>
      <c r="X64" s="371"/>
      <c r="Y64" s="371"/>
      <c r="Z64" s="371"/>
      <c r="AA64" s="371"/>
      <c r="AB64" s="371"/>
      <c r="AC64" s="371"/>
      <c r="AD64" s="371"/>
      <c r="AE64" s="372" t="s">
        <v>119</v>
      </c>
    </row>
    <row r="65" spans="1:31" hidden="1" outlineLevel="1">
      <c r="A65" s="356" t="s">
        <v>105</v>
      </c>
      <c r="B65" s="370">
        <f t="shared" ref="B65:R65" si="25">B53/B52*B57</f>
        <v>1.8390274314214465E-2</v>
      </c>
      <c r="C65" s="371">
        <f t="shared" si="25"/>
        <v>1.6357366771159874E-2</v>
      </c>
      <c r="D65" s="371">
        <f t="shared" si="25"/>
        <v>1.41268167569108E-2</v>
      </c>
      <c r="E65" s="371">
        <f t="shared" si="25"/>
        <v>1.4123481414324571E-2</v>
      </c>
      <c r="F65" s="371">
        <f t="shared" si="25"/>
        <v>1.3759474161378059E-2</v>
      </c>
      <c r="G65" s="371">
        <f t="shared" si="25"/>
        <v>1.3104261106074341E-2</v>
      </c>
      <c r="H65" s="371">
        <f t="shared" si="25"/>
        <v>1.3541069809610154E-2</v>
      </c>
      <c r="I65" s="371">
        <f t="shared" si="25"/>
        <v>1.3104261106074341E-2</v>
      </c>
      <c r="J65" s="371">
        <f t="shared" si="25"/>
        <v>1.2740253853127834E-2</v>
      </c>
      <c r="K65" s="371">
        <f t="shared" si="25"/>
        <v>1.2376246600181325E-2</v>
      </c>
      <c r="L65" s="371">
        <f t="shared" si="25"/>
        <v>2.7737352674524023E-2</v>
      </c>
      <c r="M65" s="371">
        <f t="shared" si="25"/>
        <v>1.7574921630094043E-2</v>
      </c>
      <c r="N65" s="371">
        <f t="shared" si="25"/>
        <v>1.0297805642633228E-2</v>
      </c>
      <c r="O65" s="371">
        <f t="shared" si="25"/>
        <v>1.0160501567398119E-2</v>
      </c>
      <c r="P65" s="371">
        <f t="shared" si="25"/>
        <v>1.1279466119096509E-2</v>
      </c>
      <c r="Q65" s="371">
        <f t="shared" si="25"/>
        <v>1.4531827515400409E-2</v>
      </c>
      <c r="R65" s="371">
        <f t="shared" si="25"/>
        <v>1.439342915811088E-2</v>
      </c>
      <c r="S65" s="371">
        <f t="shared" si="23"/>
        <v>1.3147843942505131E-2</v>
      </c>
      <c r="T65" s="371">
        <f t="shared" si="23"/>
        <v>1.273264887063655E-2</v>
      </c>
      <c r="U65" s="371">
        <f t="shared" si="23"/>
        <v>1.273264887063655E-2</v>
      </c>
      <c r="V65" s="371">
        <f t="shared" si="23"/>
        <v>1.273264887063655E-2</v>
      </c>
      <c r="W65" s="371">
        <f t="shared" si="24"/>
        <v>1.1164702326987005E-2</v>
      </c>
      <c r="X65" s="371"/>
      <c r="Y65" s="371"/>
      <c r="Z65" s="371"/>
      <c r="AA65" s="371"/>
      <c r="AB65" s="371"/>
      <c r="AC65" s="371"/>
      <c r="AD65" s="371"/>
      <c r="AE65" s="372" t="s">
        <v>120</v>
      </c>
    </row>
    <row r="66" spans="1:31" hidden="1" outlineLevel="1">
      <c r="A66" s="373" t="s">
        <v>107</v>
      </c>
      <c r="B66" s="370">
        <f t="shared" ref="B66:R66" si="26">B53/B52*B58</f>
        <v>6.7556109725685782E-4</v>
      </c>
      <c r="C66" s="371">
        <f t="shared" si="26"/>
        <v>6.6916500427472206E-4</v>
      </c>
      <c r="D66" s="371">
        <f t="shared" si="26"/>
        <v>6.6916500427472206E-4</v>
      </c>
      <c r="E66" s="371">
        <f t="shared" si="26"/>
        <v>6.552130553037172E-4</v>
      </c>
      <c r="F66" s="371">
        <f t="shared" si="26"/>
        <v>6.5521305530371709E-4</v>
      </c>
      <c r="G66" s="371">
        <f t="shared" si="26"/>
        <v>6.5521305530371709E-4</v>
      </c>
      <c r="H66" s="371">
        <f t="shared" si="26"/>
        <v>1.8200362647325477E-3</v>
      </c>
      <c r="I66" s="371">
        <f t="shared" si="26"/>
        <v>1.8200362647325474E-3</v>
      </c>
      <c r="J66" s="371">
        <f t="shared" si="26"/>
        <v>1.7472348141432453E-3</v>
      </c>
      <c r="K66" s="371">
        <f t="shared" si="26"/>
        <v>1.8928377153218496E-3</v>
      </c>
      <c r="L66" s="371">
        <f t="shared" si="26"/>
        <v>2.1112420670897549E-3</v>
      </c>
      <c r="M66" s="371">
        <f t="shared" si="26"/>
        <v>2.1282131661442003E-3</v>
      </c>
      <c r="N66" s="371">
        <f t="shared" si="26"/>
        <v>2.8147335423197493E-3</v>
      </c>
      <c r="O66" s="371">
        <f t="shared" si="26"/>
        <v>2.8833855799373035E-3</v>
      </c>
      <c r="P66" s="371">
        <f t="shared" si="26"/>
        <v>3.1831622176591375E-3</v>
      </c>
      <c r="Q66" s="371">
        <f t="shared" si="26"/>
        <v>3.6675564681724841E-3</v>
      </c>
      <c r="R66" s="371">
        <f t="shared" si="26"/>
        <v>3.7367556468172478E-3</v>
      </c>
      <c r="S66" s="371">
        <f t="shared" si="23"/>
        <v>3.3215605749486645E-3</v>
      </c>
      <c r="T66" s="371">
        <f t="shared" si="23"/>
        <v>3.6675564681724845E-3</v>
      </c>
      <c r="U66" s="371">
        <f t="shared" si="23"/>
        <v>3.6675564681724845E-3</v>
      </c>
      <c r="V66" s="371">
        <f t="shared" si="23"/>
        <v>3.6675564681724845E-3</v>
      </c>
      <c r="W66" s="371">
        <f t="shared" si="24"/>
        <v>4.6054397098821394E-3</v>
      </c>
      <c r="X66" s="371"/>
      <c r="Y66" s="371"/>
      <c r="Z66" s="371"/>
      <c r="AA66" s="371"/>
      <c r="AB66" s="371"/>
      <c r="AC66" s="371"/>
      <c r="AD66" s="371"/>
      <c r="AE66" s="374" t="s">
        <v>121</v>
      </c>
    </row>
    <row r="67" spans="1:31" hidden="1" outlineLevel="1">
      <c r="A67" s="373" t="s">
        <v>109</v>
      </c>
      <c r="B67" s="370">
        <f t="shared" ref="B67:R67" si="27">B53/B52*B59</f>
        <v>3.1225935162094761E-2</v>
      </c>
      <c r="C67" s="371">
        <f t="shared" si="27"/>
        <v>2.8922798518096319E-2</v>
      </c>
      <c r="D67" s="371">
        <f t="shared" si="27"/>
        <v>2.7956226845255058E-2</v>
      </c>
      <c r="E67" s="371">
        <f t="shared" si="27"/>
        <v>2.4097280145058929E-2</v>
      </c>
      <c r="F67" s="371">
        <f t="shared" si="27"/>
        <v>2.3514868540344513E-2</v>
      </c>
      <c r="G67" s="371">
        <f t="shared" si="27"/>
        <v>2.30780598368087E-2</v>
      </c>
      <c r="H67" s="371">
        <f t="shared" si="27"/>
        <v>2.2058839528558478E-2</v>
      </c>
      <c r="I67" s="371">
        <f t="shared" si="27"/>
        <v>1.8564369900271983E-2</v>
      </c>
      <c r="J67" s="371">
        <f t="shared" si="27"/>
        <v>2.1258023572076155E-2</v>
      </c>
      <c r="K67" s="371">
        <f t="shared" si="27"/>
        <v>2.1476427923844063E-2</v>
      </c>
      <c r="L67" s="371">
        <f t="shared" si="27"/>
        <v>2.3150861287398003E-2</v>
      </c>
      <c r="M67" s="371">
        <f t="shared" si="27"/>
        <v>2.0732915360501567E-2</v>
      </c>
      <c r="N67" s="371">
        <f t="shared" si="27"/>
        <v>2.1694043887147334E-2</v>
      </c>
      <c r="O67" s="371">
        <f t="shared" si="27"/>
        <v>2.3135736677115985E-2</v>
      </c>
      <c r="P67" s="371">
        <f t="shared" si="27"/>
        <v>2.2212936344969202E-2</v>
      </c>
      <c r="Q67" s="371">
        <f t="shared" si="27"/>
        <v>2.1728542094455846E-2</v>
      </c>
      <c r="R67" s="371">
        <f t="shared" si="27"/>
        <v>2.1520944558521556E-2</v>
      </c>
      <c r="S67" s="371">
        <f t="shared" si="23"/>
        <v>1.5915811088295685E-2</v>
      </c>
      <c r="T67" s="371">
        <f t="shared" si="23"/>
        <v>1.5431416837782342E-2</v>
      </c>
      <c r="U67" s="371">
        <f t="shared" si="23"/>
        <v>1.5431416837782342E-2</v>
      </c>
      <c r="V67" s="371">
        <f t="shared" si="23"/>
        <v>1.5431416837782342E-2</v>
      </c>
      <c r="W67" s="371">
        <f t="shared" si="24"/>
        <v>1.5979480205500149E-2</v>
      </c>
      <c r="X67" s="371"/>
      <c r="Y67" s="371"/>
      <c r="Z67" s="371"/>
      <c r="AA67" s="371"/>
      <c r="AB67" s="371"/>
      <c r="AC67" s="371"/>
      <c r="AD67" s="371"/>
      <c r="AE67" s="374" t="s">
        <v>122</v>
      </c>
    </row>
    <row r="68" spans="1:31" hidden="1" outlineLevel="1">
      <c r="A68" s="356" t="s">
        <v>111</v>
      </c>
      <c r="B68" s="370">
        <f t="shared" ref="B68:R68" si="28">B53/B52*B60</f>
        <v>1.7189276807980051E-2</v>
      </c>
      <c r="C68" s="371">
        <f t="shared" si="28"/>
        <v>1.4721630094043888E-2</v>
      </c>
      <c r="D68" s="371">
        <f t="shared" si="28"/>
        <v>1.6654773439726416E-2</v>
      </c>
      <c r="E68" s="371">
        <f t="shared" si="28"/>
        <v>1.5725113327289212E-2</v>
      </c>
      <c r="F68" s="371">
        <f t="shared" si="28"/>
        <v>1.725394378966455E-2</v>
      </c>
      <c r="G68" s="371">
        <f t="shared" si="28"/>
        <v>2.0166001813236623E-2</v>
      </c>
      <c r="H68" s="371">
        <f t="shared" si="28"/>
        <v>2.3005258386219404E-2</v>
      </c>
      <c r="I68" s="371">
        <f t="shared" si="28"/>
        <v>2.9120580235720759E-2</v>
      </c>
      <c r="J68" s="371">
        <f t="shared" si="28"/>
        <v>2.5116500453309158E-2</v>
      </c>
      <c r="K68" s="371">
        <f t="shared" si="28"/>
        <v>2.5262103354487763E-2</v>
      </c>
      <c r="L68" s="371">
        <f t="shared" si="28"/>
        <v>1.7981958295557567E-2</v>
      </c>
      <c r="M68" s="371">
        <f t="shared" si="28"/>
        <v>1.5584012539184951E-2</v>
      </c>
      <c r="N68" s="371">
        <f t="shared" si="28"/>
        <v>1.5652664576802505E-2</v>
      </c>
      <c r="O68" s="371">
        <f t="shared" si="28"/>
        <v>1.5652664576802505E-2</v>
      </c>
      <c r="P68" s="371">
        <f t="shared" si="28"/>
        <v>1.7022997946611908E-2</v>
      </c>
      <c r="Q68" s="371">
        <f t="shared" si="28"/>
        <v>1.9306570841889116E-2</v>
      </c>
      <c r="R68" s="371">
        <f t="shared" si="28"/>
        <v>2.1105749486652971E-2</v>
      </c>
      <c r="S68" s="371">
        <f t="shared" si="23"/>
        <v>2.4150513347022583E-2</v>
      </c>
      <c r="T68" s="371">
        <f t="shared" si="23"/>
        <v>2.5257700205338806E-2</v>
      </c>
      <c r="U68" s="371">
        <f t="shared" si="23"/>
        <v>2.5257700205338806E-2</v>
      </c>
      <c r="V68" s="371">
        <f t="shared" si="23"/>
        <v>2.5257700205338806E-2</v>
      </c>
      <c r="W68" s="371">
        <f t="shared" si="24"/>
        <v>2.4213448171653069E-2</v>
      </c>
      <c r="X68" s="371"/>
      <c r="Y68" s="371"/>
      <c r="Z68" s="371"/>
      <c r="AA68" s="371"/>
      <c r="AB68" s="371"/>
      <c r="AC68" s="371"/>
      <c r="AD68" s="371"/>
      <c r="AE68" s="374" t="s">
        <v>123</v>
      </c>
    </row>
    <row r="69" spans="1:31" hidden="1" outlineLevel="1">
      <c r="A69" s="373" t="s">
        <v>113</v>
      </c>
      <c r="B69" s="370">
        <f t="shared" ref="B69:R69" si="29">B53/B52*B61</f>
        <v>0</v>
      </c>
      <c r="C69" s="371">
        <f t="shared" si="29"/>
        <v>0</v>
      </c>
      <c r="D69" s="371">
        <f t="shared" si="29"/>
        <v>0</v>
      </c>
      <c r="E69" s="371">
        <f t="shared" si="29"/>
        <v>0</v>
      </c>
      <c r="F69" s="371">
        <f t="shared" si="29"/>
        <v>0</v>
      </c>
      <c r="G69" s="371">
        <f t="shared" si="29"/>
        <v>0</v>
      </c>
      <c r="H69" s="371">
        <f t="shared" si="29"/>
        <v>0</v>
      </c>
      <c r="I69" s="371">
        <f t="shared" si="29"/>
        <v>0</v>
      </c>
      <c r="J69" s="371">
        <f t="shared" si="29"/>
        <v>7.862556663644606E-3</v>
      </c>
      <c r="K69" s="371">
        <f t="shared" si="29"/>
        <v>1.3468268359020851E-2</v>
      </c>
      <c r="L69" s="371">
        <f t="shared" si="29"/>
        <v>1.2230643699002718E-2</v>
      </c>
      <c r="M69" s="371">
        <f t="shared" si="29"/>
        <v>9.4053291536050146E-3</v>
      </c>
      <c r="N69" s="371">
        <f t="shared" si="29"/>
        <v>6.8652037617554854E-3</v>
      </c>
      <c r="O69" s="371">
        <f t="shared" si="29"/>
        <v>6.4532915360501564E-3</v>
      </c>
      <c r="P69" s="371">
        <f t="shared" si="29"/>
        <v>8.0963039014373701E-3</v>
      </c>
      <c r="Q69" s="371">
        <f t="shared" si="29"/>
        <v>7.8887063655030797E-3</v>
      </c>
      <c r="R69" s="371">
        <f t="shared" si="29"/>
        <v>1.0033880903490758E-2</v>
      </c>
      <c r="S69" s="371">
        <f t="shared" si="23"/>
        <v>9.5494866529774111E-3</v>
      </c>
      <c r="T69" s="371">
        <f t="shared" si="23"/>
        <v>9.2726899383983579E-3</v>
      </c>
      <c r="U69" s="371">
        <f t="shared" si="23"/>
        <v>9.2726899383983579E-3</v>
      </c>
      <c r="V69" s="371">
        <f t="shared" si="23"/>
        <v>9.2726899383983579E-3</v>
      </c>
      <c r="W69" s="371">
        <f t="shared" si="24"/>
        <v>8.0944091870655786E-3</v>
      </c>
      <c r="X69" s="371"/>
      <c r="Y69" s="371"/>
      <c r="Z69" s="371"/>
      <c r="AA69" s="371"/>
      <c r="AB69" s="371"/>
      <c r="AC69" s="371"/>
      <c r="AD69" s="371"/>
      <c r="AE69" s="374" t="s">
        <v>124</v>
      </c>
    </row>
    <row r="70" spans="1:31" hidden="1" outlineLevel="1">
      <c r="A70" s="356" t="s">
        <v>115</v>
      </c>
      <c r="B70" s="375"/>
      <c r="C70" s="376"/>
      <c r="D70" s="376"/>
      <c r="E70" s="376"/>
      <c r="F70" s="376"/>
      <c r="G70" s="376"/>
      <c r="H70" s="376"/>
      <c r="I70" s="376"/>
      <c r="J70" s="376"/>
      <c r="K70" s="376"/>
      <c r="L70" s="376"/>
      <c r="M70" s="376"/>
      <c r="N70" s="376"/>
      <c r="O70" s="376"/>
      <c r="P70" s="376"/>
      <c r="Q70" s="376"/>
      <c r="R70" s="376"/>
      <c r="S70" s="376"/>
      <c r="T70" s="376">
        <v>5.0000000000000001E-3</v>
      </c>
      <c r="U70" s="377">
        <v>5.0000000000000001E-3</v>
      </c>
      <c r="V70" s="377">
        <v>5.0000000000000001E-3</v>
      </c>
      <c r="W70" s="377">
        <v>5.0000000000000001E-3</v>
      </c>
      <c r="X70" s="377"/>
      <c r="Y70" s="377"/>
      <c r="Z70" s="377"/>
      <c r="AA70" s="377"/>
      <c r="AB70" s="377"/>
      <c r="AC70" s="377"/>
      <c r="AD70" s="377"/>
      <c r="AE70" s="372" t="s">
        <v>125</v>
      </c>
    </row>
    <row r="71" spans="1:31" ht="14.4" hidden="1" outlineLevel="1">
      <c r="A71" s="324" t="s">
        <v>126</v>
      </c>
      <c r="B71" s="378">
        <f>SUM(B72:B78)</f>
        <v>0.09</v>
      </c>
      <c r="C71" s="379">
        <f t="shared" ref="C71:U71" si="30">SUM(C72:C78)</f>
        <v>0.09</v>
      </c>
      <c r="D71" s="379">
        <f t="shared" si="30"/>
        <v>9.0000000000000011E-2</v>
      </c>
      <c r="E71" s="379">
        <f t="shared" si="30"/>
        <v>0.09</v>
      </c>
      <c r="F71" s="379">
        <f t="shared" si="30"/>
        <v>0.09</v>
      </c>
      <c r="G71" s="379">
        <f t="shared" si="30"/>
        <v>8.9999999999999969E-2</v>
      </c>
      <c r="H71" s="379">
        <f t="shared" si="30"/>
        <v>0.09</v>
      </c>
      <c r="I71" s="379">
        <f t="shared" si="30"/>
        <v>8.9999999999999983E-2</v>
      </c>
      <c r="J71" s="379">
        <f t="shared" si="30"/>
        <v>9.0000000000000011E-2</v>
      </c>
      <c r="K71" s="379">
        <f t="shared" si="30"/>
        <v>0.09</v>
      </c>
      <c r="L71" s="379">
        <f t="shared" si="30"/>
        <v>8.9999999999999983E-2</v>
      </c>
      <c r="M71" s="379">
        <f t="shared" si="30"/>
        <v>0.10999999999999999</v>
      </c>
      <c r="N71" s="379">
        <f t="shared" si="30"/>
        <v>0.11000000000000001</v>
      </c>
      <c r="O71" s="379">
        <f t="shared" si="30"/>
        <v>0.11000000000000001</v>
      </c>
      <c r="P71" s="379">
        <f t="shared" si="30"/>
        <v>0.10499999999999997</v>
      </c>
      <c r="Q71" s="379">
        <f t="shared" si="30"/>
        <v>0.10500000000000001</v>
      </c>
      <c r="R71" s="379">
        <f t="shared" si="30"/>
        <v>0.10500000000000001</v>
      </c>
      <c r="S71" s="379">
        <f t="shared" si="30"/>
        <v>0.105</v>
      </c>
      <c r="T71" s="379">
        <f t="shared" si="30"/>
        <v>0.11000000000000001</v>
      </c>
      <c r="U71" s="379">
        <f t="shared" si="30"/>
        <v>0.11000000000000001</v>
      </c>
      <c r="V71" s="379">
        <f>SUM(V72:V78)</f>
        <v>0.11000000000000001</v>
      </c>
      <c r="W71" s="379">
        <f>SUM(W72:W78)</f>
        <v>0.10500000000000001</v>
      </c>
      <c r="X71" s="379"/>
      <c r="Y71" s="379"/>
      <c r="Z71" s="379"/>
      <c r="AA71" s="379"/>
      <c r="AB71" s="379"/>
      <c r="AC71" s="379"/>
      <c r="AD71" s="379"/>
      <c r="AE71" s="380" t="s">
        <v>127</v>
      </c>
    </row>
    <row r="72" spans="1:31" hidden="1" outlineLevel="1">
      <c r="A72" s="356" t="s">
        <v>103</v>
      </c>
      <c r="B72" s="381">
        <f>$B$54/$B$52*B56</f>
        <v>6.7581047381546133E-2</v>
      </c>
      <c r="C72" s="382">
        <f t="shared" ref="C72:R72" si="31">C54/C52*C56</f>
        <v>6.9070960387574806E-2</v>
      </c>
      <c r="D72" s="382">
        <f t="shared" si="31"/>
        <v>6.9506982046166996E-2</v>
      </c>
      <c r="E72" s="382">
        <f t="shared" si="31"/>
        <v>6.9601087941976433E-2</v>
      </c>
      <c r="F72" s="382">
        <f t="shared" si="31"/>
        <v>6.9383499546690847E-2</v>
      </c>
      <c r="G72" s="382">
        <f t="shared" si="31"/>
        <v>6.8703535811423383E-2</v>
      </c>
      <c r="H72" s="382">
        <f t="shared" si="31"/>
        <v>6.742520398912058E-2</v>
      </c>
      <c r="I72" s="382">
        <f t="shared" si="31"/>
        <v>6.6609247506799626E-2</v>
      </c>
      <c r="J72" s="382">
        <f t="shared" si="31"/>
        <v>6.4324569356301001E-2</v>
      </c>
      <c r="K72" s="382">
        <f t="shared" si="31"/>
        <v>6.2175883952855851E-2</v>
      </c>
      <c r="L72" s="382">
        <f t="shared" si="31"/>
        <v>5.8912058023572064E-2</v>
      </c>
      <c r="M72" s="382">
        <f t="shared" si="31"/>
        <v>8.012539184952977E-2</v>
      </c>
      <c r="N72" s="382">
        <f t="shared" si="31"/>
        <v>8.3824451410658321E-2</v>
      </c>
      <c r="O72" s="382">
        <f t="shared" si="31"/>
        <v>8.3385579937304083E-2</v>
      </c>
      <c r="P72" s="382">
        <f t="shared" si="31"/>
        <v>7.7494866529774109E-2</v>
      </c>
      <c r="Q72" s="382">
        <f t="shared" si="31"/>
        <v>7.512320328542095E-2</v>
      </c>
      <c r="R72" s="382">
        <f t="shared" si="31"/>
        <v>7.349075975359344E-2</v>
      </c>
      <c r="S72" s="382">
        <f t="shared" ref="S72:V77" si="32">$S$54/$S$52*S56</f>
        <v>7.5585215605749476E-2</v>
      </c>
      <c r="T72" s="382">
        <f t="shared" si="32"/>
        <v>7.546201232032855E-2</v>
      </c>
      <c r="U72" s="382">
        <f t="shared" si="32"/>
        <v>7.546201232032855E-2</v>
      </c>
      <c r="V72" s="382">
        <f t="shared" si="32"/>
        <v>7.546201232032855E-2</v>
      </c>
      <c r="W72" s="382">
        <f t="shared" ref="W72:W77" si="33">10/33.09*W56</f>
        <v>7.2257479601087943E-2</v>
      </c>
      <c r="X72" s="382"/>
      <c r="Y72" s="382"/>
      <c r="Z72" s="382"/>
      <c r="AA72" s="382"/>
      <c r="AB72" s="382"/>
      <c r="AC72" s="382"/>
      <c r="AD72" s="382"/>
      <c r="AE72" s="374" t="s">
        <v>128</v>
      </c>
    </row>
    <row r="73" spans="1:31" hidden="1" outlineLevel="1">
      <c r="A73" s="356" t="s">
        <v>105</v>
      </c>
      <c r="B73" s="381">
        <f t="shared" ref="B73:R73" si="34">B54/B52*B57</f>
        <v>6.1097256857855359E-3</v>
      </c>
      <c r="C73" s="382">
        <f t="shared" si="34"/>
        <v>5.6426332288401259E-3</v>
      </c>
      <c r="D73" s="382">
        <f t="shared" si="34"/>
        <v>4.8731832430891986E-3</v>
      </c>
      <c r="E73" s="382">
        <f t="shared" si="34"/>
        <v>5.2765185856754309E-3</v>
      </c>
      <c r="F73" s="382">
        <f t="shared" si="34"/>
        <v>5.1405258386219401E-3</v>
      </c>
      <c r="G73" s="382">
        <f t="shared" si="34"/>
        <v>4.8957388939256559E-3</v>
      </c>
      <c r="H73" s="382">
        <f t="shared" si="34"/>
        <v>5.0589301903898459E-3</v>
      </c>
      <c r="I73" s="382">
        <f t="shared" si="34"/>
        <v>4.8957388939256559E-3</v>
      </c>
      <c r="J73" s="382">
        <f t="shared" si="34"/>
        <v>4.7597461468721677E-3</v>
      </c>
      <c r="K73" s="382">
        <f t="shared" si="34"/>
        <v>4.6237533998186768E-3</v>
      </c>
      <c r="L73" s="382">
        <f t="shared" si="34"/>
        <v>1.0362647325475973E-2</v>
      </c>
      <c r="M73" s="382">
        <f t="shared" si="34"/>
        <v>8.0250783699059563E-3</v>
      </c>
      <c r="N73" s="382">
        <f t="shared" si="34"/>
        <v>4.7021943573667714E-3</v>
      </c>
      <c r="O73" s="382">
        <f t="shared" si="34"/>
        <v>4.6394984326018811E-3</v>
      </c>
      <c r="P73" s="382">
        <f t="shared" si="34"/>
        <v>5.0205338809034897E-3</v>
      </c>
      <c r="Q73" s="382">
        <f t="shared" si="34"/>
        <v>6.46817248459959E-3</v>
      </c>
      <c r="R73" s="382">
        <f t="shared" si="34"/>
        <v>6.4065708418891169E-3</v>
      </c>
      <c r="S73" s="382">
        <f t="shared" si="32"/>
        <v>5.8521560574948655E-3</v>
      </c>
      <c r="T73" s="382">
        <f t="shared" si="32"/>
        <v>5.6673511293634498E-3</v>
      </c>
      <c r="U73" s="382">
        <f t="shared" si="32"/>
        <v>5.6673511293634498E-3</v>
      </c>
      <c r="V73" s="382">
        <f t="shared" si="32"/>
        <v>5.6673511293634498E-3</v>
      </c>
      <c r="W73" s="382">
        <f t="shared" si="33"/>
        <v>4.8352976730129948E-3</v>
      </c>
      <c r="X73" s="382"/>
      <c r="Y73" s="382"/>
      <c r="Z73" s="382"/>
      <c r="AA73" s="382"/>
      <c r="AB73" s="382"/>
      <c r="AC73" s="382"/>
      <c r="AD73" s="382"/>
      <c r="AE73" s="372" t="s">
        <v>120</v>
      </c>
    </row>
    <row r="74" spans="1:31" hidden="1" outlineLevel="1">
      <c r="A74" s="373" t="s">
        <v>107</v>
      </c>
      <c r="B74" s="381">
        <f t="shared" ref="B74:R74" si="35">B54/B52*B58</f>
        <v>2.2443890274314213E-4</v>
      </c>
      <c r="C74" s="382">
        <f t="shared" si="35"/>
        <v>2.3083499572527788E-4</v>
      </c>
      <c r="D74" s="382">
        <f t="shared" si="35"/>
        <v>2.3083499572527783E-4</v>
      </c>
      <c r="E74" s="382">
        <f t="shared" si="35"/>
        <v>2.4478694469628288E-4</v>
      </c>
      <c r="F74" s="382">
        <f t="shared" si="35"/>
        <v>2.4478694469628288E-4</v>
      </c>
      <c r="G74" s="382">
        <f t="shared" si="35"/>
        <v>2.4478694469628283E-4</v>
      </c>
      <c r="H74" s="382">
        <f t="shared" si="35"/>
        <v>6.799637352674524E-4</v>
      </c>
      <c r="I74" s="382">
        <f t="shared" si="35"/>
        <v>6.7996373526745229E-4</v>
      </c>
      <c r="J74" s="382">
        <f t="shared" si="35"/>
        <v>6.5276518585675428E-4</v>
      </c>
      <c r="K74" s="382">
        <f t="shared" si="35"/>
        <v>7.0716228467815052E-4</v>
      </c>
      <c r="L74" s="382">
        <f t="shared" si="35"/>
        <v>7.8875793291024456E-4</v>
      </c>
      <c r="M74" s="382">
        <f t="shared" si="35"/>
        <v>9.7178683385579928E-4</v>
      </c>
      <c r="N74" s="382">
        <f t="shared" si="35"/>
        <v>1.2852664576802511E-3</v>
      </c>
      <c r="O74" s="382">
        <f t="shared" si="35"/>
        <v>1.316614420062696E-3</v>
      </c>
      <c r="P74" s="382">
        <f t="shared" si="35"/>
        <v>1.4168377823408622E-3</v>
      </c>
      <c r="Q74" s="382">
        <f t="shared" si="35"/>
        <v>1.6324435318275155E-3</v>
      </c>
      <c r="R74" s="382">
        <f t="shared" si="35"/>
        <v>1.6632443531827516E-3</v>
      </c>
      <c r="S74" s="382">
        <f t="shared" si="32"/>
        <v>1.4784394250513344E-3</v>
      </c>
      <c r="T74" s="382">
        <f t="shared" si="32"/>
        <v>1.6324435318275155E-3</v>
      </c>
      <c r="U74" s="382">
        <f t="shared" si="32"/>
        <v>1.6324435318275155E-3</v>
      </c>
      <c r="V74" s="382">
        <f t="shared" si="32"/>
        <v>1.6324435318275155E-3</v>
      </c>
      <c r="W74" s="382">
        <f t="shared" si="33"/>
        <v>1.9945602901178601E-3</v>
      </c>
      <c r="X74" s="382"/>
      <c r="Y74" s="382"/>
      <c r="Z74" s="382"/>
      <c r="AA74" s="382"/>
      <c r="AB74" s="382"/>
      <c r="AC74" s="382"/>
      <c r="AD74" s="382"/>
      <c r="AE74" s="374" t="s">
        <v>121</v>
      </c>
    </row>
    <row r="75" spans="1:31" hidden="1" outlineLevel="1">
      <c r="A75" s="373" t="s">
        <v>109</v>
      </c>
      <c r="B75" s="381">
        <f t="shared" ref="B75:R75" si="36">B54/B52*B59</f>
        <v>1.0374064837905235E-2</v>
      </c>
      <c r="C75" s="382">
        <f t="shared" si="36"/>
        <v>9.9772014819036765E-3</v>
      </c>
      <c r="D75" s="382">
        <f t="shared" si="36"/>
        <v>9.6437731547449404E-3</v>
      </c>
      <c r="E75" s="382">
        <f t="shared" si="36"/>
        <v>9.0027198549410704E-3</v>
      </c>
      <c r="F75" s="382">
        <f t="shared" si="36"/>
        <v>8.7851314596554854E-3</v>
      </c>
      <c r="G75" s="382">
        <f t="shared" si="36"/>
        <v>8.6219401631912954E-3</v>
      </c>
      <c r="H75" s="382">
        <f t="shared" si="36"/>
        <v>8.2411604714415238E-3</v>
      </c>
      <c r="I75" s="382">
        <f t="shared" si="36"/>
        <v>6.9356300997280131E-3</v>
      </c>
      <c r="J75" s="382">
        <f t="shared" si="36"/>
        <v>7.9419764279238438E-3</v>
      </c>
      <c r="K75" s="382">
        <f t="shared" si="36"/>
        <v>8.0235720761559388E-3</v>
      </c>
      <c r="L75" s="382">
        <f t="shared" si="36"/>
        <v>8.6491387126019937E-3</v>
      </c>
      <c r="M75" s="382">
        <f t="shared" si="36"/>
        <v>9.4670846394984322E-3</v>
      </c>
      <c r="N75" s="382">
        <f t="shared" si="36"/>
        <v>9.9059561128526669E-3</v>
      </c>
      <c r="O75" s="382">
        <f t="shared" si="36"/>
        <v>1.0564263322884014E-2</v>
      </c>
      <c r="P75" s="382">
        <f t="shared" si="36"/>
        <v>9.8870636550308002E-3</v>
      </c>
      <c r="Q75" s="382">
        <f t="shared" si="36"/>
        <v>9.6714579055441462E-3</v>
      </c>
      <c r="R75" s="382">
        <f t="shared" si="36"/>
        <v>9.5790554414784401E-3</v>
      </c>
      <c r="S75" s="382">
        <f t="shared" si="32"/>
        <v>7.0841889117043109E-3</v>
      </c>
      <c r="T75" s="382">
        <f t="shared" si="32"/>
        <v>6.8685831622176596E-3</v>
      </c>
      <c r="U75" s="382">
        <f t="shared" si="32"/>
        <v>6.8685831622176596E-3</v>
      </c>
      <c r="V75" s="382">
        <f t="shared" si="32"/>
        <v>6.8685831622176596E-3</v>
      </c>
      <c r="W75" s="382">
        <f t="shared" si="33"/>
        <v>6.9205197944998487E-3</v>
      </c>
      <c r="X75" s="382"/>
      <c r="Y75" s="382"/>
      <c r="Z75" s="382"/>
      <c r="AA75" s="382"/>
      <c r="AB75" s="382"/>
      <c r="AC75" s="382"/>
      <c r="AD75" s="382"/>
      <c r="AE75" s="374" t="s">
        <v>122</v>
      </c>
    </row>
    <row r="76" spans="1:31" hidden="1" outlineLevel="1">
      <c r="A76" s="356" t="s">
        <v>111</v>
      </c>
      <c r="B76" s="381">
        <f t="shared" ref="B76:R76" si="37">B54/B52*B60</f>
        <v>5.7107231920199494E-3</v>
      </c>
      <c r="C76" s="382">
        <f t="shared" si="37"/>
        <v>5.0783699059561141E-3</v>
      </c>
      <c r="D76" s="382">
        <f t="shared" si="37"/>
        <v>5.7452265602735818E-3</v>
      </c>
      <c r="E76" s="382">
        <f t="shared" si="37"/>
        <v>5.8748866727107892E-3</v>
      </c>
      <c r="F76" s="382">
        <f t="shared" si="37"/>
        <v>6.4460562103354491E-3</v>
      </c>
      <c r="G76" s="382">
        <f t="shared" si="37"/>
        <v>7.5339981867633713E-3</v>
      </c>
      <c r="H76" s="382">
        <f t="shared" si="37"/>
        <v>8.5947416137805988E-3</v>
      </c>
      <c r="I76" s="382">
        <f t="shared" si="37"/>
        <v>1.0879419764279237E-2</v>
      </c>
      <c r="J76" s="382">
        <f t="shared" si="37"/>
        <v>9.3834995466908436E-3</v>
      </c>
      <c r="K76" s="382">
        <f t="shared" si="37"/>
        <v>9.4378966455122403E-3</v>
      </c>
      <c r="L76" s="382">
        <f t="shared" si="37"/>
        <v>6.718041704442429E-3</v>
      </c>
      <c r="M76" s="382">
        <f t="shared" si="37"/>
        <v>7.1159874608150465E-3</v>
      </c>
      <c r="N76" s="382">
        <f t="shared" si="37"/>
        <v>7.147335423197493E-3</v>
      </c>
      <c r="O76" s="382">
        <f t="shared" si="37"/>
        <v>7.147335423197493E-3</v>
      </c>
      <c r="P76" s="382">
        <f t="shared" si="37"/>
        <v>7.5770020533880893E-3</v>
      </c>
      <c r="Q76" s="382">
        <f t="shared" si="37"/>
        <v>8.5934291581108834E-3</v>
      </c>
      <c r="R76" s="382">
        <f t="shared" si="37"/>
        <v>9.3942505133470227E-3</v>
      </c>
      <c r="S76" s="382">
        <f t="shared" si="32"/>
        <v>1.0749486652977411E-2</v>
      </c>
      <c r="T76" s="382">
        <f t="shared" si="32"/>
        <v>1.124229979466119E-2</v>
      </c>
      <c r="U76" s="382">
        <f t="shared" si="32"/>
        <v>1.124229979466119E-2</v>
      </c>
      <c r="V76" s="382">
        <f t="shared" si="32"/>
        <v>1.124229979466119E-2</v>
      </c>
      <c r="W76" s="382">
        <f t="shared" si="33"/>
        <v>1.0486551828346933E-2</v>
      </c>
      <c r="X76" s="382"/>
      <c r="Y76" s="382"/>
      <c r="Z76" s="382"/>
      <c r="AA76" s="382"/>
      <c r="AB76" s="382"/>
      <c r="AC76" s="382"/>
      <c r="AD76" s="382"/>
      <c r="AE76" s="374" t="s">
        <v>123</v>
      </c>
    </row>
    <row r="77" spans="1:31" hidden="1" outlineLevel="1">
      <c r="A77" s="373" t="s">
        <v>113</v>
      </c>
      <c r="B77" s="381">
        <f t="shared" ref="B77:R77" si="38">B54/B52*B61</f>
        <v>0</v>
      </c>
      <c r="C77" s="382">
        <f t="shared" si="38"/>
        <v>0</v>
      </c>
      <c r="D77" s="382">
        <f t="shared" si="38"/>
        <v>0</v>
      </c>
      <c r="E77" s="382">
        <f t="shared" si="38"/>
        <v>0</v>
      </c>
      <c r="F77" s="382">
        <f t="shared" si="38"/>
        <v>0</v>
      </c>
      <c r="G77" s="382">
        <f t="shared" si="38"/>
        <v>0</v>
      </c>
      <c r="H77" s="382">
        <f t="shared" si="38"/>
        <v>0</v>
      </c>
      <c r="I77" s="382">
        <f t="shared" si="38"/>
        <v>0</v>
      </c>
      <c r="J77" s="382">
        <f t="shared" si="38"/>
        <v>2.9374433363553946E-3</v>
      </c>
      <c r="K77" s="382">
        <f t="shared" si="38"/>
        <v>5.0317316409791476E-3</v>
      </c>
      <c r="L77" s="382">
        <f t="shared" si="38"/>
        <v>4.5693563009972793E-3</v>
      </c>
      <c r="M77" s="382">
        <f t="shared" si="38"/>
        <v>4.294670846394984E-3</v>
      </c>
      <c r="N77" s="382">
        <f t="shared" si="38"/>
        <v>3.1347962382445144E-3</v>
      </c>
      <c r="O77" s="382">
        <f t="shared" si="38"/>
        <v>2.9467084639498435E-3</v>
      </c>
      <c r="P77" s="382">
        <f t="shared" si="38"/>
        <v>3.6036960985626272E-3</v>
      </c>
      <c r="Q77" s="382">
        <f t="shared" si="38"/>
        <v>3.5112936344969202E-3</v>
      </c>
      <c r="R77" s="382">
        <f t="shared" si="38"/>
        <v>4.4661190965092409E-3</v>
      </c>
      <c r="S77" s="382">
        <f t="shared" si="32"/>
        <v>4.2505133470225869E-3</v>
      </c>
      <c r="T77" s="382">
        <f t="shared" si="32"/>
        <v>4.1273100616016434E-3</v>
      </c>
      <c r="U77" s="382">
        <f t="shared" si="32"/>
        <v>4.1273100616016434E-3</v>
      </c>
      <c r="V77" s="382">
        <f t="shared" si="32"/>
        <v>4.1273100616016434E-3</v>
      </c>
      <c r="W77" s="382">
        <f t="shared" si="33"/>
        <v>3.5055908129344206E-3</v>
      </c>
      <c r="X77" s="382"/>
      <c r="Y77" s="382"/>
      <c r="Z77" s="382"/>
      <c r="AA77" s="382"/>
      <c r="AB77" s="382"/>
      <c r="AC77" s="382"/>
      <c r="AD77" s="382"/>
      <c r="AE77" s="374" t="s">
        <v>124</v>
      </c>
    </row>
    <row r="78" spans="1:31" hidden="1" outlineLevel="1">
      <c r="A78" s="356" t="s">
        <v>115</v>
      </c>
      <c r="B78" s="381"/>
      <c r="C78" s="382"/>
      <c r="D78" s="382"/>
      <c r="E78" s="382"/>
      <c r="F78" s="382"/>
      <c r="G78" s="382"/>
      <c r="H78" s="382"/>
      <c r="I78" s="382"/>
      <c r="J78" s="382"/>
      <c r="K78" s="382"/>
      <c r="L78" s="382"/>
      <c r="M78" s="382"/>
      <c r="N78" s="382"/>
      <c r="O78" s="382"/>
      <c r="P78" s="382"/>
      <c r="Q78" s="382"/>
      <c r="R78" s="382"/>
      <c r="S78" s="382"/>
      <c r="T78" s="382">
        <v>5.0000000000000001E-3</v>
      </c>
      <c r="U78" s="382">
        <v>5.0000000000000001E-3</v>
      </c>
      <c r="V78" s="382">
        <v>5.0000000000000001E-3</v>
      </c>
      <c r="W78" s="382">
        <v>5.0000000000000001E-3</v>
      </c>
      <c r="X78" s="382"/>
      <c r="Y78" s="382"/>
      <c r="Z78" s="382"/>
      <c r="AA78" s="382"/>
      <c r="AB78" s="382"/>
      <c r="AC78" s="382"/>
      <c r="AD78" s="382"/>
      <c r="AE78" s="372" t="s">
        <v>125</v>
      </c>
    </row>
    <row r="79" spans="1:31" ht="15.6" customHeight="1" collapsed="1">
      <c r="A79" s="383" t="s">
        <v>129</v>
      </c>
      <c r="B79" s="375">
        <v>0.32590000000000002</v>
      </c>
      <c r="C79" s="375">
        <v>0.32100000000000001</v>
      </c>
      <c r="D79" s="375">
        <v>0.30270000000000002</v>
      </c>
      <c r="E79" s="375">
        <v>0.30270000000000002</v>
      </c>
      <c r="F79" s="375">
        <v>0.30270000000000002</v>
      </c>
      <c r="G79" s="375">
        <v>0.30499999999999999</v>
      </c>
      <c r="H79" s="375">
        <v>0.30199999999999999</v>
      </c>
      <c r="I79" s="375">
        <v>0.29949999999999999</v>
      </c>
      <c r="J79" s="375">
        <v>0.3044</v>
      </c>
      <c r="K79" s="375">
        <v>0.30480000000000002</v>
      </c>
      <c r="L79" s="375">
        <v>0.28170000000000001</v>
      </c>
      <c r="M79" s="375">
        <v>0.31519999999999998</v>
      </c>
      <c r="N79" s="375">
        <v>0.3246</v>
      </c>
      <c r="O79" s="375">
        <v>0.32169999999999999</v>
      </c>
      <c r="P79" s="375">
        <v>0.31059999999999999</v>
      </c>
      <c r="Q79" s="375">
        <v>0.30580000000000002</v>
      </c>
      <c r="R79" s="375">
        <v>0.30580000000000002</v>
      </c>
      <c r="S79" s="375">
        <v>0.31130000000000002</v>
      </c>
      <c r="T79" s="375"/>
      <c r="U79" s="375"/>
      <c r="V79" s="375"/>
      <c r="W79" s="375"/>
      <c r="X79" s="4554"/>
      <c r="Y79" s="4554"/>
      <c r="Z79" s="375"/>
      <c r="AA79" s="375"/>
      <c r="AB79" s="375"/>
      <c r="AC79" s="375"/>
      <c r="AD79" s="375"/>
      <c r="AE79" s="384" t="s">
        <v>130</v>
      </c>
    </row>
    <row r="80" spans="1:31">
      <c r="A80" s="385" t="s">
        <v>131</v>
      </c>
      <c r="B80" s="386"/>
      <c r="C80" s="386"/>
      <c r="D80" s="386"/>
      <c r="E80" s="386"/>
      <c r="F80" s="386"/>
      <c r="G80" s="386"/>
      <c r="H80" s="386"/>
      <c r="I80" s="386"/>
      <c r="J80" s="386"/>
      <c r="K80" s="386"/>
      <c r="L80" s="386"/>
      <c r="M80" s="386"/>
      <c r="N80" s="386"/>
      <c r="O80" s="386"/>
      <c r="P80" s="386"/>
      <c r="Q80" s="386"/>
      <c r="R80" s="386"/>
      <c r="S80" s="386"/>
      <c r="T80" s="387">
        <v>0.05</v>
      </c>
      <c r="U80" s="388">
        <v>0.05</v>
      </c>
      <c r="V80" s="388">
        <v>0.05</v>
      </c>
      <c r="W80" s="387">
        <v>0.1</v>
      </c>
      <c r="X80" s="4555">
        <v>0.1</v>
      </c>
      <c r="Y80" s="4555"/>
      <c r="Z80" s="388">
        <v>0.1</v>
      </c>
      <c r="AA80" s="388">
        <v>0.1</v>
      </c>
      <c r="AB80" s="388">
        <v>0.1</v>
      </c>
      <c r="AC80" s="388">
        <v>0.1</v>
      </c>
      <c r="AD80" s="388">
        <v>0.1</v>
      </c>
      <c r="AE80" s="389" t="s">
        <v>132</v>
      </c>
    </row>
    <row r="81" spans="1:31" ht="28.5" customHeight="1">
      <c r="A81" s="390" t="s">
        <v>133</v>
      </c>
      <c r="B81" s="391"/>
      <c r="C81" s="391"/>
      <c r="D81" s="391"/>
      <c r="E81" s="391"/>
      <c r="F81" s="391"/>
      <c r="G81" s="391"/>
      <c r="H81" s="391"/>
      <c r="I81" s="391"/>
      <c r="J81" s="391"/>
      <c r="K81" s="391"/>
      <c r="L81" s="391"/>
      <c r="M81" s="391"/>
      <c r="N81" s="391"/>
      <c r="O81" s="391"/>
      <c r="P81" s="391"/>
      <c r="Q81" s="391"/>
      <c r="R81" s="391"/>
      <c r="S81" s="391"/>
      <c r="T81" s="391">
        <v>0.32150000000000001</v>
      </c>
      <c r="U81" s="391">
        <v>0.32150000000000001</v>
      </c>
      <c r="V81" s="391">
        <v>0.32150000000000001</v>
      </c>
      <c r="W81" s="392">
        <v>0.31069999999999998</v>
      </c>
      <c r="X81" s="4556">
        <v>0.31069999999999998</v>
      </c>
      <c r="Y81" s="4556"/>
      <c r="Z81" s="391">
        <v>0.31069999999999998</v>
      </c>
      <c r="AA81" s="391">
        <v>0.31069999999999998</v>
      </c>
      <c r="AB81" s="391">
        <v>0.31069999999999998</v>
      </c>
      <c r="AC81" s="391">
        <v>0.31069999999999998</v>
      </c>
      <c r="AD81" s="391">
        <v>0.31069999999999998</v>
      </c>
      <c r="AE81" s="393" t="s">
        <v>134</v>
      </c>
    </row>
    <row r="82" spans="1:31" ht="27.6">
      <c r="A82" s="394" t="s">
        <v>135</v>
      </c>
      <c r="B82" s="395"/>
      <c r="C82" s="395"/>
      <c r="D82" s="395"/>
      <c r="E82" s="395"/>
      <c r="F82" s="395"/>
      <c r="G82" s="395"/>
      <c r="H82" s="395"/>
      <c r="I82" s="395"/>
      <c r="J82" s="395"/>
      <c r="K82" s="395"/>
      <c r="L82" s="395"/>
      <c r="M82" s="395"/>
      <c r="N82" s="395"/>
      <c r="O82" s="395"/>
      <c r="P82" s="395"/>
      <c r="Q82" s="395"/>
      <c r="R82" s="395"/>
      <c r="S82" s="395"/>
      <c r="T82" s="396" t="s">
        <v>136</v>
      </c>
      <c r="U82" s="397" t="s">
        <v>136</v>
      </c>
      <c r="V82" s="397" t="s">
        <v>136</v>
      </c>
      <c r="W82" s="398" t="s">
        <v>137</v>
      </c>
      <c r="X82" s="4557" t="s">
        <v>138</v>
      </c>
      <c r="Y82" s="4557"/>
      <c r="Z82" s="399">
        <v>0.1</v>
      </c>
      <c r="AA82" s="399">
        <v>0.1</v>
      </c>
      <c r="AB82" s="399">
        <v>0.1</v>
      </c>
      <c r="AC82" s="399">
        <v>0.1</v>
      </c>
      <c r="AD82" s="399">
        <v>0.1</v>
      </c>
      <c r="AE82" s="400" t="s">
        <v>139</v>
      </c>
    </row>
    <row r="83" spans="1:31" ht="27.75" customHeight="1">
      <c r="A83" s="401" t="s">
        <v>140</v>
      </c>
      <c r="B83" s="402">
        <f>B84/$O$1</f>
        <v>768.35077774173169</v>
      </c>
      <c r="C83" s="403">
        <f t="shared" ref="C83:O83" si="39">C84/$O$1</f>
        <v>682.97846910376154</v>
      </c>
      <c r="D83" s="404">
        <f t="shared" si="39"/>
        <v>682.97846910376154</v>
      </c>
      <c r="E83" s="405">
        <f t="shared" si="39"/>
        <v>768.35077774173169</v>
      </c>
      <c r="F83" s="405">
        <f t="shared" si="39"/>
        <v>1878.1907900353442</v>
      </c>
      <c r="G83" s="404">
        <f t="shared" si="39"/>
        <v>1878.1907900353442</v>
      </c>
      <c r="H83" s="404">
        <f t="shared" si="39"/>
        <v>1878.1907900353442</v>
      </c>
      <c r="I83" s="405">
        <f t="shared" si="39"/>
        <v>2561.1692591391056</v>
      </c>
      <c r="J83" s="404">
        <f t="shared" si="39"/>
        <v>2561.1692591391056</v>
      </c>
      <c r="K83" s="405">
        <f t="shared" si="39"/>
        <v>3073.4031109669268</v>
      </c>
      <c r="L83" s="404">
        <f t="shared" si="39"/>
        <v>3073.4031109669268</v>
      </c>
      <c r="M83" s="405">
        <f t="shared" si="39"/>
        <v>3414.8923455188078</v>
      </c>
      <c r="N83" s="404">
        <f t="shared" si="39"/>
        <v>3414.8923455188078</v>
      </c>
      <c r="O83" s="404">
        <f t="shared" si="39"/>
        <v>3414.8923455188078</v>
      </c>
      <c r="P83" s="406">
        <v>3840</v>
      </c>
      <c r="Q83" s="406">
        <f>360*12</f>
        <v>4320</v>
      </c>
      <c r="R83" s="406">
        <f>R3*12</f>
        <v>4440</v>
      </c>
      <c r="S83" s="406">
        <v>4560</v>
      </c>
      <c r="T83" s="406">
        <v>5160</v>
      </c>
      <c r="U83" s="407">
        <v>5160</v>
      </c>
      <c r="V83" s="407">
        <v>5160</v>
      </c>
      <c r="W83" s="406">
        <f>W3*12</f>
        <v>6000</v>
      </c>
      <c r="X83" s="4558">
        <f>X3*12</f>
        <v>6000</v>
      </c>
      <c r="Y83" s="4558"/>
      <c r="Z83" s="406">
        <f>Z3*12</f>
        <v>7440</v>
      </c>
      <c r="AA83" s="406">
        <f>AA3*12</f>
        <v>8400</v>
      </c>
      <c r="AB83" s="406">
        <f>AB3*12</f>
        <v>8880</v>
      </c>
      <c r="AC83" s="406">
        <f>AC3*12</f>
        <v>9360</v>
      </c>
      <c r="AD83" s="406">
        <f t="shared" ref="AD83" si="40">AD3*12</f>
        <v>9840</v>
      </c>
      <c r="AE83" s="408" t="s">
        <v>141</v>
      </c>
    </row>
    <row r="84" spans="1:31" s="419" customFormat="1">
      <c r="A84" s="409" t="s">
        <v>142</v>
      </c>
      <c r="B84" s="410">
        <v>540</v>
      </c>
      <c r="C84" s="411">
        <v>480</v>
      </c>
      <c r="D84" s="412">
        <v>480</v>
      </c>
      <c r="E84" s="413">
        <v>540</v>
      </c>
      <c r="F84" s="413">
        <v>1320</v>
      </c>
      <c r="G84" s="414">
        <v>1320</v>
      </c>
      <c r="H84" s="414">
        <v>1320</v>
      </c>
      <c r="I84" s="413">
        <v>1800</v>
      </c>
      <c r="J84" s="412">
        <v>1800</v>
      </c>
      <c r="K84" s="413">
        <v>2160</v>
      </c>
      <c r="L84" s="414">
        <v>2160</v>
      </c>
      <c r="M84" s="413">
        <v>2400</v>
      </c>
      <c r="N84" s="414">
        <v>2400</v>
      </c>
      <c r="O84" s="414">
        <v>2400</v>
      </c>
      <c r="P84" s="415"/>
      <c r="Q84" s="415"/>
      <c r="R84" s="415"/>
      <c r="S84" s="415"/>
      <c r="T84" s="415"/>
      <c r="U84" s="416"/>
      <c r="V84" s="416"/>
      <c r="W84" s="416"/>
      <c r="X84" s="4559"/>
      <c r="Y84" s="4559"/>
      <c r="Z84" s="417"/>
      <c r="AA84" s="417"/>
      <c r="AB84" s="417"/>
      <c r="AC84" s="417"/>
      <c r="AD84" s="417"/>
      <c r="AE84" s="418" t="s">
        <v>143</v>
      </c>
    </row>
    <row r="85" spans="1:31">
      <c r="A85" s="420" t="s">
        <v>144</v>
      </c>
      <c r="B85" s="421">
        <f>B86/$O$1</f>
        <v>21343.077159492546</v>
      </c>
      <c r="C85" s="422">
        <f t="shared" ref="C85:J85" si="41">C86/$O$1</f>
        <v>22765.948970125384</v>
      </c>
      <c r="D85" s="422">
        <f t="shared" si="41"/>
        <v>24615.682323948073</v>
      </c>
      <c r="E85" s="422">
        <f t="shared" si="41"/>
        <v>26180.841315644193</v>
      </c>
      <c r="F85" s="422">
        <f t="shared" si="41"/>
        <v>28315.149031593446</v>
      </c>
      <c r="G85" s="423">
        <f t="shared" si="41"/>
        <v>28315.149031593446</v>
      </c>
      <c r="H85" s="422">
        <f t="shared" si="41"/>
        <v>29453.446480099716</v>
      </c>
      <c r="I85" s="422">
        <f t="shared" si="41"/>
        <v>33864.349093061508</v>
      </c>
      <c r="J85" s="422">
        <f t="shared" si="41"/>
        <v>42117.005594731963</v>
      </c>
      <c r="K85" s="424" t="s">
        <v>18</v>
      </c>
      <c r="L85" s="425" t="s">
        <v>18</v>
      </c>
      <c r="M85" s="425" t="s">
        <v>18</v>
      </c>
      <c r="N85" s="425" t="s">
        <v>18</v>
      </c>
      <c r="O85" s="425" t="s">
        <v>18</v>
      </c>
      <c r="P85" s="422" t="s">
        <v>145</v>
      </c>
      <c r="Q85" s="422">
        <v>48600</v>
      </c>
      <c r="R85" s="423">
        <v>48600</v>
      </c>
      <c r="S85" s="422">
        <v>52400</v>
      </c>
      <c r="T85" s="422">
        <v>55000</v>
      </c>
      <c r="U85" s="422">
        <v>62800</v>
      </c>
      <c r="V85" s="423">
        <v>62800</v>
      </c>
      <c r="W85" s="423">
        <v>62800</v>
      </c>
      <c r="X85" s="4550">
        <v>78100</v>
      </c>
      <c r="Y85" s="4550"/>
      <c r="Z85" s="423">
        <v>78100</v>
      </c>
      <c r="AA85" s="423">
        <v>78100</v>
      </c>
      <c r="AB85" s="422">
        <v>105300</v>
      </c>
      <c r="AC85" s="423">
        <v>105300</v>
      </c>
      <c r="AD85" s="423">
        <v>105300</v>
      </c>
      <c r="AE85" s="426" t="s">
        <v>146</v>
      </c>
    </row>
    <row r="86" spans="1:31">
      <c r="A86" s="427" t="s">
        <v>147</v>
      </c>
      <c r="B86" s="428">
        <v>15000</v>
      </c>
      <c r="C86" s="429">
        <v>16000</v>
      </c>
      <c r="D86" s="429">
        <v>17300</v>
      </c>
      <c r="E86" s="429">
        <v>18400</v>
      </c>
      <c r="F86" s="429">
        <v>19900</v>
      </c>
      <c r="G86" s="430">
        <v>19900</v>
      </c>
      <c r="H86" s="429">
        <v>20700</v>
      </c>
      <c r="I86" s="429">
        <v>23800</v>
      </c>
      <c r="J86" s="429">
        <v>29600</v>
      </c>
      <c r="K86" s="431"/>
      <c r="L86" s="432"/>
      <c r="M86" s="432"/>
      <c r="N86" s="432"/>
      <c r="O86" s="432"/>
      <c r="P86" s="433"/>
      <c r="Q86" s="433"/>
      <c r="R86" s="434"/>
      <c r="S86" s="433"/>
      <c r="T86" s="433"/>
      <c r="U86" s="435"/>
      <c r="V86" s="435"/>
      <c r="W86" s="435"/>
      <c r="X86" s="4551"/>
      <c r="Y86" s="4551"/>
      <c r="Z86" s="436"/>
      <c r="AA86" s="436"/>
      <c r="AB86" s="436"/>
      <c r="AC86" s="436"/>
      <c r="AD86" s="436"/>
      <c r="AE86" s="418" t="s">
        <v>148</v>
      </c>
    </row>
    <row r="87" spans="1:31" ht="15.75" customHeight="1">
      <c r="A87" s="4552" t="s">
        <v>149</v>
      </c>
      <c r="B87" s="4548" t="s">
        <v>18</v>
      </c>
      <c r="C87" s="4548" t="s">
        <v>18</v>
      </c>
      <c r="D87" s="4548" t="s">
        <v>18</v>
      </c>
      <c r="E87" s="4548" t="s">
        <v>18</v>
      </c>
      <c r="F87" s="4548" t="s">
        <v>18</v>
      </c>
      <c r="G87" s="4548" t="s">
        <v>18</v>
      </c>
      <c r="H87" s="4548" t="s">
        <v>18</v>
      </c>
      <c r="I87" s="4548" t="s">
        <v>18</v>
      </c>
      <c r="J87" s="4548" t="s">
        <v>18</v>
      </c>
      <c r="K87" s="4548" t="s">
        <v>18</v>
      </c>
      <c r="L87" s="4544" t="s">
        <v>18</v>
      </c>
      <c r="M87" s="4544" t="s">
        <v>18</v>
      </c>
      <c r="N87" s="4544" t="s">
        <v>18</v>
      </c>
      <c r="O87" s="4544" t="s">
        <v>18</v>
      </c>
      <c r="P87" s="4544" t="s">
        <v>18</v>
      </c>
      <c r="Q87" s="4544" t="s">
        <v>18</v>
      </c>
      <c r="R87" s="4544" t="s">
        <v>18</v>
      </c>
      <c r="S87" s="4544" t="s">
        <v>18</v>
      </c>
      <c r="T87" s="4544" t="s">
        <v>18</v>
      </c>
      <c r="U87" s="4544" t="s">
        <v>18</v>
      </c>
      <c r="V87" s="4544" t="s">
        <v>18</v>
      </c>
      <c r="W87" s="422">
        <f>W3</f>
        <v>500</v>
      </c>
      <c r="X87" s="4546">
        <v>500</v>
      </c>
      <c r="Y87" s="4546"/>
      <c r="Z87" s="4538">
        <f>Z3</f>
        <v>620</v>
      </c>
      <c r="AA87" s="4538">
        <f t="shared" ref="AA87:AD87" si="42">AA3</f>
        <v>700</v>
      </c>
      <c r="AB87" s="4538">
        <f t="shared" si="42"/>
        <v>740</v>
      </c>
      <c r="AC87" s="4538">
        <f t="shared" si="42"/>
        <v>780</v>
      </c>
      <c r="AD87" s="4538">
        <f t="shared" si="42"/>
        <v>820</v>
      </c>
      <c r="AE87" s="4540" t="s">
        <v>150</v>
      </c>
    </row>
    <row r="88" spans="1:31" ht="16.350000000000001" customHeight="1">
      <c r="A88" s="4553"/>
      <c r="B88" s="4549"/>
      <c r="C88" s="4549"/>
      <c r="D88" s="4549"/>
      <c r="E88" s="4549"/>
      <c r="F88" s="4549"/>
      <c r="G88" s="4549"/>
      <c r="H88" s="4549"/>
      <c r="I88" s="4549"/>
      <c r="J88" s="4549"/>
      <c r="K88" s="4549"/>
      <c r="L88" s="4545"/>
      <c r="M88" s="4545"/>
      <c r="N88" s="4545"/>
      <c r="O88" s="4545"/>
      <c r="P88" s="4545"/>
      <c r="Q88" s="4545"/>
      <c r="R88" s="4545"/>
      <c r="S88" s="4545"/>
      <c r="T88" s="4545"/>
      <c r="U88" s="4545"/>
      <c r="V88" s="4545"/>
      <c r="W88" s="437" t="s">
        <v>151</v>
      </c>
      <c r="X88" s="4547"/>
      <c r="Y88" s="4547"/>
      <c r="Z88" s="4539"/>
      <c r="AA88" s="4539"/>
      <c r="AB88" s="4539"/>
      <c r="AC88" s="4539"/>
      <c r="AD88" s="4539"/>
      <c r="AE88" s="4541"/>
    </row>
    <row r="89" spans="1:31" s="4" customFormat="1" ht="15.75" customHeight="1">
      <c r="A89" s="438" t="s">
        <v>152</v>
      </c>
      <c r="B89" s="4542" t="s">
        <v>153</v>
      </c>
      <c r="C89" s="4533" t="s">
        <v>153</v>
      </c>
      <c r="D89" s="4533" t="s">
        <v>153</v>
      </c>
      <c r="E89" s="4533" t="s">
        <v>153</v>
      </c>
      <c r="F89" s="4533" t="s">
        <v>153</v>
      </c>
      <c r="G89" s="4533" t="s">
        <v>153</v>
      </c>
      <c r="H89" s="4533" t="s">
        <v>153</v>
      </c>
      <c r="I89" s="4533" t="s">
        <v>153</v>
      </c>
      <c r="J89" s="4533" t="s">
        <v>153</v>
      </c>
      <c r="K89" s="4533" t="s">
        <v>153</v>
      </c>
      <c r="L89" s="4533" t="s">
        <v>153</v>
      </c>
      <c r="M89" s="4533" t="s">
        <v>153</v>
      </c>
      <c r="N89" s="4533" t="s">
        <v>153</v>
      </c>
      <c r="O89" s="4533" t="s">
        <v>153</v>
      </c>
      <c r="P89" s="4533" t="s">
        <v>153</v>
      </c>
      <c r="Q89" s="4533" t="s">
        <v>153</v>
      </c>
      <c r="R89" s="439">
        <f t="shared" ref="R89:W89" si="43">R91+R98</f>
        <v>0.34089999999999987</v>
      </c>
      <c r="S89" s="439">
        <f t="shared" si="43"/>
        <v>0.34089999999999993</v>
      </c>
      <c r="T89" s="439">
        <f t="shared" si="43"/>
        <v>0.35089999999999999</v>
      </c>
      <c r="U89" s="439">
        <f t="shared" si="43"/>
        <v>0.255</v>
      </c>
      <c r="V89" s="440">
        <f t="shared" si="43"/>
        <v>0.255</v>
      </c>
      <c r="W89" s="440">
        <f t="shared" si="43"/>
        <v>0.25</v>
      </c>
      <c r="X89" s="4535">
        <v>0.25</v>
      </c>
      <c r="Y89" s="4535"/>
      <c r="Z89" s="440">
        <v>0.25</v>
      </c>
      <c r="AA89" s="440">
        <v>0.25</v>
      </c>
      <c r="AB89" s="440">
        <v>0.25</v>
      </c>
      <c r="AC89" s="440">
        <v>0.25</v>
      </c>
      <c r="AD89" s="440">
        <v>0.25</v>
      </c>
      <c r="AE89" s="441" t="s">
        <v>154</v>
      </c>
    </row>
    <row r="90" spans="1:31" ht="16.5" customHeight="1">
      <c r="A90" s="442" t="s">
        <v>155</v>
      </c>
      <c r="B90" s="4543"/>
      <c r="C90" s="4534"/>
      <c r="D90" s="4534"/>
      <c r="E90" s="4534"/>
      <c r="F90" s="4534"/>
      <c r="G90" s="4534"/>
      <c r="H90" s="4534"/>
      <c r="I90" s="4534"/>
      <c r="J90" s="4534"/>
      <c r="K90" s="4534"/>
      <c r="L90" s="4534"/>
      <c r="M90" s="4534"/>
      <c r="N90" s="4534"/>
      <c r="O90" s="4534"/>
      <c r="P90" s="4534"/>
      <c r="Q90" s="4534"/>
      <c r="R90" s="443">
        <f t="shared" ref="R90:W90" si="44">R85</f>
        <v>48600</v>
      </c>
      <c r="S90" s="444">
        <f t="shared" si="44"/>
        <v>52400</v>
      </c>
      <c r="T90" s="444">
        <f t="shared" si="44"/>
        <v>55000</v>
      </c>
      <c r="U90" s="444">
        <f t="shared" si="44"/>
        <v>62800</v>
      </c>
      <c r="V90" s="443">
        <f t="shared" si="44"/>
        <v>62800</v>
      </c>
      <c r="W90" s="443">
        <f t="shared" si="44"/>
        <v>62800</v>
      </c>
      <c r="X90" s="4536">
        <v>78100</v>
      </c>
      <c r="Y90" s="4536"/>
      <c r="Z90" s="443">
        <v>78100</v>
      </c>
      <c r="AA90" s="443">
        <v>78100</v>
      </c>
      <c r="AB90" s="444">
        <v>105300</v>
      </c>
      <c r="AC90" s="443">
        <v>105300</v>
      </c>
      <c r="AD90" s="443">
        <v>105300</v>
      </c>
      <c r="AE90" s="445" t="s">
        <v>156</v>
      </c>
    </row>
    <row r="91" spans="1:31" ht="15.6" customHeight="1">
      <c r="A91" s="446" t="s">
        <v>157</v>
      </c>
      <c r="B91" s="447" t="s">
        <v>18</v>
      </c>
      <c r="C91" s="448" t="s">
        <v>18</v>
      </c>
      <c r="D91" s="448" t="s">
        <v>18</v>
      </c>
      <c r="E91" s="448" t="s">
        <v>18</v>
      </c>
      <c r="F91" s="448" t="s">
        <v>18</v>
      </c>
      <c r="G91" s="448" t="s">
        <v>18</v>
      </c>
      <c r="H91" s="448" t="s">
        <v>18</v>
      </c>
      <c r="I91" s="448" t="s">
        <v>18</v>
      </c>
      <c r="J91" s="448" t="s">
        <v>18</v>
      </c>
      <c r="K91" s="448" t="s">
        <v>18</v>
      </c>
      <c r="L91" s="448" t="s">
        <v>18</v>
      </c>
      <c r="M91" s="448" t="s">
        <v>18</v>
      </c>
      <c r="N91" s="448" t="s">
        <v>18</v>
      </c>
      <c r="O91" s="448" t="s">
        <v>18</v>
      </c>
      <c r="P91" s="448" t="s">
        <v>18</v>
      </c>
      <c r="Q91" s="448" t="s">
        <v>18</v>
      </c>
      <c r="R91" s="449">
        <f>R53</f>
        <v>0.23589999999999992</v>
      </c>
      <c r="S91" s="449">
        <f>S53</f>
        <v>0.23589999999999994</v>
      </c>
      <c r="T91" s="450">
        <f>T53</f>
        <v>0.24089999999999998</v>
      </c>
      <c r="U91" s="450">
        <f>SUM(U93:U97)</f>
        <v>0.14500000000000002</v>
      </c>
      <c r="V91" s="449">
        <f>SUM(V93:V97)</f>
        <v>0.14500000000000002</v>
      </c>
      <c r="W91" s="449">
        <f>SUM(W93:W97)</f>
        <v>0.14500000000000002</v>
      </c>
      <c r="X91" s="4537">
        <v>0.14499999999999999</v>
      </c>
      <c r="Y91" s="4537"/>
      <c r="Z91" s="449">
        <v>0.14499999999999999</v>
      </c>
      <c r="AA91" s="449">
        <v>0.14499999999999999</v>
      </c>
      <c r="AB91" s="449">
        <v>0.14499999999999999</v>
      </c>
      <c r="AC91" s="449">
        <v>0.14499999999999999</v>
      </c>
      <c r="AD91" s="449">
        <v>0.14499999999999999</v>
      </c>
      <c r="AE91" s="451" t="s">
        <v>158</v>
      </c>
    </row>
    <row r="92" spans="1:31" s="419" customFormat="1">
      <c r="A92" s="452" t="s">
        <v>159</v>
      </c>
      <c r="B92" s="453"/>
      <c r="C92" s="454"/>
      <c r="D92" s="454"/>
      <c r="E92" s="454"/>
      <c r="F92" s="454"/>
      <c r="G92" s="454"/>
      <c r="H92" s="454"/>
      <c r="I92" s="454"/>
      <c r="J92" s="454"/>
      <c r="K92" s="454"/>
      <c r="L92" s="454"/>
      <c r="M92" s="454"/>
      <c r="N92" s="454"/>
      <c r="O92" s="454"/>
      <c r="P92" s="454"/>
      <c r="Q92" s="455"/>
      <c r="R92" s="456">
        <f>R91</f>
        <v>0.23589999999999992</v>
      </c>
      <c r="S92" s="456">
        <f>S91</f>
        <v>0.23589999999999994</v>
      </c>
      <c r="T92" s="457"/>
      <c r="U92" s="458"/>
      <c r="V92" s="458"/>
      <c r="W92" s="459"/>
      <c r="X92" s="4529"/>
      <c r="Y92" s="4529"/>
      <c r="Z92" s="460"/>
      <c r="AA92" s="460"/>
      <c r="AB92" s="460"/>
      <c r="AC92" s="460"/>
      <c r="AD92" s="460"/>
      <c r="AE92" s="452" t="s">
        <v>160</v>
      </c>
    </row>
    <row r="93" spans="1:31" s="419" customFormat="1">
      <c r="A93" s="461" t="s">
        <v>161</v>
      </c>
      <c r="B93" s="462"/>
      <c r="C93" s="463"/>
      <c r="D93" s="463"/>
      <c r="E93" s="463"/>
      <c r="F93" s="463"/>
      <c r="G93" s="463"/>
      <c r="H93" s="463"/>
      <c r="I93" s="463"/>
      <c r="J93" s="463"/>
      <c r="K93" s="463"/>
      <c r="L93" s="463"/>
      <c r="M93" s="463"/>
      <c r="N93" s="463"/>
      <c r="O93" s="463"/>
      <c r="P93" s="463"/>
      <c r="Q93" s="464"/>
      <c r="R93" s="465"/>
      <c r="S93" s="466"/>
      <c r="T93" s="467">
        <v>0.06</v>
      </c>
      <c r="U93" s="468"/>
      <c r="V93" s="468"/>
      <c r="W93" s="469"/>
      <c r="X93" s="4530"/>
      <c r="Y93" s="4530"/>
      <c r="Z93" s="470"/>
      <c r="AA93" s="470"/>
      <c r="AB93" s="470"/>
      <c r="AC93" s="470"/>
      <c r="AD93" s="470"/>
      <c r="AE93" s="461" t="s">
        <v>162</v>
      </c>
    </row>
    <row r="94" spans="1:31" s="419" customFormat="1">
      <c r="A94" s="471" t="s">
        <v>163</v>
      </c>
      <c r="B94" s="462"/>
      <c r="C94" s="463"/>
      <c r="D94" s="463"/>
      <c r="E94" s="463"/>
      <c r="F94" s="463"/>
      <c r="G94" s="463"/>
      <c r="H94" s="463"/>
      <c r="I94" s="463"/>
      <c r="J94" s="463"/>
      <c r="K94" s="463"/>
      <c r="L94" s="463"/>
      <c r="M94" s="463"/>
      <c r="N94" s="463"/>
      <c r="O94" s="463"/>
      <c r="P94" s="463"/>
      <c r="Q94" s="464"/>
      <c r="R94" s="465"/>
      <c r="S94" s="466"/>
      <c r="T94" s="467">
        <v>0.04</v>
      </c>
      <c r="U94" s="468"/>
      <c r="V94" s="468"/>
      <c r="W94" s="469"/>
      <c r="X94" s="4530"/>
      <c r="Y94" s="4530"/>
      <c r="Z94" s="470"/>
      <c r="AA94" s="470"/>
      <c r="AB94" s="470"/>
      <c r="AC94" s="470"/>
      <c r="AD94" s="470"/>
      <c r="AE94" s="471" t="s">
        <v>164</v>
      </c>
    </row>
    <row r="95" spans="1:31" s="419" customFormat="1">
      <c r="A95" s="461" t="s">
        <v>165</v>
      </c>
      <c r="B95" s="462"/>
      <c r="C95" s="463"/>
      <c r="D95" s="463"/>
      <c r="E95" s="463"/>
      <c r="F95" s="463"/>
      <c r="G95" s="463"/>
      <c r="H95" s="463"/>
      <c r="I95" s="463"/>
      <c r="J95" s="463"/>
      <c r="K95" s="463"/>
      <c r="L95" s="463"/>
      <c r="M95" s="463"/>
      <c r="N95" s="463"/>
      <c r="O95" s="463"/>
      <c r="P95" s="463"/>
      <c r="Q95" s="464"/>
      <c r="R95" s="465"/>
      <c r="S95" s="466"/>
      <c r="T95" s="467">
        <v>0.13589999999999999</v>
      </c>
      <c r="U95" s="467"/>
      <c r="V95" s="467"/>
      <c r="W95" s="469"/>
      <c r="X95" s="4530"/>
      <c r="Y95" s="4530"/>
      <c r="Z95" s="470"/>
      <c r="AA95" s="470"/>
      <c r="AB95" s="470"/>
      <c r="AC95" s="470"/>
      <c r="AD95" s="470"/>
      <c r="AE95" s="461" t="s">
        <v>166</v>
      </c>
    </row>
    <row r="96" spans="1:31" s="419" customFormat="1">
      <c r="A96" s="461" t="s">
        <v>167</v>
      </c>
      <c r="B96" s="472"/>
      <c r="C96" s="473"/>
      <c r="D96" s="473"/>
      <c r="E96" s="473"/>
      <c r="F96" s="473"/>
      <c r="G96" s="473"/>
      <c r="H96" s="473"/>
      <c r="I96" s="473"/>
      <c r="J96" s="473"/>
      <c r="K96" s="473"/>
      <c r="L96" s="473"/>
      <c r="M96" s="473"/>
      <c r="N96" s="473"/>
      <c r="O96" s="473"/>
      <c r="P96" s="473"/>
      <c r="Q96" s="474"/>
      <c r="R96" s="475"/>
      <c r="S96" s="476"/>
      <c r="T96" s="477"/>
      <c r="U96" s="467">
        <v>0.14000000000000001</v>
      </c>
      <c r="V96" s="467">
        <v>0.14000000000000001</v>
      </c>
      <c r="W96" s="478">
        <v>0.14000000000000001</v>
      </c>
      <c r="X96" s="4531">
        <v>0.14000000000000001</v>
      </c>
      <c r="Y96" s="4531"/>
      <c r="Z96" s="478">
        <v>0.14000000000000001</v>
      </c>
      <c r="AA96" s="478">
        <v>0.14000000000000001</v>
      </c>
      <c r="AB96" s="478">
        <v>0.14000000000000001</v>
      </c>
      <c r="AC96" s="478">
        <v>0.14000000000000001</v>
      </c>
      <c r="AD96" s="478">
        <v>0.14000000000000001</v>
      </c>
      <c r="AE96" s="461" t="s">
        <v>168</v>
      </c>
    </row>
    <row r="97" spans="1:31" s="419" customFormat="1">
      <c r="A97" s="479" t="s">
        <v>169</v>
      </c>
      <c r="B97" s="480"/>
      <c r="C97" s="481"/>
      <c r="D97" s="481"/>
      <c r="E97" s="481"/>
      <c r="F97" s="481"/>
      <c r="G97" s="481"/>
      <c r="H97" s="481"/>
      <c r="I97" s="481"/>
      <c r="J97" s="481"/>
      <c r="K97" s="481"/>
      <c r="L97" s="481"/>
      <c r="M97" s="481"/>
      <c r="N97" s="481"/>
      <c r="O97" s="481"/>
      <c r="P97" s="481"/>
      <c r="Q97" s="482"/>
      <c r="R97" s="483"/>
      <c r="S97" s="484"/>
      <c r="T97" s="485">
        <v>5.0000000000000001E-3</v>
      </c>
      <c r="U97" s="485">
        <v>5.0000000000000001E-3</v>
      </c>
      <c r="V97" s="485">
        <v>5.0000000000000001E-3</v>
      </c>
      <c r="W97" s="485">
        <v>5.0000000000000001E-3</v>
      </c>
      <c r="X97" s="4532">
        <v>5.0000000000000001E-3</v>
      </c>
      <c r="Y97" s="4532"/>
      <c r="Z97" s="485">
        <v>5.0000000000000001E-3</v>
      </c>
      <c r="AA97" s="485">
        <v>5.0000000000000001E-3</v>
      </c>
      <c r="AB97" s="485">
        <v>5.0000000000000001E-3</v>
      </c>
      <c r="AC97" s="485">
        <v>5.0000000000000001E-3</v>
      </c>
      <c r="AD97" s="485">
        <v>5.0000000000000001E-3</v>
      </c>
      <c r="AE97" s="479" t="s">
        <v>170</v>
      </c>
    </row>
    <row r="98" spans="1:31">
      <c r="A98" s="486" t="s">
        <v>171</v>
      </c>
      <c r="B98" s="487" t="s">
        <v>18</v>
      </c>
      <c r="C98" s="488" t="s">
        <v>18</v>
      </c>
      <c r="D98" s="488" t="s">
        <v>18</v>
      </c>
      <c r="E98" s="488" t="s">
        <v>18</v>
      </c>
      <c r="F98" s="488" t="s">
        <v>18</v>
      </c>
      <c r="G98" s="488" t="s">
        <v>18</v>
      </c>
      <c r="H98" s="488" t="s">
        <v>18</v>
      </c>
      <c r="I98" s="488" t="s">
        <v>18</v>
      </c>
      <c r="J98" s="488" t="s">
        <v>18</v>
      </c>
      <c r="K98" s="488" t="s">
        <v>18</v>
      </c>
      <c r="L98" s="488" t="s">
        <v>18</v>
      </c>
      <c r="M98" s="488" t="s">
        <v>18</v>
      </c>
      <c r="N98" s="488" t="s">
        <v>18</v>
      </c>
      <c r="O98" s="488" t="s">
        <v>18</v>
      </c>
      <c r="P98" s="488" t="s">
        <v>18</v>
      </c>
      <c r="Q98" s="488" t="s">
        <v>18</v>
      </c>
      <c r="R98" s="489">
        <f t="shared" ref="R98:W98" si="45">R54</f>
        <v>0.10499999999999998</v>
      </c>
      <c r="S98" s="489">
        <f t="shared" si="45"/>
        <v>0.10499999999999998</v>
      </c>
      <c r="T98" s="490">
        <f t="shared" si="45"/>
        <v>0.10999999999999999</v>
      </c>
      <c r="U98" s="489">
        <f t="shared" si="45"/>
        <v>0.10999999999999999</v>
      </c>
      <c r="V98" s="489">
        <f t="shared" si="45"/>
        <v>0.10999999999999999</v>
      </c>
      <c r="W98" s="489">
        <f t="shared" si="45"/>
        <v>0.105</v>
      </c>
      <c r="X98" s="4525">
        <v>0.105</v>
      </c>
      <c r="Y98" s="4525"/>
      <c r="Z98" s="489">
        <v>0.105</v>
      </c>
      <c r="AA98" s="489">
        <v>0.105</v>
      </c>
      <c r="AB98" s="489">
        <v>0.105</v>
      </c>
      <c r="AC98" s="489">
        <v>0.105</v>
      </c>
      <c r="AD98" s="489">
        <v>0.105</v>
      </c>
      <c r="AE98" s="491" t="s">
        <v>172</v>
      </c>
    </row>
    <row r="99" spans="1:31" s="31" customFormat="1" ht="13.2">
      <c r="A99" s="452" t="s">
        <v>173</v>
      </c>
      <c r="B99" s="492"/>
      <c r="C99" s="493"/>
      <c r="D99" s="493"/>
      <c r="E99" s="493"/>
      <c r="F99" s="493"/>
      <c r="G99" s="494"/>
      <c r="H99" s="493"/>
      <c r="I99" s="493"/>
      <c r="J99" s="493"/>
      <c r="K99" s="495"/>
      <c r="L99" s="496"/>
      <c r="M99" s="496"/>
      <c r="N99" s="496"/>
      <c r="O99" s="496"/>
      <c r="P99" s="493"/>
      <c r="Q99" s="493"/>
      <c r="R99" s="497">
        <f>R98</f>
        <v>0.10499999999999998</v>
      </c>
      <c r="S99" s="497">
        <f>S98</f>
        <v>0.10499999999999998</v>
      </c>
      <c r="T99" s="493"/>
      <c r="U99" s="498"/>
      <c r="V99" s="498"/>
      <c r="W99" s="498"/>
      <c r="X99" s="4526"/>
      <c r="Y99" s="4526"/>
      <c r="Z99" s="499"/>
      <c r="AA99" s="499"/>
      <c r="AB99" s="499"/>
      <c r="AC99" s="499"/>
      <c r="AD99" s="499"/>
      <c r="AE99" s="452" t="s">
        <v>174</v>
      </c>
    </row>
    <row r="100" spans="1:31" s="31" customFormat="1" ht="13.2">
      <c r="A100" s="500" t="s">
        <v>175</v>
      </c>
      <c r="B100" s="501"/>
      <c r="C100" s="502"/>
      <c r="D100" s="502"/>
      <c r="E100" s="502"/>
      <c r="F100" s="502"/>
      <c r="G100" s="503"/>
      <c r="H100" s="502"/>
      <c r="I100" s="502"/>
      <c r="J100" s="502"/>
      <c r="K100" s="504"/>
      <c r="L100" s="505"/>
      <c r="M100" s="505"/>
      <c r="N100" s="505"/>
      <c r="O100" s="505"/>
      <c r="P100" s="502"/>
      <c r="Q100" s="502"/>
      <c r="R100" s="506"/>
      <c r="S100" s="502"/>
      <c r="T100" s="507">
        <v>0.105</v>
      </c>
      <c r="U100" s="507">
        <v>0.105</v>
      </c>
      <c r="V100" s="507">
        <v>0.105</v>
      </c>
      <c r="W100" s="507">
        <v>0.1</v>
      </c>
      <c r="X100" s="4527">
        <v>0.1</v>
      </c>
      <c r="Y100" s="4527"/>
      <c r="Z100" s="507">
        <v>0.1</v>
      </c>
      <c r="AA100" s="507">
        <v>0.1</v>
      </c>
      <c r="AB100" s="507">
        <v>0.1</v>
      </c>
      <c r="AC100" s="507">
        <v>0.1</v>
      </c>
      <c r="AD100" s="507">
        <v>0.1</v>
      </c>
      <c r="AE100" s="461" t="s">
        <v>176</v>
      </c>
    </row>
    <row r="101" spans="1:31" s="31" customFormat="1" ht="16.350000000000001" customHeight="1">
      <c r="A101" s="508" t="s">
        <v>169</v>
      </c>
      <c r="B101" s="509"/>
      <c r="C101" s="510"/>
      <c r="D101" s="510"/>
      <c r="E101" s="510"/>
      <c r="F101" s="510"/>
      <c r="G101" s="511"/>
      <c r="H101" s="510"/>
      <c r="I101" s="510"/>
      <c r="J101" s="510"/>
      <c r="K101" s="512"/>
      <c r="L101" s="513"/>
      <c r="M101" s="513"/>
      <c r="N101" s="513"/>
      <c r="O101" s="513"/>
      <c r="P101" s="510"/>
      <c r="Q101" s="510"/>
      <c r="R101" s="514"/>
      <c r="S101" s="510"/>
      <c r="T101" s="515">
        <v>5.0000000000000001E-3</v>
      </c>
      <c r="U101" s="515">
        <v>5.0000000000000001E-3</v>
      </c>
      <c r="V101" s="515">
        <v>5.0000000000000001E-3</v>
      </c>
      <c r="W101" s="515">
        <v>5.0000000000000001E-3</v>
      </c>
      <c r="X101" s="4528">
        <v>5.0000000000000001E-3</v>
      </c>
      <c r="Y101" s="4528"/>
      <c r="Z101" s="515">
        <v>5.0000000000000001E-3</v>
      </c>
      <c r="AA101" s="515">
        <v>5.0000000000000001E-3</v>
      </c>
      <c r="AB101" s="515">
        <v>5.0000000000000001E-3</v>
      </c>
      <c r="AC101" s="515">
        <v>5.0000000000000001E-3</v>
      </c>
      <c r="AD101" s="515">
        <v>5.0000000000000001E-3</v>
      </c>
      <c r="AE101" s="508" t="s">
        <v>170</v>
      </c>
    </row>
    <row r="102" spans="1:31" s="31" customFormat="1" ht="16.350000000000001" customHeight="1">
      <c r="A102" s="516" t="s">
        <v>177</v>
      </c>
      <c r="B102" s="517"/>
      <c r="C102" s="518"/>
      <c r="D102" s="518"/>
      <c r="E102" s="518"/>
      <c r="F102" s="518"/>
      <c r="G102" s="518"/>
      <c r="H102" s="518"/>
      <c r="I102" s="518"/>
      <c r="J102" s="518"/>
      <c r="K102" s="518"/>
      <c r="L102" s="518"/>
      <c r="M102" s="518"/>
      <c r="N102" s="518"/>
      <c r="O102" s="518"/>
      <c r="P102" s="518"/>
      <c r="Q102" s="518"/>
      <c r="R102" s="518"/>
      <c r="S102" s="519"/>
      <c r="T102" s="519"/>
      <c r="U102" s="519"/>
      <c r="V102" s="519"/>
      <c r="W102" s="519"/>
      <c r="X102" s="4230"/>
      <c r="Y102" s="4230"/>
      <c r="Z102" s="520"/>
      <c r="AA102" s="520"/>
      <c r="AB102" s="521">
        <v>0.6</v>
      </c>
      <c r="AC102" s="518">
        <v>0.6</v>
      </c>
      <c r="AD102" s="518">
        <v>0.6</v>
      </c>
      <c r="AE102" s="522" t="s">
        <v>178</v>
      </c>
    </row>
    <row r="103" spans="1:31" s="4" customFormat="1" ht="15.6">
      <c r="A103" s="516" t="s">
        <v>179</v>
      </c>
      <c r="B103" s="517"/>
      <c r="C103" s="518"/>
      <c r="D103" s="518"/>
      <c r="E103" s="518"/>
      <c r="F103" s="518"/>
      <c r="G103" s="518"/>
      <c r="H103" s="518"/>
      <c r="I103" s="518"/>
      <c r="J103" s="518"/>
      <c r="K103" s="518"/>
      <c r="L103" s="518"/>
      <c r="M103" s="518"/>
      <c r="N103" s="518"/>
      <c r="O103" s="518"/>
      <c r="P103" s="518"/>
      <c r="Q103" s="518"/>
      <c r="R103" s="518"/>
      <c r="S103" s="519"/>
      <c r="T103" s="519"/>
      <c r="U103" s="519"/>
      <c r="V103" s="519"/>
      <c r="W103" s="519"/>
      <c r="X103" s="4230"/>
      <c r="Y103" s="4230"/>
      <c r="Z103" s="520"/>
      <c r="AA103" s="520"/>
      <c r="AB103" s="520"/>
      <c r="AC103" s="520"/>
      <c r="AD103" s="520"/>
      <c r="AE103" s="522" t="s">
        <v>180</v>
      </c>
    </row>
    <row r="104" spans="1:31" ht="15.6" customHeight="1">
      <c r="A104" s="55" t="s">
        <v>9</v>
      </c>
      <c r="B104" s="523">
        <v>0.25</v>
      </c>
      <c r="C104" s="523">
        <v>0.25</v>
      </c>
      <c r="D104" s="524">
        <v>0.22</v>
      </c>
      <c r="E104" s="524">
        <v>0.19</v>
      </c>
      <c r="F104" s="524">
        <v>0.15</v>
      </c>
      <c r="G104" s="59">
        <v>0.15</v>
      </c>
      <c r="H104" s="59">
        <v>0.15</v>
      </c>
      <c r="I104" s="59">
        <v>0.15</v>
      </c>
      <c r="J104" s="59">
        <v>0.15</v>
      </c>
      <c r="K104" s="60">
        <v>0.15</v>
      </c>
      <c r="L104" s="60">
        <v>0.15</v>
      </c>
      <c r="M104" s="60">
        <v>0.15</v>
      </c>
      <c r="N104" s="525">
        <v>0.15</v>
      </c>
      <c r="O104" s="60">
        <f>N104</f>
        <v>0.15</v>
      </c>
      <c r="P104" s="60">
        <v>0.15</v>
      </c>
      <c r="Q104" s="60">
        <v>0.15</v>
      </c>
      <c r="R104" s="60">
        <v>0.15</v>
      </c>
      <c r="S104" s="60">
        <v>0.15</v>
      </c>
      <c r="T104" s="58">
        <v>0.2</v>
      </c>
      <c r="U104" s="60">
        <v>0.2</v>
      </c>
      <c r="V104" s="60">
        <v>0.2</v>
      </c>
      <c r="W104" s="60">
        <v>0.2</v>
      </c>
      <c r="X104" s="4522">
        <v>0.2</v>
      </c>
      <c r="Y104" s="4522"/>
      <c r="Z104" s="60">
        <v>0.2</v>
      </c>
      <c r="AA104" s="60">
        <v>0.2</v>
      </c>
      <c r="AB104" s="60">
        <v>0.2</v>
      </c>
      <c r="AC104" s="60">
        <v>0.2</v>
      </c>
      <c r="AD104" s="60">
        <v>0.2</v>
      </c>
      <c r="AE104" s="63" t="s">
        <v>181</v>
      </c>
    </row>
    <row r="105" spans="1:31" ht="16.350000000000001" customHeight="1">
      <c r="A105" s="64" t="s">
        <v>182</v>
      </c>
      <c r="B105" s="526"/>
      <c r="C105" s="68"/>
      <c r="D105" s="527"/>
      <c r="E105" s="68"/>
      <c r="F105" s="68"/>
      <c r="G105" s="68"/>
      <c r="H105" s="68"/>
      <c r="I105" s="68"/>
      <c r="J105" s="68"/>
      <c r="K105" s="69"/>
      <c r="L105" s="69"/>
      <c r="M105" s="69"/>
      <c r="N105" s="528"/>
      <c r="O105" s="69"/>
      <c r="P105" s="69"/>
      <c r="Q105" s="69"/>
      <c r="R105" s="69"/>
      <c r="S105" s="69"/>
      <c r="T105" s="529" t="s">
        <v>183</v>
      </c>
      <c r="U105" s="530" t="s">
        <v>183</v>
      </c>
      <c r="V105" s="530" t="s">
        <v>183</v>
      </c>
      <c r="W105" s="530" t="s">
        <v>183</v>
      </c>
      <c r="X105" s="4523" t="s">
        <v>183</v>
      </c>
      <c r="Y105" s="4523"/>
      <c r="Z105" s="531" t="s">
        <v>183</v>
      </c>
      <c r="AA105" s="531" t="s">
        <v>183</v>
      </c>
      <c r="AB105" s="531" t="s">
        <v>183</v>
      </c>
      <c r="AC105" s="531" t="s">
        <v>183</v>
      </c>
      <c r="AD105" s="531" t="s">
        <v>183</v>
      </c>
      <c r="AE105" s="532" t="s">
        <v>184</v>
      </c>
    </row>
    <row r="106" spans="1:31" s="4" customFormat="1" ht="15.6">
      <c r="A106" s="516" t="s">
        <v>185</v>
      </c>
      <c r="B106" s="533" t="s">
        <v>18</v>
      </c>
      <c r="C106" s="534" t="s">
        <v>18</v>
      </c>
      <c r="D106" s="534" t="s">
        <v>18</v>
      </c>
      <c r="E106" s="534" t="s">
        <v>18</v>
      </c>
      <c r="F106" s="534" t="s">
        <v>18</v>
      </c>
      <c r="G106" s="534" t="s">
        <v>18</v>
      </c>
      <c r="H106" s="534" t="s">
        <v>18</v>
      </c>
      <c r="I106" s="534" t="s">
        <v>18</v>
      </c>
      <c r="J106" s="534" t="s">
        <v>18</v>
      </c>
      <c r="K106" s="534" t="s">
        <v>18</v>
      </c>
      <c r="L106" s="534"/>
      <c r="M106" s="518"/>
      <c r="N106" s="518"/>
      <c r="O106" s="518"/>
      <c r="P106" s="518"/>
      <c r="Q106" s="518"/>
      <c r="R106" s="518"/>
      <c r="S106" s="519"/>
      <c r="T106" s="519"/>
      <c r="U106" s="519"/>
      <c r="V106" s="519"/>
      <c r="W106" s="519"/>
      <c r="X106" s="4230"/>
      <c r="Y106" s="4230"/>
      <c r="Z106" s="520"/>
      <c r="AA106" s="520"/>
      <c r="AB106" s="520"/>
      <c r="AC106" s="520"/>
      <c r="AD106" s="520"/>
      <c r="AE106" s="522" t="s">
        <v>186</v>
      </c>
    </row>
    <row r="107" spans="1:31" ht="30" customHeight="1">
      <c r="A107" s="535" t="s">
        <v>187</v>
      </c>
      <c r="B107" s="4524" t="s">
        <v>18</v>
      </c>
      <c r="C107" s="4521" t="s">
        <v>18</v>
      </c>
      <c r="D107" s="4521" t="s">
        <v>18</v>
      </c>
      <c r="E107" s="4521" t="s">
        <v>18</v>
      </c>
      <c r="F107" s="4521" t="s">
        <v>18</v>
      </c>
      <c r="G107" s="4521" t="s">
        <v>18</v>
      </c>
      <c r="H107" s="4521" t="s">
        <v>18</v>
      </c>
      <c r="I107" s="4521" t="s">
        <v>18</v>
      </c>
      <c r="J107" s="4521" t="s">
        <v>18</v>
      </c>
      <c r="K107" s="4521" t="s">
        <v>18</v>
      </c>
      <c r="L107" s="35"/>
      <c r="M107" s="4520">
        <v>0.09</v>
      </c>
      <c r="N107" s="4520">
        <v>0.09</v>
      </c>
      <c r="O107" s="4520">
        <v>0.09</v>
      </c>
      <c r="P107" s="4520">
        <v>0.09</v>
      </c>
      <c r="Q107" s="4520">
        <v>0.09</v>
      </c>
      <c r="R107" s="4520">
        <v>0.09</v>
      </c>
      <c r="S107" s="537">
        <v>0.12</v>
      </c>
      <c r="T107" s="4502">
        <v>0.15</v>
      </c>
      <c r="U107" s="4513">
        <v>0.15</v>
      </c>
      <c r="V107" s="4513">
        <v>0.15</v>
      </c>
      <c r="W107" s="4502">
        <v>0.25</v>
      </c>
      <c r="X107" s="4513">
        <v>0.25</v>
      </c>
      <c r="Y107" s="4513"/>
      <c r="Z107" s="4512">
        <v>0.25</v>
      </c>
      <c r="AA107" s="4512">
        <v>0.25</v>
      </c>
      <c r="AB107" s="4512">
        <v>0.25</v>
      </c>
      <c r="AC107" s="4512">
        <v>0.25</v>
      </c>
      <c r="AD107" s="4512">
        <v>0.25</v>
      </c>
      <c r="AE107" s="538" t="s">
        <v>188</v>
      </c>
    </row>
    <row r="108" spans="1:31" ht="45" customHeight="1">
      <c r="A108" s="539" t="s">
        <v>189</v>
      </c>
      <c r="B108" s="4524"/>
      <c r="C108" s="4521"/>
      <c r="D108" s="4521"/>
      <c r="E108" s="4521"/>
      <c r="F108" s="4521"/>
      <c r="G108" s="4521"/>
      <c r="H108" s="4521"/>
      <c r="I108" s="4521"/>
      <c r="J108" s="4521"/>
      <c r="K108" s="4521"/>
      <c r="L108" s="540">
        <v>0.09</v>
      </c>
      <c r="M108" s="4520"/>
      <c r="N108" s="4520"/>
      <c r="O108" s="4520"/>
      <c r="P108" s="4520"/>
      <c r="Q108" s="4520"/>
      <c r="R108" s="4520"/>
      <c r="S108" s="541">
        <v>0.15</v>
      </c>
      <c r="T108" s="4503"/>
      <c r="U108" s="4519"/>
      <c r="V108" s="4519"/>
      <c r="W108" s="4503"/>
      <c r="X108" s="4519"/>
      <c r="Y108" s="4519"/>
      <c r="Z108" s="4519"/>
      <c r="AA108" s="4513"/>
      <c r="AB108" s="4513"/>
      <c r="AC108" s="4513"/>
      <c r="AD108" s="4513"/>
      <c r="AE108" s="542" t="s">
        <v>190</v>
      </c>
    </row>
    <row r="109" spans="1:31" ht="41.4">
      <c r="A109" s="543" t="s">
        <v>191</v>
      </c>
      <c r="B109" s="4524"/>
      <c r="C109" s="4521"/>
      <c r="D109" s="4521"/>
      <c r="E109" s="4521"/>
      <c r="F109" s="4521"/>
      <c r="G109" s="4521"/>
      <c r="H109" s="4521"/>
      <c r="I109" s="4521"/>
      <c r="J109" s="4521"/>
      <c r="K109" s="4521"/>
      <c r="L109" s="544" t="s">
        <v>192</v>
      </c>
      <c r="M109" s="536">
        <v>0.2</v>
      </c>
      <c r="N109" s="536">
        <v>0.2</v>
      </c>
      <c r="O109" s="536">
        <v>0.2</v>
      </c>
      <c r="P109" s="536">
        <v>0.2</v>
      </c>
      <c r="Q109" s="536">
        <v>0.2</v>
      </c>
      <c r="R109" s="536">
        <v>0.2</v>
      </c>
      <c r="S109" s="545">
        <v>0.2</v>
      </c>
      <c r="T109" s="545">
        <v>0.2</v>
      </c>
      <c r="U109" s="545">
        <v>0.2</v>
      </c>
      <c r="V109" s="545">
        <v>0.2</v>
      </c>
      <c r="W109" s="546">
        <v>0.4</v>
      </c>
      <c r="X109" s="4515">
        <v>0.4</v>
      </c>
      <c r="Y109" s="4515"/>
      <c r="Z109" s="547">
        <v>0.4</v>
      </c>
      <c r="AA109" s="4514"/>
      <c r="AB109" s="4514"/>
      <c r="AC109" s="4514"/>
      <c r="AD109" s="4514"/>
      <c r="AE109" s="548" t="s">
        <v>193</v>
      </c>
    </row>
    <row r="110" spans="1:31" s="4" customFormat="1" ht="15.6">
      <c r="A110" s="516" t="s">
        <v>194</v>
      </c>
      <c r="B110" s="517"/>
      <c r="C110" s="518"/>
      <c r="D110" s="518"/>
      <c r="E110" s="518"/>
      <c r="F110" s="518"/>
      <c r="G110" s="518"/>
      <c r="H110" s="518"/>
      <c r="I110" s="518"/>
      <c r="J110" s="518"/>
      <c r="K110" s="518"/>
      <c r="L110" s="518"/>
      <c r="M110" s="518"/>
      <c r="N110" s="518"/>
      <c r="O110" s="518"/>
      <c r="P110" s="518"/>
      <c r="Q110" s="518"/>
      <c r="R110" s="518"/>
      <c r="S110" s="519"/>
      <c r="T110" s="519"/>
      <c r="U110" s="519"/>
      <c r="V110" s="519"/>
      <c r="W110" s="519"/>
      <c r="X110" s="4230"/>
      <c r="Y110" s="4230"/>
      <c r="Z110" s="520"/>
      <c r="AA110" s="520"/>
      <c r="AB110" s="520"/>
      <c r="AC110" s="520"/>
      <c r="AD110" s="520"/>
      <c r="AE110" s="522" t="s">
        <v>195</v>
      </c>
    </row>
    <row r="111" spans="1:31" ht="15.6" customHeight="1">
      <c r="A111" s="549" t="s">
        <v>9</v>
      </c>
      <c r="B111" s="550">
        <v>0.18</v>
      </c>
      <c r="C111" s="551">
        <v>0.18</v>
      </c>
      <c r="D111" s="551">
        <v>0.18</v>
      </c>
      <c r="E111" s="551">
        <v>0.18</v>
      </c>
      <c r="F111" s="551">
        <v>0.18</v>
      </c>
      <c r="G111" s="551">
        <v>0.18</v>
      </c>
      <c r="H111" s="551">
        <v>0.18</v>
      </c>
      <c r="I111" s="551">
        <v>0.18</v>
      </c>
      <c r="J111" s="551">
        <v>0.18</v>
      </c>
      <c r="K111" s="552">
        <v>0.21</v>
      </c>
      <c r="L111" s="551">
        <v>0.21</v>
      </c>
      <c r="M111" s="552">
        <v>0.22</v>
      </c>
      <c r="N111" s="553" t="s">
        <v>196</v>
      </c>
      <c r="O111" s="554">
        <v>0.21</v>
      </c>
      <c r="P111" s="554">
        <v>0.21</v>
      </c>
      <c r="Q111" s="554">
        <v>0.21</v>
      </c>
      <c r="R111" s="554">
        <v>0.21</v>
      </c>
      <c r="S111" s="554">
        <v>0.21</v>
      </c>
      <c r="T111" s="554">
        <v>0.21</v>
      </c>
      <c r="U111" s="554">
        <v>0.21</v>
      </c>
      <c r="V111" s="554">
        <v>0.21</v>
      </c>
      <c r="W111" s="554">
        <v>0.21</v>
      </c>
      <c r="X111" s="4516">
        <v>0.21</v>
      </c>
      <c r="Y111" s="4516"/>
      <c r="Z111" s="554">
        <v>0.21</v>
      </c>
      <c r="AA111" s="554">
        <v>0.21</v>
      </c>
      <c r="AB111" s="554">
        <v>0.21</v>
      </c>
      <c r="AC111" s="554">
        <v>0.21</v>
      </c>
      <c r="AD111" s="554">
        <v>0.21</v>
      </c>
      <c r="AE111" s="555" t="s">
        <v>181</v>
      </c>
    </row>
    <row r="112" spans="1:31" s="565" customFormat="1" ht="10.199999999999999">
      <c r="A112" s="556"/>
      <c r="B112" s="557"/>
      <c r="C112" s="558"/>
      <c r="D112" s="558"/>
      <c r="E112" s="558"/>
      <c r="F112" s="558"/>
      <c r="G112" s="558"/>
      <c r="H112" s="558"/>
      <c r="I112" s="558"/>
      <c r="J112" s="558"/>
      <c r="K112" s="559"/>
      <c r="L112" s="558"/>
      <c r="M112" s="559"/>
      <c r="N112" s="560" t="s">
        <v>25</v>
      </c>
      <c r="O112" s="561"/>
      <c r="P112" s="561"/>
      <c r="Q112" s="561"/>
      <c r="R112" s="561"/>
      <c r="S112" s="561"/>
      <c r="T112" s="561"/>
      <c r="U112" s="562"/>
      <c r="V112" s="562"/>
      <c r="W112" s="562"/>
      <c r="X112" s="4517"/>
      <c r="Y112" s="4517"/>
      <c r="Z112" s="563"/>
      <c r="AA112" s="563"/>
      <c r="AB112" s="563"/>
      <c r="AC112" s="563"/>
      <c r="AD112" s="563"/>
      <c r="AE112" s="564"/>
    </row>
    <row r="113" spans="1:31" ht="27.6">
      <c r="A113" s="64" t="s">
        <v>197</v>
      </c>
      <c r="B113" s="566" t="s">
        <v>18</v>
      </c>
      <c r="C113" s="567" t="s">
        <v>18</v>
      </c>
      <c r="D113" s="568" t="s">
        <v>18</v>
      </c>
      <c r="E113" s="67">
        <v>0.09</v>
      </c>
      <c r="F113" s="527">
        <v>0.05</v>
      </c>
      <c r="G113" s="69">
        <v>0.05</v>
      </c>
      <c r="H113" s="69">
        <v>0.05</v>
      </c>
      <c r="I113" s="69">
        <v>0.05</v>
      </c>
      <c r="J113" s="69">
        <v>0.05</v>
      </c>
      <c r="K113" s="67">
        <v>0.1</v>
      </c>
      <c r="L113" s="68">
        <v>0.1</v>
      </c>
      <c r="M113" s="67">
        <v>0.12</v>
      </c>
      <c r="N113" s="69">
        <f>M113</f>
        <v>0.12</v>
      </c>
      <c r="O113" s="69">
        <f>N113</f>
        <v>0.12</v>
      </c>
      <c r="P113" s="69">
        <v>0.12</v>
      </c>
      <c r="Q113" s="69">
        <v>0.12</v>
      </c>
      <c r="R113" s="69">
        <v>0.12</v>
      </c>
      <c r="S113" s="69">
        <v>0.12</v>
      </c>
      <c r="T113" s="69" t="s">
        <v>198</v>
      </c>
      <c r="U113" s="69" t="s">
        <v>199</v>
      </c>
      <c r="V113" s="569" t="s">
        <v>200</v>
      </c>
      <c r="W113" s="569" t="s">
        <v>201</v>
      </c>
      <c r="X113" s="4518" t="s">
        <v>201</v>
      </c>
      <c r="Y113" s="4518"/>
      <c r="Z113" s="569" t="s">
        <v>199</v>
      </c>
      <c r="AA113" s="569" t="s">
        <v>199</v>
      </c>
      <c r="AB113" s="569" t="s">
        <v>199</v>
      </c>
      <c r="AC113" s="569" t="s">
        <v>199</v>
      </c>
      <c r="AD113" s="569" t="s">
        <v>199</v>
      </c>
      <c r="AE113" s="570" t="s">
        <v>202</v>
      </c>
    </row>
    <row r="114" spans="1:31" s="565" customFormat="1" ht="10.199999999999999">
      <c r="A114" s="571"/>
      <c r="B114" s="572"/>
      <c r="C114" s="573"/>
      <c r="D114" s="574"/>
      <c r="E114" s="575"/>
      <c r="F114" s="576" t="s">
        <v>203</v>
      </c>
      <c r="G114" s="577"/>
      <c r="H114" s="577"/>
      <c r="I114" s="577"/>
      <c r="J114" s="577"/>
      <c r="K114" s="575"/>
      <c r="L114" s="578"/>
      <c r="M114" s="575"/>
      <c r="N114" s="577"/>
      <c r="O114" s="577"/>
      <c r="P114" s="577"/>
      <c r="Q114" s="577"/>
      <c r="R114" s="577"/>
      <c r="S114" s="577"/>
      <c r="T114" s="577"/>
      <c r="U114" s="579"/>
      <c r="V114" s="579"/>
      <c r="W114" s="580"/>
      <c r="X114" s="4504"/>
      <c r="Y114" s="4504"/>
      <c r="Z114" s="581"/>
      <c r="AA114" s="581"/>
      <c r="AB114" s="581"/>
      <c r="AC114" s="581"/>
      <c r="AD114" s="581"/>
      <c r="AE114" s="582"/>
    </row>
    <row r="115" spans="1:31" ht="41.4">
      <c r="A115" s="583" t="s">
        <v>204</v>
      </c>
      <c r="B115" s="584" t="s">
        <v>205</v>
      </c>
      <c r="C115" s="585" t="s">
        <v>205</v>
      </c>
      <c r="D115" s="585" t="s">
        <v>205</v>
      </c>
      <c r="E115" s="585" t="s">
        <v>205</v>
      </c>
      <c r="F115" s="586">
        <v>0.05</v>
      </c>
      <c r="G115" s="587">
        <v>0.05</v>
      </c>
      <c r="H115" s="587">
        <v>0.05</v>
      </c>
      <c r="I115" s="587">
        <v>0.05</v>
      </c>
      <c r="J115" s="587">
        <f>I115</f>
        <v>0.05</v>
      </c>
      <c r="K115" s="588">
        <v>0.1</v>
      </c>
      <c r="L115" s="585">
        <f>K115</f>
        <v>0.1</v>
      </c>
      <c r="M115" s="588">
        <v>0.12</v>
      </c>
      <c r="N115" s="587">
        <f t="shared" ref="N115:V141" si="46">M115</f>
        <v>0.12</v>
      </c>
      <c r="O115" s="587">
        <f>N115</f>
        <v>0.12</v>
      </c>
      <c r="P115" s="587">
        <v>0.12</v>
      </c>
      <c r="Q115" s="587">
        <v>0.12</v>
      </c>
      <c r="R115" s="587">
        <v>0.12</v>
      </c>
      <c r="S115" s="587">
        <v>0.12</v>
      </c>
      <c r="T115" s="587">
        <v>0.12</v>
      </c>
      <c r="U115" s="587">
        <v>0.12</v>
      </c>
      <c r="V115" s="587">
        <v>0.12</v>
      </c>
      <c r="W115" s="587">
        <v>0.12</v>
      </c>
      <c r="X115" s="4505">
        <v>0.12</v>
      </c>
      <c r="Y115" s="4505"/>
      <c r="Z115" s="587">
        <v>0.12</v>
      </c>
      <c r="AA115" s="587">
        <v>0.12</v>
      </c>
      <c r="AB115" s="587">
        <v>0.12</v>
      </c>
      <c r="AC115" s="587">
        <v>0.12</v>
      </c>
      <c r="AD115" s="587">
        <v>0.12</v>
      </c>
      <c r="AE115" s="589" t="s">
        <v>206</v>
      </c>
    </row>
    <row r="116" spans="1:31">
      <c r="A116" s="224" t="s">
        <v>207</v>
      </c>
      <c r="B116" s="590" t="s">
        <v>205</v>
      </c>
      <c r="C116" s="591" t="s">
        <v>205</v>
      </c>
      <c r="D116" s="591" t="s">
        <v>205</v>
      </c>
      <c r="E116" s="45">
        <v>0.09</v>
      </c>
      <c r="F116" s="592">
        <v>0.05</v>
      </c>
      <c r="G116" s="593">
        <v>0.05</v>
      </c>
      <c r="H116" s="593">
        <v>0.05</v>
      </c>
      <c r="I116" s="593">
        <v>0.05</v>
      </c>
      <c r="J116" s="593">
        <f t="shared" ref="J116:J141" si="47">I116</f>
        <v>0.05</v>
      </c>
      <c r="K116" s="45">
        <v>0.1</v>
      </c>
      <c r="L116" s="591">
        <f>K116</f>
        <v>0.1</v>
      </c>
      <c r="M116" s="45">
        <v>0.12</v>
      </c>
      <c r="N116" s="593">
        <f t="shared" si="46"/>
        <v>0.12</v>
      </c>
      <c r="O116" s="593">
        <f>N116</f>
        <v>0.12</v>
      </c>
      <c r="P116" s="593">
        <v>0.12</v>
      </c>
      <c r="Q116" s="593">
        <v>0.12</v>
      </c>
      <c r="R116" s="593">
        <v>0.12</v>
      </c>
      <c r="S116" s="593">
        <v>0.12</v>
      </c>
      <c r="T116" s="593">
        <v>0.12</v>
      </c>
      <c r="U116" s="593">
        <v>0.12</v>
      </c>
      <c r="V116" s="593">
        <v>0.12</v>
      </c>
      <c r="W116" s="593">
        <v>0.12</v>
      </c>
      <c r="X116" s="4497">
        <v>0.12</v>
      </c>
      <c r="Y116" s="4497"/>
      <c r="Z116" s="593">
        <v>0.12</v>
      </c>
      <c r="AA116" s="593">
        <v>0.12</v>
      </c>
      <c r="AB116" s="593">
        <v>0.12</v>
      </c>
      <c r="AC116" s="593">
        <v>0.12</v>
      </c>
      <c r="AD116" s="593">
        <v>0.12</v>
      </c>
      <c r="AE116" s="594" t="s">
        <v>208</v>
      </c>
    </row>
    <row r="117" spans="1:31" ht="14.85" customHeight="1">
      <c r="A117" s="595" t="s">
        <v>209</v>
      </c>
      <c r="B117" s="4506" t="s">
        <v>205</v>
      </c>
      <c r="C117" s="4498" t="s">
        <v>205</v>
      </c>
      <c r="D117" s="4501">
        <v>0.09</v>
      </c>
      <c r="E117" s="4498">
        <v>0.09</v>
      </c>
      <c r="F117" s="4509">
        <v>0.05</v>
      </c>
      <c r="G117" s="4498">
        <v>0.05</v>
      </c>
      <c r="H117" s="4498">
        <v>0.05</v>
      </c>
      <c r="I117" s="4498">
        <v>0.05</v>
      </c>
      <c r="J117" s="4498">
        <v>0.05</v>
      </c>
      <c r="K117" s="596">
        <v>0.21</v>
      </c>
      <c r="L117" s="4487">
        <v>0.1</v>
      </c>
      <c r="M117" s="4501">
        <v>0.12</v>
      </c>
      <c r="N117" s="4487">
        <f>M117</f>
        <v>0.12</v>
      </c>
      <c r="O117" s="4487">
        <f>N117</f>
        <v>0.12</v>
      </c>
      <c r="P117" s="4487">
        <v>0.12</v>
      </c>
      <c r="Q117" s="4487">
        <v>0.12</v>
      </c>
      <c r="R117" s="4487">
        <v>0.12</v>
      </c>
      <c r="S117" s="4487">
        <v>0.12</v>
      </c>
      <c r="T117" s="4487">
        <v>0.12</v>
      </c>
      <c r="U117" s="4487">
        <v>0.12</v>
      </c>
      <c r="V117" s="4487">
        <v>0.12</v>
      </c>
      <c r="W117" s="4487">
        <v>0.12</v>
      </c>
      <c r="X117" s="4490">
        <v>0.05</v>
      </c>
      <c r="Y117" s="4491"/>
      <c r="Z117" s="597"/>
      <c r="AA117" s="597"/>
      <c r="AB117" s="597"/>
      <c r="AC117" s="597"/>
      <c r="AD117" s="597"/>
      <c r="AE117" s="598" t="s">
        <v>210</v>
      </c>
    </row>
    <row r="118" spans="1:31" ht="12.6" customHeight="1">
      <c r="A118" s="599" t="s">
        <v>211</v>
      </c>
      <c r="B118" s="4507"/>
      <c r="C118" s="4499"/>
      <c r="D118" s="4502"/>
      <c r="E118" s="4499"/>
      <c r="F118" s="4510"/>
      <c r="G118" s="4499"/>
      <c r="H118" s="4499"/>
      <c r="I118" s="4499"/>
      <c r="J118" s="4499"/>
      <c r="K118" s="576" t="s">
        <v>212</v>
      </c>
      <c r="L118" s="4488"/>
      <c r="M118" s="4502"/>
      <c r="N118" s="4488"/>
      <c r="O118" s="4488"/>
      <c r="P118" s="4488"/>
      <c r="Q118" s="4488"/>
      <c r="R118" s="4488"/>
      <c r="S118" s="4488"/>
      <c r="T118" s="4488"/>
      <c r="U118" s="4488"/>
      <c r="V118" s="4488"/>
      <c r="W118" s="4488"/>
      <c r="X118" s="4492"/>
      <c r="Y118" s="4493"/>
      <c r="Z118" s="602">
        <v>0.05</v>
      </c>
      <c r="AA118" s="602">
        <v>0.05</v>
      </c>
      <c r="AB118" s="602">
        <v>0.05</v>
      </c>
      <c r="AC118" s="602">
        <v>0.05</v>
      </c>
      <c r="AD118" s="602">
        <v>0.05</v>
      </c>
      <c r="AE118" s="603" t="s">
        <v>213</v>
      </c>
    </row>
    <row r="119" spans="1:31" ht="11.1" customHeight="1">
      <c r="A119" s="599"/>
      <c r="B119" s="4507"/>
      <c r="C119" s="4499"/>
      <c r="D119" s="4502"/>
      <c r="E119" s="4499"/>
      <c r="F119" s="4510"/>
      <c r="G119" s="4499"/>
      <c r="H119" s="4499"/>
      <c r="I119" s="4499"/>
      <c r="J119" s="4499"/>
      <c r="K119" s="596">
        <v>0.1</v>
      </c>
      <c r="L119" s="4488"/>
      <c r="M119" s="4502"/>
      <c r="N119" s="4488"/>
      <c r="O119" s="4488"/>
      <c r="P119" s="4488"/>
      <c r="Q119" s="4488"/>
      <c r="R119" s="4488"/>
      <c r="S119" s="4488"/>
      <c r="T119" s="4488"/>
      <c r="U119" s="4488"/>
      <c r="V119" s="4488"/>
      <c r="W119" s="4488"/>
      <c r="X119" s="4492"/>
      <c r="Y119" s="4493"/>
      <c r="Z119" s="602"/>
      <c r="AA119" s="602"/>
      <c r="AB119" s="602"/>
      <c r="AC119" s="602"/>
      <c r="AD119" s="602"/>
      <c r="AE119" s="35"/>
    </row>
    <row r="120" spans="1:31" s="565" customFormat="1" ht="11.85" customHeight="1">
      <c r="A120" s="604"/>
      <c r="B120" s="4508"/>
      <c r="C120" s="4500"/>
      <c r="D120" s="4503"/>
      <c r="E120" s="4500"/>
      <c r="F120" s="4511"/>
      <c r="G120" s="4500"/>
      <c r="H120" s="4500"/>
      <c r="I120" s="4500"/>
      <c r="J120" s="4500"/>
      <c r="K120" s="576" t="s">
        <v>214</v>
      </c>
      <c r="L120" s="4489"/>
      <c r="M120" s="4503"/>
      <c r="N120" s="4489"/>
      <c r="O120" s="4489"/>
      <c r="P120" s="4489"/>
      <c r="Q120" s="4489"/>
      <c r="R120" s="4489"/>
      <c r="S120" s="4489"/>
      <c r="T120" s="4489"/>
      <c r="U120" s="4489"/>
      <c r="V120" s="4489"/>
      <c r="W120" s="4489"/>
      <c r="X120" s="4494"/>
      <c r="Y120" s="4495"/>
      <c r="Z120" s="605"/>
      <c r="AA120" s="605"/>
      <c r="AB120" s="605"/>
      <c r="AC120" s="605"/>
      <c r="AD120" s="605"/>
      <c r="AE120" s="579"/>
    </row>
    <row r="121" spans="1:31" s="616" customFormat="1" ht="41.4" customHeight="1">
      <c r="A121" s="606" t="s">
        <v>215</v>
      </c>
      <c r="B121" s="607" t="s">
        <v>205</v>
      </c>
      <c r="C121" s="608" t="s">
        <v>205</v>
      </c>
      <c r="D121" s="609">
        <v>0.09</v>
      </c>
      <c r="E121" s="610">
        <v>0.09</v>
      </c>
      <c r="F121" s="611">
        <v>0.05</v>
      </c>
      <c r="G121" s="612">
        <v>0.05</v>
      </c>
      <c r="H121" s="612">
        <v>0.05</v>
      </c>
      <c r="I121" s="612">
        <v>0.05</v>
      </c>
      <c r="J121" s="613">
        <f t="shared" si="47"/>
        <v>0.05</v>
      </c>
      <c r="K121" s="541">
        <v>0.1</v>
      </c>
      <c r="L121" s="614">
        <f>K121</f>
        <v>0.1</v>
      </c>
      <c r="M121" s="541">
        <v>0.12</v>
      </c>
      <c r="N121" s="613">
        <f t="shared" si="46"/>
        <v>0.12</v>
      </c>
      <c r="O121" s="613">
        <f>N121</f>
        <v>0.12</v>
      </c>
      <c r="P121" s="613">
        <v>0.12</v>
      </c>
      <c r="Q121" s="613">
        <v>0.12</v>
      </c>
      <c r="R121" s="613">
        <v>0.12</v>
      </c>
      <c r="S121" s="613">
        <v>0.12</v>
      </c>
      <c r="T121" s="613">
        <v>0.12</v>
      </c>
      <c r="U121" s="613">
        <v>0.12</v>
      </c>
      <c r="V121" s="613">
        <v>0.12</v>
      </c>
      <c r="W121" s="613">
        <v>0.12</v>
      </c>
      <c r="X121" s="4496">
        <v>0.05</v>
      </c>
      <c r="Y121" s="4496"/>
      <c r="Z121" s="613">
        <v>0.05</v>
      </c>
      <c r="AA121" s="613">
        <v>0.05</v>
      </c>
      <c r="AB121" s="613">
        <v>0.05</v>
      </c>
      <c r="AC121" s="613">
        <v>0.05</v>
      </c>
      <c r="AD121" s="613">
        <v>0.05</v>
      </c>
      <c r="AE121" s="615" t="s">
        <v>216</v>
      </c>
    </row>
    <row r="122" spans="1:31">
      <c r="A122" s="224" t="s">
        <v>217</v>
      </c>
      <c r="B122" s="617" t="s">
        <v>18</v>
      </c>
      <c r="C122" s="618" t="s">
        <v>18</v>
      </c>
      <c r="D122" s="618" t="s">
        <v>18</v>
      </c>
      <c r="E122" s="619" t="s">
        <v>18</v>
      </c>
      <c r="F122" s="619" t="s">
        <v>18</v>
      </c>
      <c r="G122" s="620">
        <v>0.05</v>
      </c>
      <c r="H122" s="621">
        <v>0.05</v>
      </c>
      <c r="I122" s="621">
        <v>0.05</v>
      </c>
      <c r="J122" s="593">
        <f t="shared" si="47"/>
        <v>0.05</v>
      </c>
      <c r="K122" s="45">
        <v>0.1</v>
      </c>
      <c r="L122" s="591">
        <f>K122</f>
        <v>0.1</v>
      </c>
      <c r="M122" s="45">
        <v>0.12</v>
      </c>
      <c r="N122" s="593">
        <f t="shared" si="46"/>
        <v>0.12</v>
      </c>
      <c r="O122" s="593">
        <f>N122</f>
        <v>0.12</v>
      </c>
      <c r="P122" s="593">
        <v>0.12</v>
      </c>
      <c r="Q122" s="593">
        <v>0.12</v>
      </c>
      <c r="R122" s="593">
        <v>0.12</v>
      </c>
      <c r="S122" s="593">
        <v>0.12</v>
      </c>
      <c r="T122" s="593">
        <v>0.12</v>
      </c>
      <c r="U122" s="593">
        <v>0.12</v>
      </c>
      <c r="V122" s="593">
        <v>0.12</v>
      </c>
      <c r="W122" s="593">
        <v>0.12</v>
      </c>
      <c r="X122" s="4497">
        <v>0.12</v>
      </c>
      <c r="Y122" s="4497"/>
      <c r="Z122" s="593">
        <v>0.12</v>
      </c>
      <c r="AA122" s="593">
        <v>0.12</v>
      </c>
      <c r="AB122" s="593">
        <v>0.12</v>
      </c>
      <c r="AC122" s="593">
        <v>0.12</v>
      </c>
      <c r="AD122" s="593">
        <v>0.12</v>
      </c>
      <c r="AE122" s="622" t="s">
        <v>218</v>
      </c>
    </row>
    <row r="123" spans="1:31">
      <c r="A123" s="623" t="s">
        <v>219</v>
      </c>
      <c r="B123" s="624" t="s">
        <v>205</v>
      </c>
      <c r="C123" s="625" t="s">
        <v>205</v>
      </c>
      <c r="D123" s="626" t="s">
        <v>205</v>
      </c>
      <c r="E123" s="626" t="s">
        <v>205</v>
      </c>
      <c r="F123" s="626" t="s">
        <v>205</v>
      </c>
      <c r="G123" s="626" t="s">
        <v>205</v>
      </c>
      <c r="H123" s="627">
        <v>0.05</v>
      </c>
      <c r="I123" s="626">
        <f>H123</f>
        <v>0.05</v>
      </c>
      <c r="J123" s="626">
        <f t="shared" si="47"/>
        <v>0.05</v>
      </c>
      <c r="K123" s="627">
        <v>0.1</v>
      </c>
      <c r="L123" s="628">
        <f>K123</f>
        <v>0.1</v>
      </c>
      <c r="M123" s="627">
        <v>0.12</v>
      </c>
      <c r="N123" s="626">
        <f t="shared" si="46"/>
        <v>0.12</v>
      </c>
      <c r="O123" s="626">
        <f>N123</f>
        <v>0.12</v>
      </c>
      <c r="P123" s="626">
        <v>0.12</v>
      </c>
      <c r="Q123" s="626">
        <v>0.12</v>
      </c>
      <c r="R123" s="626">
        <v>0.12</v>
      </c>
      <c r="S123" s="626">
        <v>0.12</v>
      </c>
      <c r="T123" s="626">
        <v>0.12</v>
      </c>
      <c r="U123" s="626">
        <v>0.12</v>
      </c>
      <c r="V123" s="626">
        <v>0.12</v>
      </c>
      <c r="W123" s="626">
        <v>0.12</v>
      </c>
      <c r="X123" s="4484">
        <v>0.12</v>
      </c>
      <c r="Y123" s="4484"/>
      <c r="Z123" s="626">
        <v>0.12</v>
      </c>
      <c r="AA123" s="626">
        <v>0.12</v>
      </c>
      <c r="AB123" s="626">
        <v>0.12</v>
      </c>
      <c r="AC123" s="626">
        <v>0.12</v>
      </c>
      <c r="AD123" s="626">
        <v>0.12</v>
      </c>
      <c r="AE123" s="598" t="s">
        <v>220</v>
      </c>
    </row>
    <row r="124" spans="1:31" s="565" customFormat="1" ht="10.199999999999999">
      <c r="A124" s="629"/>
      <c r="B124" s="630"/>
      <c r="C124" s="631"/>
      <c r="D124" s="576"/>
      <c r="E124" s="576"/>
      <c r="F124" s="576"/>
      <c r="G124" s="576"/>
      <c r="H124" s="576" t="s">
        <v>25</v>
      </c>
      <c r="I124" s="576"/>
      <c r="J124" s="576"/>
      <c r="K124" s="575"/>
      <c r="L124" s="632"/>
      <c r="M124" s="575"/>
      <c r="N124" s="576"/>
      <c r="O124" s="576"/>
      <c r="P124" s="576"/>
      <c r="Q124" s="576"/>
      <c r="R124" s="576"/>
      <c r="S124" s="576"/>
      <c r="T124" s="576"/>
      <c r="U124" s="576"/>
      <c r="V124" s="576"/>
      <c r="W124" s="576"/>
      <c r="X124" s="4483"/>
      <c r="Y124" s="4483"/>
      <c r="Z124" s="576"/>
      <c r="AA124" s="576"/>
      <c r="AB124" s="576"/>
      <c r="AC124" s="576"/>
      <c r="AD124" s="576"/>
      <c r="AE124" s="579"/>
    </row>
    <row r="125" spans="1:31">
      <c r="A125" s="623" t="s">
        <v>221</v>
      </c>
      <c r="B125" s="624" t="s">
        <v>18</v>
      </c>
      <c r="C125" s="625" t="s">
        <v>18</v>
      </c>
      <c r="D125" s="625" t="s">
        <v>18</v>
      </c>
      <c r="E125" s="625" t="s">
        <v>18</v>
      </c>
      <c r="F125" s="625" t="s">
        <v>18</v>
      </c>
      <c r="G125" s="625" t="s">
        <v>18</v>
      </c>
      <c r="H125" s="625" t="s">
        <v>18</v>
      </c>
      <c r="I125" s="633">
        <v>0.05</v>
      </c>
      <c r="J125" s="626">
        <f t="shared" si="47"/>
        <v>0.05</v>
      </c>
      <c r="K125" s="627">
        <v>0.1</v>
      </c>
      <c r="L125" s="628">
        <f>K125</f>
        <v>0.1</v>
      </c>
      <c r="M125" s="627">
        <v>0.12</v>
      </c>
      <c r="N125" s="626">
        <f t="shared" si="46"/>
        <v>0.12</v>
      </c>
      <c r="O125" s="626">
        <f>N125</f>
        <v>0.12</v>
      </c>
      <c r="P125" s="626">
        <v>0.12</v>
      </c>
      <c r="Q125" s="626">
        <v>0.12</v>
      </c>
      <c r="R125" s="626">
        <v>0.12</v>
      </c>
      <c r="S125" s="626">
        <v>0.12</v>
      </c>
      <c r="T125" s="626">
        <v>0.12</v>
      </c>
      <c r="U125" s="626">
        <v>0.12</v>
      </c>
      <c r="V125" s="626">
        <v>0.12</v>
      </c>
      <c r="W125" s="626">
        <v>0.12</v>
      </c>
      <c r="X125" s="4484">
        <v>0.12</v>
      </c>
      <c r="Y125" s="4484"/>
      <c r="Z125" s="626">
        <v>0.12</v>
      </c>
      <c r="AA125" s="626">
        <v>0.12</v>
      </c>
      <c r="AB125" s="626">
        <v>0.12</v>
      </c>
      <c r="AC125" s="626">
        <v>0.12</v>
      </c>
      <c r="AD125" s="626">
        <v>0.12</v>
      </c>
      <c r="AE125" s="598" t="s">
        <v>222</v>
      </c>
    </row>
    <row r="126" spans="1:31" s="565" customFormat="1" ht="10.35" customHeight="1">
      <c r="A126" s="629"/>
      <c r="B126" s="630"/>
      <c r="C126" s="631"/>
      <c r="D126" s="631"/>
      <c r="E126" s="631"/>
      <c r="F126" s="631"/>
      <c r="G126" s="631"/>
      <c r="H126" s="631"/>
      <c r="I126" s="634"/>
      <c r="J126" s="576"/>
      <c r="K126" s="576" t="s">
        <v>214</v>
      </c>
      <c r="L126" s="632"/>
      <c r="M126" s="575"/>
      <c r="N126" s="576"/>
      <c r="O126" s="576"/>
      <c r="P126" s="576"/>
      <c r="Q126" s="576"/>
      <c r="R126" s="576"/>
      <c r="S126" s="576"/>
      <c r="T126" s="576"/>
      <c r="U126" s="576"/>
      <c r="V126" s="576"/>
      <c r="W126" s="576"/>
      <c r="X126" s="4485"/>
      <c r="Y126" s="4485"/>
      <c r="Z126" s="635"/>
      <c r="AA126" s="635"/>
      <c r="AB126" s="635"/>
      <c r="AC126" s="635"/>
      <c r="AD126" s="635"/>
      <c r="AE126" s="579"/>
    </row>
    <row r="127" spans="1:31">
      <c r="A127" s="623" t="s">
        <v>223</v>
      </c>
      <c r="B127" s="624" t="s">
        <v>18</v>
      </c>
      <c r="C127" s="625" t="s">
        <v>18</v>
      </c>
      <c r="D127" s="636">
        <v>0.09</v>
      </c>
      <c r="E127" s="626">
        <v>0.09</v>
      </c>
      <c r="F127" s="637">
        <v>0.05</v>
      </c>
      <c r="G127" s="626">
        <v>0.05</v>
      </c>
      <c r="H127" s="626">
        <v>0.05</v>
      </c>
      <c r="I127" s="626">
        <v>0.05</v>
      </c>
      <c r="J127" s="626">
        <f t="shared" si="47"/>
        <v>0.05</v>
      </c>
      <c r="K127" s="638">
        <v>0.21</v>
      </c>
      <c r="L127" s="639">
        <v>0.1</v>
      </c>
      <c r="M127" s="627">
        <v>0.12</v>
      </c>
      <c r="N127" s="626">
        <f t="shared" si="46"/>
        <v>0.12</v>
      </c>
      <c r="O127" s="626">
        <f>N127</f>
        <v>0.12</v>
      </c>
      <c r="P127" s="626">
        <v>0.12</v>
      </c>
      <c r="Q127" s="626">
        <v>0.12</v>
      </c>
      <c r="R127" s="626">
        <v>0.12</v>
      </c>
      <c r="S127" s="626">
        <v>0.12</v>
      </c>
      <c r="T127" s="626">
        <v>0.12</v>
      </c>
      <c r="U127" s="626">
        <v>0.12</v>
      </c>
      <c r="V127" s="626">
        <v>0.12</v>
      </c>
      <c r="W127" s="626">
        <v>0.12</v>
      </c>
      <c r="X127" s="4484">
        <v>0.12</v>
      </c>
      <c r="Y127" s="4484"/>
      <c r="Z127" s="626">
        <v>0.12</v>
      </c>
      <c r="AA127" s="626">
        <v>0.12</v>
      </c>
      <c r="AB127" s="626">
        <v>0.12</v>
      </c>
      <c r="AC127" s="626">
        <v>0.12</v>
      </c>
      <c r="AD127" s="626">
        <v>0.12</v>
      </c>
      <c r="AE127" s="598" t="s">
        <v>224</v>
      </c>
    </row>
    <row r="128" spans="1:31" s="565" customFormat="1" ht="10.199999999999999">
      <c r="A128" s="629"/>
      <c r="B128" s="630"/>
      <c r="C128" s="631"/>
      <c r="D128" s="631"/>
      <c r="E128" s="640"/>
      <c r="F128" s="641"/>
      <c r="G128" s="576"/>
      <c r="H128" s="576"/>
      <c r="I128" s="576"/>
      <c r="J128" s="576"/>
      <c r="K128" s="640"/>
      <c r="L128" s="576" t="s">
        <v>203</v>
      </c>
      <c r="M128" s="640"/>
      <c r="N128" s="576"/>
      <c r="O128" s="576"/>
      <c r="P128" s="576"/>
      <c r="Q128" s="576"/>
      <c r="R128" s="576"/>
      <c r="S128" s="576"/>
      <c r="T128" s="576"/>
      <c r="U128" s="576"/>
      <c r="V128" s="576"/>
      <c r="W128" s="576"/>
      <c r="X128" s="4483"/>
      <c r="Y128" s="4483"/>
      <c r="Z128" s="576"/>
      <c r="AA128" s="576"/>
      <c r="AB128" s="576"/>
      <c r="AC128" s="576"/>
      <c r="AD128" s="576"/>
      <c r="AE128" s="579"/>
    </row>
    <row r="129" spans="1:33">
      <c r="A129" s="224" t="s">
        <v>225</v>
      </c>
      <c r="B129" s="617" t="s">
        <v>18</v>
      </c>
      <c r="C129" s="618" t="s">
        <v>18</v>
      </c>
      <c r="D129" s="618" t="s">
        <v>18</v>
      </c>
      <c r="E129" s="618" t="s">
        <v>18</v>
      </c>
      <c r="F129" s="618" t="s">
        <v>18</v>
      </c>
      <c r="G129" s="618" t="s">
        <v>18</v>
      </c>
      <c r="H129" s="618" t="s">
        <v>18</v>
      </c>
      <c r="I129" s="618" t="s">
        <v>18</v>
      </c>
      <c r="J129" s="618" t="s">
        <v>18</v>
      </c>
      <c r="K129" s="618" t="s">
        <v>18</v>
      </c>
      <c r="L129" s="618" t="s">
        <v>18</v>
      </c>
      <c r="M129" s="618" t="s">
        <v>18</v>
      </c>
      <c r="N129" s="618" t="s">
        <v>18</v>
      </c>
      <c r="O129" s="618" t="s">
        <v>18</v>
      </c>
      <c r="P129" s="618" t="s">
        <v>18</v>
      </c>
      <c r="Q129" s="618" t="s">
        <v>18</v>
      </c>
      <c r="R129" s="618" t="s">
        <v>18</v>
      </c>
      <c r="S129" s="618" t="s">
        <v>18</v>
      </c>
      <c r="T129" s="592">
        <v>0.05</v>
      </c>
      <c r="U129" s="593">
        <v>0.05</v>
      </c>
      <c r="V129" s="593">
        <v>0.05</v>
      </c>
      <c r="W129" s="593">
        <v>0.05</v>
      </c>
      <c r="X129" s="4486">
        <v>0.05</v>
      </c>
      <c r="Y129" s="4486"/>
      <c r="Z129" s="642">
        <v>0.05</v>
      </c>
      <c r="AA129" s="643">
        <v>0.12</v>
      </c>
      <c r="AB129" s="644">
        <v>0.12</v>
      </c>
      <c r="AC129" s="644">
        <v>0.12</v>
      </c>
      <c r="AD129" s="644">
        <v>0.12</v>
      </c>
      <c r="AE129" s="622" t="s">
        <v>226</v>
      </c>
    </row>
    <row r="130" spans="1:33" ht="26.4" customHeight="1">
      <c r="A130" s="645" t="s">
        <v>227</v>
      </c>
      <c r="B130" s="646" t="s">
        <v>18</v>
      </c>
      <c r="C130" s="646" t="s">
        <v>18</v>
      </c>
      <c r="D130" s="646" t="s">
        <v>18</v>
      </c>
      <c r="E130" s="646" t="s">
        <v>18</v>
      </c>
      <c r="F130" s="646" t="s">
        <v>18</v>
      </c>
      <c r="G130" s="646" t="s">
        <v>18</v>
      </c>
      <c r="H130" s="646" t="s">
        <v>18</v>
      </c>
      <c r="I130" s="646" t="s">
        <v>18</v>
      </c>
      <c r="J130" s="646" t="s">
        <v>18</v>
      </c>
      <c r="K130" s="646" t="s">
        <v>18</v>
      </c>
      <c r="L130" s="646" t="s">
        <v>18</v>
      </c>
      <c r="M130" s="646" t="s">
        <v>18</v>
      </c>
      <c r="N130" s="646" t="s">
        <v>18</v>
      </c>
      <c r="O130" s="646" t="s">
        <v>18</v>
      </c>
      <c r="P130" s="646" t="s">
        <v>18</v>
      </c>
      <c r="Q130" s="646" t="s">
        <v>18</v>
      </c>
      <c r="R130" s="646" t="s">
        <v>18</v>
      </c>
      <c r="S130" s="646" t="s">
        <v>18</v>
      </c>
      <c r="T130" s="646" t="s">
        <v>18</v>
      </c>
      <c r="U130" s="646" t="s">
        <v>18</v>
      </c>
      <c r="V130" s="647" t="s">
        <v>228</v>
      </c>
      <c r="W130" s="648">
        <v>0</v>
      </c>
      <c r="X130" s="4480">
        <v>0</v>
      </c>
      <c r="Y130" s="4480"/>
      <c r="Z130" s="649">
        <v>0.12</v>
      </c>
      <c r="AA130" s="650">
        <v>0.12</v>
      </c>
      <c r="AB130" s="650">
        <v>0.12</v>
      </c>
      <c r="AC130" s="650">
        <v>0.12</v>
      </c>
      <c r="AD130" s="650">
        <v>0.12</v>
      </c>
      <c r="AE130" s="651" t="s">
        <v>229</v>
      </c>
    </row>
    <row r="131" spans="1:33" ht="27.6">
      <c r="A131" s="645" t="s">
        <v>230</v>
      </c>
      <c r="B131" s="600"/>
      <c r="C131" s="600"/>
      <c r="D131" s="600"/>
      <c r="E131" s="600"/>
      <c r="F131" s="600"/>
      <c r="G131" s="600"/>
      <c r="H131" s="600"/>
      <c r="I131" s="600"/>
      <c r="J131" s="600"/>
      <c r="K131" s="600"/>
      <c r="L131" s="600"/>
      <c r="M131" s="600"/>
      <c r="N131" s="600"/>
      <c r="O131" s="600"/>
      <c r="P131" s="600"/>
      <c r="Q131" s="600"/>
      <c r="R131" s="600"/>
      <c r="S131" s="600"/>
      <c r="T131" s="600"/>
      <c r="U131" s="600"/>
      <c r="V131" s="647" t="s">
        <v>228</v>
      </c>
      <c r="W131" s="648">
        <v>0</v>
      </c>
      <c r="X131" s="4480">
        <v>0</v>
      </c>
      <c r="Y131" s="4481"/>
      <c r="Z131" s="652">
        <v>0.21</v>
      </c>
      <c r="AA131" s="653">
        <v>0.21</v>
      </c>
      <c r="AB131" s="653">
        <v>0.21</v>
      </c>
      <c r="AC131" s="653">
        <v>0.21</v>
      </c>
      <c r="AD131" s="653">
        <v>0.21</v>
      </c>
      <c r="AE131" s="654" t="s">
        <v>231</v>
      </c>
    </row>
    <row r="132" spans="1:33">
      <c r="A132" s="655" t="s">
        <v>232</v>
      </c>
      <c r="B132" s="656" t="s">
        <v>205</v>
      </c>
      <c r="C132" s="657" t="s">
        <v>205</v>
      </c>
      <c r="D132" s="657" t="s">
        <v>205</v>
      </c>
      <c r="E132" s="658">
        <v>0.09</v>
      </c>
      <c r="F132" s="659">
        <v>0.05</v>
      </c>
      <c r="G132" s="660">
        <f t="shared" ref="G132:I133" si="48">F132</f>
        <v>0.05</v>
      </c>
      <c r="H132" s="660">
        <f t="shared" si="48"/>
        <v>0.05</v>
      </c>
      <c r="I132" s="660">
        <f t="shared" si="48"/>
        <v>0.05</v>
      </c>
      <c r="J132" s="660">
        <f t="shared" si="47"/>
        <v>0.05</v>
      </c>
      <c r="K132" s="661">
        <v>0.21</v>
      </c>
      <c r="L132" s="662">
        <f t="shared" ref="L132:M135" si="49">K132</f>
        <v>0.21</v>
      </c>
      <c r="M132" s="662">
        <f t="shared" si="49"/>
        <v>0.21</v>
      </c>
      <c r="N132" s="662">
        <f t="shared" si="46"/>
        <v>0.21</v>
      </c>
      <c r="O132" s="662">
        <f t="shared" si="46"/>
        <v>0.21</v>
      </c>
      <c r="P132" s="662">
        <f t="shared" si="46"/>
        <v>0.21</v>
      </c>
      <c r="Q132" s="662">
        <f t="shared" si="46"/>
        <v>0.21</v>
      </c>
      <c r="R132" s="662">
        <f t="shared" si="46"/>
        <v>0.21</v>
      </c>
      <c r="S132" s="662">
        <f t="shared" si="46"/>
        <v>0.21</v>
      </c>
      <c r="T132" s="662">
        <f t="shared" si="46"/>
        <v>0.21</v>
      </c>
      <c r="U132" s="662">
        <f t="shared" si="46"/>
        <v>0.21</v>
      </c>
      <c r="V132" s="662">
        <f t="shared" si="46"/>
        <v>0.21</v>
      </c>
      <c r="W132" s="662">
        <f>V132</f>
        <v>0.21</v>
      </c>
      <c r="X132" s="4482">
        <v>0.21</v>
      </c>
      <c r="Y132" s="4482"/>
      <c r="Z132" s="663">
        <v>0.21</v>
      </c>
      <c r="AA132" s="663">
        <v>0.21</v>
      </c>
      <c r="AB132" s="663">
        <v>0.21</v>
      </c>
      <c r="AC132" s="663">
        <v>0.21</v>
      </c>
      <c r="AD132" s="663">
        <v>0.21</v>
      </c>
      <c r="AE132" s="664" t="s">
        <v>233</v>
      </c>
    </row>
    <row r="133" spans="1:33">
      <c r="A133" s="655" t="s">
        <v>234</v>
      </c>
      <c r="B133" s="656" t="s">
        <v>205</v>
      </c>
      <c r="C133" s="657" t="s">
        <v>205</v>
      </c>
      <c r="D133" s="657" t="s">
        <v>205</v>
      </c>
      <c r="E133" s="665">
        <v>0.09</v>
      </c>
      <c r="F133" s="666">
        <v>0.05</v>
      </c>
      <c r="G133" s="660">
        <f t="shared" si="48"/>
        <v>0.05</v>
      </c>
      <c r="H133" s="660">
        <f t="shared" si="48"/>
        <v>0.05</v>
      </c>
      <c r="I133" s="660">
        <f t="shared" si="48"/>
        <v>0.05</v>
      </c>
      <c r="J133" s="660">
        <f t="shared" si="47"/>
        <v>0.05</v>
      </c>
      <c r="K133" s="661">
        <v>0.21</v>
      </c>
      <c r="L133" s="662">
        <f t="shared" si="49"/>
        <v>0.21</v>
      </c>
      <c r="M133" s="662">
        <f t="shared" si="49"/>
        <v>0.21</v>
      </c>
      <c r="N133" s="662">
        <f t="shared" si="46"/>
        <v>0.21</v>
      </c>
      <c r="O133" s="662">
        <f t="shared" si="46"/>
        <v>0.21</v>
      </c>
      <c r="P133" s="662">
        <f t="shared" si="46"/>
        <v>0.21</v>
      </c>
      <c r="Q133" s="662">
        <f t="shared" si="46"/>
        <v>0.21</v>
      </c>
      <c r="R133" s="662">
        <f t="shared" si="46"/>
        <v>0.21</v>
      </c>
      <c r="S133" s="662">
        <f t="shared" si="46"/>
        <v>0.21</v>
      </c>
      <c r="T133" s="662">
        <f t="shared" si="46"/>
        <v>0.21</v>
      </c>
      <c r="U133" s="662">
        <f t="shared" si="46"/>
        <v>0.21</v>
      </c>
      <c r="V133" s="662">
        <f t="shared" si="46"/>
        <v>0.21</v>
      </c>
      <c r="W133" s="662">
        <f>V133</f>
        <v>0.21</v>
      </c>
      <c r="X133" s="4479">
        <v>0.21</v>
      </c>
      <c r="Y133" s="4479"/>
      <c r="Z133" s="662">
        <v>0.21</v>
      </c>
      <c r="AA133" s="662">
        <v>0.21</v>
      </c>
      <c r="AB133" s="662">
        <v>0.21</v>
      </c>
      <c r="AC133" s="662">
        <v>0.21</v>
      </c>
      <c r="AD133" s="662">
        <v>0.21</v>
      </c>
      <c r="AE133" s="664" t="s">
        <v>235</v>
      </c>
    </row>
    <row r="134" spans="1:33">
      <c r="A134" s="655" t="s">
        <v>236</v>
      </c>
      <c r="B134" s="656" t="s">
        <v>205</v>
      </c>
      <c r="C134" s="657" t="s">
        <v>205</v>
      </c>
      <c r="D134" s="657" t="s">
        <v>205</v>
      </c>
      <c r="E134" s="660" t="s">
        <v>205</v>
      </c>
      <c r="F134" s="658">
        <v>0.05</v>
      </c>
      <c r="G134" s="660">
        <v>0.05</v>
      </c>
      <c r="H134" s="660">
        <v>0.05</v>
      </c>
      <c r="I134" s="660">
        <v>0.05</v>
      </c>
      <c r="J134" s="660">
        <f t="shared" si="47"/>
        <v>0.05</v>
      </c>
      <c r="K134" s="661">
        <v>0.21</v>
      </c>
      <c r="L134" s="662">
        <f t="shared" si="49"/>
        <v>0.21</v>
      </c>
      <c r="M134" s="662">
        <f t="shared" si="49"/>
        <v>0.21</v>
      </c>
      <c r="N134" s="662">
        <f t="shared" si="46"/>
        <v>0.21</v>
      </c>
      <c r="O134" s="662">
        <f t="shared" si="46"/>
        <v>0.21</v>
      </c>
      <c r="P134" s="662">
        <f t="shared" si="46"/>
        <v>0.21</v>
      </c>
      <c r="Q134" s="662">
        <f t="shared" si="46"/>
        <v>0.21</v>
      </c>
      <c r="R134" s="662">
        <f t="shared" si="46"/>
        <v>0.21</v>
      </c>
      <c r="S134" s="662">
        <f t="shared" si="46"/>
        <v>0.21</v>
      </c>
      <c r="T134" s="662">
        <f t="shared" si="46"/>
        <v>0.21</v>
      </c>
      <c r="U134" s="662">
        <f t="shared" si="46"/>
        <v>0.21</v>
      </c>
      <c r="V134" s="662">
        <f t="shared" si="46"/>
        <v>0.21</v>
      </c>
      <c r="W134" s="662">
        <f>V134</f>
        <v>0.21</v>
      </c>
      <c r="X134" s="4479">
        <v>0.21</v>
      </c>
      <c r="Y134" s="4479"/>
      <c r="Z134" s="662">
        <v>0.21</v>
      </c>
      <c r="AA134" s="662">
        <v>0.21</v>
      </c>
      <c r="AB134" s="662">
        <v>0.21</v>
      </c>
      <c r="AC134" s="662">
        <v>0.21</v>
      </c>
      <c r="AD134" s="662">
        <v>0.21</v>
      </c>
      <c r="AE134" s="664" t="s">
        <v>237</v>
      </c>
    </row>
    <row r="135" spans="1:33">
      <c r="A135" s="655" t="s">
        <v>238</v>
      </c>
      <c r="B135" s="656" t="s">
        <v>205</v>
      </c>
      <c r="C135" s="657" t="s">
        <v>205</v>
      </c>
      <c r="D135" s="657" t="s">
        <v>205</v>
      </c>
      <c r="E135" s="660" t="s">
        <v>205</v>
      </c>
      <c r="F135" s="658">
        <v>0.05</v>
      </c>
      <c r="G135" s="660">
        <f>F135</f>
        <v>0.05</v>
      </c>
      <c r="H135" s="660">
        <f>G135</f>
        <v>0.05</v>
      </c>
      <c r="I135" s="660">
        <f>H135</f>
        <v>0.05</v>
      </c>
      <c r="J135" s="660">
        <f t="shared" si="47"/>
        <v>0.05</v>
      </c>
      <c r="K135" s="661">
        <v>0.21</v>
      </c>
      <c r="L135" s="662">
        <f t="shared" si="49"/>
        <v>0.21</v>
      </c>
      <c r="M135" s="662">
        <f t="shared" si="49"/>
        <v>0.21</v>
      </c>
      <c r="N135" s="662">
        <f t="shared" si="46"/>
        <v>0.21</v>
      </c>
      <c r="O135" s="662">
        <f t="shared" si="46"/>
        <v>0.21</v>
      </c>
      <c r="P135" s="662">
        <f t="shared" si="46"/>
        <v>0.21</v>
      </c>
      <c r="Q135" s="662">
        <f t="shared" si="46"/>
        <v>0.21</v>
      </c>
      <c r="R135" s="662">
        <f t="shared" si="46"/>
        <v>0.21</v>
      </c>
      <c r="S135" s="662">
        <f t="shared" si="46"/>
        <v>0.21</v>
      </c>
      <c r="T135" s="662">
        <f t="shared" si="46"/>
        <v>0.21</v>
      </c>
      <c r="U135" s="662">
        <f t="shared" si="46"/>
        <v>0.21</v>
      </c>
      <c r="V135" s="662">
        <f t="shared" si="46"/>
        <v>0.21</v>
      </c>
      <c r="W135" s="662">
        <f>V135</f>
        <v>0.21</v>
      </c>
      <c r="X135" s="4479">
        <v>0.21</v>
      </c>
      <c r="Y135" s="4479"/>
      <c r="Z135" s="662">
        <v>0.21</v>
      </c>
      <c r="AA135" s="662">
        <v>0.21</v>
      </c>
      <c r="AB135" s="662">
        <v>0.21</v>
      </c>
      <c r="AC135" s="662">
        <v>0.21</v>
      </c>
      <c r="AD135" s="662">
        <v>0.21</v>
      </c>
      <c r="AE135" s="664" t="s">
        <v>239</v>
      </c>
    </row>
    <row r="136" spans="1:33">
      <c r="A136" s="667" t="s">
        <v>240</v>
      </c>
      <c r="B136" s="668" t="s">
        <v>18</v>
      </c>
      <c r="C136" s="669" t="s">
        <v>18</v>
      </c>
      <c r="D136" s="669" t="s">
        <v>18</v>
      </c>
      <c r="E136" s="669" t="s">
        <v>18</v>
      </c>
      <c r="F136" s="669" t="s">
        <v>18</v>
      </c>
      <c r="G136" s="669" t="s">
        <v>18</v>
      </c>
      <c r="H136" s="670">
        <v>0.05</v>
      </c>
      <c r="I136" s="671">
        <v>0.05</v>
      </c>
      <c r="J136" s="671">
        <f t="shared" si="47"/>
        <v>0.05</v>
      </c>
      <c r="K136" s="670">
        <v>0.1</v>
      </c>
      <c r="L136" s="672">
        <f>K136</f>
        <v>0.1</v>
      </c>
      <c r="M136" s="673">
        <v>0.21</v>
      </c>
      <c r="N136" s="674">
        <v>0.21</v>
      </c>
      <c r="O136" s="674">
        <f t="shared" si="46"/>
        <v>0.21</v>
      </c>
      <c r="P136" s="674">
        <f t="shared" si="46"/>
        <v>0.21</v>
      </c>
      <c r="Q136" s="674">
        <f t="shared" si="46"/>
        <v>0.21</v>
      </c>
      <c r="R136" s="674">
        <f t="shared" si="46"/>
        <v>0.21</v>
      </c>
      <c r="S136" s="674">
        <f t="shared" si="46"/>
        <v>0.21</v>
      </c>
      <c r="T136" s="674">
        <f t="shared" si="46"/>
        <v>0.21</v>
      </c>
      <c r="U136" s="674">
        <f t="shared" si="46"/>
        <v>0.21</v>
      </c>
      <c r="V136" s="674">
        <f t="shared" si="46"/>
        <v>0.21</v>
      </c>
      <c r="W136" s="674">
        <f>V136</f>
        <v>0.21</v>
      </c>
      <c r="X136" s="4477">
        <v>0.21</v>
      </c>
      <c r="Y136" s="4477"/>
      <c r="Z136" s="674">
        <v>0.21</v>
      </c>
      <c r="AA136" s="674">
        <v>0.21</v>
      </c>
      <c r="AB136" s="674">
        <v>0.21</v>
      </c>
      <c r="AC136" s="674">
        <v>0.21</v>
      </c>
      <c r="AD136" s="674">
        <v>0.21</v>
      </c>
      <c r="AE136" s="675" t="s">
        <v>241</v>
      </c>
    </row>
    <row r="137" spans="1:33" s="565" customFormat="1" ht="10.199999999999999">
      <c r="A137" s="676"/>
      <c r="B137" s="677"/>
      <c r="C137" s="678"/>
      <c r="D137" s="678"/>
      <c r="E137" s="678"/>
      <c r="F137" s="678"/>
      <c r="G137" s="678"/>
      <c r="H137" s="679" t="s">
        <v>25</v>
      </c>
      <c r="I137" s="679"/>
      <c r="J137" s="679"/>
      <c r="K137" s="680"/>
      <c r="L137" s="681"/>
      <c r="M137" s="679" t="s">
        <v>25</v>
      </c>
      <c r="N137" s="682"/>
      <c r="O137" s="682"/>
      <c r="P137" s="682"/>
      <c r="Q137" s="682"/>
      <c r="R137" s="682"/>
      <c r="S137" s="682"/>
      <c r="T137" s="682"/>
      <c r="U137" s="682"/>
      <c r="V137" s="682"/>
      <c r="W137" s="682"/>
      <c r="X137" s="4478"/>
      <c r="Y137" s="4478"/>
      <c r="Z137" s="682"/>
      <c r="AA137" s="682"/>
      <c r="AB137" s="682"/>
      <c r="AC137" s="682"/>
      <c r="AD137" s="682"/>
      <c r="AE137" s="683"/>
    </row>
    <row r="138" spans="1:33">
      <c r="A138" s="667" t="s">
        <v>242</v>
      </c>
      <c r="B138" s="668" t="s">
        <v>18</v>
      </c>
      <c r="C138" s="669" t="s">
        <v>18</v>
      </c>
      <c r="D138" s="669" t="s">
        <v>18</v>
      </c>
      <c r="E138" s="669" t="s">
        <v>18</v>
      </c>
      <c r="F138" s="669" t="s">
        <v>18</v>
      </c>
      <c r="G138" s="669" t="s">
        <v>18</v>
      </c>
      <c r="H138" s="670">
        <v>0.05</v>
      </c>
      <c r="I138" s="671">
        <v>0.05</v>
      </c>
      <c r="J138" s="671">
        <f t="shared" si="47"/>
        <v>0.05</v>
      </c>
      <c r="K138" s="670">
        <v>0.1</v>
      </c>
      <c r="L138" s="672">
        <f>K138</f>
        <v>0.1</v>
      </c>
      <c r="M138" s="673">
        <v>0.21</v>
      </c>
      <c r="N138" s="674">
        <f t="shared" si="46"/>
        <v>0.21</v>
      </c>
      <c r="O138" s="674">
        <f>N138</f>
        <v>0.21</v>
      </c>
      <c r="P138" s="674">
        <f>O138</f>
        <v>0.21</v>
      </c>
      <c r="Q138" s="674">
        <f>P138</f>
        <v>0.21</v>
      </c>
      <c r="R138" s="674">
        <f>Q138</f>
        <v>0.21</v>
      </c>
      <c r="S138" s="674">
        <f t="shared" si="46"/>
        <v>0.21</v>
      </c>
      <c r="T138" s="674">
        <f t="shared" si="46"/>
        <v>0.21</v>
      </c>
      <c r="U138" s="674">
        <f t="shared" si="46"/>
        <v>0.21</v>
      </c>
      <c r="V138" s="674">
        <f t="shared" si="46"/>
        <v>0.21</v>
      </c>
      <c r="W138" s="674">
        <f>V138</f>
        <v>0.21</v>
      </c>
      <c r="X138" s="4477">
        <v>0.21</v>
      </c>
      <c r="Y138" s="4477"/>
      <c r="Z138" s="674">
        <v>0.21</v>
      </c>
      <c r="AA138" s="674">
        <v>0.21</v>
      </c>
      <c r="AB138" s="674">
        <v>0.21</v>
      </c>
      <c r="AC138" s="674">
        <v>0.21</v>
      </c>
      <c r="AD138" s="674">
        <v>0.21</v>
      </c>
      <c r="AE138" s="675" t="s">
        <v>243</v>
      </c>
    </row>
    <row r="139" spans="1:33" s="565" customFormat="1" ht="10.199999999999999">
      <c r="A139" s="676"/>
      <c r="B139" s="677"/>
      <c r="C139" s="678"/>
      <c r="D139" s="678"/>
      <c r="E139" s="678"/>
      <c r="F139" s="678"/>
      <c r="G139" s="678"/>
      <c r="H139" s="679" t="s">
        <v>25</v>
      </c>
      <c r="I139" s="679"/>
      <c r="J139" s="679"/>
      <c r="K139" s="680"/>
      <c r="L139" s="681"/>
      <c r="M139" s="680"/>
      <c r="N139" s="682"/>
      <c r="O139" s="682"/>
      <c r="P139" s="682"/>
      <c r="Q139" s="682"/>
      <c r="R139" s="682"/>
      <c r="S139" s="682"/>
      <c r="T139" s="682"/>
      <c r="U139" s="682"/>
      <c r="V139" s="682"/>
      <c r="W139" s="682"/>
      <c r="X139" s="4478"/>
      <c r="Y139" s="4478"/>
      <c r="Z139" s="682"/>
      <c r="AA139" s="682"/>
      <c r="AB139" s="682"/>
      <c r="AC139" s="682"/>
      <c r="AD139" s="682"/>
      <c r="AE139" s="683"/>
    </row>
    <row r="140" spans="1:33">
      <c r="A140" s="655" t="s">
        <v>244</v>
      </c>
      <c r="B140" s="684" t="s">
        <v>18</v>
      </c>
      <c r="C140" s="685" t="s">
        <v>18</v>
      </c>
      <c r="D140" s="685" t="s">
        <v>18</v>
      </c>
      <c r="E140" s="685" t="s">
        <v>18</v>
      </c>
      <c r="F140" s="685" t="s">
        <v>18</v>
      </c>
      <c r="G140" s="685" t="s">
        <v>18</v>
      </c>
      <c r="H140" s="686" t="s">
        <v>18</v>
      </c>
      <c r="I140" s="658">
        <v>0.05</v>
      </c>
      <c r="J140" s="660">
        <f t="shared" si="47"/>
        <v>0.05</v>
      </c>
      <c r="K140" s="661">
        <v>0.21</v>
      </c>
      <c r="L140" s="662">
        <f>K140</f>
        <v>0.21</v>
      </c>
      <c r="M140" s="662">
        <f>L140</f>
        <v>0.21</v>
      </c>
      <c r="N140" s="662">
        <f t="shared" si="46"/>
        <v>0.21</v>
      </c>
      <c r="O140" s="662">
        <f t="shared" si="46"/>
        <v>0.21</v>
      </c>
      <c r="P140" s="662">
        <f t="shared" si="46"/>
        <v>0.21</v>
      </c>
      <c r="Q140" s="662">
        <f t="shared" si="46"/>
        <v>0.21</v>
      </c>
      <c r="R140" s="662">
        <f t="shared" si="46"/>
        <v>0.21</v>
      </c>
      <c r="S140" s="662">
        <f t="shared" si="46"/>
        <v>0.21</v>
      </c>
      <c r="T140" s="662">
        <f t="shared" si="46"/>
        <v>0.21</v>
      </c>
      <c r="U140" s="662">
        <f t="shared" si="46"/>
        <v>0.21</v>
      </c>
      <c r="V140" s="662">
        <f t="shared" si="46"/>
        <v>0.21</v>
      </c>
      <c r="W140" s="662">
        <f>V140</f>
        <v>0.21</v>
      </c>
      <c r="X140" s="4479">
        <v>0.21</v>
      </c>
      <c r="Y140" s="4479"/>
      <c r="Z140" s="662">
        <v>0.21</v>
      </c>
      <c r="AA140" s="662">
        <v>0.21</v>
      </c>
      <c r="AB140" s="662">
        <v>0.21</v>
      </c>
      <c r="AC140" s="662">
        <v>0.21</v>
      </c>
      <c r="AD140" s="662">
        <v>0.21</v>
      </c>
      <c r="AE140" s="664" t="s">
        <v>245</v>
      </c>
    </row>
    <row r="141" spans="1:33">
      <c r="A141" s="667" t="s">
        <v>246</v>
      </c>
      <c r="B141" s="668" t="s">
        <v>18</v>
      </c>
      <c r="C141" s="669" t="s">
        <v>18</v>
      </c>
      <c r="D141" s="669" t="s">
        <v>18</v>
      </c>
      <c r="E141" s="669" t="s">
        <v>18</v>
      </c>
      <c r="F141" s="669" t="s">
        <v>18</v>
      </c>
      <c r="G141" s="669" t="s">
        <v>18</v>
      </c>
      <c r="H141" s="670">
        <v>0.05</v>
      </c>
      <c r="I141" s="671">
        <v>0.05</v>
      </c>
      <c r="J141" s="671">
        <f t="shared" si="47"/>
        <v>0.05</v>
      </c>
      <c r="K141" s="673">
        <v>0.21</v>
      </c>
      <c r="L141" s="674">
        <f>K141</f>
        <v>0.21</v>
      </c>
      <c r="M141" s="674">
        <f>L141</f>
        <v>0.21</v>
      </c>
      <c r="N141" s="674">
        <f t="shared" si="46"/>
        <v>0.21</v>
      </c>
      <c r="O141" s="674">
        <f t="shared" si="46"/>
        <v>0.21</v>
      </c>
      <c r="P141" s="674">
        <f t="shared" si="46"/>
        <v>0.21</v>
      </c>
      <c r="Q141" s="674">
        <f t="shared" si="46"/>
        <v>0.21</v>
      </c>
      <c r="R141" s="674">
        <f t="shared" si="46"/>
        <v>0.21</v>
      </c>
      <c r="S141" s="674">
        <f t="shared" si="46"/>
        <v>0.21</v>
      </c>
      <c r="T141" s="674">
        <f t="shared" si="46"/>
        <v>0.21</v>
      </c>
      <c r="U141" s="674">
        <f t="shared" si="46"/>
        <v>0.21</v>
      </c>
      <c r="V141" s="674">
        <f t="shared" si="46"/>
        <v>0.21</v>
      </c>
      <c r="W141" s="674">
        <f>V141</f>
        <v>0.21</v>
      </c>
      <c r="X141" s="4477">
        <v>0.21</v>
      </c>
      <c r="Y141" s="4477"/>
      <c r="Z141" s="674">
        <v>0.21</v>
      </c>
      <c r="AA141" s="674">
        <v>0.21</v>
      </c>
      <c r="AB141" s="674">
        <v>0.21</v>
      </c>
      <c r="AC141" s="674">
        <v>0.21</v>
      </c>
      <c r="AD141" s="674">
        <v>0.21</v>
      </c>
      <c r="AE141" s="675" t="s">
        <v>247</v>
      </c>
    </row>
    <row r="142" spans="1:33" s="565" customFormat="1" ht="10.199999999999999">
      <c r="A142" s="687"/>
      <c r="B142" s="688"/>
      <c r="C142" s="689"/>
      <c r="D142" s="689"/>
      <c r="E142" s="689"/>
      <c r="F142" s="689"/>
      <c r="G142" s="689"/>
      <c r="H142" s="690" t="s">
        <v>25</v>
      </c>
      <c r="I142" s="691"/>
      <c r="J142" s="691"/>
      <c r="K142" s="692"/>
      <c r="L142" s="693"/>
      <c r="M142" s="693"/>
      <c r="N142" s="693"/>
      <c r="O142" s="693"/>
      <c r="P142" s="693"/>
      <c r="Q142" s="693"/>
      <c r="R142" s="693"/>
      <c r="S142" s="693"/>
      <c r="T142" s="693"/>
      <c r="U142" s="693"/>
      <c r="V142" s="693"/>
      <c r="W142" s="693"/>
      <c r="X142" s="4472"/>
      <c r="Y142" s="4472"/>
      <c r="Z142" s="693"/>
      <c r="AA142" s="693"/>
      <c r="AB142" s="693"/>
      <c r="AC142" s="693"/>
      <c r="AD142" s="693"/>
      <c r="AE142" s="694"/>
    </row>
    <row r="143" spans="1:33" s="565" customFormat="1">
      <c r="A143" s="695" t="s">
        <v>248</v>
      </c>
      <c r="B143" s="696"/>
      <c r="C143" s="697"/>
      <c r="D143" s="698"/>
      <c r="E143" s="698"/>
      <c r="F143" s="698"/>
      <c r="G143" s="698"/>
      <c r="H143" s="698"/>
      <c r="I143" s="698"/>
      <c r="J143" s="698"/>
      <c r="K143" s="698"/>
      <c r="L143" s="698"/>
      <c r="M143" s="698"/>
      <c r="N143" s="698"/>
      <c r="O143" s="698"/>
      <c r="P143" s="698"/>
      <c r="Q143" s="698"/>
      <c r="R143" s="698"/>
      <c r="S143" s="698"/>
      <c r="T143" s="699"/>
      <c r="U143" s="700"/>
      <c r="V143" s="700"/>
      <c r="W143" s="700"/>
      <c r="X143" s="4473"/>
      <c r="Y143" s="4473"/>
      <c r="Z143" s="701"/>
      <c r="AA143" s="701"/>
      <c r="AB143" s="701"/>
      <c r="AC143" s="701"/>
      <c r="AD143" s="701"/>
      <c r="AE143" s="702" t="s">
        <v>249</v>
      </c>
    </row>
    <row r="144" spans="1:33" s="565" customFormat="1" ht="26.4">
      <c r="A144" s="703" t="s">
        <v>250</v>
      </c>
      <c r="B144" s="704"/>
      <c r="C144" s="705"/>
      <c r="D144" s="706"/>
      <c r="E144" s="706"/>
      <c r="F144" s="706"/>
      <c r="G144" s="706"/>
      <c r="H144" s="706"/>
      <c r="I144" s="706"/>
      <c r="J144" s="706"/>
      <c r="K144" s="707">
        <f>K145/$O$1</f>
        <v>14228.718106328364</v>
      </c>
      <c r="L144" s="706">
        <f>L145/$O$1</f>
        <v>14228.718106328364</v>
      </c>
      <c r="M144" s="708">
        <f>M145/$O$1</f>
        <v>49800.513372149275</v>
      </c>
      <c r="N144" s="706">
        <f>N145/$O$1</f>
        <v>49800.513372149275</v>
      </c>
      <c r="O144" s="706">
        <f>O145/$O$1</f>
        <v>49800.513372149275</v>
      </c>
      <c r="P144" s="708">
        <v>50000</v>
      </c>
      <c r="Q144" s="706">
        <v>50000</v>
      </c>
      <c r="R144" s="706">
        <v>50000</v>
      </c>
      <c r="S144" s="706">
        <v>50000</v>
      </c>
      <c r="T144" s="709">
        <v>40000</v>
      </c>
      <c r="U144" s="706">
        <v>40000</v>
      </c>
      <c r="V144" s="706">
        <v>40000</v>
      </c>
      <c r="W144" s="706">
        <v>40000</v>
      </c>
      <c r="X144" s="4474">
        <v>40000</v>
      </c>
      <c r="Y144" s="4474"/>
      <c r="Z144" s="706">
        <v>40000</v>
      </c>
      <c r="AA144" s="706">
        <v>50000</v>
      </c>
      <c r="AB144" s="706">
        <v>50000</v>
      </c>
      <c r="AC144" s="706">
        <v>50000</v>
      </c>
      <c r="AD144" s="706">
        <v>50000</v>
      </c>
      <c r="AE144" s="710" t="s">
        <v>251</v>
      </c>
      <c r="AG144" s="711"/>
    </row>
    <row r="145" spans="1:31" s="565" customFormat="1">
      <c r="A145" s="712" t="s">
        <v>252</v>
      </c>
      <c r="B145" s="713"/>
      <c r="C145" s="714"/>
      <c r="D145" s="714"/>
      <c r="E145" s="714"/>
      <c r="F145" s="714"/>
      <c r="G145" s="714"/>
      <c r="H145" s="714"/>
      <c r="I145" s="714"/>
      <c r="J145" s="714"/>
      <c r="K145" s="715">
        <v>10000</v>
      </c>
      <c r="L145" s="715">
        <v>10000</v>
      </c>
      <c r="M145" s="716">
        <v>35000</v>
      </c>
      <c r="N145" s="715">
        <v>35000</v>
      </c>
      <c r="O145" s="715">
        <v>35000</v>
      </c>
      <c r="P145" s="717"/>
      <c r="Q145" s="718"/>
      <c r="R145" s="718"/>
      <c r="S145" s="718"/>
      <c r="T145" s="719"/>
      <c r="U145" s="720"/>
      <c r="V145" s="720"/>
      <c r="W145" s="720"/>
      <c r="X145" s="4475"/>
      <c r="Y145" s="4475"/>
      <c r="Z145" s="721"/>
      <c r="AA145" s="721"/>
      <c r="AB145" s="721"/>
      <c r="AC145" s="721"/>
      <c r="AD145" s="721"/>
      <c r="AE145" s="722" t="s">
        <v>253</v>
      </c>
    </row>
    <row r="146" spans="1:31" s="565" customFormat="1">
      <c r="A146" s="703" t="s">
        <v>254</v>
      </c>
      <c r="B146" s="704"/>
      <c r="C146" s="705"/>
      <c r="D146" s="706"/>
      <c r="E146" s="706"/>
      <c r="F146" s="706"/>
      <c r="G146" s="706"/>
      <c r="H146" s="706"/>
      <c r="I146" s="706"/>
      <c r="J146" s="706"/>
      <c r="K146" s="707">
        <f>K147/$O$1</f>
        <v>9960.1026744298561</v>
      </c>
      <c r="L146" s="707">
        <f>L147/$O$1</f>
        <v>9960.1026744298561</v>
      </c>
      <c r="M146" s="707">
        <f>M147/$O$1</f>
        <v>9960.1026744298561</v>
      </c>
      <c r="N146" s="707">
        <f>N147/$O$1</f>
        <v>9960.1026744298561</v>
      </c>
      <c r="O146" s="707">
        <f>O147/$O$1</f>
        <v>9960.1026744298561</v>
      </c>
      <c r="P146" s="708">
        <v>10000</v>
      </c>
      <c r="Q146" s="706">
        <v>10000</v>
      </c>
      <c r="R146" s="706">
        <v>10000</v>
      </c>
      <c r="S146" s="706">
        <v>10000</v>
      </c>
      <c r="T146" s="706">
        <v>10000</v>
      </c>
      <c r="U146" s="706">
        <v>10000</v>
      </c>
      <c r="V146" s="706">
        <v>10000</v>
      </c>
      <c r="W146" s="706">
        <v>10000</v>
      </c>
      <c r="X146" s="4474">
        <v>10000</v>
      </c>
      <c r="Y146" s="4474"/>
      <c r="Z146" s="706">
        <v>10000</v>
      </c>
      <c r="AA146" s="706">
        <v>10000</v>
      </c>
      <c r="AB146" s="706">
        <v>10000</v>
      </c>
      <c r="AC146" s="706">
        <v>10000</v>
      </c>
      <c r="AD146" s="706">
        <v>10000</v>
      </c>
      <c r="AE146" s="710" t="s">
        <v>255</v>
      </c>
    </row>
    <row r="147" spans="1:31" s="31" customFormat="1" ht="16.350000000000001" customHeight="1">
      <c r="A147" s="723" t="s">
        <v>256</v>
      </c>
      <c r="B147" s="724"/>
      <c r="C147" s="725"/>
      <c r="D147" s="725"/>
      <c r="E147" s="725"/>
      <c r="F147" s="725"/>
      <c r="G147" s="725"/>
      <c r="H147" s="725"/>
      <c r="I147" s="725"/>
      <c r="J147" s="725"/>
      <c r="K147" s="412">
        <v>7000</v>
      </c>
      <c r="L147" s="412">
        <v>7000</v>
      </c>
      <c r="M147" s="412">
        <v>7000</v>
      </c>
      <c r="N147" s="412">
        <v>7000</v>
      </c>
      <c r="O147" s="412">
        <v>7000</v>
      </c>
      <c r="P147" s="726"/>
      <c r="Q147" s="727"/>
      <c r="R147" s="727"/>
      <c r="S147" s="727"/>
      <c r="T147" s="728"/>
      <c r="U147" s="729"/>
      <c r="V147" s="729"/>
      <c r="W147" s="729"/>
      <c r="X147" s="4476"/>
      <c r="Y147" s="4476"/>
      <c r="Z147" s="730"/>
      <c r="AA147" s="730"/>
      <c r="AB147" s="730"/>
      <c r="AC147" s="730"/>
      <c r="AD147" s="730"/>
      <c r="AE147" s="731" t="s">
        <v>257</v>
      </c>
    </row>
    <row r="148" spans="1:31" s="4" customFormat="1" ht="15.6">
      <c r="A148" s="516" t="s">
        <v>258</v>
      </c>
      <c r="B148" s="732" t="s">
        <v>18</v>
      </c>
      <c r="C148" s="732" t="s">
        <v>18</v>
      </c>
      <c r="D148" s="732" t="s">
        <v>18</v>
      </c>
      <c r="E148" s="732" t="s">
        <v>18</v>
      </c>
      <c r="F148" s="732" t="s">
        <v>18</v>
      </c>
      <c r="G148" s="732" t="s">
        <v>18</v>
      </c>
      <c r="H148" s="732" t="s">
        <v>18</v>
      </c>
      <c r="I148" s="733">
        <v>1.4999999999999999E-2</v>
      </c>
      <c r="J148" s="734">
        <v>0.01</v>
      </c>
      <c r="K148" s="734">
        <f>J148</f>
        <v>0.01</v>
      </c>
      <c r="L148" s="733">
        <v>1.4999999999999999E-2</v>
      </c>
      <c r="M148" s="735">
        <v>1.4999999999999999E-2</v>
      </c>
      <c r="N148" s="735">
        <v>1.4999999999999999E-2</v>
      </c>
      <c r="O148" s="735">
        <v>1.4999999999999999E-2</v>
      </c>
      <c r="P148" s="735">
        <v>1.4999999999999999E-2</v>
      </c>
      <c r="Q148" s="735">
        <v>1.4999999999999999E-2</v>
      </c>
      <c r="R148" s="735">
        <v>1.4999999999999999E-2</v>
      </c>
      <c r="S148" s="735">
        <v>1.4999999999999999E-2</v>
      </c>
      <c r="T148" s="735">
        <v>1.4999999999999999E-2</v>
      </c>
      <c r="U148" s="735">
        <v>1.4999999999999999E-2</v>
      </c>
      <c r="V148" s="735">
        <v>1.4999999999999999E-2</v>
      </c>
      <c r="W148" s="735">
        <v>1.4999999999999999E-2</v>
      </c>
      <c r="X148" s="4468">
        <v>1.4999999999999999E-2</v>
      </c>
      <c r="Y148" s="4468"/>
      <c r="Z148" s="735">
        <v>1.4999999999999999E-2</v>
      </c>
      <c r="AA148" s="735">
        <v>1.4999999999999999E-2</v>
      </c>
      <c r="AB148" s="735">
        <v>1.4999999999999999E-2</v>
      </c>
      <c r="AC148" s="735">
        <v>1.4999999999999999E-2</v>
      </c>
      <c r="AD148" s="735">
        <v>1.4999999999999999E-2</v>
      </c>
      <c r="AE148" s="522" t="s">
        <v>259</v>
      </c>
    </row>
    <row r="149" spans="1:31" ht="15.6" customHeight="1">
      <c r="A149" s="736" t="s">
        <v>260</v>
      </c>
      <c r="B149" s="737" t="s">
        <v>18</v>
      </c>
      <c r="C149" s="738" t="s">
        <v>18</v>
      </c>
      <c r="D149" s="738" t="s">
        <v>18</v>
      </c>
      <c r="E149" s="738" t="s">
        <v>18</v>
      </c>
      <c r="F149" s="738" t="s">
        <v>18</v>
      </c>
      <c r="G149" s="738" t="s">
        <v>18</v>
      </c>
      <c r="H149" s="738" t="s">
        <v>18</v>
      </c>
      <c r="I149" s="739">
        <f>I148</f>
        <v>1.4999999999999999E-2</v>
      </c>
      <c r="J149" s="740">
        <f>J148</f>
        <v>0.01</v>
      </c>
      <c r="K149" s="740">
        <f>K148</f>
        <v>0.01</v>
      </c>
      <c r="L149" s="741">
        <v>1.4999999999999999E-2</v>
      </c>
      <c r="M149" s="741">
        <v>1.4999999999999999E-2</v>
      </c>
      <c r="N149" s="741">
        <v>1.4999999999999999E-2</v>
      </c>
      <c r="O149" s="741">
        <v>1.4999999999999999E-2</v>
      </c>
      <c r="P149" s="741">
        <v>1.4999999999999999E-2</v>
      </c>
      <c r="Q149" s="741">
        <v>1.4999999999999999E-2</v>
      </c>
      <c r="R149" s="741">
        <v>1.4999999999999999E-2</v>
      </c>
      <c r="S149" s="741">
        <v>1.4999999999999999E-2</v>
      </c>
      <c r="T149" s="741">
        <v>1.4999999999999999E-2</v>
      </c>
      <c r="U149" s="741">
        <v>1.4999999999999999E-2</v>
      </c>
      <c r="V149" s="741">
        <v>1.4999999999999999E-2</v>
      </c>
      <c r="W149" s="741">
        <v>1.4999999999999999E-2</v>
      </c>
      <c r="X149" s="4469">
        <v>1.4999999999999999E-2</v>
      </c>
      <c r="Y149" s="4469"/>
      <c r="Z149" s="741">
        <v>1.4999999999999999E-2</v>
      </c>
      <c r="AA149" s="741">
        <v>1.4999999999999999E-2</v>
      </c>
      <c r="AB149" s="741">
        <v>1.4999999999999999E-2</v>
      </c>
      <c r="AC149" s="741">
        <v>1.4999999999999999E-2</v>
      </c>
      <c r="AD149" s="741">
        <v>1.4999999999999999E-2</v>
      </c>
      <c r="AE149" s="742" t="s">
        <v>261</v>
      </c>
    </row>
    <row r="150" spans="1:31">
      <c r="A150" s="224" t="s">
        <v>262</v>
      </c>
      <c r="B150" s="743" t="s">
        <v>18</v>
      </c>
      <c r="C150" s="744" t="s">
        <v>18</v>
      </c>
      <c r="D150" s="744" t="s">
        <v>18</v>
      </c>
      <c r="E150" s="744" t="s">
        <v>18</v>
      </c>
      <c r="F150" s="744" t="s">
        <v>18</v>
      </c>
      <c r="G150" s="744" t="s">
        <v>18</v>
      </c>
      <c r="H150" s="744" t="s">
        <v>18</v>
      </c>
      <c r="I150" s="745" t="s">
        <v>18</v>
      </c>
      <c r="J150" s="745" t="s">
        <v>18</v>
      </c>
      <c r="K150" s="745" t="s">
        <v>18</v>
      </c>
      <c r="L150" s="745" t="s">
        <v>18</v>
      </c>
      <c r="M150" s="745" t="s">
        <v>18</v>
      </c>
      <c r="N150" s="745" t="s">
        <v>18</v>
      </c>
      <c r="O150" s="746" t="s">
        <v>263</v>
      </c>
      <c r="P150" s="747" t="s">
        <v>263</v>
      </c>
      <c r="Q150" s="747" t="s">
        <v>263</v>
      </c>
      <c r="R150" s="747" t="s">
        <v>263</v>
      </c>
      <c r="S150" s="747" t="s">
        <v>263</v>
      </c>
      <c r="T150" s="747" t="s">
        <v>263</v>
      </c>
      <c r="U150" s="747" t="s">
        <v>263</v>
      </c>
      <c r="V150" s="747" t="s">
        <v>263</v>
      </c>
      <c r="W150" s="747" t="s">
        <v>263</v>
      </c>
      <c r="X150" s="4470" t="s">
        <v>263</v>
      </c>
      <c r="Y150" s="4470"/>
      <c r="Z150" s="747" t="s">
        <v>263</v>
      </c>
      <c r="AA150" s="747" t="s">
        <v>263</v>
      </c>
      <c r="AB150" s="747" t="s">
        <v>263</v>
      </c>
      <c r="AC150" s="747" t="s">
        <v>263</v>
      </c>
      <c r="AD150" s="747" t="s">
        <v>263</v>
      </c>
      <c r="AE150" s="318" t="s">
        <v>264</v>
      </c>
    </row>
    <row r="151" spans="1:31">
      <c r="A151" s="224" t="s">
        <v>265</v>
      </c>
      <c r="B151" s="743"/>
      <c r="C151" s="744"/>
      <c r="D151" s="744"/>
      <c r="E151" s="744"/>
      <c r="F151" s="744"/>
      <c r="G151" s="744"/>
      <c r="H151" s="744"/>
      <c r="I151" s="744"/>
      <c r="J151" s="744"/>
      <c r="K151" s="745"/>
      <c r="L151" s="748"/>
      <c r="M151" s="749"/>
      <c r="N151" s="748"/>
      <c r="O151" s="748"/>
      <c r="P151" s="748"/>
      <c r="Q151" s="748"/>
      <c r="R151" s="748"/>
      <c r="S151" s="748"/>
      <c r="T151" s="748"/>
      <c r="U151" s="318"/>
      <c r="V151" s="318"/>
      <c r="W151" s="318"/>
      <c r="X151" s="4471"/>
      <c r="Y151" s="4471"/>
      <c r="Z151" s="750"/>
      <c r="AA151" s="750"/>
      <c r="AB151" s="750"/>
      <c r="AC151" s="750"/>
      <c r="AD151" s="750"/>
      <c r="AE151" s="318" t="s">
        <v>266</v>
      </c>
    </row>
    <row r="152" spans="1:31">
      <c r="A152" s="224" t="s">
        <v>267</v>
      </c>
      <c r="B152" s="743" t="s">
        <v>18</v>
      </c>
      <c r="C152" s="744" t="s">
        <v>18</v>
      </c>
      <c r="D152" s="744" t="s">
        <v>18</v>
      </c>
      <c r="E152" s="744" t="s">
        <v>18</v>
      </c>
      <c r="F152" s="744" t="s">
        <v>18</v>
      </c>
      <c r="G152" s="744" t="s">
        <v>18</v>
      </c>
      <c r="H152" s="744" t="s">
        <v>18</v>
      </c>
      <c r="I152" s="744" t="s">
        <v>18</v>
      </c>
      <c r="J152" s="744" t="s">
        <v>18</v>
      </c>
      <c r="K152" s="745" t="s">
        <v>18</v>
      </c>
      <c r="L152" s="747">
        <v>1E-3</v>
      </c>
      <c r="M152" s="746">
        <v>2E-3</v>
      </c>
      <c r="N152" s="747">
        <v>2E-3</v>
      </c>
      <c r="O152" s="747">
        <v>2E-3</v>
      </c>
      <c r="P152" s="747">
        <v>2E-3</v>
      </c>
      <c r="Q152" s="747">
        <v>2E-3</v>
      </c>
      <c r="R152" s="747">
        <v>2E-3</v>
      </c>
      <c r="S152" s="747">
        <v>2E-3</v>
      </c>
      <c r="T152" s="747">
        <v>2E-3</v>
      </c>
      <c r="U152" s="747">
        <v>2E-3</v>
      </c>
      <c r="V152" s="747">
        <v>2E-3</v>
      </c>
      <c r="W152" s="747">
        <v>2E-3</v>
      </c>
      <c r="X152" s="4470">
        <v>2E-3</v>
      </c>
      <c r="Y152" s="4470"/>
      <c r="Z152" s="747">
        <v>2E-3</v>
      </c>
      <c r="AA152" s="747">
        <v>2E-3</v>
      </c>
      <c r="AB152" s="747">
        <v>2E-3</v>
      </c>
      <c r="AC152" s="747">
        <v>2E-3</v>
      </c>
      <c r="AD152" s="747">
        <v>2E-3</v>
      </c>
      <c r="AE152" s="318" t="s">
        <v>268</v>
      </c>
    </row>
    <row r="153" spans="1:31">
      <c r="A153" s="224" t="s">
        <v>269</v>
      </c>
      <c r="B153" s="743" t="s">
        <v>18</v>
      </c>
      <c r="C153" s="745" t="s">
        <v>18</v>
      </c>
      <c r="D153" s="745" t="s">
        <v>18</v>
      </c>
      <c r="E153" s="745" t="s">
        <v>18</v>
      </c>
      <c r="F153" s="745" t="s">
        <v>18</v>
      </c>
      <c r="G153" s="745" t="s">
        <v>18</v>
      </c>
      <c r="H153" s="745" t="s">
        <v>18</v>
      </c>
      <c r="I153" s="745" t="s">
        <v>18</v>
      </c>
      <c r="J153" s="745" t="s">
        <v>18</v>
      </c>
      <c r="K153" s="745" t="s">
        <v>18</v>
      </c>
      <c r="L153" s="747">
        <v>2E-3</v>
      </c>
      <c r="M153" s="746">
        <v>4.0000000000000001E-3</v>
      </c>
      <c r="N153" s="747">
        <v>4.0000000000000001E-3</v>
      </c>
      <c r="O153" s="747">
        <v>4.0000000000000001E-3</v>
      </c>
      <c r="P153" s="747">
        <v>4.0000000000000001E-3</v>
      </c>
      <c r="Q153" s="747">
        <v>4.0000000000000001E-3</v>
      </c>
      <c r="R153" s="747">
        <v>4.0000000000000001E-3</v>
      </c>
      <c r="S153" s="747">
        <v>4.0000000000000001E-3</v>
      </c>
      <c r="T153" s="747">
        <v>4.0000000000000001E-3</v>
      </c>
      <c r="U153" s="747">
        <v>4.0000000000000001E-3</v>
      </c>
      <c r="V153" s="747">
        <v>4.0000000000000001E-3</v>
      </c>
      <c r="W153" s="747">
        <v>4.0000000000000001E-3</v>
      </c>
      <c r="X153" s="4470">
        <v>4.0000000000000001E-3</v>
      </c>
      <c r="Y153" s="4470"/>
      <c r="Z153" s="747">
        <v>4.0000000000000001E-3</v>
      </c>
      <c r="AA153" s="747">
        <v>4.0000000000000001E-3</v>
      </c>
      <c r="AB153" s="747">
        <v>4.0000000000000001E-3</v>
      </c>
      <c r="AC153" s="747">
        <v>4.0000000000000001E-3</v>
      </c>
      <c r="AD153" s="747">
        <v>4.0000000000000001E-3</v>
      </c>
      <c r="AE153" s="318" t="s">
        <v>270</v>
      </c>
    </row>
    <row r="154" spans="1:31" ht="16.350000000000001" customHeight="1">
      <c r="A154" s="623" t="s">
        <v>271</v>
      </c>
      <c r="B154" s="751" t="s">
        <v>18</v>
      </c>
      <c r="C154" s="752" t="s">
        <v>18</v>
      </c>
      <c r="D154" s="752" t="s">
        <v>18</v>
      </c>
      <c r="E154" s="752" t="s">
        <v>18</v>
      </c>
      <c r="F154" s="752" t="s">
        <v>18</v>
      </c>
      <c r="G154" s="752" t="s">
        <v>18</v>
      </c>
      <c r="H154" s="752" t="s">
        <v>18</v>
      </c>
      <c r="I154" s="752" t="s">
        <v>18</v>
      </c>
      <c r="J154" s="752" t="s">
        <v>18</v>
      </c>
      <c r="K154" s="752" t="s">
        <v>18</v>
      </c>
      <c r="L154" s="753">
        <v>3.0000000000000001E-3</v>
      </c>
      <c r="M154" s="754">
        <v>6.0000000000000001E-3</v>
      </c>
      <c r="N154" s="753">
        <v>6.0000000000000001E-3</v>
      </c>
      <c r="O154" s="753">
        <v>6.0000000000000001E-3</v>
      </c>
      <c r="P154" s="753">
        <v>6.0000000000000001E-3</v>
      </c>
      <c r="Q154" s="753">
        <v>6.0000000000000001E-3</v>
      </c>
      <c r="R154" s="753">
        <v>6.0000000000000001E-3</v>
      </c>
      <c r="S154" s="753">
        <v>6.0000000000000001E-3</v>
      </c>
      <c r="T154" s="753">
        <v>6.0000000000000001E-3</v>
      </c>
      <c r="U154" s="753">
        <v>6.0000000000000001E-3</v>
      </c>
      <c r="V154" s="753">
        <v>6.0000000000000001E-3</v>
      </c>
      <c r="W154" s="753">
        <v>6.0000000000000001E-3</v>
      </c>
      <c r="X154" s="4465">
        <v>6.0000000000000001E-3</v>
      </c>
      <c r="Y154" s="4465"/>
      <c r="Z154" s="753">
        <v>6.0000000000000001E-3</v>
      </c>
      <c r="AA154" s="753">
        <v>6.0000000000000001E-3</v>
      </c>
      <c r="AB154" s="753">
        <v>6.0000000000000001E-3</v>
      </c>
      <c r="AC154" s="753">
        <v>6.0000000000000001E-3</v>
      </c>
      <c r="AD154" s="753">
        <v>6.0000000000000001E-3</v>
      </c>
      <c r="AE154" s="755" t="s">
        <v>272</v>
      </c>
    </row>
    <row r="155" spans="1:31" s="4" customFormat="1" ht="15.6">
      <c r="A155" s="516" t="s">
        <v>273</v>
      </c>
      <c r="B155" s="732"/>
      <c r="C155" s="735"/>
      <c r="D155" s="735"/>
      <c r="E155" s="735"/>
      <c r="F155" s="735"/>
      <c r="G155" s="735"/>
      <c r="H155" s="735"/>
      <c r="I155" s="733"/>
      <c r="J155" s="734"/>
      <c r="K155" s="734"/>
      <c r="L155" s="733"/>
      <c r="M155" s="735"/>
      <c r="N155" s="735"/>
      <c r="O155" s="735"/>
      <c r="P155" s="735"/>
      <c r="Q155" s="735"/>
      <c r="R155" s="735"/>
      <c r="S155" s="735"/>
      <c r="T155" s="735"/>
      <c r="U155" s="519"/>
      <c r="V155" s="519"/>
      <c r="W155" s="519"/>
      <c r="X155" s="4230"/>
      <c r="Y155" s="4230"/>
      <c r="Z155" s="520"/>
      <c r="AA155" s="520"/>
      <c r="AB155" s="520"/>
      <c r="AC155" s="520"/>
      <c r="AD155" s="520"/>
      <c r="AE155" s="522" t="s">
        <v>274</v>
      </c>
    </row>
    <row r="156" spans="1:31" s="4" customFormat="1" ht="15.6">
      <c r="A156" s="756" t="s">
        <v>275</v>
      </c>
      <c r="B156" s="757"/>
      <c r="C156" s="758"/>
      <c r="D156" s="758"/>
      <c r="E156" s="758"/>
      <c r="F156" s="758"/>
      <c r="G156" s="758"/>
      <c r="H156" s="758"/>
      <c r="I156" s="758"/>
      <c r="J156" s="758"/>
      <c r="K156" s="758"/>
      <c r="L156" s="759"/>
      <c r="M156" s="759"/>
      <c r="N156" s="759"/>
      <c r="O156" s="759"/>
      <c r="P156" s="759"/>
      <c r="Q156" s="759"/>
      <c r="R156" s="759"/>
      <c r="S156" s="759"/>
      <c r="T156" s="759"/>
      <c r="U156" s="760"/>
      <c r="V156" s="760"/>
      <c r="W156" s="760"/>
      <c r="X156" s="4466"/>
      <c r="Y156" s="4466"/>
      <c r="Z156" s="761"/>
      <c r="AA156" s="761"/>
      <c r="AB156" s="761"/>
      <c r="AC156" s="761"/>
      <c r="AD156" s="761"/>
      <c r="AE156" s="760" t="s">
        <v>276</v>
      </c>
    </row>
    <row r="157" spans="1:31">
      <c r="A157" s="762" t="s">
        <v>277</v>
      </c>
      <c r="B157" s="763">
        <f t="shared" ref="B157:O157" si="50">B159/$O$1</f>
        <v>227.65948970125385</v>
      </c>
      <c r="C157" s="164">
        <f t="shared" si="50"/>
        <v>227.65948970125385</v>
      </c>
      <c r="D157" s="164">
        <f t="shared" si="50"/>
        <v>227.65948970125385</v>
      </c>
      <c r="E157" s="164">
        <f t="shared" si="50"/>
        <v>227.65948970125385</v>
      </c>
      <c r="F157" s="764">
        <f t="shared" si="50"/>
        <v>247.57969505011354</v>
      </c>
      <c r="G157" s="163">
        <f t="shared" si="50"/>
        <v>273.1913876415046</v>
      </c>
      <c r="H157" s="164">
        <f t="shared" si="50"/>
        <v>273.1913876415046</v>
      </c>
      <c r="I157" s="163">
        <f t="shared" si="50"/>
        <v>297.38020842226285</v>
      </c>
      <c r="J157" s="163">
        <f t="shared" si="50"/>
        <v>324.41477282428673</v>
      </c>
      <c r="K157" s="163">
        <f t="shared" si="50"/>
        <v>382.752517060233</v>
      </c>
      <c r="L157" s="164">
        <f t="shared" si="50"/>
        <v>382.752517060233</v>
      </c>
      <c r="M157" s="764">
        <f>M159/$O$1</f>
        <v>411.20995327288972</v>
      </c>
      <c r="N157" s="164">
        <f t="shared" si="50"/>
        <v>411.20995327288972</v>
      </c>
      <c r="O157" s="164">
        <f t="shared" si="50"/>
        <v>411.20995327288972</v>
      </c>
      <c r="P157" s="164">
        <v>411.21</v>
      </c>
      <c r="Q157" s="164">
        <v>411.21</v>
      </c>
      <c r="R157" s="765">
        <v>436</v>
      </c>
      <c r="S157" s="766">
        <f>R157</f>
        <v>436</v>
      </c>
      <c r="T157" s="765">
        <v>476</v>
      </c>
      <c r="U157" s="766">
        <f>T157</f>
        <v>476</v>
      </c>
      <c r="V157" s="765">
        <v>509</v>
      </c>
      <c r="W157" s="766">
        <v>509</v>
      </c>
      <c r="X157" s="4458">
        <v>509</v>
      </c>
      <c r="Y157" s="4458"/>
      <c r="Z157" s="766">
        <v>509</v>
      </c>
      <c r="AA157" s="766">
        <v>509</v>
      </c>
      <c r="AB157" s="765">
        <v>532</v>
      </c>
      <c r="AC157" s="765">
        <v>555</v>
      </c>
      <c r="AD157" s="766">
        <v>555</v>
      </c>
      <c r="AE157" s="767" t="s">
        <v>278</v>
      </c>
    </row>
    <row r="158" spans="1:31">
      <c r="A158" s="768"/>
      <c r="B158" s="769"/>
      <c r="C158" s="770"/>
      <c r="D158" s="770"/>
      <c r="E158" s="770"/>
      <c r="F158" s="771" t="s">
        <v>279</v>
      </c>
      <c r="G158" s="772"/>
      <c r="H158" s="770"/>
      <c r="I158" s="772"/>
      <c r="J158" s="772"/>
      <c r="K158" s="771" t="s">
        <v>280</v>
      </c>
      <c r="L158" s="770"/>
      <c r="M158" s="771" t="s">
        <v>281</v>
      </c>
      <c r="N158" s="770"/>
      <c r="O158" s="770"/>
      <c r="P158" s="770"/>
      <c r="Q158" s="770"/>
      <c r="R158" s="773"/>
      <c r="S158" s="774"/>
      <c r="T158" s="773"/>
      <c r="U158" s="774"/>
      <c r="V158" s="773"/>
      <c r="W158" s="774"/>
      <c r="X158" s="4444"/>
      <c r="Y158" s="4444"/>
      <c r="Z158" s="774"/>
      <c r="AA158" s="774"/>
      <c r="AB158" s="774"/>
      <c r="AC158" s="774"/>
      <c r="AD158" s="774"/>
      <c r="AE158" s="775"/>
    </row>
    <row r="159" spans="1:31">
      <c r="A159" s="776" t="s">
        <v>282</v>
      </c>
      <c r="B159" s="777">
        <v>160</v>
      </c>
      <c r="C159" s="778">
        <v>160</v>
      </c>
      <c r="D159" s="778">
        <v>160</v>
      </c>
      <c r="E159" s="778">
        <v>160</v>
      </c>
      <c r="F159" s="779">
        <v>174</v>
      </c>
      <c r="G159" s="234">
        <v>192</v>
      </c>
      <c r="H159" s="233">
        <v>192</v>
      </c>
      <c r="I159" s="234">
        <v>209</v>
      </c>
      <c r="J159" s="234">
        <v>228</v>
      </c>
      <c r="K159" s="234">
        <v>269</v>
      </c>
      <c r="L159" s="235">
        <v>269</v>
      </c>
      <c r="M159" s="779">
        <v>289</v>
      </c>
      <c r="N159" s="780">
        <v>289</v>
      </c>
      <c r="O159" s="780">
        <v>289</v>
      </c>
      <c r="P159" s="233"/>
      <c r="Q159" s="233"/>
      <c r="R159" s="233"/>
      <c r="S159" s="233"/>
      <c r="T159" s="233"/>
      <c r="U159" s="233"/>
      <c r="V159" s="233"/>
      <c r="W159" s="235"/>
      <c r="X159" s="4467"/>
      <c r="Y159" s="4467"/>
      <c r="Z159" s="235"/>
      <c r="AA159" s="235"/>
      <c r="AB159" s="235"/>
      <c r="AC159" s="235"/>
      <c r="AD159" s="235"/>
      <c r="AE159" s="781" t="s">
        <v>283</v>
      </c>
    </row>
    <row r="160" spans="1:31">
      <c r="A160" s="782"/>
      <c r="B160" s="783"/>
      <c r="C160" s="784"/>
      <c r="D160" s="784"/>
      <c r="E160" s="784"/>
      <c r="F160" s="785" t="s">
        <v>279</v>
      </c>
      <c r="G160" s="786"/>
      <c r="H160" s="787"/>
      <c r="I160" s="786"/>
      <c r="J160" s="786"/>
      <c r="K160" s="785" t="s">
        <v>280</v>
      </c>
      <c r="L160" s="788"/>
      <c r="M160" s="785" t="s">
        <v>281</v>
      </c>
      <c r="N160" s="789"/>
      <c r="O160" s="789"/>
      <c r="P160" s="787"/>
      <c r="Q160" s="787"/>
      <c r="R160" s="787"/>
      <c r="S160" s="787"/>
      <c r="T160" s="787"/>
      <c r="U160" s="787"/>
      <c r="V160" s="787"/>
      <c r="W160" s="788"/>
      <c r="X160" s="4461"/>
      <c r="Y160" s="4461"/>
      <c r="Z160" s="788"/>
      <c r="AA160" s="788"/>
      <c r="AB160" s="788"/>
      <c r="AC160" s="788"/>
      <c r="AD160" s="788"/>
      <c r="AE160" s="790"/>
    </row>
    <row r="161" spans="1:31">
      <c r="A161" s="791" t="s">
        <v>284</v>
      </c>
      <c r="B161" s="792">
        <f>B163/$O$1</f>
        <v>298.80308023289564</v>
      </c>
      <c r="C161" s="793">
        <f>C163/$O$1</f>
        <v>298.80308023289564</v>
      </c>
      <c r="D161" s="793">
        <f>D163/$O$1</f>
        <v>298.80308023289564</v>
      </c>
      <c r="E161" s="793">
        <f>E163/$O$1</f>
        <v>298.80308023289564</v>
      </c>
      <c r="F161" s="794">
        <f>F163/$O$1</f>
        <v>362.83231171137328</v>
      </c>
      <c r="G161" s="795">
        <f t="shared" ref="G161:L161" si="51">G163/$O$1</f>
        <v>399.82697878782704</v>
      </c>
      <c r="H161" s="796">
        <f t="shared" si="51"/>
        <v>399.82697878782704</v>
      </c>
      <c r="I161" s="797">
        <f t="shared" si="51"/>
        <v>418.32431232605393</v>
      </c>
      <c r="J161" s="797">
        <f t="shared" si="51"/>
        <v>422.59292775795245</v>
      </c>
      <c r="K161" s="797">
        <f t="shared" si="51"/>
        <v>426.86154318985098</v>
      </c>
      <c r="L161" s="798">
        <f t="shared" si="51"/>
        <v>426.86154318985098</v>
      </c>
      <c r="M161" s="794">
        <f>M163/$O$1</f>
        <v>455.31897940250769</v>
      </c>
      <c r="N161" s="798">
        <f>N163/$O$1</f>
        <v>455.31897940250769</v>
      </c>
      <c r="O161" s="798">
        <f>O163/$O$1</f>
        <v>455.31897940250769</v>
      </c>
      <c r="P161" s="793">
        <v>455.32</v>
      </c>
      <c r="Q161" s="793">
        <v>455.32</v>
      </c>
      <c r="R161" s="793">
        <v>455.32</v>
      </c>
      <c r="S161" s="793">
        <v>455.32</v>
      </c>
      <c r="T161" s="799">
        <v>594</v>
      </c>
      <c r="U161" s="800">
        <v>594</v>
      </c>
      <c r="V161" s="800">
        <v>594</v>
      </c>
      <c r="W161" s="801">
        <v>594</v>
      </c>
      <c r="X161" s="4462">
        <v>594</v>
      </c>
      <c r="Y161" s="4462"/>
      <c r="Z161" s="801">
        <v>594</v>
      </c>
      <c r="AA161" s="801">
        <v>594</v>
      </c>
      <c r="AB161" s="799">
        <v>617</v>
      </c>
      <c r="AC161" s="799">
        <v>640</v>
      </c>
      <c r="AD161" s="801">
        <v>640</v>
      </c>
      <c r="AE161" s="802" t="s">
        <v>285</v>
      </c>
    </row>
    <row r="162" spans="1:31">
      <c r="A162" s="803"/>
      <c r="B162" s="804"/>
      <c r="C162" s="805"/>
      <c r="D162" s="805"/>
      <c r="E162" s="805"/>
      <c r="F162" s="806" t="s">
        <v>279</v>
      </c>
      <c r="G162" s="807"/>
      <c r="H162" s="808"/>
      <c r="I162" s="809"/>
      <c r="J162" s="809"/>
      <c r="K162" s="806" t="s">
        <v>280</v>
      </c>
      <c r="L162" s="810"/>
      <c r="M162" s="806" t="s">
        <v>281</v>
      </c>
      <c r="N162" s="810"/>
      <c r="O162" s="810"/>
      <c r="P162" s="805"/>
      <c r="Q162" s="805"/>
      <c r="R162" s="805"/>
      <c r="S162" s="805"/>
      <c r="T162" s="811"/>
      <c r="U162" s="812"/>
      <c r="V162" s="812"/>
      <c r="W162" s="813"/>
      <c r="X162" s="4463"/>
      <c r="Y162" s="4463"/>
      <c r="Z162" s="813"/>
      <c r="AA162" s="813"/>
      <c r="AB162" s="813"/>
      <c r="AC162" s="813"/>
      <c r="AD162" s="813"/>
      <c r="AE162" s="814"/>
    </row>
    <row r="163" spans="1:31">
      <c r="A163" s="815" t="s">
        <v>286</v>
      </c>
      <c r="B163" s="816">
        <v>210</v>
      </c>
      <c r="C163" s="817">
        <v>210</v>
      </c>
      <c r="D163" s="817">
        <v>210</v>
      </c>
      <c r="E163" s="817">
        <v>210</v>
      </c>
      <c r="F163" s="818">
        <v>255</v>
      </c>
      <c r="G163" s="819">
        <v>281</v>
      </c>
      <c r="H163" s="817">
        <v>281</v>
      </c>
      <c r="I163" s="819">
        <v>294</v>
      </c>
      <c r="J163" s="819">
        <v>297</v>
      </c>
      <c r="K163" s="819">
        <v>300</v>
      </c>
      <c r="L163" s="820">
        <v>300</v>
      </c>
      <c r="M163" s="818">
        <v>320</v>
      </c>
      <c r="N163" s="817">
        <v>320</v>
      </c>
      <c r="O163" s="817">
        <v>320</v>
      </c>
      <c r="P163" s="817"/>
      <c r="Q163" s="817"/>
      <c r="R163" s="817"/>
      <c r="S163" s="817"/>
      <c r="T163" s="817"/>
      <c r="U163" s="817"/>
      <c r="V163" s="817"/>
      <c r="W163" s="820"/>
      <c r="X163" s="4455"/>
      <c r="Y163" s="4455"/>
      <c r="Z163" s="820"/>
      <c r="AA163" s="820"/>
      <c r="AB163" s="820"/>
      <c r="AC163" s="820"/>
      <c r="AD163" s="820"/>
      <c r="AE163" s="821" t="s">
        <v>287</v>
      </c>
    </row>
    <row r="164" spans="1:31">
      <c r="A164" s="822"/>
      <c r="B164" s="823"/>
      <c r="C164" s="824"/>
      <c r="D164" s="824"/>
      <c r="E164" s="824"/>
      <c r="F164" s="825" t="s">
        <v>279</v>
      </c>
      <c r="G164" s="826"/>
      <c r="H164" s="824"/>
      <c r="I164" s="826"/>
      <c r="J164" s="826"/>
      <c r="K164" s="825" t="s">
        <v>280</v>
      </c>
      <c r="L164" s="827"/>
      <c r="M164" s="825" t="s">
        <v>281</v>
      </c>
      <c r="N164" s="824"/>
      <c r="O164" s="824"/>
      <c r="P164" s="824"/>
      <c r="Q164" s="824"/>
      <c r="R164" s="824"/>
      <c r="S164" s="824"/>
      <c r="T164" s="824"/>
      <c r="U164" s="824"/>
      <c r="V164" s="824"/>
      <c r="W164" s="827"/>
      <c r="X164" s="4457"/>
      <c r="Y164" s="4457"/>
      <c r="Z164" s="827"/>
      <c r="AA164" s="827"/>
      <c r="AB164" s="827"/>
      <c r="AC164" s="827"/>
      <c r="AD164" s="827"/>
      <c r="AE164" s="828"/>
    </row>
    <row r="165" spans="1:31" ht="40.5" customHeight="1">
      <c r="A165" s="829" t="s">
        <v>288</v>
      </c>
      <c r="B165" s="830" t="s">
        <v>18</v>
      </c>
      <c r="C165" s="831" t="s">
        <v>18</v>
      </c>
      <c r="D165" s="831" t="s">
        <v>18</v>
      </c>
      <c r="E165" s="831" t="s">
        <v>18</v>
      </c>
      <c r="F165" s="831" t="s">
        <v>18</v>
      </c>
      <c r="G165" s="831" t="s">
        <v>18</v>
      </c>
      <c r="H165" s="831" t="s">
        <v>18</v>
      </c>
      <c r="I165" s="832">
        <f>I167/$O$1</f>
        <v>44.820462034934351</v>
      </c>
      <c r="J165" s="833" t="s">
        <v>289</v>
      </c>
      <c r="K165" s="834" t="s">
        <v>290</v>
      </c>
      <c r="L165" s="164">
        <f>L167/$O$1</f>
        <v>114.82575511806991</v>
      </c>
      <c r="M165" s="832">
        <f>M167/$O$1</f>
        <v>123.36298598186693</v>
      </c>
      <c r="N165" s="164">
        <f>N167/$O$1</f>
        <v>123.36298598186693</v>
      </c>
      <c r="O165" s="164">
        <f>O167/$O$1</f>
        <v>123.36298598186693</v>
      </c>
      <c r="P165" s="164">
        <v>123.36</v>
      </c>
      <c r="Q165" s="164">
        <v>123.36</v>
      </c>
      <c r="R165" s="765">
        <v>131</v>
      </c>
      <c r="S165" s="766">
        <v>131</v>
      </c>
      <c r="T165" s="835">
        <f>T157*30%</f>
        <v>142.79999999999998</v>
      </c>
      <c r="U165" s="836">
        <f>U157*30%</f>
        <v>142.79999999999998</v>
      </c>
      <c r="V165" s="835">
        <f>V157*30%</f>
        <v>152.69999999999999</v>
      </c>
      <c r="W165" s="837" t="s">
        <v>291</v>
      </c>
      <c r="X165" s="4464">
        <v>360</v>
      </c>
      <c r="Y165" s="4464"/>
      <c r="Z165" s="838">
        <v>360</v>
      </c>
      <c r="AA165" s="838">
        <v>360</v>
      </c>
      <c r="AB165" s="838">
        <v>360</v>
      </c>
      <c r="AC165" s="838">
        <v>360</v>
      </c>
      <c r="AD165" s="838">
        <v>360</v>
      </c>
      <c r="AE165" s="839" t="s">
        <v>292</v>
      </c>
    </row>
    <row r="166" spans="1:31" ht="16.5" customHeight="1">
      <c r="A166" s="840"/>
      <c r="B166" s="841"/>
      <c r="C166" s="842"/>
      <c r="D166" s="842"/>
      <c r="E166" s="842"/>
      <c r="F166" s="842"/>
      <c r="G166" s="842"/>
      <c r="H166" s="842"/>
      <c r="I166" s="771" t="s">
        <v>29</v>
      </c>
      <c r="J166" s="843"/>
      <c r="K166" s="771" t="s">
        <v>280</v>
      </c>
      <c r="L166" s="770"/>
      <c r="M166" s="771" t="s">
        <v>29</v>
      </c>
      <c r="N166" s="770"/>
      <c r="O166" s="770"/>
      <c r="P166" s="770"/>
      <c r="Q166" s="770"/>
      <c r="R166" s="773"/>
      <c r="S166" s="774"/>
      <c r="T166" s="844"/>
      <c r="U166" s="845"/>
      <c r="V166" s="844"/>
      <c r="W166" s="845"/>
      <c r="X166" s="4460"/>
      <c r="Y166" s="4460"/>
      <c r="Z166" s="845"/>
      <c r="AA166" s="845"/>
      <c r="AB166" s="845"/>
      <c r="AC166" s="845"/>
      <c r="AD166" s="845"/>
      <c r="AE166" s="846"/>
    </row>
    <row r="167" spans="1:31" ht="36.75" customHeight="1">
      <c r="A167" s="776" t="s">
        <v>293</v>
      </c>
      <c r="B167" s="847"/>
      <c r="C167" s="848"/>
      <c r="D167" s="848"/>
      <c r="E167" s="848"/>
      <c r="F167" s="848"/>
      <c r="G167" s="848"/>
      <c r="H167" s="848"/>
      <c r="I167" s="849">
        <v>31.5</v>
      </c>
      <c r="J167" s="850" t="s">
        <v>294</v>
      </c>
      <c r="K167" s="850" t="s">
        <v>295</v>
      </c>
      <c r="L167" s="851">
        <v>80.7</v>
      </c>
      <c r="M167" s="852">
        <v>86.7</v>
      </c>
      <c r="N167" s="851">
        <v>86.7</v>
      </c>
      <c r="O167" s="851">
        <v>86.7</v>
      </c>
      <c r="P167" s="853"/>
      <c r="Q167" s="853"/>
      <c r="R167" s="853"/>
      <c r="S167" s="853"/>
      <c r="T167" s="853"/>
      <c r="U167" s="854"/>
      <c r="V167" s="854"/>
      <c r="W167" s="855"/>
      <c r="X167" s="4346"/>
      <c r="Y167" s="4346"/>
      <c r="Z167" s="853"/>
      <c r="AA167" s="853"/>
      <c r="AB167" s="853"/>
      <c r="AC167" s="853"/>
      <c r="AD167" s="853"/>
      <c r="AE167" s="781" t="s">
        <v>296</v>
      </c>
    </row>
    <row r="168" spans="1:31" ht="15.75" customHeight="1">
      <c r="A168" s="782"/>
      <c r="B168" s="856"/>
      <c r="C168" s="857"/>
      <c r="D168" s="857"/>
      <c r="E168" s="857"/>
      <c r="F168" s="857"/>
      <c r="G168" s="857"/>
      <c r="H168" s="857"/>
      <c r="I168" s="785" t="s">
        <v>29</v>
      </c>
      <c r="J168" s="858"/>
      <c r="K168" s="785" t="s">
        <v>280</v>
      </c>
      <c r="L168" s="859"/>
      <c r="M168" s="785" t="s">
        <v>29</v>
      </c>
      <c r="N168" s="859"/>
      <c r="O168" s="859"/>
      <c r="P168" s="860"/>
      <c r="Q168" s="860"/>
      <c r="R168" s="860"/>
      <c r="S168" s="860"/>
      <c r="T168" s="860"/>
      <c r="U168" s="861"/>
      <c r="V168" s="861"/>
      <c r="W168" s="862"/>
      <c r="X168" s="4347"/>
      <c r="Y168" s="4347"/>
      <c r="Z168" s="860"/>
      <c r="AA168" s="860"/>
      <c r="AB168" s="860"/>
      <c r="AC168" s="860"/>
      <c r="AD168" s="860"/>
      <c r="AE168" s="790"/>
    </row>
    <row r="169" spans="1:31">
      <c r="A169" s="863" t="s">
        <v>297</v>
      </c>
      <c r="B169" s="864">
        <f t="shared" ref="B169:O169" si="52">B172/$O$1</f>
        <v>184.97333538226874</v>
      </c>
      <c r="C169" s="865">
        <f t="shared" si="52"/>
        <v>142.28718106328364</v>
      </c>
      <c r="D169" s="865">
        <f t="shared" si="52"/>
        <v>142.28718106328364</v>
      </c>
      <c r="E169" s="865">
        <f t="shared" si="52"/>
        <v>142.28718106328364</v>
      </c>
      <c r="F169" s="866">
        <f t="shared" si="52"/>
        <v>210.58502797365981</v>
      </c>
      <c r="G169" s="867">
        <f t="shared" si="52"/>
        <v>233.35097694378518</v>
      </c>
      <c r="H169" s="868">
        <f t="shared" si="52"/>
        <v>233.35097694378518</v>
      </c>
      <c r="I169" s="869">
        <f t="shared" si="52"/>
        <v>253.27118229264491</v>
      </c>
      <c r="J169" s="869">
        <f t="shared" si="52"/>
        <v>274.61425945213745</v>
      </c>
      <c r="K169" s="869">
        <f t="shared" si="52"/>
        <v>332.95200368808372</v>
      </c>
      <c r="L169" s="870">
        <f t="shared" si="52"/>
        <v>332.95200368808372</v>
      </c>
      <c r="M169" s="870">
        <f t="shared" si="52"/>
        <v>332.95200368808372</v>
      </c>
      <c r="N169" s="870">
        <f t="shared" si="52"/>
        <v>332.95200368808372</v>
      </c>
      <c r="O169" s="870">
        <f t="shared" si="52"/>
        <v>332.95200368808372</v>
      </c>
      <c r="P169" s="868">
        <v>332.95</v>
      </c>
      <c r="Q169" s="868">
        <v>332.95</v>
      </c>
      <c r="R169" s="871">
        <v>341</v>
      </c>
      <c r="S169" s="872">
        <v>341</v>
      </c>
      <c r="T169" s="871">
        <v>372</v>
      </c>
      <c r="U169" s="873">
        <v>372</v>
      </c>
      <c r="V169" s="871">
        <v>414</v>
      </c>
      <c r="W169" s="872">
        <v>414</v>
      </c>
      <c r="X169" s="4432">
        <v>414</v>
      </c>
      <c r="Y169" s="4432"/>
      <c r="Z169" s="872">
        <v>414</v>
      </c>
      <c r="AA169" s="872">
        <v>414</v>
      </c>
      <c r="AB169" s="875">
        <v>440.5</v>
      </c>
      <c r="AC169" s="871">
        <v>467</v>
      </c>
      <c r="AD169" s="872">
        <v>467</v>
      </c>
      <c r="AE169" s="876" t="s">
        <v>298</v>
      </c>
    </row>
    <row r="170" spans="1:31" ht="12.75" customHeight="1">
      <c r="A170" s="863"/>
      <c r="B170" s="877">
        <f>B173/$O$1</f>
        <v>142.28718106328364</v>
      </c>
      <c r="C170" s="865"/>
      <c r="D170" s="865"/>
      <c r="E170" s="865"/>
      <c r="F170" s="878" t="s">
        <v>279</v>
      </c>
      <c r="G170" s="867"/>
      <c r="H170" s="868"/>
      <c r="I170" s="869"/>
      <c r="J170" s="869"/>
      <c r="K170" s="878" t="s">
        <v>280</v>
      </c>
      <c r="L170" s="870"/>
      <c r="M170" s="870"/>
      <c r="N170" s="870"/>
      <c r="O170" s="870"/>
      <c r="P170" s="868"/>
      <c r="Q170" s="868"/>
      <c r="R170" s="871"/>
      <c r="S170" s="872"/>
      <c r="T170" s="871"/>
      <c r="U170" s="873"/>
      <c r="V170" s="871"/>
      <c r="W170" s="872"/>
      <c r="X170" s="4425"/>
      <c r="Y170" s="4425"/>
      <c r="Z170" s="872"/>
      <c r="AA170" s="872"/>
      <c r="AB170" s="872"/>
      <c r="AC170" s="872"/>
      <c r="AD170" s="872"/>
      <c r="AE170" s="876"/>
    </row>
    <row r="171" spans="1:31" ht="13.5" customHeight="1">
      <c r="A171" s="803"/>
      <c r="B171" s="879" t="s">
        <v>299</v>
      </c>
      <c r="C171" s="805"/>
      <c r="D171" s="805"/>
      <c r="E171" s="805"/>
      <c r="F171" s="880"/>
      <c r="G171" s="807"/>
      <c r="H171" s="808"/>
      <c r="I171" s="809"/>
      <c r="J171" s="809"/>
      <c r="K171" s="809"/>
      <c r="L171" s="810"/>
      <c r="M171" s="810"/>
      <c r="N171" s="810"/>
      <c r="O171" s="810"/>
      <c r="P171" s="808"/>
      <c r="Q171" s="808"/>
      <c r="R171" s="881"/>
      <c r="S171" s="882"/>
      <c r="T171" s="881"/>
      <c r="U171" s="883"/>
      <c r="V171" s="881"/>
      <c r="W171" s="882"/>
      <c r="X171" s="4433"/>
      <c r="Y171" s="4433"/>
      <c r="Z171" s="882"/>
      <c r="AA171" s="882"/>
      <c r="AB171" s="882"/>
      <c r="AC171" s="882"/>
      <c r="AD171" s="882"/>
      <c r="AE171" s="814"/>
    </row>
    <row r="172" spans="1:31">
      <c r="A172" s="815" t="s">
        <v>300</v>
      </c>
      <c r="B172" s="884">
        <v>130</v>
      </c>
      <c r="C172" s="817">
        <v>100</v>
      </c>
      <c r="D172" s="817">
        <v>100</v>
      </c>
      <c r="E172" s="817">
        <v>100</v>
      </c>
      <c r="F172" s="818">
        <v>148</v>
      </c>
      <c r="G172" s="819">
        <v>164</v>
      </c>
      <c r="H172" s="820">
        <v>164</v>
      </c>
      <c r="I172" s="819">
        <v>178</v>
      </c>
      <c r="J172" s="819">
        <v>193</v>
      </c>
      <c r="K172" s="819">
        <v>234</v>
      </c>
      <c r="L172" s="820">
        <v>234</v>
      </c>
      <c r="M172" s="820">
        <v>234</v>
      </c>
      <c r="N172" s="820">
        <v>234</v>
      </c>
      <c r="O172" s="820">
        <v>234</v>
      </c>
      <c r="P172" s="820"/>
      <c r="Q172" s="820"/>
      <c r="R172" s="820"/>
      <c r="S172" s="820"/>
      <c r="T172" s="820"/>
      <c r="U172" s="885"/>
      <c r="V172" s="885"/>
      <c r="W172" s="886"/>
      <c r="X172" s="4455"/>
      <c r="Y172" s="4455"/>
      <c r="Z172" s="820"/>
      <c r="AA172" s="820"/>
      <c r="AB172" s="820"/>
      <c r="AC172" s="820"/>
      <c r="AD172" s="820"/>
      <c r="AE172" s="821" t="s">
        <v>301</v>
      </c>
    </row>
    <row r="173" spans="1:31">
      <c r="A173" s="887"/>
      <c r="B173" s="888">
        <v>100</v>
      </c>
      <c r="C173" s="889"/>
      <c r="D173" s="889"/>
      <c r="E173" s="889"/>
      <c r="F173" s="878" t="s">
        <v>279</v>
      </c>
      <c r="G173" s="890"/>
      <c r="H173" s="891"/>
      <c r="I173" s="890"/>
      <c r="J173" s="890"/>
      <c r="K173" s="878" t="s">
        <v>280</v>
      </c>
      <c r="L173" s="891"/>
      <c r="M173" s="891"/>
      <c r="N173" s="891"/>
      <c r="O173" s="891"/>
      <c r="P173" s="891"/>
      <c r="Q173" s="891"/>
      <c r="R173" s="891"/>
      <c r="S173" s="891"/>
      <c r="T173" s="891"/>
      <c r="U173" s="892"/>
      <c r="V173" s="892"/>
      <c r="W173" s="893"/>
      <c r="X173" s="4456"/>
      <c r="Y173" s="4456"/>
      <c r="Z173" s="891"/>
      <c r="AA173" s="891"/>
      <c r="AB173" s="891"/>
      <c r="AC173" s="891"/>
      <c r="AD173" s="891"/>
      <c r="AE173" s="894"/>
    </row>
    <row r="174" spans="1:31">
      <c r="A174" s="822"/>
      <c r="B174" s="895" t="s">
        <v>299</v>
      </c>
      <c r="C174" s="824"/>
      <c r="D174" s="824"/>
      <c r="E174" s="824"/>
      <c r="F174" s="896"/>
      <c r="G174" s="826"/>
      <c r="H174" s="827"/>
      <c r="I174" s="826"/>
      <c r="J174" s="826"/>
      <c r="K174" s="826"/>
      <c r="L174" s="827"/>
      <c r="M174" s="827"/>
      <c r="N174" s="827"/>
      <c r="O174" s="827"/>
      <c r="P174" s="827"/>
      <c r="Q174" s="827"/>
      <c r="R174" s="827"/>
      <c r="S174" s="827"/>
      <c r="T174" s="827"/>
      <c r="U174" s="897"/>
      <c r="V174" s="897"/>
      <c r="W174" s="898"/>
      <c r="X174" s="4457"/>
      <c r="Y174" s="4457"/>
      <c r="Z174" s="827"/>
      <c r="AA174" s="827"/>
      <c r="AB174" s="827"/>
      <c r="AC174" s="827"/>
      <c r="AD174" s="827"/>
      <c r="AE174" s="828"/>
    </row>
    <row r="175" spans="1:31">
      <c r="A175" s="762" t="s">
        <v>302</v>
      </c>
      <c r="B175" s="899">
        <f t="shared" ref="B175:O175" si="53">B178/$O$1</f>
        <v>184.97333538226874</v>
      </c>
      <c r="C175" s="900">
        <f t="shared" si="53"/>
        <v>142.28718106328364</v>
      </c>
      <c r="D175" s="900">
        <f t="shared" si="53"/>
        <v>142.28718106328364</v>
      </c>
      <c r="E175" s="900">
        <f t="shared" si="53"/>
        <v>142.28718106328364</v>
      </c>
      <c r="F175" s="764">
        <f t="shared" si="53"/>
        <v>210.58502797365981</v>
      </c>
      <c r="G175" s="163">
        <f t="shared" si="53"/>
        <v>233.35097694378518</v>
      </c>
      <c r="H175" s="164">
        <f t="shared" si="53"/>
        <v>233.35097694378518</v>
      </c>
      <c r="I175" s="901">
        <f t="shared" si="53"/>
        <v>253.27118229264491</v>
      </c>
      <c r="J175" s="901">
        <f t="shared" si="53"/>
        <v>274.61425945213745</v>
      </c>
      <c r="K175" s="901">
        <f t="shared" si="53"/>
        <v>332.95200368808372</v>
      </c>
      <c r="L175" s="902">
        <f t="shared" si="53"/>
        <v>332.95200368808372</v>
      </c>
      <c r="M175" s="902">
        <f t="shared" si="53"/>
        <v>332.95200368808372</v>
      </c>
      <c r="N175" s="902">
        <f t="shared" si="53"/>
        <v>332.95200368808372</v>
      </c>
      <c r="O175" s="902">
        <f t="shared" si="53"/>
        <v>332.95200368808372</v>
      </c>
      <c r="P175" s="164">
        <v>332.95</v>
      </c>
      <c r="Q175" s="164">
        <v>332.95</v>
      </c>
      <c r="R175" s="765">
        <v>341</v>
      </c>
      <c r="S175" s="766">
        <v>341</v>
      </c>
      <c r="T175" s="765">
        <v>372</v>
      </c>
      <c r="U175" s="903">
        <v>372</v>
      </c>
      <c r="V175" s="765">
        <v>414</v>
      </c>
      <c r="W175" s="766">
        <v>414</v>
      </c>
      <c r="X175" s="4458">
        <v>414</v>
      </c>
      <c r="Y175" s="4458"/>
      <c r="Z175" s="766">
        <v>414</v>
      </c>
      <c r="AA175" s="766">
        <v>414</v>
      </c>
      <c r="AB175" s="765">
        <v>439</v>
      </c>
      <c r="AC175" s="765">
        <v>464</v>
      </c>
      <c r="AD175" s="766">
        <v>464</v>
      </c>
      <c r="AE175" s="767" t="s">
        <v>303</v>
      </c>
    </row>
    <row r="176" spans="1:31">
      <c r="A176" s="904"/>
      <c r="B176" s="905">
        <f>B179/$O$1</f>
        <v>142.28718106328364</v>
      </c>
      <c r="C176" s="906"/>
      <c r="D176" s="906"/>
      <c r="E176" s="906"/>
      <c r="F176" s="907" t="s">
        <v>279</v>
      </c>
      <c r="G176" s="908"/>
      <c r="H176" s="909"/>
      <c r="I176" s="910"/>
      <c r="J176" s="910"/>
      <c r="K176" s="907" t="s">
        <v>280</v>
      </c>
      <c r="L176" s="911"/>
      <c r="M176" s="911"/>
      <c r="N176" s="911"/>
      <c r="O176" s="911"/>
      <c r="P176" s="909"/>
      <c r="Q176" s="909"/>
      <c r="R176" s="912"/>
      <c r="S176" s="913"/>
      <c r="T176" s="912"/>
      <c r="U176" s="914"/>
      <c r="V176" s="912"/>
      <c r="W176" s="913"/>
      <c r="X176" s="4459"/>
      <c r="Y176" s="4459"/>
      <c r="Z176" s="913"/>
      <c r="AA176" s="913"/>
      <c r="AB176" s="913"/>
      <c r="AC176" s="913"/>
      <c r="AD176" s="913"/>
      <c r="AE176" s="915"/>
    </row>
    <row r="177" spans="1:31">
      <c r="A177" s="768"/>
      <c r="B177" s="916" t="s">
        <v>299</v>
      </c>
      <c r="C177" s="917"/>
      <c r="D177" s="917"/>
      <c r="E177" s="917"/>
      <c r="F177" s="918"/>
      <c r="G177" s="772"/>
      <c r="H177" s="770"/>
      <c r="I177" s="919"/>
      <c r="J177" s="919"/>
      <c r="K177" s="919"/>
      <c r="L177" s="920"/>
      <c r="M177" s="920"/>
      <c r="N177" s="920"/>
      <c r="O177" s="920"/>
      <c r="P177" s="770"/>
      <c r="Q177" s="770"/>
      <c r="R177" s="773"/>
      <c r="S177" s="774"/>
      <c r="T177" s="773"/>
      <c r="U177" s="921"/>
      <c r="V177" s="773"/>
      <c r="W177" s="774"/>
      <c r="X177" s="4444"/>
      <c r="Y177" s="4444"/>
      <c r="Z177" s="774"/>
      <c r="AA177" s="774"/>
      <c r="AB177" s="774"/>
      <c r="AC177" s="774"/>
      <c r="AD177" s="774"/>
      <c r="AE177" s="775"/>
    </row>
    <row r="178" spans="1:31">
      <c r="A178" s="776" t="s">
        <v>304</v>
      </c>
      <c r="B178" s="777">
        <v>130</v>
      </c>
      <c r="C178" s="233">
        <v>100</v>
      </c>
      <c r="D178" s="233">
        <v>100</v>
      </c>
      <c r="E178" s="233">
        <v>100</v>
      </c>
      <c r="F178" s="779">
        <v>148</v>
      </c>
      <c r="G178" s="234">
        <v>164</v>
      </c>
      <c r="H178" s="235">
        <v>164</v>
      </c>
      <c r="I178" s="234">
        <v>178</v>
      </c>
      <c r="J178" s="234">
        <v>193</v>
      </c>
      <c r="K178" s="234">
        <v>234</v>
      </c>
      <c r="L178" s="235">
        <v>234</v>
      </c>
      <c r="M178" s="235">
        <v>234</v>
      </c>
      <c r="N178" s="235">
        <v>234</v>
      </c>
      <c r="O178" s="235">
        <v>234</v>
      </c>
      <c r="P178" s="853"/>
      <c r="Q178" s="853"/>
      <c r="R178" s="853"/>
      <c r="S178" s="853"/>
      <c r="T178" s="853"/>
      <c r="U178" s="854"/>
      <c r="V178" s="854"/>
      <c r="W178" s="855"/>
      <c r="X178" s="4346"/>
      <c r="Y178" s="4346"/>
      <c r="Z178" s="853"/>
      <c r="AA178" s="853"/>
      <c r="AB178" s="853"/>
      <c r="AC178" s="853"/>
      <c r="AD178" s="853"/>
      <c r="AE178" s="781" t="s">
        <v>305</v>
      </c>
    </row>
    <row r="179" spans="1:31">
      <c r="A179" s="922"/>
      <c r="B179" s="923">
        <v>100</v>
      </c>
      <c r="C179" s="924"/>
      <c r="D179" s="924"/>
      <c r="E179" s="924"/>
      <c r="F179" s="907" t="s">
        <v>279</v>
      </c>
      <c r="G179" s="925"/>
      <c r="H179" s="926"/>
      <c r="I179" s="925"/>
      <c r="J179" s="925"/>
      <c r="K179" s="907" t="s">
        <v>280</v>
      </c>
      <c r="L179" s="926"/>
      <c r="M179" s="926"/>
      <c r="N179" s="926"/>
      <c r="O179" s="926"/>
      <c r="P179" s="927"/>
      <c r="Q179" s="927"/>
      <c r="R179" s="927"/>
      <c r="S179" s="927"/>
      <c r="T179" s="927"/>
      <c r="U179" s="928"/>
      <c r="V179" s="928"/>
      <c r="W179" s="929"/>
      <c r="X179" s="4351"/>
      <c r="Y179" s="4351"/>
      <c r="Z179" s="927"/>
      <c r="AA179" s="927"/>
      <c r="AB179" s="927"/>
      <c r="AC179" s="927"/>
      <c r="AD179" s="927"/>
      <c r="AE179" s="930"/>
    </row>
    <row r="180" spans="1:31">
      <c r="A180" s="782"/>
      <c r="B180" s="931" t="s">
        <v>299</v>
      </c>
      <c r="C180" s="787"/>
      <c r="D180" s="787"/>
      <c r="E180" s="787"/>
      <c r="F180" s="789"/>
      <c r="G180" s="786"/>
      <c r="H180" s="788"/>
      <c r="I180" s="786"/>
      <c r="J180" s="786"/>
      <c r="K180" s="786"/>
      <c r="L180" s="788"/>
      <c r="M180" s="788"/>
      <c r="N180" s="788"/>
      <c r="O180" s="788"/>
      <c r="P180" s="860"/>
      <c r="Q180" s="860"/>
      <c r="R180" s="860"/>
      <c r="S180" s="860"/>
      <c r="T180" s="860"/>
      <c r="U180" s="861"/>
      <c r="V180" s="861"/>
      <c r="W180" s="862"/>
      <c r="X180" s="4347"/>
      <c r="Y180" s="4347"/>
      <c r="Z180" s="860"/>
      <c r="AA180" s="860"/>
      <c r="AB180" s="860"/>
      <c r="AC180" s="860"/>
      <c r="AD180" s="860"/>
      <c r="AE180" s="790"/>
    </row>
    <row r="181" spans="1:31" s="942" customFormat="1">
      <c r="A181" s="932" t="s">
        <v>306</v>
      </c>
      <c r="B181" s="933"/>
      <c r="C181" s="934"/>
      <c r="D181" s="934"/>
      <c r="E181" s="935">
        <f>E183/$O$1</f>
        <v>71.14359053164182</v>
      </c>
      <c r="F181" s="936">
        <f>F183/$O$1</f>
        <v>108.13825760809557</v>
      </c>
      <c r="G181" s="937">
        <f t="shared" ref="G181:O181" si="54">G183/$O$1</f>
        <v>118.09836028252543</v>
      </c>
      <c r="H181" s="938">
        <f t="shared" si="54"/>
        <v>118.09836028252543</v>
      </c>
      <c r="I181" s="937">
        <f t="shared" si="54"/>
        <v>123.78984752505677</v>
      </c>
      <c r="J181" s="938">
        <f t="shared" si="54"/>
        <v>123.78984752505677</v>
      </c>
      <c r="K181" s="937">
        <f t="shared" si="54"/>
        <v>128.05846295695528</v>
      </c>
      <c r="L181" s="938">
        <f t="shared" si="54"/>
        <v>128.05846295695528</v>
      </c>
      <c r="M181" s="938">
        <f t="shared" si="54"/>
        <v>128.05846295695528</v>
      </c>
      <c r="N181" s="938">
        <f t="shared" si="54"/>
        <v>128.05846295695528</v>
      </c>
      <c r="O181" s="938">
        <f t="shared" si="54"/>
        <v>128.05846295695528</v>
      </c>
      <c r="P181" s="939">
        <v>161</v>
      </c>
      <c r="Q181" s="940">
        <v>161</v>
      </c>
      <c r="R181" s="939">
        <v>206</v>
      </c>
      <c r="S181" s="940">
        <v>206</v>
      </c>
      <c r="T181" s="939">
        <v>244</v>
      </c>
      <c r="U181" s="940">
        <v>244</v>
      </c>
      <c r="V181" s="939">
        <v>285</v>
      </c>
      <c r="W181" s="940">
        <v>285</v>
      </c>
      <c r="X181" s="4452">
        <v>285</v>
      </c>
      <c r="Y181" s="4452"/>
      <c r="Z181" s="940">
        <v>285</v>
      </c>
      <c r="AA181" s="940">
        <v>285</v>
      </c>
      <c r="AB181" s="939">
        <v>314</v>
      </c>
      <c r="AC181" s="939">
        <v>343</v>
      </c>
      <c r="AD181" s="940">
        <v>343</v>
      </c>
      <c r="AE181" s="941" t="s">
        <v>307</v>
      </c>
    </row>
    <row r="182" spans="1:31" s="942" customFormat="1">
      <c r="A182" s="943"/>
      <c r="B182" s="944"/>
      <c r="C182" s="945"/>
      <c r="D182" s="945"/>
      <c r="E182" s="946"/>
      <c r="F182" s="806" t="s">
        <v>279</v>
      </c>
      <c r="G182" s="947"/>
      <c r="H182" s="948"/>
      <c r="I182" s="947"/>
      <c r="J182" s="948"/>
      <c r="K182" s="947"/>
      <c r="L182" s="948"/>
      <c r="M182" s="948"/>
      <c r="N182" s="948"/>
      <c r="O182" s="948"/>
      <c r="P182" s="947"/>
      <c r="Q182" s="948"/>
      <c r="R182" s="947"/>
      <c r="S182" s="948"/>
      <c r="T182" s="947"/>
      <c r="U182" s="948"/>
      <c r="V182" s="947"/>
      <c r="W182" s="948"/>
      <c r="X182" s="4453"/>
      <c r="Y182" s="4453"/>
      <c r="Z182" s="948"/>
      <c r="AA182" s="948"/>
      <c r="AB182" s="948"/>
      <c r="AC182" s="948"/>
      <c r="AD182" s="948"/>
      <c r="AE182" s="949"/>
    </row>
    <row r="183" spans="1:31" s="942" customFormat="1">
      <c r="A183" s="950" t="s">
        <v>308</v>
      </c>
      <c r="B183" s="951"/>
      <c r="C183" s="952"/>
      <c r="D183" s="952"/>
      <c r="E183" s="953">
        <v>50</v>
      </c>
      <c r="F183" s="818">
        <v>76</v>
      </c>
      <c r="G183" s="954">
        <v>83</v>
      </c>
      <c r="H183" s="955">
        <v>83</v>
      </c>
      <c r="I183" s="954">
        <v>87</v>
      </c>
      <c r="J183" s="955">
        <v>87</v>
      </c>
      <c r="K183" s="954">
        <v>90</v>
      </c>
      <c r="L183" s="955">
        <v>90</v>
      </c>
      <c r="M183" s="955">
        <v>90</v>
      </c>
      <c r="N183" s="955">
        <v>90</v>
      </c>
      <c r="O183" s="955">
        <v>90</v>
      </c>
      <c r="P183" s="955"/>
      <c r="Q183" s="955"/>
      <c r="R183" s="955"/>
      <c r="S183" s="955"/>
      <c r="T183" s="955"/>
      <c r="U183" s="955"/>
      <c r="V183" s="955"/>
      <c r="W183" s="955"/>
      <c r="X183" s="4454"/>
      <c r="Y183" s="4454"/>
      <c r="Z183" s="955"/>
      <c r="AA183" s="955"/>
      <c r="AB183" s="955"/>
      <c r="AC183" s="955"/>
      <c r="AD183" s="955"/>
      <c r="AE183" s="956" t="s">
        <v>309</v>
      </c>
    </row>
    <row r="184" spans="1:31" s="942" customFormat="1">
      <c r="A184" s="957"/>
      <c r="B184" s="958"/>
      <c r="C184" s="959"/>
      <c r="D184" s="959"/>
      <c r="E184" s="960"/>
      <c r="F184" s="825" t="s">
        <v>279</v>
      </c>
      <c r="G184" s="961"/>
      <c r="H184" s="962"/>
      <c r="I184" s="961"/>
      <c r="J184" s="962"/>
      <c r="K184" s="961"/>
      <c r="L184" s="962"/>
      <c r="M184" s="962"/>
      <c r="N184" s="962"/>
      <c r="O184" s="962"/>
      <c r="P184" s="962"/>
      <c r="Q184" s="962"/>
      <c r="R184" s="962"/>
      <c r="S184" s="962"/>
      <c r="T184" s="962"/>
      <c r="U184" s="962"/>
      <c r="V184" s="962"/>
      <c r="W184" s="962"/>
      <c r="X184" s="4447"/>
      <c r="Y184" s="4447"/>
      <c r="Z184" s="962"/>
      <c r="AA184" s="962"/>
      <c r="AB184" s="962"/>
      <c r="AC184" s="962"/>
      <c r="AD184" s="962"/>
      <c r="AE184" s="963"/>
    </row>
    <row r="185" spans="1:31" ht="30" customHeight="1">
      <c r="A185" s="964" t="s">
        <v>310</v>
      </c>
      <c r="B185" s="965"/>
      <c r="C185" s="966"/>
      <c r="D185" s="966"/>
      <c r="E185" s="967"/>
      <c r="F185" s="968">
        <v>0</v>
      </c>
      <c r="G185" s="968">
        <v>0</v>
      </c>
      <c r="H185" s="968">
        <v>0</v>
      </c>
      <c r="I185" s="968">
        <v>0</v>
      </c>
      <c r="J185" s="968">
        <v>0</v>
      </c>
      <c r="K185" s="968">
        <v>0</v>
      </c>
      <c r="L185" s="968">
        <v>0</v>
      </c>
      <c r="M185" s="968">
        <v>0</v>
      </c>
      <c r="N185" s="968">
        <v>0</v>
      </c>
      <c r="O185" s="968">
        <v>0</v>
      </c>
      <c r="P185" s="968">
        <v>0</v>
      </c>
      <c r="Q185" s="968">
        <v>0</v>
      </c>
      <c r="R185" s="968">
        <v>0</v>
      </c>
      <c r="S185" s="968">
        <v>0</v>
      </c>
      <c r="T185" s="968">
        <v>0</v>
      </c>
      <c r="U185" s="968">
        <v>0</v>
      </c>
      <c r="V185" s="968">
        <v>0</v>
      </c>
      <c r="W185" s="968">
        <v>0</v>
      </c>
      <c r="X185" s="4448">
        <v>0</v>
      </c>
      <c r="Y185" s="4448"/>
      <c r="Z185" s="969">
        <v>0</v>
      </c>
      <c r="AA185" s="969">
        <v>0</v>
      </c>
      <c r="AB185" s="970">
        <v>44</v>
      </c>
      <c r="AC185" s="970">
        <v>88</v>
      </c>
      <c r="AD185" s="971">
        <v>88</v>
      </c>
      <c r="AE185" s="972" t="s">
        <v>311</v>
      </c>
    </row>
    <row r="186" spans="1:31">
      <c r="A186" s="973" t="s">
        <v>312</v>
      </c>
      <c r="B186" s="974"/>
      <c r="C186" s="975"/>
      <c r="D186" s="975"/>
      <c r="E186" s="976">
        <f>E188/O1</f>
        <v>9.9601026744298551</v>
      </c>
      <c r="F186" s="794">
        <f t="shared" ref="F186:O186" si="55">F188/$O$1</f>
        <v>12.805846295695529</v>
      </c>
      <c r="G186" s="795">
        <f t="shared" si="55"/>
        <v>14.228718106328365</v>
      </c>
      <c r="H186" s="796">
        <f t="shared" si="55"/>
        <v>14.228718106328365</v>
      </c>
      <c r="I186" s="797">
        <f t="shared" si="55"/>
        <v>15.651589916961202</v>
      </c>
      <c r="J186" s="796">
        <f t="shared" si="55"/>
        <v>15.651589916961202</v>
      </c>
      <c r="K186" s="796">
        <f t="shared" si="55"/>
        <v>15.651589916961202</v>
      </c>
      <c r="L186" s="796">
        <f t="shared" si="55"/>
        <v>15.651589916961202</v>
      </c>
      <c r="M186" s="796">
        <f t="shared" si="55"/>
        <v>15.651589916961202</v>
      </c>
      <c r="N186" s="796">
        <f t="shared" si="55"/>
        <v>15.651589916961202</v>
      </c>
      <c r="O186" s="796">
        <f t="shared" si="55"/>
        <v>15.651589916961202</v>
      </c>
      <c r="P186" s="796">
        <v>15.65</v>
      </c>
      <c r="Q186" s="796">
        <v>15.65</v>
      </c>
      <c r="R186" s="796">
        <v>15.65</v>
      </c>
      <c r="S186" s="796">
        <v>15.65</v>
      </c>
      <c r="T186" s="796">
        <v>15.65</v>
      </c>
      <c r="U186" s="796">
        <v>15.65</v>
      </c>
      <c r="V186" s="796">
        <v>15.65</v>
      </c>
      <c r="W186" s="796">
        <v>15.65</v>
      </c>
      <c r="X186" s="4449">
        <v>15.65</v>
      </c>
      <c r="Y186" s="4449"/>
      <c r="Z186" s="796">
        <v>15.65</v>
      </c>
      <c r="AA186" s="796">
        <v>15.65</v>
      </c>
      <c r="AB186" s="977">
        <v>67.5</v>
      </c>
      <c r="AC186" s="977">
        <v>109</v>
      </c>
      <c r="AD186" s="978">
        <v>109</v>
      </c>
      <c r="AE186" s="802" t="s">
        <v>313</v>
      </c>
    </row>
    <row r="187" spans="1:31">
      <c r="A187" s="979"/>
      <c r="B187" s="980"/>
      <c r="C187" s="981"/>
      <c r="D187" s="981"/>
      <c r="E187" s="982"/>
      <c r="F187" s="806" t="s">
        <v>279</v>
      </c>
      <c r="G187" s="807"/>
      <c r="H187" s="808"/>
      <c r="I187" s="809"/>
      <c r="J187" s="808"/>
      <c r="K187" s="808"/>
      <c r="L187" s="808"/>
      <c r="M187" s="808"/>
      <c r="N187" s="808"/>
      <c r="O187" s="808"/>
      <c r="P187" s="808"/>
      <c r="Q187" s="808"/>
      <c r="R187" s="808"/>
      <c r="S187" s="808"/>
      <c r="T187" s="808"/>
      <c r="U187" s="808"/>
      <c r="V187" s="808"/>
      <c r="W187" s="808"/>
      <c r="X187" s="4450"/>
      <c r="Y187" s="4450"/>
      <c r="Z187" s="808"/>
      <c r="AA187" s="808"/>
      <c r="AB187" s="808"/>
      <c r="AC187" s="808"/>
      <c r="AD187" s="808"/>
      <c r="AE187" s="814"/>
    </row>
    <row r="188" spans="1:31">
      <c r="A188" s="983" t="s">
        <v>314</v>
      </c>
      <c r="B188" s="984"/>
      <c r="C188" s="985"/>
      <c r="D188" s="985"/>
      <c r="E188" s="817">
        <v>7</v>
      </c>
      <c r="F188" s="818">
        <v>9</v>
      </c>
      <c r="G188" s="819">
        <v>10</v>
      </c>
      <c r="H188" s="820">
        <v>10</v>
      </c>
      <c r="I188" s="819">
        <v>11</v>
      </c>
      <c r="J188" s="820">
        <v>11</v>
      </c>
      <c r="K188" s="820">
        <v>11</v>
      </c>
      <c r="L188" s="820">
        <v>11</v>
      </c>
      <c r="M188" s="820">
        <v>11</v>
      </c>
      <c r="N188" s="820">
        <v>11</v>
      </c>
      <c r="O188" s="820">
        <v>11</v>
      </c>
      <c r="P188" s="986"/>
      <c r="Q188" s="986"/>
      <c r="R188" s="986"/>
      <c r="S188" s="986"/>
      <c r="T188" s="986"/>
      <c r="U188" s="987"/>
      <c r="V188" s="987"/>
      <c r="W188" s="988"/>
      <c r="X188" s="4438"/>
      <c r="Y188" s="4438"/>
      <c r="Z188" s="986"/>
      <c r="AA188" s="986"/>
      <c r="AB188" s="986"/>
      <c r="AC188" s="986"/>
      <c r="AD188" s="986"/>
      <c r="AE188" s="821" t="s">
        <v>315</v>
      </c>
    </row>
    <row r="189" spans="1:31">
      <c r="A189" s="989"/>
      <c r="B189" s="990"/>
      <c r="C189" s="991"/>
      <c r="D189" s="991"/>
      <c r="E189" s="824"/>
      <c r="F189" s="825" t="s">
        <v>279</v>
      </c>
      <c r="G189" s="826"/>
      <c r="H189" s="827"/>
      <c r="I189" s="826"/>
      <c r="J189" s="827"/>
      <c r="K189" s="827"/>
      <c r="L189" s="827"/>
      <c r="M189" s="827"/>
      <c r="N189" s="827"/>
      <c r="O189" s="827"/>
      <c r="P189" s="992"/>
      <c r="Q189" s="992"/>
      <c r="R189" s="992"/>
      <c r="S189" s="992"/>
      <c r="T189" s="992"/>
      <c r="U189" s="993"/>
      <c r="V189" s="993"/>
      <c r="W189" s="994"/>
      <c r="X189" s="4451"/>
      <c r="Y189" s="4451"/>
      <c r="Z189" s="992"/>
      <c r="AA189" s="992"/>
      <c r="AB189" s="992"/>
      <c r="AC189" s="992"/>
      <c r="AD189" s="992"/>
      <c r="AE189" s="828"/>
    </row>
    <row r="190" spans="1:31" ht="30" customHeight="1">
      <c r="A190" s="4391" t="s">
        <v>316</v>
      </c>
      <c r="B190" s="995"/>
      <c r="C190" s="996"/>
      <c r="D190" s="996"/>
      <c r="E190" s="997">
        <f t="shared" ref="E190:M190" si="56">E192/$O$1</f>
        <v>18.497333538226876</v>
      </c>
      <c r="F190" s="997">
        <f t="shared" si="56"/>
        <v>18.497333538226876</v>
      </c>
      <c r="G190" s="163">
        <f t="shared" si="56"/>
        <v>19.92020534885971</v>
      </c>
      <c r="H190" s="164">
        <f t="shared" si="56"/>
        <v>19.92020534885971</v>
      </c>
      <c r="I190" s="163">
        <f t="shared" si="56"/>
        <v>21.343077159492548</v>
      </c>
      <c r="J190" s="164">
        <f t="shared" si="56"/>
        <v>21.343077159492548</v>
      </c>
      <c r="K190" s="164">
        <f t="shared" si="56"/>
        <v>21.343077159492548</v>
      </c>
      <c r="L190" s="764">
        <f t="shared" si="56"/>
        <v>56.914872425313462</v>
      </c>
      <c r="M190" s="164">
        <f t="shared" si="56"/>
        <v>56.914872425313462</v>
      </c>
      <c r="N190" s="164">
        <v>56.914872425313462</v>
      </c>
      <c r="O190" s="164">
        <v>56.914872425313462</v>
      </c>
      <c r="P190" s="164">
        <v>56.914872425313462</v>
      </c>
      <c r="Q190" s="164">
        <v>56.914872425313462</v>
      </c>
      <c r="R190" s="164">
        <v>56.914872425313462</v>
      </c>
      <c r="S190" s="164">
        <v>56.914872425313462</v>
      </c>
      <c r="T190" s="164">
        <v>56.91</v>
      </c>
      <c r="U190" s="164">
        <v>56.91</v>
      </c>
      <c r="V190" s="164">
        <v>56.91</v>
      </c>
      <c r="W190" s="998" t="s">
        <v>317</v>
      </c>
      <c r="X190" s="4443">
        <v>60</v>
      </c>
      <c r="Y190" s="4443"/>
      <c r="Z190" s="999">
        <v>60</v>
      </c>
      <c r="AA190" s="1000">
        <v>60</v>
      </c>
      <c r="AB190" s="837">
        <v>108.5</v>
      </c>
      <c r="AC190" s="1001">
        <v>135</v>
      </c>
      <c r="AD190" s="1000">
        <v>135</v>
      </c>
      <c r="AE190" s="839" t="s">
        <v>318</v>
      </c>
    </row>
    <row r="191" spans="1:31">
      <c r="A191" s="4392"/>
      <c r="B191" s="1002"/>
      <c r="C191" s="1003"/>
      <c r="D191" s="1003"/>
      <c r="E191" s="1004"/>
      <c r="F191" s="1004"/>
      <c r="G191" s="772"/>
      <c r="H191" s="770"/>
      <c r="I191" s="772"/>
      <c r="J191" s="770"/>
      <c r="K191" s="770"/>
      <c r="L191" s="771" t="s">
        <v>29</v>
      </c>
      <c r="M191" s="770"/>
      <c r="N191" s="770"/>
      <c r="O191" s="770"/>
      <c r="P191" s="770"/>
      <c r="Q191" s="770"/>
      <c r="R191" s="770"/>
      <c r="S191" s="770"/>
      <c r="T191" s="770"/>
      <c r="U191" s="770"/>
      <c r="V191" s="770"/>
      <c r="W191" s="770"/>
      <c r="X191" s="4444"/>
      <c r="Y191" s="4444"/>
      <c r="Z191" s="774"/>
      <c r="AA191" s="774"/>
      <c r="AB191" s="774"/>
      <c r="AC191" s="774"/>
      <c r="AD191" s="774"/>
      <c r="AE191" s="846"/>
    </row>
    <row r="192" spans="1:31">
      <c r="A192" s="776" t="s">
        <v>319</v>
      </c>
      <c r="B192" s="847"/>
      <c r="C192" s="848"/>
      <c r="D192" s="848"/>
      <c r="E192" s="233">
        <v>13</v>
      </c>
      <c r="F192" s="233">
        <v>13</v>
      </c>
      <c r="G192" s="234">
        <v>14</v>
      </c>
      <c r="H192" s="235">
        <v>14</v>
      </c>
      <c r="I192" s="234">
        <v>15</v>
      </c>
      <c r="J192" s="235">
        <v>15</v>
      </c>
      <c r="K192" s="235">
        <v>15</v>
      </c>
      <c r="L192" s="779">
        <v>40</v>
      </c>
      <c r="M192" s="235">
        <v>40</v>
      </c>
      <c r="N192" s="235">
        <v>40</v>
      </c>
      <c r="O192" s="235">
        <v>40</v>
      </c>
      <c r="P192" s="853"/>
      <c r="Q192" s="853"/>
      <c r="R192" s="853"/>
      <c r="S192" s="853"/>
      <c r="T192" s="853"/>
      <c r="U192" s="854"/>
      <c r="V192" s="854"/>
      <c r="W192" s="855"/>
      <c r="X192" s="4346"/>
      <c r="Y192" s="4346"/>
      <c r="Z192" s="853"/>
      <c r="AA192" s="853"/>
      <c r="AB192" s="853"/>
      <c r="AC192" s="853"/>
      <c r="AD192" s="853"/>
      <c r="AE192" s="781" t="s">
        <v>320</v>
      </c>
    </row>
    <row r="193" spans="1:31">
      <c r="A193" s="782"/>
      <c r="B193" s="856"/>
      <c r="C193" s="857"/>
      <c r="D193" s="857"/>
      <c r="E193" s="787"/>
      <c r="F193" s="787"/>
      <c r="G193" s="786"/>
      <c r="H193" s="788"/>
      <c r="I193" s="786"/>
      <c r="J193" s="788"/>
      <c r="K193" s="788"/>
      <c r="L193" s="785" t="s">
        <v>29</v>
      </c>
      <c r="M193" s="788"/>
      <c r="N193" s="788"/>
      <c r="O193" s="788"/>
      <c r="P193" s="860"/>
      <c r="Q193" s="860"/>
      <c r="R193" s="860"/>
      <c r="S193" s="860"/>
      <c r="T193" s="860"/>
      <c r="U193" s="861"/>
      <c r="V193" s="861"/>
      <c r="W193" s="862"/>
      <c r="X193" s="4347"/>
      <c r="Y193" s="4347"/>
      <c r="Z193" s="860"/>
      <c r="AA193" s="860"/>
      <c r="AB193" s="860"/>
      <c r="AC193" s="860"/>
      <c r="AD193" s="860"/>
      <c r="AE193" s="790"/>
    </row>
    <row r="194" spans="1:31" ht="92.4">
      <c r="A194" s="1005" t="s">
        <v>321</v>
      </c>
      <c r="B194" s="1006"/>
      <c r="C194" s="1007"/>
      <c r="D194" s="1007"/>
      <c r="E194" s="1008">
        <v>18.497333538226876</v>
      </c>
      <c r="F194" s="1008">
        <v>18.497333538226876</v>
      </c>
      <c r="G194" s="1009">
        <v>19.92020534885971</v>
      </c>
      <c r="H194" s="1010">
        <v>19.92020534885971</v>
      </c>
      <c r="I194" s="1009">
        <v>21.343077159492548</v>
      </c>
      <c r="J194" s="1010">
        <v>21.343077159492548</v>
      </c>
      <c r="K194" s="1010">
        <v>21.343077159492548</v>
      </c>
      <c r="L194" s="1011">
        <v>56.91</v>
      </c>
      <c r="M194" s="1010">
        <v>56.914872425313462</v>
      </c>
      <c r="N194" s="1010">
        <v>56.914872425313462</v>
      </c>
      <c r="O194" s="1010">
        <v>56.914872425313462</v>
      </c>
      <c r="P194" s="1012">
        <v>56.914872425313462</v>
      </c>
      <c r="Q194" s="1012">
        <v>56.914872425313462</v>
      </c>
      <c r="R194" s="1012">
        <v>56.914872425313462</v>
      </c>
      <c r="S194" s="1012">
        <v>56.914872425313462</v>
      </c>
      <c r="T194" s="1012">
        <v>56.91</v>
      </c>
      <c r="U194" s="1012">
        <v>56.91</v>
      </c>
      <c r="V194" s="1012">
        <v>56.91</v>
      </c>
      <c r="W194" s="1013" t="s">
        <v>322</v>
      </c>
      <c r="X194" s="4445">
        <v>60</v>
      </c>
      <c r="Y194" s="4446"/>
      <c r="Z194" s="1014">
        <v>60</v>
      </c>
      <c r="AA194" s="1015" t="s">
        <v>323</v>
      </c>
      <c r="AB194" s="1016">
        <v>236</v>
      </c>
      <c r="AC194" s="1016">
        <v>324</v>
      </c>
      <c r="AD194" s="1017">
        <v>324</v>
      </c>
      <c r="AE194" s="1018" t="s">
        <v>324</v>
      </c>
    </row>
    <row r="195" spans="1:31" ht="24">
      <c r="A195" s="815" t="s">
        <v>319</v>
      </c>
      <c r="B195" s="1006"/>
      <c r="C195" s="1007"/>
      <c r="D195" s="1007"/>
      <c r="E195" s="889">
        <v>13</v>
      </c>
      <c r="F195" s="889">
        <v>13</v>
      </c>
      <c r="G195" s="890">
        <v>14</v>
      </c>
      <c r="H195" s="891">
        <v>14</v>
      </c>
      <c r="I195" s="890">
        <v>15</v>
      </c>
      <c r="J195" s="891">
        <v>15</v>
      </c>
      <c r="K195" s="891">
        <v>15</v>
      </c>
      <c r="L195" s="1019" t="s">
        <v>325</v>
      </c>
      <c r="M195" s="891">
        <v>40</v>
      </c>
      <c r="N195" s="891">
        <v>40</v>
      </c>
      <c r="O195" s="891">
        <v>40</v>
      </c>
      <c r="P195" s="868"/>
      <c r="Q195" s="868"/>
      <c r="R195" s="868"/>
      <c r="S195" s="868"/>
      <c r="T195" s="868"/>
      <c r="U195" s="868"/>
      <c r="V195" s="868"/>
      <c r="W195" s="988"/>
      <c r="X195" s="4438"/>
      <c r="Y195" s="4438"/>
      <c r="Z195" s="986"/>
      <c r="AA195" s="986"/>
      <c r="AB195" s="986"/>
      <c r="AC195" s="986"/>
      <c r="AD195" s="986"/>
      <c r="AE195" s="821" t="s">
        <v>320</v>
      </c>
    </row>
    <row r="196" spans="1:31" ht="30.75" customHeight="1">
      <c r="A196" s="4439" t="s">
        <v>326</v>
      </c>
      <c r="B196" s="1020" t="s">
        <v>18</v>
      </c>
      <c r="C196" s="1021" t="s">
        <v>18</v>
      </c>
      <c r="D196" s="1021" t="s">
        <v>18</v>
      </c>
      <c r="E196" s="1021" t="s">
        <v>18</v>
      </c>
      <c r="F196" s="1021" t="s">
        <v>18</v>
      </c>
      <c r="G196" s="1021" t="s">
        <v>18</v>
      </c>
      <c r="H196" s="1021" t="s">
        <v>18</v>
      </c>
      <c r="I196" s="1021" t="s">
        <v>18</v>
      </c>
      <c r="J196" s="1021" t="s">
        <v>18</v>
      </c>
      <c r="K196" s="1021" t="s">
        <v>18</v>
      </c>
      <c r="L196" s="1021" t="s">
        <v>18</v>
      </c>
      <c r="M196" s="1021" t="s">
        <v>18</v>
      </c>
      <c r="N196" s="1021" t="s">
        <v>18</v>
      </c>
      <c r="O196" s="1021" t="s">
        <v>18</v>
      </c>
      <c r="P196" s="1021" t="s">
        <v>18</v>
      </c>
      <c r="Q196" s="1022">
        <v>50</v>
      </c>
      <c r="R196" s="1023">
        <v>50</v>
      </c>
      <c r="S196" s="1023">
        <v>50</v>
      </c>
      <c r="T196" s="1024">
        <f>T169*15%</f>
        <v>55.8</v>
      </c>
      <c r="U196" s="1025">
        <f>U169*15%</f>
        <v>55.8</v>
      </c>
      <c r="V196" s="1024">
        <f>V169*15%</f>
        <v>62.099999999999994</v>
      </c>
      <c r="W196" s="1025">
        <f>W169*15%</f>
        <v>62.099999999999994</v>
      </c>
      <c r="X196" s="4441">
        <v>62.1</v>
      </c>
      <c r="Y196" s="4441"/>
      <c r="Z196" s="1025">
        <v>62.1</v>
      </c>
      <c r="AA196" s="1025">
        <v>62.1</v>
      </c>
      <c r="AB196" s="1024">
        <v>66.08</v>
      </c>
      <c r="AC196" s="1024">
        <v>70.05</v>
      </c>
      <c r="AD196" s="1025">
        <v>70.05</v>
      </c>
      <c r="AE196" s="1026" t="s">
        <v>327</v>
      </c>
    </row>
    <row r="197" spans="1:31">
      <c r="A197" s="4440"/>
      <c r="B197" s="1027"/>
      <c r="C197" s="1028"/>
      <c r="D197" s="1028"/>
      <c r="E197" s="1028"/>
      <c r="F197" s="1028"/>
      <c r="G197" s="1028"/>
      <c r="H197" s="1028"/>
      <c r="I197" s="1028"/>
      <c r="J197" s="1028"/>
      <c r="K197" s="1028"/>
      <c r="L197" s="1028"/>
      <c r="M197" s="1028"/>
      <c r="N197" s="1028"/>
      <c r="O197" s="1028"/>
      <c r="P197" s="1028"/>
      <c r="Q197" s="1029"/>
      <c r="R197" s="1030"/>
      <c r="S197" s="1030"/>
      <c r="T197" s="1031" t="s">
        <v>29</v>
      </c>
      <c r="U197" s="1032"/>
      <c r="V197" s="1033"/>
      <c r="W197" s="1034"/>
      <c r="X197" s="4442"/>
      <c r="Y197" s="4442"/>
      <c r="Z197" s="1034"/>
      <c r="AA197" s="1034"/>
      <c r="AB197" s="1034"/>
      <c r="AC197" s="1034"/>
      <c r="AD197" s="1034"/>
      <c r="AE197" s="1035"/>
    </row>
    <row r="198" spans="1:31" ht="15" customHeight="1">
      <c r="A198" s="4434" t="s">
        <v>328</v>
      </c>
      <c r="B198" s="4436"/>
      <c r="C198" s="4436"/>
      <c r="D198" s="4436"/>
      <c r="E198" s="4436">
        <f t="shared" ref="E198:V198" si="57">E169</f>
        <v>142.28718106328364</v>
      </c>
      <c r="F198" s="4436">
        <f t="shared" si="57"/>
        <v>210.58502797365981</v>
      </c>
      <c r="G198" s="4436">
        <f t="shared" si="57"/>
        <v>233.35097694378518</v>
      </c>
      <c r="H198" s="4436">
        <f t="shared" si="57"/>
        <v>233.35097694378518</v>
      </c>
      <c r="I198" s="4436">
        <f t="shared" si="57"/>
        <v>253.27118229264491</v>
      </c>
      <c r="J198" s="4436">
        <f t="shared" si="57"/>
        <v>274.61425945213745</v>
      </c>
      <c r="K198" s="4436">
        <f t="shared" si="57"/>
        <v>332.95200368808372</v>
      </c>
      <c r="L198" s="4436">
        <f t="shared" si="57"/>
        <v>332.95200368808372</v>
      </c>
      <c r="M198" s="4436">
        <f t="shared" si="57"/>
        <v>332.95200368808372</v>
      </c>
      <c r="N198" s="4436">
        <f t="shared" si="57"/>
        <v>332.95200368808372</v>
      </c>
      <c r="O198" s="4436">
        <f t="shared" si="57"/>
        <v>332.95200368808372</v>
      </c>
      <c r="P198" s="4436">
        <f t="shared" si="57"/>
        <v>332.95</v>
      </c>
      <c r="Q198" s="4436">
        <f t="shared" si="57"/>
        <v>332.95</v>
      </c>
      <c r="R198" s="4436">
        <f t="shared" si="57"/>
        <v>341</v>
      </c>
      <c r="S198" s="4436">
        <f t="shared" si="57"/>
        <v>341</v>
      </c>
      <c r="T198" s="4436">
        <f t="shared" si="57"/>
        <v>372</v>
      </c>
      <c r="U198" s="4436">
        <f t="shared" si="57"/>
        <v>372</v>
      </c>
      <c r="V198" s="4436">
        <f t="shared" si="57"/>
        <v>414</v>
      </c>
      <c r="W198" s="1036">
        <v>330</v>
      </c>
      <c r="X198" s="4432">
        <v>330</v>
      </c>
      <c r="Y198" s="4432"/>
      <c r="Z198" s="4432">
        <v>330</v>
      </c>
      <c r="AA198" s="4432">
        <v>330</v>
      </c>
      <c r="AB198" s="4432">
        <v>330</v>
      </c>
      <c r="AC198" s="4432">
        <v>330</v>
      </c>
      <c r="AD198" s="4432">
        <v>330</v>
      </c>
      <c r="AE198" s="4434" t="s">
        <v>329</v>
      </c>
    </row>
    <row r="199" spans="1:31" ht="15" customHeight="1">
      <c r="A199" s="4427"/>
      <c r="B199" s="4437"/>
      <c r="C199" s="4437"/>
      <c r="D199" s="4437"/>
      <c r="E199" s="4437"/>
      <c r="F199" s="4437"/>
      <c r="G199" s="4437"/>
      <c r="H199" s="4437"/>
      <c r="I199" s="4437"/>
      <c r="J199" s="4437"/>
      <c r="K199" s="4437"/>
      <c r="L199" s="4437"/>
      <c r="M199" s="4437"/>
      <c r="N199" s="4437"/>
      <c r="O199" s="4437"/>
      <c r="P199" s="4437"/>
      <c r="Q199" s="4437"/>
      <c r="R199" s="4437"/>
      <c r="S199" s="4437"/>
      <c r="T199" s="4437"/>
      <c r="U199" s="4437"/>
      <c r="V199" s="4437"/>
      <c r="W199" s="1037" t="s">
        <v>330</v>
      </c>
      <c r="X199" s="4433"/>
      <c r="Y199" s="4433"/>
      <c r="Z199" s="4433"/>
      <c r="AA199" s="4433"/>
      <c r="AB199" s="4433"/>
      <c r="AC199" s="4433"/>
      <c r="AD199" s="4433"/>
      <c r="AE199" s="4427"/>
    </row>
    <row r="200" spans="1:31" ht="13.5" customHeight="1">
      <c r="A200" s="4427" t="s">
        <v>331</v>
      </c>
      <c r="B200" s="4437"/>
      <c r="C200" s="4437"/>
      <c r="D200" s="4437"/>
      <c r="E200" s="4437"/>
      <c r="F200" s="4437"/>
      <c r="G200" s="4437"/>
      <c r="H200" s="4437"/>
      <c r="I200" s="4437"/>
      <c r="J200" s="4437"/>
      <c r="K200" s="4437"/>
      <c r="L200" s="4437"/>
      <c r="M200" s="4437"/>
      <c r="N200" s="4437"/>
      <c r="O200" s="4437"/>
      <c r="P200" s="4437"/>
      <c r="Q200" s="4437"/>
      <c r="R200" s="4437"/>
      <c r="S200" s="4437"/>
      <c r="T200" s="4437"/>
      <c r="U200" s="4437"/>
      <c r="V200" s="4437"/>
      <c r="W200" s="1038">
        <v>21</v>
      </c>
      <c r="X200" s="4435">
        <v>21</v>
      </c>
      <c r="Y200" s="4435"/>
      <c r="Z200" s="4425">
        <v>21</v>
      </c>
      <c r="AA200" s="4425">
        <v>21</v>
      </c>
      <c r="AB200" s="4425">
        <v>21</v>
      </c>
      <c r="AC200" s="4425">
        <v>21</v>
      </c>
      <c r="AD200" s="4425">
        <v>21</v>
      </c>
      <c r="AE200" s="4427" t="s">
        <v>332</v>
      </c>
    </row>
    <row r="201" spans="1:31" ht="18.75" customHeight="1">
      <c r="A201" s="4428"/>
      <c r="B201" s="4437"/>
      <c r="C201" s="4437"/>
      <c r="D201" s="4437"/>
      <c r="E201" s="4437"/>
      <c r="F201" s="4437"/>
      <c r="G201" s="4437"/>
      <c r="H201" s="4437"/>
      <c r="I201" s="4437"/>
      <c r="J201" s="4437"/>
      <c r="K201" s="4437"/>
      <c r="L201" s="4437"/>
      <c r="M201" s="4437"/>
      <c r="N201" s="4437"/>
      <c r="O201" s="4437"/>
      <c r="P201" s="4437"/>
      <c r="Q201" s="4437"/>
      <c r="R201" s="4437"/>
      <c r="S201" s="4437"/>
      <c r="T201" s="4437"/>
      <c r="U201" s="4437"/>
      <c r="V201" s="4437"/>
      <c r="W201" s="1037" t="s">
        <v>29</v>
      </c>
      <c r="X201" s="4426"/>
      <c r="Y201" s="4426"/>
      <c r="Z201" s="4426"/>
      <c r="AA201" s="4426"/>
      <c r="AB201" s="4426"/>
      <c r="AC201" s="4426"/>
      <c r="AD201" s="4426"/>
      <c r="AE201" s="4428"/>
    </row>
    <row r="202" spans="1:31" ht="20.25" customHeight="1">
      <c r="A202" s="4417" t="s">
        <v>333</v>
      </c>
      <c r="B202" s="1039"/>
      <c r="C202" s="1039"/>
      <c r="D202" s="4429"/>
      <c r="E202" s="4422">
        <v>0</v>
      </c>
      <c r="F202" s="4422">
        <v>0</v>
      </c>
      <c r="G202" s="4422">
        <v>0</v>
      </c>
      <c r="H202" s="4422">
        <v>0</v>
      </c>
      <c r="I202" s="4422">
        <v>0</v>
      </c>
      <c r="J202" s="4422">
        <v>0</v>
      </c>
      <c r="K202" s="4422">
        <v>0</v>
      </c>
      <c r="L202" s="4422">
        <v>0</v>
      </c>
      <c r="M202" s="4422">
        <v>0</v>
      </c>
      <c r="N202" s="4422">
        <v>0</v>
      </c>
      <c r="O202" s="4422">
        <v>0</v>
      </c>
      <c r="P202" s="4422">
        <v>0</v>
      </c>
      <c r="Q202" s="4422">
        <v>0</v>
      </c>
      <c r="R202" s="4422">
        <v>0</v>
      </c>
      <c r="S202" s="4422">
        <v>0</v>
      </c>
      <c r="T202" s="4422">
        <v>0</v>
      </c>
      <c r="U202" s="4422">
        <v>0</v>
      </c>
      <c r="V202" s="4422">
        <v>0</v>
      </c>
      <c r="W202" s="1040">
        <v>330</v>
      </c>
      <c r="X202" s="4415">
        <v>330</v>
      </c>
      <c r="Y202" s="4415"/>
      <c r="Z202" s="4415">
        <v>330</v>
      </c>
      <c r="AA202" s="4415">
        <v>330</v>
      </c>
      <c r="AB202" s="4415">
        <v>330</v>
      </c>
      <c r="AC202" s="4415">
        <v>330</v>
      </c>
      <c r="AD202" s="4415">
        <v>330</v>
      </c>
      <c r="AE202" s="4417" t="s">
        <v>334</v>
      </c>
    </row>
    <row r="203" spans="1:31" ht="10.5" customHeight="1">
      <c r="A203" s="4418"/>
      <c r="B203" s="1041"/>
      <c r="C203" s="1041"/>
      <c r="D203" s="4430"/>
      <c r="E203" s="4423"/>
      <c r="F203" s="4423"/>
      <c r="G203" s="4423"/>
      <c r="H203" s="4423"/>
      <c r="I203" s="4423"/>
      <c r="J203" s="4423"/>
      <c r="K203" s="4423"/>
      <c r="L203" s="4423"/>
      <c r="M203" s="4423"/>
      <c r="N203" s="4423"/>
      <c r="O203" s="4423"/>
      <c r="P203" s="4423"/>
      <c r="Q203" s="4423"/>
      <c r="R203" s="4423"/>
      <c r="S203" s="4423"/>
      <c r="T203" s="4423"/>
      <c r="U203" s="4423"/>
      <c r="V203" s="4423"/>
      <c r="W203" s="1042" t="s">
        <v>330</v>
      </c>
      <c r="X203" s="4416"/>
      <c r="Y203" s="4416"/>
      <c r="Z203" s="4416"/>
      <c r="AA203" s="4416"/>
      <c r="AB203" s="4416"/>
      <c r="AC203" s="4416"/>
      <c r="AD203" s="4416"/>
      <c r="AE203" s="4418"/>
    </row>
    <row r="204" spans="1:31" ht="16.5" customHeight="1">
      <c r="A204" s="4418" t="s">
        <v>335</v>
      </c>
      <c r="B204" s="1041"/>
      <c r="C204" s="1041"/>
      <c r="D204" s="4430"/>
      <c r="E204" s="4424"/>
      <c r="F204" s="4424"/>
      <c r="G204" s="4424"/>
      <c r="H204" s="4424"/>
      <c r="I204" s="4424"/>
      <c r="J204" s="4424"/>
      <c r="K204" s="4424"/>
      <c r="L204" s="4424"/>
      <c r="M204" s="4424"/>
      <c r="N204" s="4424"/>
      <c r="O204" s="4424"/>
      <c r="P204" s="4424"/>
      <c r="Q204" s="4424"/>
      <c r="R204" s="4424"/>
      <c r="S204" s="4424"/>
      <c r="T204" s="4424"/>
      <c r="U204" s="4424"/>
      <c r="V204" s="4424"/>
      <c r="W204" s="1043">
        <v>21</v>
      </c>
      <c r="X204" s="4420">
        <v>21</v>
      </c>
      <c r="Y204" s="4420"/>
      <c r="Z204" s="4420">
        <v>21</v>
      </c>
      <c r="AA204" s="4420">
        <v>21</v>
      </c>
      <c r="AB204" s="4420">
        <v>21</v>
      </c>
      <c r="AC204" s="4420">
        <v>21</v>
      </c>
      <c r="AD204" s="4420">
        <v>21</v>
      </c>
      <c r="AE204" s="4418" t="s">
        <v>336</v>
      </c>
    </row>
    <row r="205" spans="1:31" ht="26.25" customHeight="1">
      <c r="A205" s="4419"/>
      <c r="B205" s="1044"/>
      <c r="C205" s="1044"/>
      <c r="D205" s="4431"/>
      <c r="E205" s="4411" t="s">
        <v>337</v>
      </c>
      <c r="F205" s="4411"/>
      <c r="G205" s="4411"/>
      <c r="H205" s="4411"/>
      <c r="I205" s="4411"/>
      <c r="J205" s="4411"/>
      <c r="K205" s="4411"/>
      <c r="L205" s="4411"/>
      <c r="M205" s="4411"/>
      <c r="N205" s="4411"/>
      <c r="O205" s="4411"/>
      <c r="P205" s="4411"/>
      <c r="Q205" s="4411"/>
      <c r="R205" s="4411"/>
      <c r="S205" s="4411"/>
      <c r="T205" s="4411"/>
      <c r="U205" s="4411"/>
      <c r="V205" s="4411"/>
      <c r="W205" s="1046" t="s">
        <v>29</v>
      </c>
      <c r="X205" s="4421"/>
      <c r="Y205" s="4421"/>
      <c r="Z205" s="4421"/>
      <c r="AA205" s="4421"/>
      <c r="AB205" s="4421"/>
      <c r="AC205" s="4421"/>
      <c r="AD205" s="4421"/>
      <c r="AE205" s="4419"/>
    </row>
    <row r="206" spans="1:31" ht="28.65" customHeight="1">
      <c r="A206" s="1048" t="s">
        <v>338</v>
      </c>
      <c r="B206" s="1044"/>
      <c r="C206" s="1044"/>
      <c r="D206" s="1045"/>
      <c r="E206" s="1049"/>
      <c r="F206" s="1049"/>
      <c r="G206" s="1049"/>
      <c r="H206" s="1049"/>
      <c r="I206" s="1049"/>
      <c r="J206" s="1049"/>
      <c r="K206" s="1049"/>
      <c r="L206" s="1049"/>
      <c r="M206" s="1049"/>
      <c r="N206" s="1049"/>
      <c r="O206" s="1049"/>
      <c r="P206" s="1049"/>
      <c r="Q206" s="1049"/>
      <c r="R206" s="1049"/>
      <c r="S206" s="1049"/>
      <c r="T206" s="1049"/>
      <c r="U206" s="1049"/>
      <c r="V206" s="1049"/>
      <c r="W206" s="1046"/>
      <c r="X206" s="1047"/>
      <c r="Y206" s="1047"/>
      <c r="Z206" s="1047"/>
      <c r="AA206" s="1047" t="s">
        <v>18</v>
      </c>
      <c r="AB206" s="1050">
        <v>108.5</v>
      </c>
      <c r="AC206" s="1051">
        <v>135</v>
      </c>
      <c r="AD206" s="1047">
        <v>135</v>
      </c>
      <c r="AE206" s="1052" t="s">
        <v>339</v>
      </c>
    </row>
    <row r="207" spans="1:31" s="4" customFormat="1" ht="15.6">
      <c r="A207" s="756" t="s">
        <v>340</v>
      </c>
      <c r="B207" s="757"/>
      <c r="C207" s="758"/>
      <c r="D207" s="758"/>
      <c r="E207" s="758"/>
      <c r="F207" s="758"/>
      <c r="G207" s="758"/>
      <c r="H207" s="758"/>
      <c r="I207" s="758"/>
      <c r="J207" s="758"/>
      <c r="K207" s="758"/>
      <c r="L207" s="759"/>
      <c r="M207" s="759"/>
      <c r="N207" s="759"/>
      <c r="O207" s="759"/>
      <c r="P207" s="759"/>
      <c r="Q207" s="759"/>
      <c r="R207" s="759"/>
      <c r="S207" s="759"/>
      <c r="T207" s="759"/>
      <c r="U207" s="760"/>
      <c r="V207" s="760"/>
      <c r="W207" s="760"/>
      <c r="X207" s="4287"/>
      <c r="Y207" s="4287"/>
      <c r="Z207" s="761"/>
      <c r="AA207" s="761"/>
      <c r="AB207" s="761"/>
      <c r="AC207" s="761"/>
      <c r="AD207" s="761"/>
      <c r="AE207" s="760" t="s">
        <v>341</v>
      </c>
    </row>
    <row r="208" spans="1:31" ht="27.6">
      <c r="A208" s="829" t="s">
        <v>342</v>
      </c>
      <c r="B208" s="995"/>
      <c r="C208" s="996"/>
      <c r="D208" s="996"/>
      <c r="E208" s="996"/>
      <c r="F208" s="1054">
        <f>F212/$O$1</f>
        <v>1.7359036089720605</v>
      </c>
      <c r="G208" s="997">
        <f>G212/$O$1</f>
        <v>1.7359036089720605</v>
      </c>
      <c r="H208" s="163">
        <f>H212/$O$1</f>
        <v>1.8497333538226874</v>
      </c>
      <c r="I208" s="164">
        <f t="shared" ref="I208:O208" si="58">I212/$O$1</f>
        <v>1.8497333538226874</v>
      </c>
      <c r="J208" s="164">
        <f t="shared" si="58"/>
        <v>1.8497333538226874</v>
      </c>
      <c r="K208" s="1055">
        <f>K212/$O$1</f>
        <v>2.0631641254176127</v>
      </c>
      <c r="L208" s="164">
        <f t="shared" si="58"/>
        <v>3.1018605471795837</v>
      </c>
      <c r="M208" s="164">
        <f t="shared" si="58"/>
        <v>3.1018605471795837</v>
      </c>
      <c r="N208" s="164">
        <f t="shared" si="58"/>
        <v>3.1018605471795837</v>
      </c>
      <c r="O208" s="164">
        <f t="shared" si="58"/>
        <v>3.1018605471795837</v>
      </c>
      <c r="P208" s="164">
        <v>3.1</v>
      </c>
      <c r="Q208" s="1054">
        <v>3.8</v>
      </c>
      <c r="R208" s="1054">
        <v>4.2</v>
      </c>
      <c r="S208" s="1054">
        <v>4.5</v>
      </c>
      <c r="T208" s="1054">
        <v>6.8</v>
      </c>
      <c r="U208" s="1054">
        <v>7.4</v>
      </c>
      <c r="V208" s="1024">
        <v>7.8</v>
      </c>
      <c r="W208" s="1054">
        <v>8.1999999999999993</v>
      </c>
      <c r="X208" s="4412">
        <v>8.1999999999999993</v>
      </c>
      <c r="Y208" s="4412"/>
      <c r="Z208" s="1056">
        <v>8.1999999999999993</v>
      </c>
      <c r="AA208" s="1054">
        <v>9</v>
      </c>
      <c r="AB208" s="1054">
        <v>9.8000000000000007</v>
      </c>
      <c r="AC208" s="1054">
        <v>10.8</v>
      </c>
      <c r="AD208" s="1054">
        <v>11.3</v>
      </c>
      <c r="AE208" s="839" t="s">
        <v>343</v>
      </c>
    </row>
    <row r="209" spans="1:31">
      <c r="A209" s="1057"/>
      <c r="B209" s="1058"/>
      <c r="C209" s="1059"/>
      <c r="D209" s="1059"/>
      <c r="E209" s="1059"/>
      <c r="F209" s="907" t="s">
        <v>279</v>
      </c>
      <c r="G209" s="1060"/>
      <c r="H209" s="908"/>
      <c r="I209" s="909"/>
      <c r="J209" s="909"/>
      <c r="K209" s="907" t="s">
        <v>280</v>
      </c>
      <c r="L209" s="909"/>
      <c r="M209" s="909"/>
      <c r="N209" s="909"/>
      <c r="O209" s="909"/>
      <c r="P209" s="909"/>
      <c r="Q209" s="907" t="s">
        <v>344</v>
      </c>
      <c r="R209" s="907" t="s">
        <v>345</v>
      </c>
      <c r="S209" s="907" t="s">
        <v>345</v>
      </c>
      <c r="T209" s="907" t="s">
        <v>345</v>
      </c>
      <c r="U209" s="907" t="s">
        <v>345</v>
      </c>
      <c r="V209" s="907" t="s">
        <v>345</v>
      </c>
      <c r="W209" s="907" t="s">
        <v>345</v>
      </c>
      <c r="X209" s="4396"/>
      <c r="Y209" s="4396"/>
      <c r="Z209" s="907"/>
      <c r="AA209" s="1031" t="s">
        <v>346</v>
      </c>
      <c r="AB209" s="1031" t="s">
        <v>346</v>
      </c>
      <c r="AC209" s="1031" t="s">
        <v>346</v>
      </c>
      <c r="AD209" s="1031" t="s">
        <v>346</v>
      </c>
      <c r="AE209" s="1061"/>
    </row>
    <row r="210" spans="1:31">
      <c r="A210" s="1057"/>
      <c r="B210" s="1058"/>
      <c r="C210" s="1059"/>
      <c r="D210" s="1059"/>
      <c r="E210" s="1059"/>
      <c r="F210" s="1062"/>
      <c r="G210" s="1060"/>
      <c r="H210" s="908"/>
      <c r="I210" s="909"/>
      <c r="J210" s="909"/>
      <c r="K210" s="1063">
        <f>K214/$O$1</f>
        <v>3.1018605471795837</v>
      </c>
      <c r="L210" s="909"/>
      <c r="M210" s="909"/>
      <c r="N210" s="909"/>
      <c r="O210" s="909"/>
      <c r="P210" s="909"/>
      <c r="Q210" s="1062"/>
      <c r="R210" s="1062"/>
      <c r="S210" s="1062"/>
      <c r="T210" s="1062"/>
      <c r="U210" s="1062"/>
      <c r="V210" s="1062"/>
      <c r="W210" s="1062"/>
      <c r="X210" s="4413"/>
      <c r="Y210" s="4413"/>
      <c r="Z210" s="1062"/>
      <c r="AA210" s="1062"/>
      <c r="AB210" s="1062"/>
      <c r="AC210" s="1062"/>
      <c r="AD210" s="1062"/>
      <c r="AE210" s="1061"/>
    </row>
    <row r="211" spans="1:31">
      <c r="A211" s="840"/>
      <c r="B211" s="1002"/>
      <c r="C211" s="1003"/>
      <c r="D211" s="1003"/>
      <c r="E211" s="1003"/>
      <c r="F211" s="1064"/>
      <c r="G211" s="1004"/>
      <c r="H211" s="772"/>
      <c r="I211" s="770"/>
      <c r="J211" s="770"/>
      <c r="K211" s="771" t="s">
        <v>29</v>
      </c>
      <c r="L211" s="770"/>
      <c r="M211" s="770"/>
      <c r="N211" s="770"/>
      <c r="O211" s="770"/>
      <c r="P211" s="770"/>
      <c r="Q211" s="1064"/>
      <c r="R211" s="1064"/>
      <c r="S211" s="1064"/>
      <c r="T211" s="1064"/>
      <c r="U211" s="1064"/>
      <c r="V211" s="1064"/>
      <c r="W211" s="1064"/>
      <c r="X211" s="4414"/>
      <c r="Y211" s="4414"/>
      <c r="Z211" s="1064"/>
      <c r="AA211" s="1064"/>
      <c r="AB211" s="1064"/>
      <c r="AC211" s="1064"/>
      <c r="AD211" s="1064"/>
      <c r="AE211" s="846"/>
    </row>
    <row r="212" spans="1:31">
      <c r="A212" s="776" t="s">
        <v>347</v>
      </c>
      <c r="B212" s="777"/>
      <c r="C212" s="233"/>
      <c r="D212" s="233"/>
      <c r="E212" s="233"/>
      <c r="F212" s="852">
        <v>1.22</v>
      </c>
      <c r="G212" s="1065">
        <v>1.22</v>
      </c>
      <c r="H212" s="852">
        <v>1.3</v>
      </c>
      <c r="I212" s="1065">
        <v>1.3</v>
      </c>
      <c r="J212" s="1065">
        <v>1.3</v>
      </c>
      <c r="K212" s="1066">
        <v>1.45</v>
      </c>
      <c r="L212" s="1065">
        <v>2.1800000000000002</v>
      </c>
      <c r="M212" s="1065">
        <v>2.1800000000000002</v>
      </c>
      <c r="N212" s="1065">
        <v>2.1800000000000002</v>
      </c>
      <c r="O212" s="1065">
        <v>2.1800000000000002</v>
      </c>
      <c r="P212" s="853"/>
      <c r="Q212" s="853"/>
      <c r="R212" s="853"/>
      <c r="S212" s="853"/>
      <c r="T212" s="853"/>
      <c r="U212" s="854"/>
      <c r="V212" s="854"/>
      <c r="W212" s="854"/>
      <c r="X212" s="4375"/>
      <c r="Y212" s="4375"/>
      <c r="Z212" s="848"/>
      <c r="AA212" s="848"/>
      <c r="AB212" s="848"/>
      <c r="AC212" s="848"/>
      <c r="AD212" s="848"/>
      <c r="AE212" s="781" t="s">
        <v>348</v>
      </c>
    </row>
    <row r="213" spans="1:31">
      <c r="A213" s="922"/>
      <c r="B213" s="1067"/>
      <c r="C213" s="924"/>
      <c r="D213" s="924"/>
      <c r="E213" s="924"/>
      <c r="F213" s="907" t="s">
        <v>279</v>
      </c>
      <c r="G213" s="1068"/>
      <c r="H213" s="1069"/>
      <c r="I213" s="1068"/>
      <c r="J213" s="1068"/>
      <c r="K213" s="907" t="s">
        <v>280</v>
      </c>
      <c r="L213" s="1068"/>
      <c r="M213" s="1068"/>
      <c r="N213" s="1068"/>
      <c r="O213" s="1068"/>
      <c r="P213" s="927"/>
      <c r="Q213" s="927"/>
      <c r="R213" s="927"/>
      <c r="S213" s="927"/>
      <c r="T213" s="927"/>
      <c r="U213" s="928"/>
      <c r="V213" s="928"/>
      <c r="W213" s="928"/>
      <c r="X213" s="4376"/>
      <c r="Y213" s="4376"/>
      <c r="Z213" s="1070"/>
      <c r="AA213" s="1070"/>
      <c r="AB213" s="1070"/>
      <c r="AC213" s="1070"/>
      <c r="AD213" s="1070"/>
      <c r="AE213" s="930"/>
    </row>
    <row r="214" spans="1:31">
      <c r="A214" s="922"/>
      <c r="B214" s="1067"/>
      <c r="C214" s="924"/>
      <c r="D214" s="924"/>
      <c r="E214" s="924"/>
      <c r="F214" s="1069"/>
      <c r="G214" s="1068"/>
      <c r="H214" s="1069"/>
      <c r="I214" s="1068"/>
      <c r="J214" s="1068"/>
      <c r="K214" s="1071">
        <v>2.1800000000000002</v>
      </c>
      <c r="L214" s="1068"/>
      <c r="M214" s="1068"/>
      <c r="N214" s="1068"/>
      <c r="O214" s="1068"/>
      <c r="P214" s="927"/>
      <c r="Q214" s="927"/>
      <c r="R214" s="927"/>
      <c r="S214" s="927"/>
      <c r="T214" s="927"/>
      <c r="U214" s="928"/>
      <c r="V214" s="928"/>
      <c r="W214" s="928"/>
      <c r="X214" s="4376"/>
      <c r="Y214" s="4376"/>
      <c r="Z214" s="1070"/>
      <c r="AA214" s="1070"/>
      <c r="AB214" s="1070"/>
      <c r="AC214" s="1070"/>
      <c r="AD214" s="1070"/>
      <c r="AE214" s="930"/>
    </row>
    <row r="215" spans="1:31">
      <c r="A215" s="1072"/>
      <c r="B215" s="1073"/>
      <c r="C215" s="1074"/>
      <c r="D215" s="1074"/>
      <c r="E215" s="1074"/>
      <c r="F215" s="1075"/>
      <c r="G215" s="1076"/>
      <c r="H215" s="1075"/>
      <c r="I215" s="1076"/>
      <c r="J215" s="1076"/>
      <c r="K215" s="771" t="s">
        <v>29</v>
      </c>
      <c r="L215" s="1076"/>
      <c r="M215" s="1076"/>
      <c r="N215" s="1076"/>
      <c r="O215" s="1076"/>
      <c r="P215" s="1077"/>
      <c r="Q215" s="1077"/>
      <c r="R215" s="1077"/>
      <c r="S215" s="1077"/>
      <c r="T215" s="1077"/>
      <c r="U215" s="1078"/>
      <c r="V215" s="1078"/>
      <c r="W215" s="1078"/>
      <c r="X215" s="4408"/>
      <c r="Y215" s="4408"/>
      <c r="Z215" s="1079"/>
      <c r="AA215" s="1079"/>
      <c r="AB215" s="1079"/>
      <c r="AC215" s="1079"/>
      <c r="AD215" s="1079"/>
      <c r="AE215" s="1080"/>
    </row>
    <row r="216" spans="1:31" s="31" customFormat="1" ht="36" customHeight="1">
      <c r="A216" s="1081" t="s">
        <v>349</v>
      </c>
      <c r="B216" s="1082"/>
      <c r="C216" s="1083"/>
      <c r="D216" s="1083"/>
      <c r="E216" s="1083"/>
      <c r="F216" s="1084">
        <f>F217/$O$1</f>
        <v>2.8457436212656728</v>
      </c>
      <c r="G216" s="1085">
        <f t="shared" ref="G216:O216" si="59">G217/$O$1</f>
        <v>2.8457436212656728</v>
      </c>
      <c r="H216" s="1085">
        <f t="shared" si="59"/>
        <v>2.8457436212656728</v>
      </c>
      <c r="I216" s="1085">
        <f t="shared" si="59"/>
        <v>2.8457436212656728</v>
      </c>
      <c r="J216" s="1085">
        <f t="shared" si="59"/>
        <v>2.8457436212656728</v>
      </c>
      <c r="K216" s="1084">
        <f t="shared" si="59"/>
        <v>5.6914872425313456</v>
      </c>
      <c r="L216" s="1085">
        <f t="shared" si="59"/>
        <v>5.6914872425313456</v>
      </c>
      <c r="M216" s="1085">
        <f t="shared" si="59"/>
        <v>5.6914872425313456</v>
      </c>
      <c r="N216" s="1085">
        <f t="shared" si="59"/>
        <v>5.6914872425313456</v>
      </c>
      <c r="O216" s="1085">
        <f t="shared" si="59"/>
        <v>5.6914872425313456</v>
      </c>
      <c r="P216" s="1085">
        <v>5.69</v>
      </c>
      <c r="Q216" s="1084">
        <v>7.4</v>
      </c>
      <c r="R216" s="1084">
        <v>7.8</v>
      </c>
      <c r="S216" s="1084">
        <v>8.1999999999999993</v>
      </c>
      <c r="T216" s="1084">
        <v>12.5</v>
      </c>
      <c r="U216" s="1084">
        <v>13.6</v>
      </c>
      <c r="V216" s="1086">
        <v>14.4</v>
      </c>
      <c r="W216" s="1087" t="s">
        <v>350</v>
      </c>
      <c r="X216" s="4409">
        <v>15.2</v>
      </c>
      <c r="Y216" s="4409"/>
      <c r="Z216" s="1088">
        <v>15.2</v>
      </c>
      <c r="AA216" s="1087" t="s">
        <v>351</v>
      </c>
      <c r="AB216" s="1087" t="s">
        <v>352</v>
      </c>
      <c r="AC216" s="1087" t="s">
        <v>353</v>
      </c>
      <c r="AD216" s="1087" t="s">
        <v>354</v>
      </c>
      <c r="AE216" s="1089" t="s">
        <v>355</v>
      </c>
    </row>
    <row r="217" spans="1:31" s="31" customFormat="1" ht="13.2">
      <c r="A217" s="1090" t="s">
        <v>356</v>
      </c>
      <c r="B217" s="1091"/>
      <c r="C217" s="175"/>
      <c r="D217" s="175"/>
      <c r="E217" s="175"/>
      <c r="F217" s="1092">
        <v>2</v>
      </c>
      <c r="G217" s="1093">
        <v>2</v>
      </c>
      <c r="H217" s="1093">
        <v>2</v>
      </c>
      <c r="I217" s="1093">
        <v>2</v>
      </c>
      <c r="J217" s="1093">
        <v>2</v>
      </c>
      <c r="K217" s="1094">
        <v>4</v>
      </c>
      <c r="L217" s="1095">
        <v>4</v>
      </c>
      <c r="M217" s="1095">
        <v>4</v>
      </c>
      <c r="N217" s="1095">
        <v>4</v>
      </c>
      <c r="O217" s="1095">
        <v>4</v>
      </c>
      <c r="P217" s="1096"/>
      <c r="Q217" s="1096"/>
      <c r="R217" s="1096"/>
      <c r="S217" s="1096"/>
      <c r="T217" s="1096"/>
      <c r="U217" s="1097"/>
      <c r="V217" s="1097"/>
      <c r="W217" s="1097"/>
      <c r="X217" s="4410"/>
      <c r="Y217" s="4410"/>
      <c r="Z217" s="1098"/>
      <c r="AA217" s="1031"/>
      <c r="AB217" s="1031"/>
      <c r="AC217" s="1031"/>
      <c r="AD217" s="1031"/>
      <c r="AE217" s="1099" t="s">
        <v>357</v>
      </c>
    </row>
    <row r="218" spans="1:31" ht="31.35" customHeight="1">
      <c r="A218" s="1100" t="s">
        <v>358</v>
      </c>
      <c r="B218" s="1101" t="s">
        <v>18</v>
      </c>
      <c r="C218" s="1102" t="s">
        <v>18</v>
      </c>
      <c r="D218" s="1102" t="s">
        <v>18</v>
      </c>
      <c r="E218" s="1102" t="s">
        <v>18</v>
      </c>
      <c r="F218" s="1102" t="s">
        <v>18</v>
      </c>
      <c r="G218" s="1102" t="s">
        <v>18</v>
      </c>
      <c r="H218" s="795">
        <f>H222/$O$1</f>
        <v>0.92486667691134372</v>
      </c>
      <c r="I218" s="796">
        <f t="shared" ref="I218:O218" si="60">I222/$O$1</f>
        <v>0.92486667691134372</v>
      </c>
      <c r="J218" s="796">
        <f t="shared" si="60"/>
        <v>0.92486667691134372</v>
      </c>
      <c r="K218" s="795">
        <f>K222/$O$1</f>
        <v>1.0386964217619705</v>
      </c>
      <c r="L218" s="796">
        <f t="shared" si="60"/>
        <v>1.5509302735897919</v>
      </c>
      <c r="M218" s="796">
        <f t="shared" si="60"/>
        <v>1.5509302735897919</v>
      </c>
      <c r="N218" s="796">
        <f t="shared" si="60"/>
        <v>1.5509302735897919</v>
      </c>
      <c r="O218" s="796">
        <f t="shared" si="60"/>
        <v>1.5509302735897919</v>
      </c>
      <c r="P218" s="796">
        <f t="shared" ref="P218:U218" si="61">P208/2</f>
        <v>1.55</v>
      </c>
      <c r="Q218" s="1103">
        <f t="shared" si="61"/>
        <v>1.9</v>
      </c>
      <c r="R218" s="1103">
        <f t="shared" si="61"/>
        <v>2.1</v>
      </c>
      <c r="S218" s="1103">
        <f t="shared" si="61"/>
        <v>2.25</v>
      </c>
      <c r="T218" s="1103">
        <f t="shared" si="61"/>
        <v>3.4</v>
      </c>
      <c r="U218" s="1103">
        <f t="shared" si="61"/>
        <v>3.7</v>
      </c>
      <c r="V218" s="1103">
        <f>V208/2</f>
        <v>3.9</v>
      </c>
      <c r="W218" s="1103">
        <f>W208/2</f>
        <v>4.0999999999999996</v>
      </c>
      <c r="X218" s="4402">
        <f>X208/2</f>
        <v>4.0999999999999996</v>
      </c>
      <c r="Y218" s="4402"/>
      <c r="Z218" s="1104">
        <v>4.0999999999999996</v>
      </c>
      <c r="AA218" s="1103">
        <v>4.5</v>
      </c>
      <c r="AB218" s="1103">
        <v>4.9000000000000004</v>
      </c>
      <c r="AC218" s="1103">
        <v>5.4</v>
      </c>
      <c r="AD218" s="1103">
        <v>5.65</v>
      </c>
      <c r="AE218" s="4403" t="s">
        <v>359</v>
      </c>
    </row>
    <row r="219" spans="1:31">
      <c r="A219" s="1105"/>
      <c r="B219" s="1106"/>
      <c r="C219" s="1107"/>
      <c r="D219" s="1107"/>
      <c r="E219" s="1107"/>
      <c r="F219" s="1107"/>
      <c r="G219" s="1107"/>
      <c r="H219" s="867"/>
      <c r="I219" s="868"/>
      <c r="J219" s="868"/>
      <c r="K219" s="878" t="s">
        <v>280</v>
      </c>
      <c r="L219" s="868"/>
      <c r="M219" s="868"/>
      <c r="N219" s="868"/>
      <c r="O219" s="868"/>
      <c r="P219" s="868"/>
      <c r="Q219" s="878" t="s">
        <v>344</v>
      </c>
      <c r="R219" s="878" t="s">
        <v>345</v>
      </c>
      <c r="S219" s="878" t="s">
        <v>345</v>
      </c>
      <c r="T219" s="878" t="s">
        <v>345</v>
      </c>
      <c r="U219" s="878" t="s">
        <v>345</v>
      </c>
      <c r="V219" s="878" t="s">
        <v>345</v>
      </c>
      <c r="W219" s="878" t="s">
        <v>345</v>
      </c>
      <c r="X219" s="4382"/>
      <c r="Y219" s="4382"/>
      <c r="Z219" s="878"/>
      <c r="AA219" s="878" t="s">
        <v>346</v>
      </c>
      <c r="AB219" s="878" t="s">
        <v>346</v>
      </c>
      <c r="AC219" s="878" t="s">
        <v>346</v>
      </c>
      <c r="AD219" s="878" t="s">
        <v>346</v>
      </c>
      <c r="AE219" s="4404"/>
    </row>
    <row r="220" spans="1:31">
      <c r="A220" s="1105"/>
      <c r="B220" s="1106"/>
      <c r="C220" s="1107"/>
      <c r="D220" s="1107"/>
      <c r="E220" s="1107"/>
      <c r="F220" s="1107"/>
      <c r="G220" s="1107"/>
      <c r="H220" s="867"/>
      <c r="I220" s="868"/>
      <c r="J220" s="868"/>
      <c r="K220" s="867">
        <f>K224/$O$1</f>
        <v>1.5509302735897919</v>
      </c>
      <c r="L220" s="868"/>
      <c r="M220" s="868"/>
      <c r="N220" s="868"/>
      <c r="O220" s="868"/>
      <c r="P220" s="868"/>
      <c r="Q220" s="1108"/>
      <c r="R220" s="1108"/>
      <c r="S220" s="1108"/>
      <c r="T220" s="1108"/>
      <c r="U220" s="1108"/>
      <c r="V220" s="1108"/>
      <c r="W220" s="1108"/>
      <c r="X220" s="4405"/>
      <c r="Y220" s="4405"/>
      <c r="Z220" s="1108"/>
      <c r="AA220" s="1108"/>
      <c r="AB220" s="1108"/>
      <c r="AC220" s="1108"/>
      <c r="AD220" s="1108"/>
      <c r="AE220" s="1109"/>
    </row>
    <row r="221" spans="1:31">
      <c r="A221" s="1110"/>
      <c r="B221" s="1111"/>
      <c r="C221" s="1112"/>
      <c r="D221" s="1112"/>
      <c r="E221" s="1112"/>
      <c r="F221" s="1112"/>
      <c r="G221" s="1112"/>
      <c r="H221" s="807"/>
      <c r="I221" s="808"/>
      <c r="J221" s="808"/>
      <c r="K221" s="806" t="s">
        <v>29</v>
      </c>
      <c r="L221" s="808"/>
      <c r="M221" s="808"/>
      <c r="N221" s="808"/>
      <c r="O221" s="808"/>
      <c r="P221" s="808"/>
      <c r="Q221" s="1113"/>
      <c r="R221" s="1113"/>
      <c r="S221" s="1113"/>
      <c r="T221" s="1113"/>
      <c r="U221" s="1113"/>
      <c r="V221" s="1113"/>
      <c r="W221" s="1113"/>
      <c r="X221" s="4406"/>
      <c r="Y221" s="4406"/>
      <c r="Z221" s="1113"/>
      <c r="AA221" s="1113"/>
      <c r="AB221" s="1113"/>
      <c r="AC221" s="1113"/>
      <c r="AD221" s="1113"/>
      <c r="AE221" s="1114"/>
    </row>
    <row r="222" spans="1:31" ht="26.4">
      <c r="A222" s="1115" t="s">
        <v>360</v>
      </c>
      <c r="B222" s="884"/>
      <c r="C222" s="817"/>
      <c r="D222" s="817"/>
      <c r="E222" s="817"/>
      <c r="F222" s="1116"/>
      <c r="G222" s="1116"/>
      <c r="H222" s="1117">
        <f>H212/2</f>
        <v>0.65</v>
      </c>
      <c r="I222" s="1118">
        <f>I212/2</f>
        <v>0.65</v>
      </c>
      <c r="J222" s="1118">
        <f>J212/2</f>
        <v>0.65</v>
      </c>
      <c r="K222" s="1119">
        <v>0.73</v>
      </c>
      <c r="L222" s="1118">
        <f>L212/2</f>
        <v>1.0900000000000001</v>
      </c>
      <c r="M222" s="1118">
        <f>M212/2</f>
        <v>1.0900000000000001</v>
      </c>
      <c r="N222" s="1118">
        <f>N212/2</f>
        <v>1.0900000000000001</v>
      </c>
      <c r="O222" s="1118">
        <f>O212/2</f>
        <v>1.0900000000000001</v>
      </c>
      <c r="P222" s="1116"/>
      <c r="Q222" s="1116"/>
      <c r="R222" s="1116"/>
      <c r="S222" s="1116"/>
      <c r="T222" s="1116"/>
      <c r="U222" s="1116"/>
      <c r="V222" s="1116"/>
      <c r="W222" s="1116"/>
      <c r="X222" s="4407"/>
      <c r="Y222" s="4407"/>
      <c r="Z222" s="1116"/>
      <c r="AA222" s="1116"/>
      <c r="AB222" s="1116"/>
      <c r="AC222" s="1116"/>
      <c r="AD222" s="1116"/>
      <c r="AE222" s="821" t="s">
        <v>361</v>
      </c>
    </row>
    <row r="223" spans="1:31">
      <c r="A223" s="887"/>
      <c r="B223" s="1120"/>
      <c r="C223" s="889"/>
      <c r="D223" s="889"/>
      <c r="E223" s="889"/>
      <c r="F223" s="1121"/>
      <c r="G223" s="1121"/>
      <c r="H223" s="1122"/>
      <c r="I223" s="1123"/>
      <c r="J223" s="1123"/>
      <c r="K223" s="878" t="s">
        <v>280</v>
      </c>
      <c r="L223" s="1123"/>
      <c r="M223" s="1123"/>
      <c r="N223" s="1123"/>
      <c r="O223" s="1123"/>
      <c r="P223" s="1121"/>
      <c r="Q223" s="1121"/>
      <c r="R223" s="1121"/>
      <c r="S223" s="1121"/>
      <c r="T223" s="1121"/>
      <c r="U223" s="1121"/>
      <c r="V223" s="1121"/>
      <c r="W223" s="1121"/>
      <c r="X223" s="4400"/>
      <c r="Y223" s="4400"/>
      <c r="Z223" s="1121"/>
      <c r="AA223" s="1121"/>
      <c r="AB223" s="1121"/>
      <c r="AC223" s="1121"/>
      <c r="AD223" s="1121"/>
      <c r="AE223" s="894"/>
    </row>
    <row r="224" spans="1:31">
      <c r="A224" s="887"/>
      <c r="B224" s="1120"/>
      <c r="C224" s="889"/>
      <c r="D224" s="889"/>
      <c r="E224" s="889"/>
      <c r="F224" s="1121"/>
      <c r="G224" s="1121"/>
      <c r="H224" s="1122"/>
      <c r="I224" s="1123"/>
      <c r="J224" s="1123"/>
      <c r="K224" s="1124">
        <v>1.0900000000000001</v>
      </c>
      <c r="L224" s="1123"/>
      <c r="M224" s="1123"/>
      <c r="N224" s="1123"/>
      <c r="O224" s="1123"/>
      <c r="P224" s="1121"/>
      <c r="Q224" s="1121"/>
      <c r="R224" s="1121"/>
      <c r="S224" s="1121"/>
      <c r="T224" s="1121"/>
      <c r="U224" s="1121"/>
      <c r="V224" s="1121"/>
      <c r="W224" s="1121"/>
      <c r="X224" s="4400"/>
      <c r="Y224" s="4400"/>
      <c r="Z224" s="1121"/>
      <c r="AA224" s="1121"/>
      <c r="AB224" s="1121"/>
      <c r="AC224" s="1121"/>
      <c r="AD224" s="1121"/>
      <c r="AE224" s="894"/>
    </row>
    <row r="225" spans="1:31">
      <c r="A225" s="822"/>
      <c r="B225" s="1125"/>
      <c r="C225" s="824"/>
      <c r="D225" s="824"/>
      <c r="E225" s="824"/>
      <c r="F225" s="1126"/>
      <c r="G225" s="1126"/>
      <c r="H225" s="1127"/>
      <c r="I225" s="1128"/>
      <c r="J225" s="1128"/>
      <c r="K225" s="825" t="s">
        <v>29</v>
      </c>
      <c r="L225" s="1128"/>
      <c r="M225" s="1128"/>
      <c r="N225" s="1128"/>
      <c r="O225" s="1128"/>
      <c r="P225" s="1126"/>
      <c r="Q225" s="1126"/>
      <c r="R225" s="1126"/>
      <c r="S225" s="1126"/>
      <c r="T225" s="1126"/>
      <c r="U225" s="1126"/>
      <c r="V225" s="1126"/>
      <c r="W225" s="1126"/>
      <c r="X225" s="4401"/>
      <c r="Y225" s="4401"/>
      <c r="Z225" s="1126"/>
      <c r="AA225" s="1126"/>
      <c r="AB225" s="1126"/>
      <c r="AC225" s="1126"/>
      <c r="AD225" s="1126"/>
      <c r="AE225" s="828"/>
    </row>
    <row r="226" spans="1:31">
      <c r="A226" s="829" t="s">
        <v>362</v>
      </c>
      <c r="B226" s="995"/>
      <c r="C226" s="996"/>
      <c r="D226" s="996"/>
      <c r="E226" s="996"/>
      <c r="F226" s="163">
        <f>F228/$O$1</f>
        <v>42.686154318985096</v>
      </c>
      <c r="G226" s="997">
        <f>G228/$O$1</f>
        <v>42.686154318985096</v>
      </c>
      <c r="H226" s="997">
        <f t="shared" ref="H226:O226" si="62">H228/$O$1</f>
        <v>42.686154318985096</v>
      </c>
      <c r="I226" s="997">
        <f t="shared" si="62"/>
        <v>42.686154318985096</v>
      </c>
      <c r="J226" s="997">
        <f t="shared" si="62"/>
        <v>42.686154318985096</v>
      </c>
      <c r="K226" s="163">
        <f t="shared" si="62"/>
        <v>56.914872425313462</v>
      </c>
      <c r="L226" s="163">
        <f t="shared" si="62"/>
        <v>64.029231478477641</v>
      </c>
      <c r="M226" s="997">
        <f t="shared" si="62"/>
        <v>64.029231478477641</v>
      </c>
      <c r="N226" s="997">
        <f t="shared" si="62"/>
        <v>64.029231478477641</v>
      </c>
      <c r="O226" s="997">
        <f t="shared" si="62"/>
        <v>64.029231478477641</v>
      </c>
      <c r="P226" s="997">
        <v>64.03</v>
      </c>
      <c r="Q226" s="1129">
        <v>70</v>
      </c>
      <c r="R226" s="1129">
        <v>74</v>
      </c>
      <c r="S226" s="1129">
        <v>78</v>
      </c>
      <c r="T226" s="1129">
        <v>92</v>
      </c>
      <c r="U226" s="1129">
        <v>101</v>
      </c>
      <c r="V226" s="1129">
        <v>106</v>
      </c>
      <c r="W226" s="1129">
        <v>111</v>
      </c>
      <c r="X226" s="4393">
        <v>111</v>
      </c>
      <c r="Y226" s="4393"/>
      <c r="Z226" s="1130">
        <v>111</v>
      </c>
      <c r="AA226" s="1129">
        <v>122</v>
      </c>
      <c r="AB226" s="1129">
        <v>134</v>
      </c>
      <c r="AC226" s="1129">
        <v>148</v>
      </c>
      <c r="AD226" s="1129">
        <v>155</v>
      </c>
      <c r="AE226" s="839" t="s">
        <v>363</v>
      </c>
    </row>
    <row r="227" spans="1:31">
      <c r="A227" s="840"/>
      <c r="B227" s="1002"/>
      <c r="C227" s="1003"/>
      <c r="D227" s="1003"/>
      <c r="E227" s="1003"/>
      <c r="F227" s="771" t="s">
        <v>279</v>
      </c>
      <c r="G227" s="1004"/>
      <c r="H227" s="1004"/>
      <c r="I227" s="1004"/>
      <c r="J227" s="1004"/>
      <c r="K227" s="771" t="s">
        <v>280</v>
      </c>
      <c r="L227" s="771" t="s">
        <v>280</v>
      </c>
      <c r="M227" s="1004"/>
      <c r="N227" s="1004"/>
      <c r="O227" s="1004"/>
      <c r="P227" s="1004"/>
      <c r="Q227" s="771" t="s">
        <v>344</v>
      </c>
      <c r="R227" s="771" t="s">
        <v>345</v>
      </c>
      <c r="S227" s="771" t="s">
        <v>345</v>
      </c>
      <c r="T227" s="771" t="s">
        <v>345</v>
      </c>
      <c r="U227" s="771" t="s">
        <v>345</v>
      </c>
      <c r="V227" s="771" t="s">
        <v>345</v>
      </c>
      <c r="W227" s="771" t="s">
        <v>345</v>
      </c>
      <c r="X227" s="4398"/>
      <c r="Y227" s="4398"/>
      <c r="Z227" s="771"/>
      <c r="AA227" s="1031" t="s">
        <v>346</v>
      </c>
      <c r="AB227" s="1031" t="s">
        <v>346</v>
      </c>
      <c r="AC227" s="1031" t="s">
        <v>346</v>
      </c>
      <c r="AD227" s="1031" t="s">
        <v>346</v>
      </c>
      <c r="AE227" s="846"/>
    </row>
    <row r="228" spans="1:31">
      <c r="A228" s="776" t="s">
        <v>364</v>
      </c>
      <c r="B228" s="777"/>
      <c r="C228" s="233"/>
      <c r="D228" s="233"/>
      <c r="E228" s="233"/>
      <c r="F228" s="1131">
        <v>30</v>
      </c>
      <c r="G228" s="235">
        <v>30</v>
      </c>
      <c r="H228" s="235">
        <v>30</v>
      </c>
      <c r="I228" s="235">
        <v>30</v>
      </c>
      <c r="J228" s="235">
        <v>30</v>
      </c>
      <c r="K228" s="1132">
        <v>40</v>
      </c>
      <c r="L228" s="1132">
        <v>45</v>
      </c>
      <c r="M228" s="235">
        <v>45</v>
      </c>
      <c r="N228" s="235">
        <v>45</v>
      </c>
      <c r="O228" s="235">
        <v>45</v>
      </c>
      <c r="P228" s="235"/>
      <c r="Q228" s="853"/>
      <c r="R228" s="853"/>
      <c r="S228" s="853"/>
      <c r="T228" s="853"/>
      <c r="U228" s="854"/>
      <c r="V228" s="854"/>
      <c r="W228" s="854"/>
      <c r="X228" s="4375"/>
      <c r="Y228" s="4375"/>
      <c r="Z228" s="848"/>
      <c r="AA228" s="848"/>
      <c r="AB228" s="848"/>
      <c r="AC228" s="848"/>
      <c r="AD228" s="848"/>
      <c r="AE228" s="781" t="s">
        <v>365</v>
      </c>
    </row>
    <row r="229" spans="1:31">
      <c r="A229" s="782"/>
      <c r="B229" s="783"/>
      <c r="C229" s="787"/>
      <c r="D229" s="787"/>
      <c r="E229" s="787"/>
      <c r="F229" s="785" t="s">
        <v>279</v>
      </c>
      <c r="G229" s="788"/>
      <c r="H229" s="788"/>
      <c r="I229" s="788"/>
      <c r="J229" s="788"/>
      <c r="K229" s="785" t="s">
        <v>280</v>
      </c>
      <c r="L229" s="785" t="s">
        <v>280</v>
      </c>
      <c r="M229" s="788"/>
      <c r="N229" s="788"/>
      <c r="O229" s="788"/>
      <c r="P229" s="788"/>
      <c r="Q229" s="860"/>
      <c r="R229" s="860"/>
      <c r="S229" s="860"/>
      <c r="T229" s="860"/>
      <c r="U229" s="861"/>
      <c r="V229" s="861"/>
      <c r="W229" s="861"/>
      <c r="X229" s="4377"/>
      <c r="Y229" s="4377"/>
      <c r="Z229" s="857"/>
      <c r="AA229" s="857"/>
      <c r="AB229" s="857"/>
      <c r="AC229" s="857"/>
      <c r="AD229" s="857"/>
      <c r="AE229" s="790"/>
    </row>
    <row r="230" spans="1:31" ht="27.6" customHeight="1">
      <c r="A230" s="4385" t="s">
        <v>366</v>
      </c>
      <c r="B230" s="1133"/>
      <c r="C230" s="1134"/>
      <c r="D230" s="1134"/>
      <c r="E230" s="1135"/>
      <c r="F230" s="1136"/>
      <c r="G230" s="1137"/>
      <c r="H230" s="1137"/>
      <c r="I230" s="1137"/>
      <c r="J230" s="1137"/>
      <c r="K230" s="1136"/>
      <c r="L230" s="1136"/>
      <c r="M230" s="1137"/>
      <c r="N230" s="1137"/>
      <c r="O230" s="1137"/>
      <c r="P230" s="1137"/>
      <c r="Q230" s="1138"/>
      <c r="R230" s="1138"/>
      <c r="S230" s="1138"/>
      <c r="T230" s="1138"/>
      <c r="U230" s="1139"/>
      <c r="V230" s="1139"/>
      <c r="W230" s="1140"/>
      <c r="X230" s="4399">
        <v>55.5</v>
      </c>
      <c r="Y230" s="4399"/>
      <c r="Z230" s="1141">
        <v>55.5</v>
      </c>
      <c r="AA230" s="1142">
        <v>61</v>
      </c>
      <c r="AB230" s="1142">
        <v>67</v>
      </c>
      <c r="AC230" s="1142">
        <v>74</v>
      </c>
      <c r="AD230" s="1142">
        <v>77.5</v>
      </c>
      <c r="AE230" s="4388" t="s">
        <v>367</v>
      </c>
    </row>
    <row r="231" spans="1:31">
      <c r="A231" s="4386"/>
      <c r="B231" s="1143"/>
      <c r="C231" s="1144"/>
      <c r="D231" s="1144"/>
      <c r="E231" s="889"/>
      <c r="F231" s="878"/>
      <c r="G231" s="891"/>
      <c r="H231" s="891"/>
      <c r="I231" s="891"/>
      <c r="J231" s="891"/>
      <c r="K231" s="878"/>
      <c r="L231" s="878"/>
      <c r="M231" s="891"/>
      <c r="N231" s="891"/>
      <c r="O231" s="891"/>
      <c r="P231" s="891"/>
      <c r="Q231" s="1145"/>
      <c r="R231" s="1145"/>
      <c r="S231" s="1145"/>
      <c r="T231" s="1145"/>
      <c r="U231" s="993"/>
      <c r="V231" s="1146"/>
      <c r="W231" s="1147"/>
      <c r="X231" s="4390" t="s">
        <v>25</v>
      </c>
      <c r="Y231" s="4390"/>
      <c r="Z231" s="1148"/>
      <c r="AA231" s="1148" t="s">
        <v>346</v>
      </c>
      <c r="AB231" s="1148" t="s">
        <v>346</v>
      </c>
      <c r="AC231" s="1148" t="s">
        <v>346</v>
      </c>
      <c r="AD231" s="1148" t="s">
        <v>346</v>
      </c>
      <c r="AE231" s="4389"/>
    </row>
    <row r="232" spans="1:31" ht="15" customHeight="1">
      <c r="A232" s="4391" t="s">
        <v>368</v>
      </c>
      <c r="B232" s="995"/>
      <c r="C232" s="996"/>
      <c r="D232" s="996"/>
      <c r="E232" s="996"/>
      <c r="F232" s="163">
        <f t="shared" ref="F232:O232" si="63">F234/$O$1</f>
        <v>42.686154318985096</v>
      </c>
      <c r="G232" s="997">
        <f t="shared" si="63"/>
        <v>42.686154318985096</v>
      </c>
      <c r="H232" s="997">
        <f t="shared" si="63"/>
        <v>42.686154318985096</v>
      </c>
      <c r="I232" s="997">
        <f t="shared" si="63"/>
        <v>42.686154318985096</v>
      </c>
      <c r="J232" s="997">
        <f t="shared" si="63"/>
        <v>42.686154318985096</v>
      </c>
      <c r="K232" s="163">
        <f t="shared" si="63"/>
        <v>56.914872425313462</v>
      </c>
      <c r="L232" s="163">
        <f t="shared" si="63"/>
        <v>64.029231478477641</v>
      </c>
      <c r="M232" s="997">
        <f t="shared" si="63"/>
        <v>64.029231478477641</v>
      </c>
      <c r="N232" s="997">
        <f t="shared" si="63"/>
        <v>64.029231478477641</v>
      </c>
      <c r="O232" s="997">
        <f t="shared" si="63"/>
        <v>64.029231478477641</v>
      </c>
      <c r="P232" s="997">
        <v>64.03</v>
      </c>
      <c r="Q232" s="1149">
        <v>64</v>
      </c>
      <c r="R232" s="999">
        <v>64</v>
      </c>
      <c r="S232" s="999">
        <v>64</v>
      </c>
      <c r="T232" s="999">
        <v>64</v>
      </c>
      <c r="U232" s="999">
        <v>64</v>
      </c>
      <c r="V232" s="999">
        <v>64</v>
      </c>
      <c r="W232" s="999">
        <v>64</v>
      </c>
      <c r="X232" s="4393">
        <v>64</v>
      </c>
      <c r="Y232" s="4393"/>
      <c r="Z232" s="1130">
        <v>64</v>
      </c>
      <c r="AA232" s="1129">
        <v>70</v>
      </c>
      <c r="AB232" s="1129">
        <v>77</v>
      </c>
      <c r="AC232" s="1129">
        <v>85</v>
      </c>
      <c r="AD232" s="1129">
        <v>89</v>
      </c>
      <c r="AE232" s="4394" t="s">
        <v>369</v>
      </c>
    </row>
    <row r="233" spans="1:31">
      <c r="A233" s="4392"/>
      <c r="B233" s="1002"/>
      <c r="C233" s="1003"/>
      <c r="D233" s="1003"/>
      <c r="E233" s="1003"/>
      <c r="F233" s="771" t="s">
        <v>279</v>
      </c>
      <c r="G233" s="1004"/>
      <c r="H233" s="1004"/>
      <c r="I233" s="1004"/>
      <c r="J233" s="1004"/>
      <c r="K233" s="771" t="s">
        <v>280</v>
      </c>
      <c r="L233" s="771" t="s">
        <v>280</v>
      </c>
      <c r="M233" s="1004"/>
      <c r="N233" s="1004"/>
      <c r="O233" s="1004"/>
      <c r="P233" s="1004"/>
      <c r="Q233" s="771" t="s">
        <v>344</v>
      </c>
      <c r="R233" s="1150"/>
      <c r="S233" s="1150"/>
      <c r="T233" s="1150"/>
      <c r="U233" s="1150"/>
      <c r="V233" s="1150"/>
      <c r="W233" s="1150"/>
      <c r="X233" s="4398"/>
      <c r="Y233" s="4398"/>
      <c r="Z233" s="771"/>
      <c r="AA233" s="1031" t="s">
        <v>346</v>
      </c>
      <c r="AB233" s="1031" t="s">
        <v>346</v>
      </c>
      <c r="AC233" s="1031" t="s">
        <v>346</v>
      </c>
      <c r="AD233" s="1031" t="s">
        <v>346</v>
      </c>
      <c r="AE233" s="4395"/>
    </row>
    <row r="234" spans="1:31">
      <c r="A234" s="776" t="s">
        <v>370</v>
      </c>
      <c r="B234" s="777"/>
      <c r="C234" s="233"/>
      <c r="D234" s="233"/>
      <c r="E234" s="233"/>
      <c r="F234" s="1131">
        <v>30</v>
      </c>
      <c r="G234" s="235">
        <v>30</v>
      </c>
      <c r="H234" s="235">
        <v>30</v>
      </c>
      <c r="I234" s="235">
        <v>30</v>
      </c>
      <c r="J234" s="235">
        <v>30</v>
      </c>
      <c r="K234" s="1132">
        <v>40</v>
      </c>
      <c r="L234" s="1132">
        <v>45</v>
      </c>
      <c r="M234" s="235">
        <v>45</v>
      </c>
      <c r="N234" s="235">
        <v>45</v>
      </c>
      <c r="O234" s="235">
        <v>45</v>
      </c>
      <c r="P234" s="235"/>
      <c r="Q234" s="853"/>
      <c r="R234" s="853"/>
      <c r="S234" s="853"/>
      <c r="T234" s="853"/>
      <c r="U234" s="854"/>
      <c r="V234" s="854"/>
      <c r="W234" s="854"/>
      <c r="X234" s="4375"/>
      <c r="Y234" s="4375"/>
      <c r="Z234" s="848"/>
      <c r="AA234" s="848"/>
      <c r="AB234" s="848"/>
      <c r="AC234" s="848"/>
      <c r="AD234" s="848"/>
      <c r="AE234" s="781" t="s">
        <v>371</v>
      </c>
    </row>
    <row r="235" spans="1:31">
      <c r="A235" s="782"/>
      <c r="B235" s="783"/>
      <c r="C235" s="787"/>
      <c r="D235" s="787"/>
      <c r="E235" s="787"/>
      <c r="F235" s="785" t="s">
        <v>279</v>
      </c>
      <c r="G235" s="788"/>
      <c r="H235" s="788"/>
      <c r="I235" s="788"/>
      <c r="J235" s="788"/>
      <c r="K235" s="785" t="s">
        <v>280</v>
      </c>
      <c r="L235" s="785" t="s">
        <v>280</v>
      </c>
      <c r="M235" s="788"/>
      <c r="N235" s="788"/>
      <c r="O235" s="788"/>
      <c r="P235" s="788"/>
      <c r="Q235" s="860"/>
      <c r="R235" s="860"/>
      <c r="S235" s="860"/>
      <c r="T235" s="860"/>
      <c r="U235" s="861"/>
      <c r="V235" s="861"/>
      <c r="W235" s="861"/>
      <c r="X235" s="4376"/>
      <c r="Y235" s="4376"/>
      <c r="Z235" s="1070"/>
      <c r="AA235" s="1070"/>
      <c r="AB235" s="1070"/>
      <c r="AC235" s="1070"/>
      <c r="AD235" s="1070"/>
      <c r="AE235" s="790"/>
    </row>
    <row r="236" spans="1:31" ht="27.6" customHeight="1">
      <c r="A236" s="4385" t="s">
        <v>372</v>
      </c>
      <c r="B236" s="1133"/>
      <c r="C236" s="1134"/>
      <c r="D236" s="1134"/>
      <c r="E236" s="1135"/>
      <c r="F236" s="1136"/>
      <c r="G236" s="1137"/>
      <c r="H236" s="1137"/>
      <c r="I236" s="1137"/>
      <c r="J236" s="1137"/>
      <c r="K236" s="1136"/>
      <c r="L236" s="1136"/>
      <c r="M236" s="1137"/>
      <c r="N236" s="1137"/>
      <c r="O236" s="1137"/>
      <c r="P236" s="1137"/>
      <c r="Q236" s="1138"/>
      <c r="R236" s="1138"/>
      <c r="S236" s="1138"/>
      <c r="T236" s="1138"/>
      <c r="U236" s="1139"/>
      <c r="V236" s="1139"/>
      <c r="W236" s="1140"/>
      <c r="X236" s="4399" t="s">
        <v>373</v>
      </c>
      <c r="Y236" s="4399"/>
      <c r="Z236" s="1151">
        <v>32</v>
      </c>
      <c r="AA236" s="1152">
        <v>35</v>
      </c>
      <c r="AB236" s="1142">
        <v>38.5</v>
      </c>
      <c r="AC236" s="1142">
        <v>42.5</v>
      </c>
      <c r="AD236" s="1142">
        <v>44.5</v>
      </c>
      <c r="AE236" s="4388" t="s">
        <v>374</v>
      </c>
    </row>
    <row r="237" spans="1:31">
      <c r="A237" s="4386"/>
      <c r="B237" s="1143"/>
      <c r="C237" s="1144"/>
      <c r="D237" s="1144"/>
      <c r="E237" s="889"/>
      <c r="F237" s="878"/>
      <c r="G237" s="891"/>
      <c r="H237" s="891"/>
      <c r="I237" s="891"/>
      <c r="J237" s="891"/>
      <c r="K237" s="878"/>
      <c r="L237" s="878"/>
      <c r="M237" s="891"/>
      <c r="N237" s="891"/>
      <c r="O237" s="891"/>
      <c r="P237" s="891"/>
      <c r="Q237" s="1145"/>
      <c r="R237" s="1145"/>
      <c r="S237" s="1145"/>
      <c r="T237" s="1145"/>
      <c r="U237" s="993"/>
      <c r="V237" s="1146"/>
      <c r="W237" s="1147"/>
      <c r="X237" s="4390" t="s">
        <v>25</v>
      </c>
      <c r="Y237" s="4390"/>
      <c r="Z237" s="1148"/>
      <c r="AA237" s="1148" t="s">
        <v>346</v>
      </c>
      <c r="AB237" s="1148" t="s">
        <v>346</v>
      </c>
      <c r="AC237" s="1148" t="s">
        <v>346</v>
      </c>
      <c r="AD237" s="1148" t="s">
        <v>346</v>
      </c>
      <c r="AE237" s="4389"/>
    </row>
    <row r="238" spans="1:31" ht="15" customHeight="1">
      <c r="A238" s="4391" t="s">
        <v>375</v>
      </c>
      <c r="B238" s="995"/>
      <c r="C238" s="996"/>
      <c r="D238" s="996"/>
      <c r="E238" s="996"/>
      <c r="F238" s="163">
        <f>F240/$O$1</f>
        <v>42.686154318985096</v>
      </c>
      <c r="G238" s="997">
        <f>G240/$O$1</f>
        <v>42.686154318985096</v>
      </c>
      <c r="H238" s="997">
        <f t="shared" ref="H238:O238" si="64">H240/$O$1</f>
        <v>42.686154318985096</v>
      </c>
      <c r="I238" s="997">
        <f t="shared" si="64"/>
        <v>42.686154318985096</v>
      </c>
      <c r="J238" s="997">
        <f t="shared" si="64"/>
        <v>42.686154318985096</v>
      </c>
      <c r="K238" s="163">
        <f t="shared" si="64"/>
        <v>56.914872425313462</v>
      </c>
      <c r="L238" s="163">
        <f t="shared" si="64"/>
        <v>64.029231478477641</v>
      </c>
      <c r="M238" s="997">
        <f t="shared" si="64"/>
        <v>64.029231478477641</v>
      </c>
      <c r="N238" s="997">
        <f t="shared" si="64"/>
        <v>64.029231478477641</v>
      </c>
      <c r="O238" s="997">
        <f t="shared" si="64"/>
        <v>64.029231478477641</v>
      </c>
      <c r="P238" s="997">
        <v>64.03</v>
      </c>
      <c r="Q238" s="1129">
        <v>70</v>
      </c>
      <c r="R238" s="1129">
        <v>74</v>
      </c>
      <c r="S238" s="1129">
        <v>78</v>
      </c>
      <c r="T238" s="1129">
        <v>92</v>
      </c>
      <c r="U238" s="1129">
        <v>101</v>
      </c>
      <c r="V238" s="1129">
        <v>106</v>
      </c>
      <c r="W238" s="1129">
        <v>111</v>
      </c>
      <c r="X238" s="4393">
        <v>111</v>
      </c>
      <c r="Y238" s="4393"/>
      <c r="Z238" s="1130">
        <v>111</v>
      </c>
      <c r="AA238" s="1129">
        <v>122</v>
      </c>
      <c r="AB238" s="1129">
        <v>134</v>
      </c>
      <c r="AC238" s="1129">
        <v>148</v>
      </c>
      <c r="AD238" s="1129">
        <v>155</v>
      </c>
      <c r="AE238" s="4394" t="s">
        <v>376</v>
      </c>
    </row>
    <row r="239" spans="1:31">
      <c r="A239" s="4392"/>
      <c r="B239" s="1002"/>
      <c r="C239" s="1003"/>
      <c r="D239" s="1003"/>
      <c r="E239" s="1003"/>
      <c r="F239" s="771" t="s">
        <v>279</v>
      </c>
      <c r="G239" s="1004"/>
      <c r="H239" s="1004"/>
      <c r="I239" s="1004"/>
      <c r="J239" s="1004"/>
      <c r="K239" s="771" t="s">
        <v>280</v>
      </c>
      <c r="L239" s="771" t="s">
        <v>280</v>
      </c>
      <c r="M239" s="1004"/>
      <c r="N239" s="1004"/>
      <c r="O239" s="1004"/>
      <c r="P239" s="1004"/>
      <c r="Q239" s="771" t="s">
        <v>344</v>
      </c>
      <c r="R239" s="771" t="s">
        <v>345</v>
      </c>
      <c r="S239" s="771" t="s">
        <v>345</v>
      </c>
      <c r="T239" s="771" t="s">
        <v>345</v>
      </c>
      <c r="U239" s="771" t="s">
        <v>345</v>
      </c>
      <c r="V239" s="771" t="s">
        <v>345</v>
      </c>
      <c r="W239" s="771" t="s">
        <v>345</v>
      </c>
      <c r="X239" s="4398"/>
      <c r="Y239" s="4398"/>
      <c r="Z239" s="771"/>
      <c r="AA239" s="771" t="s">
        <v>346</v>
      </c>
      <c r="AB239" s="1031" t="s">
        <v>346</v>
      </c>
      <c r="AC239" s="1031" t="s">
        <v>346</v>
      </c>
      <c r="AD239" s="1031" t="s">
        <v>346</v>
      </c>
      <c r="AE239" s="4395"/>
    </row>
    <row r="240" spans="1:31">
      <c r="A240" s="776" t="s">
        <v>370</v>
      </c>
      <c r="B240" s="777"/>
      <c r="C240" s="233"/>
      <c r="D240" s="233"/>
      <c r="E240" s="233"/>
      <c r="F240" s="1131">
        <v>30</v>
      </c>
      <c r="G240" s="235">
        <v>30</v>
      </c>
      <c r="H240" s="235">
        <v>30</v>
      </c>
      <c r="I240" s="235">
        <v>30</v>
      </c>
      <c r="J240" s="235">
        <v>30</v>
      </c>
      <c r="K240" s="1132">
        <v>40</v>
      </c>
      <c r="L240" s="1132">
        <v>45</v>
      </c>
      <c r="M240" s="235">
        <v>45</v>
      </c>
      <c r="N240" s="235">
        <v>45</v>
      </c>
      <c r="O240" s="235">
        <v>45</v>
      </c>
      <c r="P240" s="235"/>
      <c r="Q240" s="853"/>
      <c r="R240" s="853"/>
      <c r="S240" s="853"/>
      <c r="T240" s="853"/>
      <c r="U240" s="854"/>
      <c r="V240" s="854"/>
      <c r="W240" s="854"/>
      <c r="X240" s="4375"/>
      <c r="Y240" s="4375"/>
      <c r="Z240" s="848"/>
      <c r="AA240" s="848"/>
      <c r="AB240" s="848"/>
      <c r="AC240" s="848"/>
      <c r="AD240" s="848"/>
      <c r="AE240" s="781" t="s">
        <v>371</v>
      </c>
    </row>
    <row r="241" spans="1:31">
      <c r="A241" s="782"/>
      <c r="B241" s="783"/>
      <c r="C241" s="787"/>
      <c r="D241" s="787"/>
      <c r="E241" s="787"/>
      <c r="F241" s="785" t="s">
        <v>279</v>
      </c>
      <c r="G241" s="788"/>
      <c r="H241" s="788"/>
      <c r="I241" s="788"/>
      <c r="J241" s="788"/>
      <c r="K241" s="785" t="s">
        <v>280</v>
      </c>
      <c r="L241" s="785" t="s">
        <v>280</v>
      </c>
      <c r="M241" s="788"/>
      <c r="N241" s="788"/>
      <c r="O241" s="788"/>
      <c r="P241" s="788"/>
      <c r="Q241" s="860"/>
      <c r="R241" s="860"/>
      <c r="S241" s="860"/>
      <c r="T241" s="860"/>
      <c r="U241" s="861"/>
      <c r="V241" s="861"/>
      <c r="W241" s="861"/>
      <c r="X241" s="4377"/>
      <c r="Y241" s="4377"/>
      <c r="Z241" s="857"/>
      <c r="AA241" s="857"/>
      <c r="AB241" s="857"/>
      <c r="AC241" s="857"/>
      <c r="AD241" s="857"/>
      <c r="AE241" s="790"/>
    </row>
    <row r="242" spans="1:31" ht="27.6" customHeight="1">
      <c r="A242" s="4385" t="s">
        <v>377</v>
      </c>
      <c r="B242" s="1133"/>
      <c r="C242" s="1134"/>
      <c r="D242" s="1134"/>
      <c r="E242" s="1135"/>
      <c r="F242" s="1136"/>
      <c r="G242" s="1137"/>
      <c r="H242" s="1137"/>
      <c r="I242" s="1137"/>
      <c r="J242" s="1137"/>
      <c r="K242" s="1136"/>
      <c r="L242" s="1136"/>
      <c r="M242" s="1137"/>
      <c r="N242" s="1137"/>
      <c r="O242" s="1137"/>
      <c r="P242" s="1137"/>
      <c r="Q242" s="1138"/>
      <c r="R242" s="1138"/>
      <c r="S242" s="1138"/>
      <c r="T242" s="1138"/>
      <c r="U242" s="1139"/>
      <c r="V242" s="1139"/>
      <c r="W242" s="1140"/>
      <c r="X242" s="4399">
        <v>55.5</v>
      </c>
      <c r="Y242" s="4399"/>
      <c r="Z242" s="1141">
        <v>55.5</v>
      </c>
      <c r="AA242" s="1142">
        <v>61</v>
      </c>
      <c r="AB242" s="1142">
        <v>67</v>
      </c>
      <c r="AC242" s="1142">
        <v>74</v>
      </c>
      <c r="AD242" s="1142">
        <v>77.5</v>
      </c>
      <c r="AE242" s="4388" t="s">
        <v>378</v>
      </c>
    </row>
    <row r="243" spans="1:31">
      <c r="A243" s="4386"/>
      <c r="B243" s="1143"/>
      <c r="C243" s="1144"/>
      <c r="D243" s="1144"/>
      <c r="E243" s="889"/>
      <c r="F243" s="878"/>
      <c r="G243" s="891"/>
      <c r="H243" s="891"/>
      <c r="I243" s="891"/>
      <c r="J243" s="891"/>
      <c r="K243" s="878"/>
      <c r="L243" s="878"/>
      <c r="M243" s="891"/>
      <c r="N243" s="891"/>
      <c r="O243" s="891"/>
      <c r="P243" s="891"/>
      <c r="Q243" s="1145"/>
      <c r="R243" s="1145"/>
      <c r="S243" s="1145"/>
      <c r="T243" s="1145"/>
      <c r="U243" s="993"/>
      <c r="V243" s="1146"/>
      <c r="W243" s="1147"/>
      <c r="X243" s="4390" t="s">
        <v>25</v>
      </c>
      <c r="Y243" s="4390"/>
      <c r="Z243" s="1148"/>
      <c r="AA243" s="1148" t="s">
        <v>346</v>
      </c>
      <c r="AB243" s="1148" t="s">
        <v>346</v>
      </c>
      <c r="AC243" s="1148" t="s">
        <v>346</v>
      </c>
      <c r="AD243" s="1148" t="s">
        <v>346</v>
      </c>
      <c r="AE243" s="4389"/>
    </row>
    <row r="244" spans="1:31" ht="15" customHeight="1">
      <c r="A244" s="4391" t="s">
        <v>379</v>
      </c>
      <c r="B244" s="1153"/>
      <c r="C244" s="1154"/>
      <c r="D244" s="1154"/>
      <c r="E244" s="1154"/>
      <c r="F244" s="163">
        <f t="shared" ref="F244:O244" si="65">F246/$O$1</f>
        <v>59.760616046579131</v>
      </c>
      <c r="G244" s="997">
        <f t="shared" si="65"/>
        <v>59.760616046579131</v>
      </c>
      <c r="H244" s="997">
        <f t="shared" si="65"/>
        <v>59.760616046579131</v>
      </c>
      <c r="I244" s="997">
        <f t="shared" si="65"/>
        <v>59.760616046579131</v>
      </c>
      <c r="J244" s="997">
        <f t="shared" si="65"/>
        <v>59.760616046579131</v>
      </c>
      <c r="K244" s="997">
        <f t="shared" si="65"/>
        <v>59.760616046579131</v>
      </c>
      <c r="L244" s="163">
        <f t="shared" si="65"/>
        <v>64.029231478477641</v>
      </c>
      <c r="M244" s="997">
        <f t="shared" si="65"/>
        <v>64.029231478477641</v>
      </c>
      <c r="N244" s="997">
        <f t="shared" si="65"/>
        <v>64.029231478477641</v>
      </c>
      <c r="O244" s="997">
        <f t="shared" si="65"/>
        <v>64.029231478477641</v>
      </c>
      <c r="P244" s="997">
        <v>64.03</v>
      </c>
      <c r="Q244" s="1129">
        <v>70</v>
      </c>
      <c r="R244" s="1129">
        <v>74</v>
      </c>
      <c r="S244" s="1129">
        <v>78</v>
      </c>
      <c r="T244" s="1129">
        <v>92</v>
      </c>
      <c r="U244" s="1129">
        <v>101</v>
      </c>
      <c r="V244" s="1129">
        <v>106</v>
      </c>
      <c r="W244" s="1129">
        <v>111</v>
      </c>
      <c r="X244" s="4393">
        <v>111</v>
      </c>
      <c r="Y244" s="4393"/>
      <c r="Z244" s="1130">
        <v>111</v>
      </c>
      <c r="AA244" s="1129">
        <v>122</v>
      </c>
      <c r="AB244" s="1129">
        <v>159</v>
      </c>
      <c r="AC244" s="1129">
        <v>192</v>
      </c>
      <c r="AD244" s="1129">
        <v>202</v>
      </c>
      <c r="AE244" s="4394" t="s">
        <v>380</v>
      </c>
    </row>
    <row r="245" spans="1:31">
      <c r="A245" s="4392"/>
      <c r="B245" s="1155"/>
      <c r="C245" s="1156"/>
      <c r="D245" s="1156"/>
      <c r="E245" s="1156"/>
      <c r="F245" s="771" t="s">
        <v>279</v>
      </c>
      <c r="G245" s="1004"/>
      <c r="H245" s="1004"/>
      <c r="I245" s="1004"/>
      <c r="J245" s="1004"/>
      <c r="K245" s="1004"/>
      <c r="L245" s="771" t="s">
        <v>280</v>
      </c>
      <c r="M245" s="1004"/>
      <c r="N245" s="1004"/>
      <c r="O245" s="1004"/>
      <c r="P245" s="1004"/>
      <c r="Q245" s="771" t="s">
        <v>344</v>
      </c>
      <c r="R245" s="771" t="s">
        <v>345</v>
      </c>
      <c r="S245" s="771" t="s">
        <v>345</v>
      </c>
      <c r="T245" s="771" t="s">
        <v>345</v>
      </c>
      <c r="U245" s="771" t="s">
        <v>345</v>
      </c>
      <c r="V245" s="771" t="s">
        <v>345</v>
      </c>
      <c r="W245" s="771" t="s">
        <v>345</v>
      </c>
      <c r="X245" s="4398"/>
      <c r="Y245" s="4398"/>
      <c r="Z245" s="771"/>
      <c r="AA245" s="1031" t="s">
        <v>346</v>
      </c>
      <c r="AB245" s="1031" t="s">
        <v>346</v>
      </c>
      <c r="AC245" s="1031" t="s">
        <v>346</v>
      </c>
      <c r="AD245" s="1031" t="s">
        <v>346</v>
      </c>
      <c r="AE245" s="4395"/>
    </row>
    <row r="246" spans="1:31" ht="26.4">
      <c r="A246" s="776" t="s">
        <v>381</v>
      </c>
      <c r="B246" s="777"/>
      <c r="C246" s="233"/>
      <c r="D246" s="233"/>
      <c r="E246" s="233"/>
      <c r="F246" s="1131">
        <v>42</v>
      </c>
      <c r="G246" s="778">
        <v>42</v>
      </c>
      <c r="H246" s="778">
        <v>42</v>
      </c>
      <c r="I246" s="778">
        <v>42</v>
      </c>
      <c r="J246" s="778">
        <v>42</v>
      </c>
      <c r="K246" s="778">
        <v>42</v>
      </c>
      <c r="L246" s="850">
        <v>45</v>
      </c>
      <c r="M246" s="235">
        <v>45</v>
      </c>
      <c r="N246" s="235">
        <v>45</v>
      </c>
      <c r="O246" s="235">
        <v>45</v>
      </c>
      <c r="P246" s="235"/>
      <c r="Q246" s="853"/>
      <c r="R246" s="853"/>
      <c r="S246" s="853"/>
      <c r="T246" s="853"/>
      <c r="U246" s="854"/>
      <c r="V246" s="854"/>
      <c r="W246" s="854"/>
      <c r="X246" s="4375"/>
      <c r="Y246" s="4375"/>
      <c r="Z246" s="848"/>
      <c r="AA246" s="848"/>
      <c r="AB246" s="848"/>
      <c r="AC246" s="848"/>
      <c r="AD246" s="848"/>
      <c r="AE246" s="781" t="s">
        <v>382</v>
      </c>
    </row>
    <row r="247" spans="1:31">
      <c r="A247" s="782"/>
      <c r="B247" s="783"/>
      <c r="C247" s="787"/>
      <c r="D247" s="787"/>
      <c r="E247" s="787"/>
      <c r="F247" s="771" t="s">
        <v>279</v>
      </c>
      <c r="G247" s="784"/>
      <c r="H247" s="784"/>
      <c r="I247" s="784"/>
      <c r="J247" s="784"/>
      <c r="K247" s="784"/>
      <c r="L247" s="785" t="s">
        <v>280</v>
      </c>
      <c r="M247" s="788"/>
      <c r="N247" s="788"/>
      <c r="O247" s="788"/>
      <c r="P247" s="788"/>
      <c r="Q247" s="860"/>
      <c r="R247" s="860"/>
      <c r="S247" s="860"/>
      <c r="T247" s="860"/>
      <c r="U247" s="861"/>
      <c r="V247" s="861"/>
      <c r="W247" s="861"/>
      <c r="X247" s="4377"/>
      <c r="Y247" s="4377"/>
      <c r="Z247" s="857"/>
      <c r="AA247" s="857"/>
      <c r="AB247" s="857"/>
      <c r="AC247" s="857"/>
      <c r="AD247" s="857"/>
      <c r="AE247" s="790"/>
    </row>
    <row r="248" spans="1:31" ht="55.35" customHeight="1">
      <c r="A248" s="4385" t="s">
        <v>383</v>
      </c>
      <c r="B248" s="1120"/>
      <c r="C248" s="889"/>
      <c r="D248" s="889"/>
      <c r="E248" s="889"/>
      <c r="F248" s="878"/>
      <c r="G248" s="1157"/>
      <c r="H248" s="1157"/>
      <c r="I248" s="1157"/>
      <c r="J248" s="1157"/>
      <c r="K248" s="1157"/>
      <c r="L248" s="878"/>
      <c r="M248" s="891"/>
      <c r="N248" s="891"/>
      <c r="O248" s="891"/>
      <c r="P248" s="891"/>
      <c r="Q248" s="1145"/>
      <c r="R248" s="1145"/>
      <c r="S248" s="1145"/>
      <c r="T248" s="1145"/>
      <c r="U248" s="1146"/>
      <c r="V248" s="1146"/>
      <c r="W248" s="1146"/>
      <c r="X248" s="4387">
        <v>55.5</v>
      </c>
      <c r="Y248" s="4387"/>
      <c r="Z248" s="1141">
        <v>55.5</v>
      </c>
      <c r="AA248" s="1142">
        <v>61</v>
      </c>
      <c r="AB248" s="1142">
        <v>79.5</v>
      </c>
      <c r="AC248" s="1142">
        <v>96</v>
      </c>
      <c r="AD248" s="1142">
        <v>101</v>
      </c>
      <c r="AE248" s="4388" t="s">
        <v>384</v>
      </c>
    </row>
    <row r="249" spans="1:31">
      <c r="A249" s="4386"/>
      <c r="B249" s="1120"/>
      <c r="C249" s="889"/>
      <c r="D249" s="889"/>
      <c r="E249" s="889"/>
      <c r="F249" s="878"/>
      <c r="G249" s="1157"/>
      <c r="H249" s="1157"/>
      <c r="I249" s="1157"/>
      <c r="J249" s="1157"/>
      <c r="K249" s="1157"/>
      <c r="L249" s="878"/>
      <c r="M249" s="891"/>
      <c r="N249" s="891"/>
      <c r="O249" s="891"/>
      <c r="P249" s="891"/>
      <c r="Q249" s="1145"/>
      <c r="R249" s="1145"/>
      <c r="S249" s="1145"/>
      <c r="T249" s="1145"/>
      <c r="U249" s="1146"/>
      <c r="V249" s="1146"/>
      <c r="W249" s="1146"/>
      <c r="X249" s="4390" t="s">
        <v>25</v>
      </c>
      <c r="Y249" s="4390"/>
      <c r="Z249" s="1148"/>
      <c r="AA249" s="1148" t="s">
        <v>346</v>
      </c>
      <c r="AB249" s="1148" t="s">
        <v>346</v>
      </c>
      <c r="AC249" s="1148" t="s">
        <v>346</v>
      </c>
      <c r="AD249" s="1148" t="s">
        <v>346</v>
      </c>
      <c r="AE249" s="4389"/>
    </row>
    <row r="250" spans="1:31" ht="15" customHeight="1">
      <c r="A250" s="4391" t="s">
        <v>385</v>
      </c>
      <c r="B250" s="995"/>
      <c r="C250" s="996"/>
      <c r="D250" s="996"/>
      <c r="E250" s="996"/>
      <c r="F250" s="835">
        <f>F252/$O$1</f>
        <v>99.601026744298551</v>
      </c>
      <c r="G250" s="1158">
        <f>G252/$O$1</f>
        <v>99.601026744298551</v>
      </c>
      <c r="H250" s="1158">
        <f t="shared" ref="H250:O250" si="66">H252/$O$1</f>
        <v>99.601026744298551</v>
      </c>
      <c r="I250" s="1158">
        <f t="shared" si="66"/>
        <v>99.601026744298551</v>
      </c>
      <c r="J250" s="1158">
        <f t="shared" si="66"/>
        <v>99.601026744298551</v>
      </c>
      <c r="K250" s="1158">
        <f t="shared" si="66"/>
        <v>99.601026744298551</v>
      </c>
      <c r="L250" s="1158">
        <f t="shared" si="66"/>
        <v>99.601026744298551</v>
      </c>
      <c r="M250" s="1158">
        <f t="shared" si="66"/>
        <v>99.601026744298551</v>
      </c>
      <c r="N250" s="1158">
        <f t="shared" si="66"/>
        <v>99.601026744298551</v>
      </c>
      <c r="O250" s="1158">
        <f t="shared" si="66"/>
        <v>99.601026744298551</v>
      </c>
      <c r="P250" s="836">
        <v>99.6</v>
      </c>
      <c r="Q250" s="1129">
        <v>110</v>
      </c>
      <c r="R250" s="1129">
        <v>120</v>
      </c>
      <c r="S250" s="1129">
        <v>130</v>
      </c>
      <c r="T250" s="1129">
        <v>150</v>
      </c>
      <c r="U250" s="1129">
        <v>168</v>
      </c>
      <c r="V250" s="1129">
        <v>176</v>
      </c>
      <c r="W250" s="1129">
        <v>185</v>
      </c>
      <c r="X250" s="4393">
        <v>185</v>
      </c>
      <c r="Y250" s="4393"/>
      <c r="Z250" s="1130">
        <v>185</v>
      </c>
      <c r="AA250" s="1129">
        <v>203</v>
      </c>
      <c r="AB250" s="1129">
        <v>264</v>
      </c>
      <c r="AC250" s="1129">
        <v>325</v>
      </c>
      <c r="AD250" s="1129">
        <v>343</v>
      </c>
      <c r="AE250" s="4394" t="s">
        <v>386</v>
      </c>
    </row>
    <row r="251" spans="1:31">
      <c r="A251" s="4392"/>
      <c r="B251" s="1002"/>
      <c r="C251" s="1003"/>
      <c r="D251" s="1003"/>
      <c r="E251" s="1003"/>
      <c r="F251" s="771" t="s">
        <v>279</v>
      </c>
      <c r="G251" s="1004"/>
      <c r="H251" s="1004"/>
      <c r="I251" s="1004"/>
      <c r="J251" s="1004"/>
      <c r="K251" s="1004"/>
      <c r="L251" s="1004"/>
      <c r="M251" s="1004"/>
      <c r="N251" s="1004"/>
      <c r="O251" s="1004"/>
      <c r="P251" s="770"/>
      <c r="Q251" s="771" t="s">
        <v>344</v>
      </c>
      <c r="R251" s="771" t="s">
        <v>345</v>
      </c>
      <c r="S251" s="771" t="s">
        <v>345</v>
      </c>
      <c r="T251" s="771" t="s">
        <v>345</v>
      </c>
      <c r="U251" s="771" t="s">
        <v>345</v>
      </c>
      <c r="V251" s="771" t="s">
        <v>345</v>
      </c>
      <c r="W251" s="771" t="s">
        <v>345</v>
      </c>
      <c r="X251" s="4398"/>
      <c r="Y251" s="4398"/>
      <c r="Z251" s="771"/>
      <c r="AA251" s="771" t="s">
        <v>346</v>
      </c>
      <c r="AB251" s="771" t="s">
        <v>346</v>
      </c>
      <c r="AC251" s="771" t="s">
        <v>346</v>
      </c>
      <c r="AD251" s="771" t="s">
        <v>346</v>
      </c>
      <c r="AE251" s="4395"/>
    </row>
    <row r="252" spans="1:31" ht="12.6" customHeight="1">
      <c r="A252" s="776" t="s">
        <v>387</v>
      </c>
      <c r="B252" s="777"/>
      <c r="C252" s="233"/>
      <c r="D252" s="233"/>
      <c r="E252" s="233"/>
      <c r="F252" s="1131">
        <v>70</v>
      </c>
      <c r="G252" s="778">
        <v>70</v>
      </c>
      <c r="H252" s="778">
        <v>70</v>
      </c>
      <c r="I252" s="778">
        <v>70</v>
      </c>
      <c r="J252" s="778">
        <v>70</v>
      </c>
      <c r="K252" s="778">
        <v>70</v>
      </c>
      <c r="L252" s="778">
        <v>70</v>
      </c>
      <c r="M252" s="778">
        <v>70</v>
      </c>
      <c r="N252" s="778">
        <v>70</v>
      </c>
      <c r="O252" s="778">
        <v>70</v>
      </c>
      <c r="P252" s="853"/>
      <c r="Q252" s="853"/>
      <c r="R252" s="853"/>
      <c r="S252" s="853"/>
      <c r="T252" s="853"/>
      <c r="U252" s="854"/>
      <c r="V252" s="854"/>
      <c r="W252" s="854"/>
      <c r="X252" s="4375"/>
      <c r="Y252" s="4375"/>
      <c r="Z252" s="848"/>
      <c r="AA252" s="848"/>
      <c r="AB252" s="848"/>
      <c r="AC252" s="848"/>
      <c r="AD252" s="848"/>
      <c r="AE252" s="781" t="s">
        <v>365</v>
      </c>
    </row>
    <row r="253" spans="1:31">
      <c r="A253" s="782"/>
      <c r="B253" s="783"/>
      <c r="C253" s="787"/>
      <c r="D253" s="787"/>
      <c r="E253" s="787"/>
      <c r="F253" s="785" t="s">
        <v>279</v>
      </c>
      <c r="G253" s="784"/>
      <c r="H253" s="784"/>
      <c r="I253" s="784"/>
      <c r="J253" s="784"/>
      <c r="K253" s="784"/>
      <c r="L253" s="784"/>
      <c r="M253" s="784"/>
      <c r="N253" s="784"/>
      <c r="O253" s="784"/>
      <c r="P253" s="860"/>
      <c r="Q253" s="860"/>
      <c r="R253" s="860"/>
      <c r="S253" s="860"/>
      <c r="T253" s="860"/>
      <c r="U253" s="861"/>
      <c r="V253" s="861"/>
      <c r="W253" s="861"/>
      <c r="X253" s="4377"/>
      <c r="Y253" s="4377"/>
      <c r="Z253" s="857"/>
      <c r="AA253" s="857"/>
      <c r="AB253" s="857"/>
      <c r="AC253" s="857"/>
      <c r="AD253" s="857"/>
      <c r="AE253" s="790"/>
    </row>
    <row r="254" spans="1:31" ht="55.35" customHeight="1">
      <c r="A254" s="4385" t="s">
        <v>388</v>
      </c>
      <c r="B254" s="1120"/>
      <c r="C254" s="889"/>
      <c r="D254" s="889"/>
      <c r="E254" s="889"/>
      <c r="F254" s="878"/>
      <c r="G254" s="1157"/>
      <c r="H254" s="1157"/>
      <c r="I254" s="1157"/>
      <c r="J254" s="1157"/>
      <c r="K254" s="1157"/>
      <c r="L254" s="878"/>
      <c r="M254" s="891"/>
      <c r="N254" s="891"/>
      <c r="O254" s="891"/>
      <c r="P254" s="891"/>
      <c r="Q254" s="1145"/>
      <c r="R254" s="1145"/>
      <c r="S254" s="1145"/>
      <c r="T254" s="1145"/>
      <c r="U254" s="1146"/>
      <c r="V254" s="1146"/>
      <c r="W254" s="1146"/>
      <c r="X254" s="4387">
        <v>92.5</v>
      </c>
      <c r="Y254" s="4387"/>
      <c r="Z254" s="1141">
        <v>92.5</v>
      </c>
      <c r="AA254" s="1142">
        <v>101.5</v>
      </c>
      <c r="AB254" s="1142">
        <v>132</v>
      </c>
      <c r="AC254" s="1142">
        <v>162.5</v>
      </c>
      <c r="AD254" s="1142">
        <v>171.5</v>
      </c>
      <c r="AE254" s="4388" t="s">
        <v>389</v>
      </c>
    </row>
    <row r="255" spans="1:31">
      <c r="A255" s="4386"/>
      <c r="B255" s="1120"/>
      <c r="C255" s="889"/>
      <c r="D255" s="889"/>
      <c r="E255" s="889"/>
      <c r="F255" s="878"/>
      <c r="G255" s="1157"/>
      <c r="H255" s="1157"/>
      <c r="I255" s="1157"/>
      <c r="J255" s="1157"/>
      <c r="K255" s="1157"/>
      <c r="L255" s="878"/>
      <c r="M255" s="891"/>
      <c r="N255" s="891"/>
      <c r="O255" s="891"/>
      <c r="P255" s="891"/>
      <c r="Q255" s="1145"/>
      <c r="R255" s="1145"/>
      <c r="S255" s="1145"/>
      <c r="T255" s="1145"/>
      <c r="U255" s="1146"/>
      <c r="V255" s="993"/>
      <c r="W255" s="993"/>
      <c r="X255" s="4390" t="s">
        <v>25</v>
      </c>
      <c r="Y255" s="4390"/>
      <c r="Z255" s="1148"/>
      <c r="AA255" s="1148" t="s">
        <v>346</v>
      </c>
      <c r="AB255" s="1148" t="s">
        <v>346</v>
      </c>
      <c r="AC255" s="1148" t="s">
        <v>346</v>
      </c>
      <c r="AD255" s="1148" t="s">
        <v>346</v>
      </c>
      <c r="AE255" s="4389"/>
    </row>
    <row r="256" spans="1:31" ht="15" customHeight="1">
      <c r="A256" s="4391" t="s">
        <v>390</v>
      </c>
      <c r="B256" s="995"/>
      <c r="C256" s="996"/>
      <c r="D256" s="996"/>
      <c r="E256" s="996"/>
      <c r="F256" s="835">
        <f>F260/$O$1</f>
        <v>782.57949584806011</v>
      </c>
      <c r="G256" s="1158">
        <f>G260/$O$1</f>
        <v>782.57949584806011</v>
      </c>
      <c r="H256" s="835">
        <f>H260/$O$1</f>
        <v>896.40924069868697</v>
      </c>
      <c r="I256" s="836">
        <f t="shared" ref="I256:O256" si="67">I260/$O$1</f>
        <v>896.40924069868697</v>
      </c>
      <c r="J256" s="836">
        <f t="shared" si="67"/>
        <v>896.40924069868697</v>
      </c>
      <c r="K256" s="835">
        <f>K260/$O$1</f>
        <v>1173.8692437720902</v>
      </c>
      <c r="L256" s="836">
        <f t="shared" si="67"/>
        <v>1266.3559114632244</v>
      </c>
      <c r="M256" s="835">
        <f>M260/$O$1</f>
        <v>1337.4995019948663</v>
      </c>
      <c r="N256" s="836">
        <f t="shared" si="67"/>
        <v>1337.4995019948663</v>
      </c>
      <c r="O256" s="836">
        <f t="shared" si="67"/>
        <v>1337.4995019948663</v>
      </c>
      <c r="P256" s="836">
        <v>1337.5</v>
      </c>
      <c r="Q256" s="1129">
        <v>1360</v>
      </c>
      <c r="R256" s="1129">
        <v>1400</v>
      </c>
      <c r="S256" s="1129">
        <v>1450</v>
      </c>
      <c r="T256" s="1129">
        <v>1670</v>
      </c>
      <c r="U256" s="1129">
        <v>1840</v>
      </c>
      <c r="V256" s="1159">
        <v>1642</v>
      </c>
      <c r="W256" s="1129">
        <v>1724</v>
      </c>
      <c r="X256" s="4393">
        <v>1724</v>
      </c>
      <c r="Y256" s="4393"/>
      <c r="Z256" s="1130">
        <v>1724</v>
      </c>
      <c r="AA256" s="1129">
        <v>1862</v>
      </c>
      <c r="AB256" s="1129">
        <v>1955</v>
      </c>
      <c r="AC256" s="1129">
        <v>2053</v>
      </c>
      <c r="AD256" s="1129">
        <v>2115</v>
      </c>
      <c r="AE256" s="4394" t="s">
        <v>391</v>
      </c>
    </row>
    <row r="257" spans="1:31">
      <c r="A257" s="4267"/>
      <c r="B257" s="1058"/>
      <c r="C257" s="1059"/>
      <c r="D257" s="1059"/>
      <c r="E257" s="1059"/>
      <c r="F257" s="907" t="s">
        <v>279</v>
      </c>
      <c r="G257" s="1060"/>
      <c r="H257" s="908"/>
      <c r="I257" s="909"/>
      <c r="J257" s="909"/>
      <c r="K257" s="907" t="s">
        <v>280</v>
      </c>
      <c r="L257" s="909"/>
      <c r="M257" s="907" t="s">
        <v>281</v>
      </c>
      <c r="N257" s="909"/>
      <c r="O257" s="909"/>
      <c r="P257" s="909"/>
      <c r="Q257" s="907" t="s">
        <v>344</v>
      </c>
      <c r="R257" s="907" t="s">
        <v>345</v>
      </c>
      <c r="S257" s="907" t="s">
        <v>345</v>
      </c>
      <c r="T257" s="907" t="s">
        <v>345</v>
      </c>
      <c r="U257" s="907" t="s">
        <v>345</v>
      </c>
      <c r="V257" s="907" t="s">
        <v>345</v>
      </c>
      <c r="W257" s="907" t="s">
        <v>345</v>
      </c>
      <c r="X257" s="4396"/>
      <c r="Y257" s="4396"/>
      <c r="Z257" s="907"/>
      <c r="AA257" s="1031" t="s">
        <v>346</v>
      </c>
      <c r="AB257" s="1031" t="s">
        <v>346</v>
      </c>
      <c r="AC257" s="1031" t="s">
        <v>346</v>
      </c>
      <c r="AD257" s="1031" t="s">
        <v>346</v>
      </c>
      <c r="AE257" s="4359"/>
    </row>
    <row r="258" spans="1:31">
      <c r="A258" s="4267"/>
      <c r="B258" s="1058"/>
      <c r="C258" s="1059"/>
      <c r="D258" s="1059"/>
      <c r="E258" s="1059"/>
      <c r="F258" s="35"/>
      <c r="G258" s="1060"/>
      <c r="H258" s="908"/>
      <c r="I258" s="909"/>
      <c r="J258" s="909"/>
      <c r="K258" s="1161">
        <f>K262/$O$1</f>
        <v>1266.3559114632244</v>
      </c>
      <c r="L258" s="909"/>
      <c r="M258" s="1062"/>
      <c r="N258" s="909"/>
      <c r="O258" s="909"/>
      <c r="P258" s="909"/>
      <c r="Q258" s="1062"/>
      <c r="R258" s="1062"/>
      <c r="S258" s="1062"/>
      <c r="T258" s="1062"/>
      <c r="U258" s="1162">
        <v>1564</v>
      </c>
      <c r="V258" s="1159"/>
      <c r="W258" s="1159"/>
      <c r="X258" s="4397"/>
      <c r="Y258" s="4397"/>
      <c r="Z258" s="1159"/>
      <c r="AA258" s="1159"/>
      <c r="AB258" s="1159"/>
      <c r="AC258" s="1159"/>
      <c r="AD258" s="1159"/>
      <c r="AE258" s="4359"/>
    </row>
    <row r="259" spans="1:31">
      <c r="A259" s="4392"/>
      <c r="B259" s="1002"/>
      <c r="C259" s="1003"/>
      <c r="D259" s="1003"/>
      <c r="E259" s="1003"/>
      <c r="F259" s="1064"/>
      <c r="G259" s="1004"/>
      <c r="H259" s="772"/>
      <c r="I259" s="770"/>
      <c r="J259" s="770"/>
      <c r="K259" s="771" t="s">
        <v>29</v>
      </c>
      <c r="L259" s="770"/>
      <c r="M259" s="1064"/>
      <c r="N259" s="770"/>
      <c r="O259" s="770"/>
      <c r="P259" s="770"/>
      <c r="Q259" s="1064"/>
      <c r="R259" s="1064"/>
      <c r="S259" s="1064"/>
      <c r="T259" s="1064"/>
      <c r="U259" s="907" t="s">
        <v>344</v>
      </c>
      <c r="V259" s="907"/>
      <c r="W259" s="907"/>
      <c r="X259" s="4398"/>
      <c r="Y259" s="4398"/>
      <c r="Z259" s="771"/>
      <c r="AA259" s="771"/>
      <c r="AB259" s="771"/>
      <c r="AC259" s="771"/>
      <c r="AD259" s="771"/>
      <c r="AE259" s="4395"/>
    </row>
    <row r="260" spans="1:31">
      <c r="A260" s="776" t="s">
        <v>392</v>
      </c>
      <c r="B260" s="777"/>
      <c r="C260" s="233"/>
      <c r="D260" s="233"/>
      <c r="E260" s="233"/>
      <c r="F260" s="234">
        <v>550</v>
      </c>
      <c r="G260" s="235">
        <v>550</v>
      </c>
      <c r="H260" s="234">
        <v>630</v>
      </c>
      <c r="I260" s="235">
        <v>630</v>
      </c>
      <c r="J260" s="235">
        <v>630</v>
      </c>
      <c r="K260" s="234">
        <v>825</v>
      </c>
      <c r="L260" s="235">
        <v>890</v>
      </c>
      <c r="M260" s="234">
        <v>940</v>
      </c>
      <c r="N260" s="235">
        <v>940</v>
      </c>
      <c r="O260" s="235">
        <v>940</v>
      </c>
      <c r="P260" s="853"/>
      <c r="Q260" s="853"/>
      <c r="R260" s="853"/>
      <c r="S260" s="853"/>
      <c r="T260" s="853"/>
      <c r="U260" s="854"/>
      <c r="V260" s="854"/>
      <c r="W260" s="854"/>
      <c r="X260" s="4375"/>
      <c r="Y260" s="4375"/>
      <c r="Z260" s="848"/>
      <c r="AA260" s="848"/>
      <c r="AB260" s="848"/>
      <c r="AC260" s="848"/>
      <c r="AD260" s="848"/>
      <c r="AE260" s="781" t="s">
        <v>393</v>
      </c>
    </row>
    <row r="261" spans="1:31">
      <c r="A261" s="922"/>
      <c r="B261" s="1067"/>
      <c r="C261" s="924"/>
      <c r="D261" s="924"/>
      <c r="E261" s="924"/>
      <c r="F261" s="907" t="s">
        <v>279</v>
      </c>
      <c r="G261" s="926"/>
      <c r="H261" s="925"/>
      <c r="I261" s="926"/>
      <c r="J261" s="926"/>
      <c r="K261" s="907" t="s">
        <v>280</v>
      </c>
      <c r="L261" s="926"/>
      <c r="M261" s="907" t="s">
        <v>281</v>
      </c>
      <c r="N261" s="926"/>
      <c r="O261" s="926"/>
      <c r="P261" s="927"/>
      <c r="Q261" s="927"/>
      <c r="R261" s="927"/>
      <c r="S261" s="927"/>
      <c r="T261" s="927"/>
      <c r="U261" s="928"/>
      <c r="V261" s="928"/>
      <c r="W261" s="928"/>
      <c r="X261" s="4376"/>
      <c r="Y261" s="4376"/>
      <c r="Z261" s="1070"/>
      <c r="AA261" s="1070"/>
      <c r="AB261" s="1070"/>
      <c r="AC261" s="1070"/>
      <c r="AD261" s="1070"/>
      <c r="AE261" s="930"/>
    </row>
    <row r="262" spans="1:31">
      <c r="A262" s="922"/>
      <c r="B262" s="1067"/>
      <c r="C262" s="924"/>
      <c r="D262" s="924"/>
      <c r="E262" s="924"/>
      <c r="F262" s="1069"/>
      <c r="G262" s="926"/>
      <c r="H262" s="925"/>
      <c r="I262" s="926"/>
      <c r="J262" s="926"/>
      <c r="K262" s="925">
        <v>890</v>
      </c>
      <c r="L262" s="926"/>
      <c r="M262" s="1062"/>
      <c r="N262" s="926"/>
      <c r="O262" s="926"/>
      <c r="P262" s="927"/>
      <c r="Q262" s="927"/>
      <c r="R262" s="927"/>
      <c r="S262" s="927"/>
      <c r="T262" s="927"/>
      <c r="U262" s="928"/>
      <c r="V262" s="928"/>
      <c r="W262" s="928"/>
      <c r="X262" s="4376"/>
      <c r="Y262" s="4376"/>
      <c r="Z262" s="1070"/>
      <c r="AA262" s="1070"/>
      <c r="AB262" s="1070"/>
      <c r="AC262" s="1070"/>
      <c r="AD262" s="1070"/>
      <c r="AE262" s="930"/>
    </row>
    <row r="263" spans="1:31">
      <c r="A263" s="922"/>
      <c r="B263" s="1067"/>
      <c r="C263" s="924"/>
      <c r="D263" s="924"/>
      <c r="E263" s="924"/>
      <c r="F263" s="1069"/>
      <c r="G263" s="926"/>
      <c r="H263" s="925"/>
      <c r="I263" s="926"/>
      <c r="J263" s="926"/>
      <c r="K263" s="785" t="s">
        <v>29</v>
      </c>
      <c r="L263" s="926"/>
      <c r="M263" s="1062"/>
      <c r="N263" s="926"/>
      <c r="O263" s="926"/>
      <c r="P263" s="927"/>
      <c r="Q263" s="927"/>
      <c r="R263" s="927"/>
      <c r="S263" s="927"/>
      <c r="T263" s="927"/>
      <c r="U263" s="928"/>
      <c r="V263" s="928"/>
      <c r="W263" s="928"/>
      <c r="X263" s="4377"/>
      <c r="Y263" s="4377"/>
      <c r="Z263" s="1070"/>
      <c r="AA263" s="1070"/>
      <c r="AB263" s="1070"/>
      <c r="AC263" s="1070"/>
      <c r="AD263" s="1070"/>
      <c r="AE263" s="930"/>
    </row>
    <row r="264" spans="1:31" ht="30" customHeight="1">
      <c r="A264" s="4378" t="s">
        <v>394</v>
      </c>
      <c r="B264" s="974"/>
      <c r="C264" s="975"/>
      <c r="D264" s="975"/>
      <c r="E264" s="975"/>
      <c r="F264" s="795"/>
      <c r="G264" s="976"/>
      <c r="H264" s="976"/>
      <c r="I264" s="976"/>
      <c r="J264" s="976"/>
      <c r="K264" s="867"/>
      <c r="L264" s="795"/>
      <c r="M264" s="976"/>
      <c r="N264" s="976"/>
      <c r="O264" s="976"/>
      <c r="P264" s="976"/>
      <c r="Q264" s="1152"/>
      <c r="R264" s="1152"/>
      <c r="S264" s="1152"/>
      <c r="T264" s="1152"/>
      <c r="U264" s="1152">
        <f>U256/2</f>
        <v>920</v>
      </c>
      <c r="V264" s="1152">
        <f>V256/2</f>
        <v>821</v>
      </c>
      <c r="W264" s="1152">
        <f>W256/2</f>
        <v>862</v>
      </c>
      <c r="X264" s="4381">
        <f>X256/2</f>
        <v>862</v>
      </c>
      <c r="Y264" s="4381"/>
      <c r="Z264" s="1163">
        <v>862</v>
      </c>
      <c r="AA264" s="1152">
        <v>931</v>
      </c>
      <c r="AB264" s="1142">
        <v>977.5</v>
      </c>
      <c r="AC264" s="1142">
        <v>1026.5</v>
      </c>
      <c r="AD264" s="1142">
        <v>1057.5</v>
      </c>
      <c r="AE264" s="1164" t="s">
        <v>395</v>
      </c>
    </row>
    <row r="265" spans="1:31">
      <c r="A265" s="4379"/>
      <c r="B265" s="1166"/>
      <c r="C265" s="1167"/>
      <c r="D265" s="1167"/>
      <c r="E265" s="1167"/>
      <c r="F265" s="867"/>
      <c r="G265" s="1168"/>
      <c r="H265" s="1168"/>
      <c r="I265" s="1168"/>
      <c r="J265" s="1168"/>
      <c r="K265" s="867"/>
      <c r="L265" s="867"/>
      <c r="M265" s="1168"/>
      <c r="N265" s="1168"/>
      <c r="O265" s="1168"/>
      <c r="P265" s="1168"/>
      <c r="Q265" s="1169"/>
      <c r="R265" s="1169"/>
      <c r="S265" s="1169"/>
      <c r="T265" s="1169"/>
      <c r="U265" s="878" t="s">
        <v>345</v>
      </c>
      <c r="V265" s="878" t="s">
        <v>345</v>
      </c>
      <c r="W265" s="878" t="s">
        <v>345</v>
      </c>
      <c r="X265" s="4382"/>
      <c r="Y265" s="4382"/>
      <c r="Z265" s="878"/>
      <c r="AA265" s="878" t="s">
        <v>346</v>
      </c>
      <c r="AB265" s="878" t="s">
        <v>346</v>
      </c>
      <c r="AC265" s="878" t="s">
        <v>346</v>
      </c>
      <c r="AD265" s="878" t="s">
        <v>346</v>
      </c>
      <c r="AE265" s="1109"/>
    </row>
    <row r="266" spans="1:31">
      <c r="A266" s="4379"/>
      <c r="B266" s="1166"/>
      <c r="C266" s="1167"/>
      <c r="D266" s="1167"/>
      <c r="E266" s="1167"/>
      <c r="F266" s="867"/>
      <c r="G266" s="1168"/>
      <c r="H266" s="1168"/>
      <c r="I266" s="1168"/>
      <c r="J266" s="1168"/>
      <c r="K266" s="867"/>
      <c r="L266" s="867"/>
      <c r="M266" s="1168"/>
      <c r="N266" s="1168"/>
      <c r="O266" s="1168"/>
      <c r="P266" s="1168"/>
      <c r="Q266" s="1169"/>
      <c r="R266" s="1169"/>
      <c r="S266" s="1169"/>
      <c r="T266" s="1169"/>
      <c r="U266" s="1169">
        <f>U258/2</f>
        <v>782</v>
      </c>
      <c r="V266" s="1170"/>
      <c r="W266" s="1169"/>
      <c r="X266" s="4383"/>
      <c r="Y266" s="4383"/>
      <c r="Z266" s="1169"/>
      <c r="AA266" s="1169"/>
      <c r="AB266" s="1169"/>
      <c r="AC266" s="1169"/>
      <c r="AD266" s="1169"/>
      <c r="AE266" s="1109"/>
    </row>
    <row r="267" spans="1:31" ht="14.4" thickBot="1">
      <c r="A267" s="4380"/>
      <c r="B267" s="980"/>
      <c r="C267" s="981"/>
      <c r="D267" s="981"/>
      <c r="E267" s="981"/>
      <c r="F267" s="806"/>
      <c r="G267" s="982"/>
      <c r="H267" s="982"/>
      <c r="I267" s="982"/>
      <c r="J267" s="982"/>
      <c r="K267" s="806"/>
      <c r="L267" s="806"/>
      <c r="M267" s="982"/>
      <c r="N267" s="982"/>
      <c r="O267" s="982"/>
      <c r="P267" s="982"/>
      <c r="Q267" s="806"/>
      <c r="R267" s="806"/>
      <c r="S267" s="806"/>
      <c r="T267" s="806"/>
      <c r="U267" s="1171" t="s">
        <v>344</v>
      </c>
      <c r="V267" s="1171"/>
      <c r="W267" s="806"/>
      <c r="X267" s="4384"/>
      <c r="Y267" s="4384"/>
      <c r="Z267" s="878"/>
      <c r="AA267" s="878"/>
      <c r="AB267" s="878"/>
      <c r="AC267" s="878"/>
      <c r="AD267" s="878"/>
      <c r="AE267" s="1114"/>
    </row>
    <row r="268" spans="1:31" ht="15.6">
      <c r="A268" s="1172" t="s">
        <v>396</v>
      </c>
      <c r="B268" s="1173"/>
      <c r="C268" s="1174"/>
      <c r="D268" s="1174"/>
      <c r="E268" s="1174"/>
      <c r="F268" s="1174"/>
      <c r="G268" s="1174"/>
      <c r="H268" s="1174"/>
      <c r="I268" s="1174"/>
      <c r="J268" s="1174"/>
      <c r="K268" s="1174"/>
      <c r="L268" s="1175"/>
      <c r="M268" s="1175"/>
      <c r="N268" s="1175"/>
      <c r="O268" s="1175"/>
      <c r="P268" s="1175"/>
      <c r="Q268" s="1175"/>
      <c r="R268" s="1175"/>
      <c r="S268" s="1175"/>
      <c r="T268" s="1175"/>
      <c r="U268" s="1176"/>
      <c r="V268" s="1176"/>
      <c r="W268" s="1176"/>
      <c r="X268" s="4371"/>
      <c r="Y268" s="4371"/>
      <c r="Z268" s="1177"/>
      <c r="AA268" s="1177"/>
      <c r="AB268" s="1177"/>
      <c r="AC268" s="1177"/>
      <c r="AD268" s="1177"/>
      <c r="AE268" s="1176" t="s">
        <v>397</v>
      </c>
    </row>
    <row r="269" spans="1:31" s="1185" customFormat="1">
      <c r="A269" s="1178" t="s">
        <v>398</v>
      </c>
      <c r="B269" s="1179"/>
      <c r="C269" s="219"/>
      <c r="D269" s="219"/>
      <c r="E269" s="219"/>
      <c r="F269" s="1180"/>
      <c r="G269" s="220"/>
      <c r="H269" s="165"/>
      <c r="I269" s="220"/>
      <c r="J269" s="220"/>
      <c r="K269" s="220"/>
      <c r="L269" s="165"/>
      <c r="M269" s="165"/>
      <c r="N269" s="165"/>
      <c r="O269" s="165"/>
      <c r="P269" s="1181"/>
      <c r="Q269" s="1181"/>
      <c r="R269" s="1181"/>
      <c r="S269" s="1181"/>
      <c r="T269" s="1181"/>
      <c r="U269" s="1182"/>
      <c r="V269" s="1182"/>
      <c r="W269" s="1182"/>
      <c r="X269" s="4372"/>
      <c r="Y269" s="4372"/>
      <c r="Z269" s="1183"/>
      <c r="AA269" s="1183"/>
      <c r="AB269" s="1183"/>
      <c r="AC269" s="1183"/>
      <c r="AD269" s="1183"/>
      <c r="AE269" s="1184" t="s">
        <v>399</v>
      </c>
    </row>
    <row r="270" spans="1:31" s="1185" customFormat="1">
      <c r="A270" s="1186" t="s">
        <v>400</v>
      </c>
      <c r="B270" s="1187"/>
      <c r="C270" s="1004">
        <f>C271/$O$1</f>
        <v>8.679518044860302</v>
      </c>
      <c r="D270" s="1004">
        <f>D271/$O$1</f>
        <v>8.679518044860302</v>
      </c>
      <c r="E270" s="4364" t="s">
        <v>401</v>
      </c>
      <c r="F270" s="4324" t="s">
        <v>18</v>
      </c>
      <c r="G270" s="772"/>
      <c r="H270" s="770"/>
      <c r="I270" s="772"/>
      <c r="J270" s="772"/>
      <c r="K270" s="772"/>
      <c r="L270" s="770"/>
      <c r="M270" s="770"/>
      <c r="N270" s="770"/>
      <c r="O270" s="770"/>
      <c r="P270" s="1189"/>
      <c r="Q270" s="1189"/>
      <c r="R270" s="1189"/>
      <c r="S270" s="1189"/>
      <c r="T270" s="1189"/>
      <c r="U270" s="1190"/>
      <c r="V270" s="1190"/>
      <c r="W270" s="1190"/>
      <c r="X270" s="4366"/>
      <c r="Y270" s="4367"/>
      <c r="Z270" s="1190"/>
      <c r="AA270" s="1190"/>
      <c r="AB270" s="1190"/>
      <c r="AC270" s="1190"/>
      <c r="AD270" s="1190"/>
      <c r="AE270" s="1191" t="s">
        <v>402</v>
      </c>
    </row>
    <row r="271" spans="1:31" s="31" customFormat="1" ht="13.2">
      <c r="A271" s="1192" t="s">
        <v>403</v>
      </c>
      <c r="B271" s="1193"/>
      <c r="C271" s="1194">
        <v>6.1</v>
      </c>
      <c r="D271" s="1194">
        <v>6.1</v>
      </c>
      <c r="E271" s="4365"/>
      <c r="F271" s="4326"/>
      <c r="G271" s="1196"/>
      <c r="H271" s="1197"/>
      <c r="I271" s="1196"/>
      <c r="J271" s="1196"/>
      <c r="K271" s="1196"/>
      <c r="L271" s="1197"/>
      <c r="M271" s="1197"/>
      <c r="N271" s="1197"/>
      <c r="O271" s="1197"/>
      <c r="P271" s="1198"/>
      <c r="Q271" s="1198"/>
      <c r="R271" s="1198"/>
      <c r="S271" s="1198"/>
      <c r="T271" s="1198"/>
      <c r="U271" s="1199"/>
      <c r="V271" s="1199"/>
      <c r="W271" s="1199"/>
      <c r="X271" s="4373"/>
      <c r="Y271" s="4374"/>
      <c r="Z271" s="1199"/>
      <c r="AA271" s="1199"/>
      <c r="AB271" s="1199"/>
      <c r="AC271" s="1199"/>
      <c r="AD271" s="1199"/>
      <c r="AE271" s="1200" t="s">
        <v>404</v>
      </c>
    </row>
    <row r="272" spans="1:31" s="1185" customFormat="1" ht="13.35" customHeight="1">
      <c r="A272" s="1186" t="s">
        <v>405</v>
      </c>
      <c r="B272" s="1187"/>
      <c r="C272" s="1004">
        <f>C273/$O$1</f>
        <v>7.2566462342274658</v>
      </c>
      <c r="D272" s="1195" t="s">
        <v>406</v>
      </c>
      <c r="E272" s="4364" t="s">
        <v>401</v>
      </c>
      <c r="F272" s="4324" t="s">
        <v>18</v>
      </c>
      <c r="G272" s="772"/>
      <c r="H272" s="770"/>
      <c r="I272" s="772"/>
      <c r="J272" s="772"/>
      <c r="K272" s="772"/>
      <c r="L272" s="770"/>
      <c r="M272" s="770"/>
      <c r="N272" s="770"/>
      <c r="O272" s="770"/>
      <c r="P272" s="1189"/>
      <c r="Q272" s="1189"/>
      <c r="R272" s="1189"/>
      <c r="S272" s="1189"/>
      <c r="T272" s="1189"/>
      <c r="U272" s="1190"/>
      <c r="V272" s="1190"/>
      <c r="W272" s="1190"/>
      <c r="X272" s="4366"/>
      <c r="Y272" s="4367"/>
      <c r="Z272" s="1190"/>
      <c r="AA272" s="1190"/>
      <c r="AB272" s="1190"/>
      <c r="AC272" s="1190"/>
      <c r="AD272" s="1190"/>
      <c r="AE272" s="1201" t="s">
        <v>407</v>
      </c>
    </row>
    <row r="273" spans="1:31" s="1185" customFormat="1" ht="13.35" customHeight="1">
      <c r="A273" s="1192" t="s">
        <v>403</v>
      </c>
      <c r="B273" s="1202"/>
      <c r="C273" s="1203">
        <v>5.0999999999999996</v>
      </c>
      <c r="D273" s="1204" t="s">
        <v>408</v>
      </c>
      <c r="E273" s="4365"/>
      <c r="F273" s="4326"/>
      <c r="G273" s="1205"/>
      <c r="H273" s="1206"/>
      <c r="I273" s="1207"/>
      <c r="J273" s="1205"/>
      <c r="K273" s="1205"/>
      <c r="L273" s="1206"/>
      <c r="M273" s="1206"/>
      <c r="N273" s="1206"/>
      <c r="O273" s="1206"/>
      <c r="P273" s="1208"/>
      <c r="Q273" s="1208"/>
      <c r="R273" s="1208"/>
      <c r="S273" s="1208"/>
      <c r="T273" s="1208"/>
      <c r="U273" s="1209"/>
      <c r="V273" s="1209"/>
      <c r="W273" s="1209"/>
      <c r="X273" s="4368"/>
      <c r="Y273" s="4369"/>
      <c r="Z273" s="1209"/>
      <c r="AA273" s="1209"/>
      <c r="AB273" s="1209"/>
      <c r="AC273" s="1209"/>
      <c r="AD273" s="1209"/>
      <c r="AE273" s="1200" t="s">
        <v>409</v>
      </c>
    </row>
    <row r="274" spans="1:31">
      <c r="A274" s="1210" t="s">
        <v>410</v>
      </c>
      <c r="B274" s="1211" t="s">
        <v>18</v>
      </c>
      <c r="C274" s="1212" t="s">
        <v>18</v>
      </c>
      <c r="D274" s="1212" t="s">
        <v>18</v>
      </c>
      <c r="E274" s="1188">
        <f t="shared" ref="E274:O274" si="68">E278/$O$1</f>
        <v>8.252656501670451</v>
      </c>
      <c r="F274" s="1213">
        <f t="shared" si="68"/>
        <v>8.9640924069868699</v>
      </c>
      <c r="G274" s="1213">
        <f t="shared" si="68"/>
        <v>9.817815493366572</v>
      </c>
      <c r="H274" s="1213">
        <f t="shared" si="68"/>
        <v>10.813825760809557</v>
      </c>
      <c r="I274" s="1214">
        <f t="shared" si="68"/>
        <v>11.952123209315827</v>
      </c>
      <c r="J274" s="1213">
        <f t="shared" si="68"/>
        <v>25.327118229264492</v>
      </c>
      <c r="K274" s="1213">
        <f t="shared" si="68"/>
        <v>32.01461573923882</v>
      </c>
      <c r="L274" s="1215">
        <f t="shared" si="68"/>
        <v>32.01461573923882</v>
      </c>
      <c r="M274" s="1213">
        <f t="shared" si="68"/>
        <v>35.57179526582091</v>
      </c>
      <c r="N274" s="1216">
        <f t="shared" si="68"/>
        <v>35.57179526582091</v>
      </c>
      <c r="O274" s="1216">
        <f t="shared" si="68"/>
        <v>35.57179526582091</v>
      </c>
      <c r="P274" s="1217">
        <v>39.799999999999997</v>
      </c>
      <c r="Q274" s="1215" t="s">
        <v>411</v>
      </c>
      <c r="R274" s="1215" t="s">
        <v>412</v>
      </c>
      <c r="S274" s="1215" t="s">
        <v>413</v>
      </c>
      <c r="T274" s="1215" t="s">
        <v>414</v>
      </c>
      <c r="U274" s="1215" t="s">
        <v>415</v>
      </c>
      <c r="V274" s="1215" t="s">
        <v>416</v>
      </c>
      <c r="W274" s="1213">
        <v>92.5</v>
      </c>
      <c r="X274" s="4370">
        <v>98</v>
      </c>
      <c r="Y274" s="4370"/>
      <c r="Z274" s="1218">
        <v>104</v>
      </c>
      <c r="AA274" s="1219">
        <v>119.6</v>
      </c>
      <c r="AB274" s="1219">
        <v>131.6</v>
      </c>
      <c r="AC274" s="1219">
        <v>144.80000000000001</v>
      </c>
      <c r="AD274" s="1219">
        <v>159.30000000000001</v>
      </c>
      <c r="AE274" s="1220" t="s">
        <v>417</v>
      </c>
    </row>
    <row r="275" spans="1:31">
      <c r="A275" s="1221"/>
      <c r="B275" s="1222"/>
      <c r="C275" s="1223"/>
      <c r="D275" s="1223"/>
      <c r="E275" s="1224"/>
      <c r="F275" s="1225"/>
      <c r="G275" s="1225"/>
      <c r="H275" s="1225"/>
      <c r="I275" s="1226" t="s">
        <v>24</v>
      </c>
      <c r="J275" s="1227"/>
      <c r="K275" s="1227"/>
      <c r="L275" s="1228"/>
      <c r="M275" s="1229" t="s">
        <v>25</v>
      </c>
      <c r="N275" s="909"/>
      <c r="O275" s="909"/>
      <c r="P275" s="1226" t="s">
        <v>24</v>
      </c>
      <c r="Q275" s="1229" t="s">
        <v>25</v>
      </c>
      <c r="R275" s="1229" t="s">
        <v>25</v>
      </c>
      <c r="S275" s="1229" t="s">
        <v>25</v>
      </c>
      <c r="T275" s="1229" t="s">
        <v>25</v>
      </c>
      <c r="U275" s="1229" t="s">
        <v>25</v>
      </c>
      <c r="V275" s="1229"/>
      <c r="W275" s="1229" t="s">
        <v>346</v>
      </c>
      <c r="X275" s="4360"/>
      <c r="Y275" s="4360"/>
      <c r="Z275" s="1229"/>
      <c r="AA275" s="1230" t="s">
        <v>346</v>
      </c>
      <c r="AB275" s="1230"/>
      <c r="AC275" s="1230"/>
      <c r="AD275" s="1230"/>
      <c r="AE275" s="1231"/>
    </row>
    <row r="276" spans="1:31">
      <c r="A276" s="1221"/>
      <c r="B276" s="1222"/>
      <c r="C276" s="1223"/>
      <c r="D276" s="1223"/>
      <c r="E276" s="1224"/>
      <c r="F276" s="1225"/>
      <c r="G276" s="1225"/>
      <c r="H276" s="1225"/>
      <c r="I276" s="1232">
        <f>I280/$O$1</f>
        <v>14.228718106328365</v>
      </c>
      <c r="J276" s="1227"/>
      <c r="K276" s="1227"/>
      <c r="L276" s="1228"/>
      <c r="M276" s="35"/>
      <c r="N276" s="909"/>
      <c r="O276" s="909"/>
      <c r="P276" s="1063">
        <v>51.8</v>
      </c>
      <c r="Q276" s="35"/>
      <c r="R276" s="35"/>
      <c r="S276" s="35"/>
      <c r="T276" s="35"/>
      <c r="U276" s="35"/>
      <c r="V276" s="1229"/>
      <c r="W276" s="1229"/>
      <c r="X276" s="4360"/>
      <c r="Y276" s="4360"/>
      <c r="Z276" s="1229"/>
      <c r="AA276" s="1229"/>
      <c r="AB276" s="1229"/>
      <c r="AC276" s="1229"/>
      <c r="AD276" s="1229"/>
      <c r="AE276" s="1231"/>
    </row>
    <row r="277" spans="1:31">
      <c r="A277" s="1233"/>
      <c r="B277" s="1234"/>
      <c r="C277" s="1235"/>
      <c r="D277" s="1235"/>
      <c r="E277" s="1236"/>
      <c r="F277" s="1237"/>
      <c r="G277" s="1237"/>
      <c r="H277" s="1237"/>
      <c r="I277" s="1238" t="s">
        <v>25</v>
      </c>
      <c r="J277" s="1239"/>
      <c r="K277" s="1239"/>
      <c r="L277" s="1240"/>
      <c r="M277" s="1240"/>
      <c r="N277" s="770"/>
      <c r="O277" s="770"/>
      <c r="P277" s="1238" t="s">
        <v>25</v>
      </c>
      <c r="Q277" s="1240"/>
      <c r="R277" s="1240"/>
      <c r="S277" s="1240"/>
      <c r="T277" s="1240"/>
      <c r="U277" s="1240"/>
      <c r="V277" s="1240"/>
      <c r="W277" s="1240"/>
      <c r="X277" s="4355"/>
      <c r="Y277" s="4355"/>
      <c r="Z277" s="1240"/>
      <c r="AA277" s="1240"/>
      <c r="AB277" s="1240"/>
      <c r="AC277" s="1240"/>
      <c r="AD277" s="1240"/>
      <c r="AE277" s="1241"/>
    </row>
    <row r="278" spans="1:31" s="31" customFormat="1" ht="13.2">
      <c r="A278" s="776" t="s">
        <v>418</v>
      </c>
      <c r="B278" s="777" t="s">
        <v>18</v>
      </c>
      <c r="C278" s="778" t="s">
        <v>18</v>
      </c>
      <c r="D278" s="778" t="s">
        <v>18</v>
      </c>
      <c r="E278" s="1242">
        <v>5.8</v>
      </c>
      <c r="F278" s="849">
        <v>6.3</v>
      </c>
      <c r="G278" s="849">
        <v>6.9</v>
      </c>
      <c r="H278" s="849">
        <v>7.6</v>
      </c>
      <c r="I278" s="849">
        <v>8.4</v>
      </c>
      <c r="J278" s="849">
        <v>17.8</v>
      </c>
      <c r="K278" s="849">
        <v>22.5</v>
      </c>
      <c r="L278" s="1243">
        <v>22.5</v>
      </c>
      <c r="M278" s="1243" t="s">
        <v>419</v>
      </c>
      <c r="N278" s="1242">
        <v>25</v>
      </c>
      <c r="O278" s="1242">
        <v>25</v>
      </c>
      <c r="P278" s="4361"/>
      <c r="Q278" s="4300"/>
      <c r="R278" s="4300"/>
      <c r="S278" s="4300"/>
      <c r="T278" s="4300"/>
      <c r="U278" s="4300"/>
      <c r="V278" s="1245"/>
      <c r="W278" s="1244"/>
      <c r="X278" s="4300"/>
      <c r="Y278" s="4300"/>
      <c r="Z278" s="1244"/>
      <c r="AA278" s="1244"/>
      <c r="AB278" s="1244"/>
      <c r="AC278" s="1244"/>
      <c r="AD278" s="1244"/>
      <c r="AE278" s="781" t="s">
        <v>420</v>
      </c>
    </row>
    <row r="279" spans="1:31" s="31" customFormat="1" ht="13.2">
      <c r="A279" s="922"/>
      <c r="B279" s="1067"/>
      <c r="C279" s="1246"/>
      <c r="D279" s="1246"/>
      <c r="E279" s="1247"/>
      <c r="F279" s="1248"/>
      <c r="G279" s="1248"/>
      <c r="H279" s="1248"/>
      <c r="I279" s="1226" t="s">
        <v>24</v>
      </c>
      <c r="J279" s="1248"/>
      <c r="K279" s="1248"/>
      <c r="L279" s="1249"/>
      <c r="M279" s="1229" t="s">
        <v>25</v>
      </c>
      <c r="N279" s="1247"/>
      <c r="O279" s="1247"/>
      <c r="P279" s="4362"/>
      <c r="Q279" s="4301"/>
      <c r="R279" s="4301"/>
      <c r="S279" s="4301"/>
      <c r="T279" s="4301"/>
      <c r="U279" s="4301"/>
      <c r="V279" s="1251"/>
      <c r="W279" s="1250"/>
      <c r="X279" s="4301"/>
      <c r="Y279" s="4301"/>
      <c r="Z279" s="1250"/>
      <c r="AA279" s="1250"/>
      <c r="AB279" s="1250"/>
      <c r="AC279" s="1250"/>
      <c r="AD279" s="1250"/>
      <c r="AE279" s="930"/>
    </row>
    <row r="280" spans="1:31" s="31" customFormat="1" ht="13.2">
      <c r="A280" s="922"/>
      <c r="B280" s="1067"/>
      <c r="C280" s="1246"/>
      <c r="D280" s="1246"/>
      <c r="E280" s="1247"/>
      <c r="F280" s="1248"/>
      <c r="G280" s="1248"/>
      <c r="H280" s="1248"/>
      <c r="I280" s="1252">
        <v>10</v>
      </c>
      <c r="J280" s="1248"/>
      <c r="K280" s="1248"/>
      <c r="L280" s="1249"/>
      <c r="M280" s="1253"/>
      <c r="N280" s="1247"/>
      <c r="O280" s="1247"/>
      <c r="P280" s="4362"/>
      <c r="Q280" s="4301"/>
      <c r="R280" s="4301"/>
      <c r="S280" s="4301"/>
      <c r="T280" s="4301"/>
      <c r="U280" s="4301"/>
      <c r="V280" s="1251"/>
      <c r="W280" s="1250"/>
      <c r="X280" s="4301"/>
      <c r="Y280" s="4301"/>
      <c r="Z280" s="1250"/>
      <c r="AA280" s="1250"/>
      <c r="AB280" s="1250"/>
      <c r="AC280" s="1250"/>
      <c r="AD280" s="1250"/>
      <c r="AE280" s="930"/>
    </row>
    <row r="281" spans="1:31" s="31" customFormat="1" ht="13.2">
      <c r="A281" s="1072"/>
      <c r="B281" s="1073"/>
      <c r="C281" s="1254"/>
      <c r="D281" s="1254"/>
      <c r="E281" s="1255"/>
      <c r="F281" s="1256"/>
      <c r="G281" s="1256"/>
      <c r="H281" s="1256"/>
      <c r="I281" s="1238" t="s">
        <v>25</v>
      </c>
      <c r="J281" s="1256"/>
      <c r="K281" s="1256"/>
      <c r="L281" s="1257"/>
      <c r="M281" s="1257"/>
      <c r="N281" s="1255"/>
      <c r="O281" s="1255"/>
      <c r="P281" s="4363"/>
      <c r="Q281" s="4356"/>
      <c r="R281" s="4356"/>
      <c r="S281" s="4356"/>
      <c r="T281" s="4356"/>
      <c r="U281" s="4356"/>
      <c r="V281" s="1259"/>
      <c r="W281" s="1258"/>
      <c r="X281" s="4356"/>
      <c r="Y281" s="4356"/>
      <c r="Z281" s="1258"/>
      <c r="AA281" s="1258"/>
      <c r="AB281" s="1258"/>
      <c r="AC281" s="1258"/>
      <c r="AD281" s="1258"/>
      <c r="AE281" s="1080"/>
    </row>
    <row r="282" spans="1:31" ht="15" customHeight="1">
      <c r="A282" s="4328" t="s">
        <v>421</v>
      </c>
      <c r="B282" s="1211" t="s">
        <v>18</v>
      </c>
      <c r="C282" s="1212" t="s">
        <v>18</v>
      </c>
      <c r="D282" s="1212" t="s">
        <v>18</v>
      </c>
      <c r="E282" s="1260">
        <v>1.7999999999999999E-2</v>
      </c>
      <c r="F282" s="1261">
        <v>6.0999999999999999E-2</v>
      </c>
      <c r="G282" s="1261">
        <v>0.105</v>
      </c>
      <c r="H282" s="1261">
        <v>0.14799999999999999</v>
      </c>
      <c r="I282" s="1262">
        <v>0.192</v>
      </c>
      <c r="J282" s="1263">
        <v>0.32200000000000001</v>
      </c>
      <c r="K282" s="1263">
        <v>0.34499999999999997</v>
      </c>
      <c r="L282" s="1264">
        <v>0.34499999999999997</v>
      </c>
      <c r="M282" s="1262">
        <v>0.34</v>
      </c>
      <c r="N282" s="1264">
        <v>0.34</v>
      </c>
      <c r="O282" s="1264">
        <v>0.34</v>
      </c>
      <c r="P282" s="1262">
        <v>0.33500000000000002</v>
      </c>
      <c r="Q282" s="1264">
        <v>0.25</v>
      </c>
      <c r="R282" s="1264">
        <v>0.25</v>
      </c>
      <c r="S282" s="1262">
        <v>0.2</v>
      </c>
      <c r="T282" s="1265">
        <v>0.2</v>
      </c>
      <c r="U282" s="1265">
        <v>0.2</v>
      </c>
      <c r="V282" s="1265">
        <v>0.2</v>
      </c>
      <c r="W282" s="1266">
        <v>0.15</v>
      </c>
      <c r="X282" s="4357">
        <v>0.15</v>
      </c>
      <c r="Y282" s="4357"/>
      <c r="Z282" s="1267">
        <v>0.15</v>
      </c>
      <c r="AA282" s="1267">
        <v>0.15</v>
      </c>
      <c r="AB282" s="1267">
        <v>0.15</v>
      </c>
      <c r="AC282" s="1267">
        <v>0.15</v>
      </c>
      <c r="AD282" s="1267">
        <v>0.15</v>
      </c>
      <c r="AE282" s="4358" t="s">
        <v>422</v>
      </c>
    </row>
    <row r="283" spans="1:31">
      <c r="A283" s="4329"/>
      <c r="B283" s="1222"/>
      <c r="C283" s="1223"/>
      <c r="D283" s="1223"/>
      <c r="E283" s="1269"/>
      <c r="F283" s="1270"/>
      <c r="G283" s="1270"/>
      <c r="H283" s="1270"/>
      <c r="I283" s="1226" t="s">
        <v>24</v>
      </c>
      <c r="J283" s="1271"/>
      <c r="K283" s="1271"/>
      <c r="L283" s="1272"/>
      <c r="M283" s="1226" t="s">
        <v>25</v>
      </c>
      <c r="N283" s="1272"/>
      <c r="O283" s="1272"/>
      <c r="P283" s="1226" t="s">
        <v>24</v>
      </c>
      <c r="Q283" s="1272"/>
      <c r="R283" s="1272"/>
      <c r="S283" s="1226" t="s">
        <v>25</v>
      </c>
      <c r="T283" s="1273"/>
      <c r="U283" s="1273"/>
      <c r="V283" s="1274"/>
      <c r="W283" s="1226" t="s">
        <v>346</v>
      </c>
      <c r="X283" s="4281"/>
      <c r="Y283" s="4281"/>
      <c r="Z283" s="1226"/>
      <c r="AA283" s="1226"/>
      <c r="AB283" s="1226"/>
      <c r="AC283" s="1226"/>
      <c r="AD283" s="1226"/>
      <c r="AE283" s="4359"/>
    </row>
    <row r="284" spans="1:31">
      <c r="A284" s="1221"/>
      <c r="B284" s="1222"/>
      <c r="C284" s="1223"/>
      <c r="D284" s="1223"/>
      <c r="E284" s="1269"/>
      <c r="F284" s="1270"/>
      <c r="G284" s="1270"/>
      <c r="H284" s="1270"/>
      <c r="I284" s="1275">
        <v>0.25</v>
      </c>
      <c r="J284" s="1271"/>
      <c r="K284" s="1271"/>
      <c r="L284" s="1272"/>
      <c r="M284" s="35"/>
      <c r="N284" s="1272"/>
      <c r="O284" s="1272"/>
      <c r="P284" s="1275">
        <v>0.25</v>
      </c>
      <c r="Q284" s="1272"/>
      <c r="R284" s="1272"/>
      <c r="S284" s="35"/>
      <c r="T284" s="1273"/>
      <c r="U284" s="1273"/>
      <c r="V284" s="1274"/>
      <c r="W284" s="1273"/>
      <c r="X284" s="4352"/>
      <c r="Y284" s="4352"/>
      <c r="Z284" s="1273"/>
      <c r="AA284" s="1273"/>
      <c r="AB284" s="1273"/>
      <c r="AC284" s="1273"/>
      <c r="AD284" s="1273"/>
      <c r="AE284" s="1061"/>
    </row>
    <row r="285" spans="1:31">
      <c r="A285" s="1233"/>
      <c r="B285" s="1234"/>
      <c r="C285" s="1235"/>
      <c r="D285" s="1235"/>
      <c r="E285" s="1276"/>
      <c r="F285" s="1277"/>
      <c r="G285" s="1277"/>
      <c r="H285" s="1277"/>
      <c r="I285" s="1238" t="s">
        <v>25</v>
      </c>
      <c r="J285" s="1278"/>
      <c r="K285" s="1278"/>
      <c r="L285" s="1279"/>
      <c r="M285" s="1280"/>
      <c r="N285" s="1279"/>
      <c r="O285" s="1279"/>
      <c r="P285" s="1238" t="s">
        <v>25</v>
      </c>
      <c r="Q285" s="1279"/>
      <c r="R285" s="1279"/>
      <c r="S285" s="1280"/>
      <c r="T285" s="1280"/>
      <c r="U285" s="1280"/>
      <c r="V285" s="1281"/>
      <c r="W285" s="1280"/>
      <c r="X285" s="4353"/>
      <c r="Y285" s="4353"/>
      <c r="Z285" s="1280"/>
      <c r="AA285" s="1280"/>
      <c r="AB285" s="1280"/>
      <c r="AC285" s="1280"/>
      <c r="AD285" s="1280"/>
      <c r="AE285" s="846"/>
    </row>
    <row r="286" spans="1:31">
      <c r="A286" s="1210" t="s">
        <v>423</v>
      </c>
      <c r="B286" s="1211" t="s">
        <v>18</v>
      </c>
      <c r="C286" s="1212" t="s">
        <v>18</v>
      </c>
      <c r="D286" s="1212" t="s">
        <v>18</v>
      </c>
      <c r="E286" s="1212" t="s">
        <v>18</v>
      </c>
      <c r="F286" s="1212" t="s">
        <v>18</v>
      </c>
      <c r="G286" s="1212" t="s">
        <v>18</v>
      </c>
      <c r="H286" s="1212" t="s">
        <v>18</v>
      </c>
      <c r="I286" s="1212" t="s">
        <v>18</v>
      </c>
      <c r="J286" s="1212" t="s">
        <v>18</v>
      </c>
      <c r="K286" s="1212" t="s">
        <v>18</v>
      </c>
      <c r="L286" s="1282">
        <f>L290/$O$1</f>
        <v>68.297846910376151</v>
      </c>
      <c r="M286" s="1213">
        <f>M290/$O$1</f>
        <v>73.989334152907503</v>
      </c>
      <c r="N286" s="1216">
        <f>N290/$O$1</f>
        <v>73.989334152907503</v>
      </c>
      <c r="O286" s="1216">
        <f>O290/$O$1</f>
        <v>73.989334152907503</v>
      </c>
      <c r="P286" s="1282">
        <v>79.680000000000007</v>
      </c>
      <c r="Q286" s="1213" t="s">
        <v>424</v>
      </c>
      <c r="R286" s="1213" t="s">
        <v>425</v>
      </c>
      <c r="S286" s="1213" t="s">
        <v>426</v>
      </c>
      <c r="T286" s="1213" t="s">
        <v>427</v>
      </c>
      <c r="U286" s="1213" t="s">
        <v>428</v>
      </c>
      <c r="V286" s="1215" t="s">
        <v>429</v>
      </c>
      <c r="W286" s="1213">
        <v>121.4</v>
      </c>
      <c r="X286" s="4354">
        <v>128.4</v>
      </c>
      <c r="Y286" s="4354"/>
      <c r="Z286" s="1219">
        <v>135.9</v>
      </c>
      <c r="AA286" s="1219">
        <v>156.30000000000001</v>
      </c>
      <c r="AB286" s="1219">
        <v>171.9</v>
      </c>
      <c r="AC286" s="1219">
        <v>189.1</v>
      </c>
      <c r="AD286" s="1219">
        <v>208</v>
      </c>
      <c r="AE286" s="1283" t="s">
        <v>430</v>
      </c>
    </row>
    <row r="287" spans="1:31">
      <c r="A287" s="1221"/>
      <c r="B287" s="1222"/>
      <c r="C287" s="1223"/>
      <c r="D287" s="1223"/>
      <c r="E287" s="1223"/>
      <c r="F287" s="1223"/>
      <c r="G287" s="1223"/>
      <c r="H287" s="1223"/>
      <c r="I287" s="1223"/>
      <c r="J287" s="1223"/>
      <c r="K287" s="1223"/>
      <c r="L287" s="908"/>
      <c r="M287" s="1226" t="s">
        <v>25</v>
      </c>
      <c r="N287" s="909"/>
      <c r="O287" s="909"/>
      <c r="P287" s="1226" t="s">
        <v>24</v>
      </c>
      <c r="Q287" s="1226" t="s">
        <v>25</v>
      </c>
      <c r="R287" s="1226" t="s">
        <v>25</v>
      </c>
      <c r="S287" s="1226" t="s">
        <v>25</v>
      </c>
      <c r="T287" s="1226" t="s">
        <v>25</v>
      </c>
      <c r="U287" s="1226" t="s">
        <v>25</v>
      </c>
      <c r="V287" s="1226"/>
      <c r="W287" s="1226" t="s">
        <v>346</v>
      </c>
      <c r="X287" s="4281"/>
      <c r="Y287" s="4281"/>
      <c r="Z287" s="1226"/>
      <c r="AA287" s="1226" t="s">
        <v>346</v>
      </c>
      <c r="AB287" s="1226"/>
      <c r="AC287" s="1226"/>
      <c r="AD287" s="1226"/>
      <c r="AE287" s="1284"/>
    </row>
    <row r="288" spans="1:31">
      <c r="A288" s="1221"/>
      <c r="B288" s="1222"/>
      <c r="C288" s="1223"/>
      <c r="D288" s="1223"/>
      <c r="E288" s="1223"/>
      <c r="F288" s="1223"/>
      <c r="G288" s="1223"/>
      <c r="H288" s="1223"/>
      <c r="I288" s="1223"/>
      <c r="J288" s="1223"/>
      <c r="K288" s="1223"/>
      <c r="L288" s="908"/>
      <c r="M288" s="35"/>
      <c r="N288" s="909"/>
      <c r="O288" s="909"/>
      <c r="P288" s="908">
        <v>85.6</v>
      </c>
      <c r="Q288" s="35"/>
      <c r="R288" s="35"/>
      <c r="S288" s="35"/>
      <c r="T288" s="35"/>
      <c r="U288" s="35"/>
      <c r="V288" s="1226"/>
      <c r="W288" s="1226"/>
      <c r="X288" s="4281"/>
      <c r="Y288" s="4281"/>
      <c r="Z288" s="1226"/>
      <c r="AA288" s="1230"/>
      <c r="AB288" s="1230"/>
      <c r="AC288" s="1230"/>
      <c r="AD288" s="1230"/>
      <c r="AE288" s="1284"/>
    </row>
    <row r="289" spans="1:31">
      <c r="A289" s="1233"/>
      <c r="B289" s="1234"/>
      <c r="C289" s="1235"/>
      <c r="D289" s="1235"/>
      <c r="E289" s="1235"/>
      <c r="F289" s="1235"/>
      <c r="G289" s="1235"/>
      <c r="H289" s="1235"/>
      <c r="I289" s="1235"/>
      <c r="J289" s="1235"/>
      <c r="K289" s="1235"/>
      <c r="L289" s="772"/>
      <c r="M289" s="1240"/>
      <c r="N289" s="770"/>
      <c r="O289" s="770"/>
      <c r="P289" s="1238" t="s">
        <v>25</v>
      </c>
      <c r="Q289" s="1240"/>
      <c r="R289" s="1240"/>
      <c r="S289" s="1240"/>
      <c r="T289" s="1240"/>
      <c r="U289" s="1240"/>
      <c r="V289" s="1240"/>
      <c r="W289" s="1240"/>
      <c r="X289" s="4355"/>
      <c r="Y289" s="4355"/>
      <c r="Z289" s="1240"/>
      <c r="AA289" s="1240"/>
      <c r="AB289" s="1240"/>
      <c r="AC289" s="1240"/>
      <c r="AD289" s="1240"/>
      <c r="AE289" s="1285"/>
    </row>
    <row r="290" spans="1:31" s="31" customFormat="1" ht="13.2">
      <c r="A290" s="776" t="s">
        <v>418</v>
      </c>
      <c r="B290" s="777" t="s">
        <v>18</v>
      </c>
      <c r="C290" s="778" t="s">
        <v>18</v>
      </c>
      <c r="D290" s="778" t="s">
        <v>18</v>
      </c>
      <c r="E290" s="778" t="s">
        <v>18</v>
      </c>
      <c r="F290" s="778" t="s">
        <v>18</v>
      </c>
      <c r="G290" s="778" t="s">
        <v>18</v>
      </c>
      <c r="H290" s="778" t="s">
        <v>18</v>
      </c>
      <c r="I290" s="778" t="s">
        <v>18</v>
      </c>
      <c r="J290" s="778" t="s">
        <v>18</v>
      </c>
      <c r="K290" s="778" t="s">
        <v>18</v>
      </c>
      <c r="L290" s="1286">
        <v>48</v>
      </c>
      <c r="M290" s="1243" t="s">
        <v>431</v>
      </c>
      <c r="N290" s="1287">
        <v>52</v>
      </c>
      <c r="O290" s="1287">
        <v>52</v>
      </c>
      <c r="P290" s="4346"/>
      <c r="Q290" s="4346"/>
      <c r="R290" s="4346"/>
      <c r="S290" s="4346"/>
      <c r="T290" s="4346"/>
      <c r="U290" s="4346"/>
      <c r="V290" s="855"/>
      <c r="W290" s="853"/>
      <c r="X290" s="4346"/>
      <c r="Y290" s="4346"/>
      <c r="Z290" s="853"/>
      <c r="AA290" s="853"/>
      <c r="AB290" s="853"/>
      <c r="AC290" s="853"/>
      <c r="AD290" s="853"/>
      <c r="AE290" s="781" t="s">
        <v>420</v>
      </c>
    </row>
    <row r="291" spans="1:31" s="31" customFormat="1" ht="13.2">
      <c r="A291" s="922"/>
      <c r="B291" s="1067"/>
      <c r="C291" s="1246"/>
      <c r="D291" s="1246"/>
      <c r="E291" s="1246"/>
      <c r="F291" s="1246"/>
      <c r="G291" s="1246"/>
      <c r="H291" s="1246"/>
      <c r="I291" s="1246"/>
      <c r="J291" s="1246"/>
      <c r="K291" s="1246"/>
      <c r="L291" s="1288"/>
      <c r="M291" s="1226" t="s">
        <v>25</v>
      </c>
      <c r="N291" s="1289"/>
      <c r="O291" s="1289"/>
      <c r="P291" s="4351"/>
      <c r="Q291" s="4351"/>
      <c r="R291" s="4351"/>
      <c r="S291" s="4351"/>
      <c r="T291" s="4351"/>
      <c r="U291" s="4351"/>
      <c r="V291" s="862"/>
      <c r="W291" s="927"/>
      <c r="X291" s="4347"/>
      <c r="Y291" s="4347"/>
      <c r="Z291" s="927"/>
      <c r="AA291" s="927"/>
      <c r="AB291" s="927"/>
      <c r="AC291" s="927"/>
      <c r="AD291" s="927"/>
      <c r="AE291" s="930"/>
    </row>
    <row r="292" spans="1:31">
      <c r="A292" s="1290" t="s">
        <v>432</v>
      </c>
      <c r="B292" s="1291"/>
      <c r="C292" s="796">
        <f t="shared" ref="C292:O292" si="69">C296/$O$1</f>
        <v>15.651589916961202</v>
      </c>
      <c r="D292" s="796">
        <f t="shared" si="69"/>
        <v>15.651589916961202</v>
      </c>
      <c r="E292" s="796">
        <f t="shared" si="69"/>
        <v>15.651589916961202</v>
      </c>
      <c r="F292" s="796">
        <f t="shared" si="69"/>
        <v>15.651589916961202</v>
      </c>
      <c r="G292" s="796">
        <f t="shared" si="69"/>
        <v>15.651589916961202</v>
      </c>
      <c r="H292" s="796">
        <f t="shared" si="69"/>
        <v>15.651589916961202</v>
      </c>
      <c r="I292" s="796">
        <f t="shared" si="69"/>
        <v>15.651589916961202</v>
      </c>
      <c r="J292" s="796">
        <f t="shared" si="69"/>
        <v>15.651589916961202</v>
      </c>
      <c r="K292" s="796">
        <f t="shared" si="69"/>
        <v>15.651589916961202</v>
      </c>
      <c r="L292" s="796">
        <f t="shared" si="69"/>
        <v>15.651589916961202</v>
      </c>
      <c r="M292" s="1292">
        <f t="shared" si="69"/>
        <v>34.148923455188076</v>
      </c>
      <c r="N292" s="796">
        <f t="shared" si="69"/>
        <v>36.994667076453752</v>
      </c>
      <c r="O292" s="796">
        <f t="shared" si="69"/>
        <v>36.994667076453752</v>
      </c>
      <c r="P292" s="795">
        <v>39.840000000000003</v>
      </c>
      <c r="Q292" s="796">
        <v>39.840000000000003</v>
      </c>
      <c r="R292" s="795">
        <v>42.69</v>
      </c>
      <c r="S292" s="977">
        <v>58</v>
      </c>
      <c r="T292" s="977">
        <v>73</v>
      </c>
      <c r="U292" s="977">
        <v>88</v>
      </c>
      <c r="V292" s="977">
        <v>95.2</v>
      </c>
      <c r="W292" s="977">
        <v>104.7</v>
      </c>
      <c r="X292" s="4348">
        <v>115.2</v>
      </c>
      <c r="Y292" s="4348"/>
      <c r="Z292" s="977">
        <v>126.7</v>
      </c>
      <c r="AA292" s="1142">
        <v>164.7</v>
      </c>
      <c r="AB292" s="1142">
        <v>202.7</v>
      </c>
      <c r="AC292" s="1142">
        <v>240</v>
      </c>
      <c r="AD292" s="1142">
        <v>264</v>
      </c>
      <c r="AE292" s="1293" t="s">
        <v>433</v>
      </c>
    </row>
    <row r="293" spans="1:31">
      <c r="A293" s="1294"/>
      <c r="B293" s="1295"/>
      <c r="C293" s="868"/>
      <c r="D293" s="868"/>
      <c r="E293" s="868"/>
      <c r="F293" s="868"/>
      <c r="G293" s="868"/>
      <c r="H293" s="868"/>
      <c r="I293" s="868"/>
      <c r="J293" s="868"/>
      <c r="K293" s="868"/>
      <c r="L293" s="868"/>
      <c r="M293" s="1296" t="s">
        <v>24</v>
      </c>
      <c r="N293" s="868"/>
      <c r="O293" s="868"/>
      <c r="P293" s="867"/>
      <c r="Q293" s="868"/>
      <c r="R293" s="867"/>
      <c r="S293" s="867"/>
      <c r="T293" s="867"/>
      <c r="U293" s="867"/>
      <c r="V293" s="867"/>
      <c r="W293" s="867"/>
      <c r="X293" s="4349"/>
      <c r="Y293" s="4349"/>
      <c r="Z293" s="867"/>
      <c r="AA293" s="1297" t="s">
        <v>346</v>
      </c>
      <c r="AB293" s="1297"/>
      <c r="AC293" s="1297"/>
      <c r="AD293" s="1297"/>
      <c r="AE293" s="1298"/>
    </row>
    <row r="294" spans="1:31">
      <c r="A294" s="1294"/>
      <c r="B294" s="1295"/>
      <c r="C294" s="868"/>
      <c r="D294" s="868"/>
      <c r="E294" s="868"/>
      <c r="F294" s="868"/>
      <c r="G294" s="868"/>
      <c r="H294" s="868"/>
      <c r="I294" s="868"/>
      <c r="J294" s="868"/>
      <c r="K294" s="868"/>
      <c r="L294" s="868"/>
      <c r="M294" s="1299">
        <f>M298/$O$1</f>
        <v>36.994667076453752</v>
      </c>
      <c r="N294" s="868"/>
      <c r="O294" s="868"/>
      <c r="P294" s="867"/>
      <c r="Q294" s="868"/>
      <c r="R294" s="867"/>
      <c r="S294" s="867"/>
      <c r="T294" s="867"/>
      <c r="U294" s="867"/>
      <c r="V294" s="867"/>
      <c r="W294" s="867"/>
      <c r="X294" s="4349"/>
      <c r="Y294" s="4349"/>
      <c r="Z294" s="867"/>
      <c r="AA294" s="867"/>
      <c r="AB294" s="867"/>
      <c r="AC294" s="867"/>
      <c r="AD294" s="867"/>
      <c r="AE294" s="1298"/>
    </row>
    <row r="295" spans="1:31">
      <c r="A295" s="1300"/>
      <c r="B295" s="1301"/>
      <c r="C295" s="808"/>
      <c r="D295" s="808"/>
      <c r="E295" s="808"/>
      <c r="F295" s="808"/>
      <c r="G295" s="808"/>
      <c r="H295" s="808"/>
      <c r="I295" s="808"/>
      <c r="J295" s="808"/>
      <c r="K295" s="808"/>
      <c r="L295" s="808"/>
      <c r="M295" s="1302" t="s">
        <v>25</v>
      </c>
      <c r="N295" s="808"/>
      <c r="O295" s="808"/>
      <c r="P295" s="807"/>
      <c r="Q295" s="808"/>
      <c r="R295" s="807"/>
      <c r="S295" s="807"/>
      <c r="T295" s="807"/>
      <c r="U295" s="807"/>
      <c r="V295" s="807"/>
      <c r="W295" s="807"/>
      <c r="X295" s="4350"/>
      <c r="Y295" s="4350"/>
      <c r="Z295" s="807"/>
      <c r="AA295" s="807"/>
      <c r="AB295" s="807"/>
      <c r="AC295" s="807"/>
      <c r="AD295" s="807"/>
      <c r="AE295" s="1303"/>
    </row>
    <row r="296" spans="1:31" s="31" customFormat="1" ht="13.2">
      <c r="A296" s="815" t="s">
        <v>434</v>
      </c>
      <c r="B296" s="884"/>
      <c r="C296" s="1304">
        <v>11</v>
      </c>
      <c r="D296" s="1304">
        <v>11</v>
      </c>
      <c r="E296" s="1304">
        <v>11</v>
      </c>
      <c r="F296" s="1304">
        <v>11</v>
      </c>
      <c r="G296" s="1304">
        <v>11</v>
      </c>
      <c r="H296" s="1304">
        <v>11</v>
      </c>
      <c r="I296" s="1304">
        <v>11</v>
      </c>
      <c r="J296" s="1304">
        <v>11</v>
      </c>
      <c r="K296" s="1304">
        <v>11</v>
      </c>
      <c r="L296" s="1304">
        <v>11</v>
      </c>
      <c r="M296" s="1305">
        <v>24</v>
      </c>
      <c r="N296" s="1306">
        <v>26</v>
      </c>
      <c r="O296" s="1306">
        <v>26</v>
      </c>
      <c r="P296" s="1306"/>
      <c r="Q296" s="1306"/>
      <c r="R296" s="1306"/>
      <c r="S296" s="1306"/>
      <c r="T296" s="1306"/>
      <c r="U296" s="1306"/>
      <c r="V296" s="1306"/>
      <c r="W296" s="1306"/>
      <c r="X296" s="4340"/>
      <c r="Y296" s="4340"/>
      <c r="Z296" s="1306"/>
      <c r="AA296" s="1306"/>
      <c r="AB296" s="1306"/>
      <c r="AC296" s="1306"/>
      <c r="AD296" s="1306"/>
      <c r="AE296" s="1307" t="s">
        <v>435</v>
      </c>
    </row>
    <row r="297" spans="1:31" s="31" customFormat="1" ht="13.2">
      <c r="A297" s="887"/>
      <c r="B297" s="1120"/>
      <c r="C297" s="1308"/>
      <c r="D297" s="1308"/>
      <c r="E297" s="1308"/>
      <c r="F297" s="1308"/>
      <c r="G297" s="1308"/>
      <c r="H297" s="1308"/>
      <c r="I297" s="1308"/>
      <c r="J297" s="1308"/>
      <c r="K297" s="1308"/>
      <c r="L297" s="1308"/>
      <c r="M297" s="1296" t="s">
        <v>24</v>
      </c>
      <c r="N297" s="1309"/>
      <c r="O297" s="1309"/>
      <c r="P297" s="1309"/>
      <c r="Q297" s="1309"/>
      <c r="R297" s="1309"/>
      <c r="S297" s="1309"/>
      <c r="T297" s="1309"/>
      <c r="U297" s="1309"/>
      <c r="V297" s="1309"/>
      <c r="W297" s="1309"/>
      <c r="X297" s="4341"/>
      <c r="Y297" s="4341"/>
      <c r="Z297" s="1309"/>
      <c r="AA297" s="1309"/>
      <c r="AB297" s="1309"/>
      <c r="AC297" s="1309"/>
      <c r="AD297" s="1309"/>
      <c r="AE297" s="1310"/>
    </row>
    <row r="298" spans="1:31" s="31" customFormat="1" ht="13.2">
      <c r="A298" s="887"/>
      <c r="B298" s="1120"/>
      <c r="C298" s="1308"/>
      <c r="D298" s="1308"/>
      <c r="E298" s="1308"/>
      <c r="F298" s="1308"/>
      <c r="G298" s="1308"/>
      <c r="H298" s="1308"/>
      <c r="I298" s="1308"/>
      <c r="J298" s="1308"/>
      <c r="K298" s="1308"/>
      <c r="L298" s="1308"/>
      <c r="M298" s="1311">
        <v>26</v>
      </c>
      <c r="N298" s="1309"/>
      <c r="O298" s="1309"/>
      <c r="P298" s="1309"/>
      <c r="Q298" s="1309"/>
      <c r="R298" s="1309"/>
      <c r="S298" s="1309"/>
      <c r="T298" s="1309"/>
      <c r="U298" s="1309"/>
      <c r="V298" s="1309"/>
      <c r="W298" s="1309"/>
      <c r="X298" s="4341"/>
      <c r="Y298" s="4341"/>
      <c r="Z298" s="1309"/>
      <c r="AA298" s="1309"/>
      <c r="AB298" s="1309"/>
      <c r="AC298" s="1309"/>
      <c r="AD298" s="1309"/>
      <c r="AE298" s="1310"/>
    </row>
    <row r="299" spans="1:31" s="31" customFormat="1" ht="13.2">
      <c r="A299" s="822"/>
      <c r="B299" s="1125"/>
      <c r="C299" s="1312"/>
      <c r="D299" s="1312"/>
      <c r="E299" s="1312"/>
      <c r="F299" s="1312"/>
      <c r="G299" s="1312"/>
      <c r="H299" s="1312"/>
      <c r="I299" s="1312"/>
      <c r="J299" s="1312"/>
      <c r="K299" s="1312"/>
      <c r="L299" s="1312"/>
      <c r="M299" s="1313" t="s">
        <v>25</v>
      </c>
      <c r="N299" s="1314"/>
      <c r="O299" s="1314"/>
      <c r="P299" s="1314"/>
      <c r="Q299" s="1314"/>
      <c r="R299" s="1314"/>
      <c r="S299" s="1314"/>
      <c r="T299" s="1314"/>
      <c r="U299" s="1314"/>
      <c r="V299" s="1314"/>
      <c r="W299" s="1314"/>
      <c r="X299" s="4342"/>
      <c r="Y299" s="4342"/>
      <c r="Z299" s="1314"/>
      <c r="AA299" s="1314"/>
      <c r="AB299" s="1314"/>
      <c r="AC299" s="1314"/>
      <c r="AD299" s="1314"/>
      <c r="AE299" s="1315"/>
    </row>
    <row r="300" spans="1:31" ht="28.35" customHeight="1">
      <c r="A300" s="4343" t="s">
        <v>436</v>
      </c>
      <c r="B300" s="1316"/>
      <c r="C300" s="997">
        <f t="shared" ref="C300:O300" si="70">C304/$O$1</f>
        <v>8.679518044860302</v>
      </c>
      <c r="D300" s="1317">
        <f t="shared" si="70"/>
        <v>11.240687303999408</v>
      </c>
      <c r="E300" s="1055">
        <f t="shared" si="70"/>
        <v>17.359036089720604</v>
      </c>
      <c r="F300" s="1055">
        <f t="shared" si="70"/>
        <v>27.034564402023893</v>
      </c>
      <c r="G300" s="164">
        <f t="shared" si="70"/>
        <v>29.880308023289565</v>
      </c>
      <c r="H300" s="164">
        <f t="shared" si="70"/>
        <v>29.880308023289565</v>
      </c>
      <c r="I300" s="163">
        <f t="shared" si="70"/>
        <v>32.726051644555241</v>
      </c>
      <c r="J300" s="164">
        <f t="shared" si="70"/>
        <v>32.726051644555241</v>
      </c>
      <c r="K300" s="164">
        <f t="shared" si="70"/>
        <v>32.726051644555241</v>
      </c>
      <c r="L300" s="164">
        <f t="shared" si="70"/>
        <v>32.726051644555241</v>
      </c>
      <c r="M300" s="1055">
        <f t="shared" si="70"/>
        <v>41.263282508352262</v>
      </c>
      <c r="N300" s="164">
        <f t="shared" si="70"/>
        <v>48.377641561516441</v>
      </c>
      <c r="O300" s="164">
        <f t="shared" si="70"/>
        <v>48.377641561516441</v>
      </c>
      <c r="P300" s="1318">
        <v>55.49</v>
      </c>
      <c r="Q300" s="164">
        <v>55.49</v>
      </c>
      <c r="R300" s="765">
        <v>58</v>
      </c>
      <c r="S300" s="765">
        <v>62</v>
      </c>
      <c r="T300" s="765">
        <v>66</v>
      </c>
      <c r="U300" s="765">
        <v>70</v>
      </c>
      <c r="V300" s="765">
        <v>75</v>
      </c>
      <c r="W300" s="163">
        <v>80.25</v>
      </c>
      <c r="X300" s="4345">
        <v>85.9</v>
      </c>
      <c r="Y300" s="4345"/>
      <c r="Z300" s="835">
        <v>91.9</v>
      </c>
      <c r="AA300" s="835">
        <v>105.7</v>
      </c>
      <c r="AB300" s="835">
        <v>116.3</v>
      </c>
      <c r="AC300" s="835">
        <v>127.9</v>
      </c>
      <c r="AD300" s="835">
        <v>140.69999999999999</v>
      </c>
      <c r="AE300" s="1319" t="s">
        <v>437</v>
      </c>
    </row>
    <row r="301" spans="1:31">
      <c r="A301" s="4344"/>
      <c r="B301" s="1222"/>
      <c r="C301" s="1060"/>
      <c r="D301" s="1226" t="s">
        <v>25</v>
      </c>
      <c r="E301" s="1226" t="s">
        <v>24</v>
      </c>
      <c r="F301" s="1226" t="s">
        <v>24</v>
      </c>
      <c r="G301" s="909"/>
      <c r="H301" s="909"/>
      <c r="I301" s="908"/>
      <c r="J301" s="909"/>
      <c r="K301" s="909"/>
      <c r="L301" s="909"/>
      <c r="M301" s="1226" t="s">
        <v>24</v>
      </c>
      <c r="N301" s="909"/>
      <c r="O301" s="909"/>
      <c r="P301" s="912"/>
      <c r="Q301" s="909"/>
      <c r="R301" s="912"/>
      <c r="S301" s="908"/>
      <c r="T301" s="908"/>
      <c r="U301" s="908"/>
      <c r="V301" s="908"/>
      <c r="W301" s="908"/>
      <c r="X301" s="4316"/>
      <c r="Y301" s="4316"/>
      <c r="Z301" s="908"/>
      <c r="AA301" s="1230" t="s">
        <v>346</v>
      </c>
      <c r="AB301" s="1230"/>
      <c r="AC301" s="1230"/>
      <c r="AD301" s="1230"/>
      <c r="AE301" s="1284"/>
    </row>
    <row r="302" spans="1:31">
      <c r="A302" s="1221"/>
      <c r="B302" s="1222"/>
      <c r="C302" s="1060"/>
      <c r="D302" s="35"/>
      <c r="E302" s="1063">
        <f>E306/$O$1</f>
        <v>23.619672056505088</v>
      </c>
      <c r="F302" s="1063">
        <f>F306/$O$1</f>
        <v>29.880308023289565</v>
      </c>
      <c r="G302" s="909"/>
      <c r="H302" s="909"/>
      <c r="I302" s="908"/>
      <c r="J302" s="909"/>
      <c r="K302" s="909"/>
      <c r="L302" s="909"/>
      <c r="M302" s="1063">
        <f>M306/$O$1</f>
        <v>48.377641561516441</v>
      </c>
      <c r="N302" s="909"/>
      <c r="O302" s="909"/>
      <c r="P302" s="912"/>
      <c r="Q302" s="909"/>
      <c r="R302" s="912"/>
      <c r="S302" s="908"/>
      <c r="T302" s="908"/>
      <c r="U302" s="908"/>
      <c r="V302" s="908"/>
      <c r="W302" s="908"/>
      <c r="X302" s="4316"/>
      <c r="Y302" s="4316"/>
      <c r="Z302" s="908"/>
      <c r="AA302" s="908"/>
      <c r="AB302" s="908"/>
      <c r="AC302" s="908"/>
      <c r="AD302" s="908"/>
      <c r="AE302" s="1284"/>
    </row>
    <row r="303" spans="1:31">
      <c r="A303" s="1221"/>
      <c r="B303" s="1222"/>
      <c r="C303" s="1060"/>
      <c r="D303" s="1228"/>
      <c r="E303" s="1238" t="s">
        <v>25</v>
      </c>
      <c r="F303" s="1238" t="s">
        <v>25</v>
      </c>
      <c r="G303" s="770"/>
      <c r="H303" s="770"/>
      <c r="I303" s="772"/>
      <c r="J303" s="770"/>
      <c r="K303" s="770"/>
      <c r="L303" s="770"/>
      <c r="M303" s="1226" t="s">
        <v>25</v>
      </c>
      <c r="N303" s="770"/>
      <c r="O303" s="770"/>
      <c r="P303" s="773"/>
      <c r="Q303" s="770"/>
      <c r="R303" s="773"/>
      <c r="S303" s="772"/>
      <c r="T303" s="772"/>
      <c r="U303" s="772"/>
      <c r="V303" s="772"/>
      <c r="W303" s="772"/>
      <c r="X303" s="4317"/>
      <c r="Y303" s="4317"/>
      <c r="Z303" s="772"/>
      <c r="AA303" s="772"/>
      <c r="AB303" s="772"/>
      <c r="AC303" s="772"/>
      <c r="AD303" s="772"/>
      <c r="AE303" s="1285"/>
    </row>
    <row r="304" spans="1:31" s="31" customFormat="1" ht="12.75" customHeight="1">
      <c r="A304" s="776" t="s">
        <v>438</v>
      </c>
      <c r="B304" s="4307"/>
      <c r="C304" s="1320">
        <v>6.1</v>
      </c>
      <c r="D304" s="1243" t="s">
        <v>439</v>
      </c>
      <c r="E304" s="1321">
        <v>12.2</v>
      </c>
      <c r="F304" s="1321">
        <v>19</v>
      </c>
      <c r="G304" s="1287">
        <v>21</v>
      </c>
      <c r="H304" s="1287">
        <v>21</v>
      </c>
      <c r="I304" s="1286">
        <v>23</v>
      </c>
      <c r="J304" s="1287">
        <v>23</v>
      </c>
      <c r="K304" s="1287">
        <v>23</v>
      </c>
      <c r="L304" s="1287">
        <v>23</v>
      </c>
      <c r="M304" s="1321">
        <v>29</v>
      </c>
      <c r="N304" s="1287">
        <v>34</v>
      </c>
      <c r="O304" s="1287">
        <v>34</v>
      </c>
      <c r="P304" s="235"/>
      <c r="Q304" s="851"/>
      <c r="R304" s="235"/>
      <c r="S304" s="1287"/>
      <c r="T304" s="1287"/>
      <c r="U304" s="1287"/>
      <c r="V304" s="1287"/>
      <c r="W304" s="1287"/>
      <c r="X304" s="4337"/>
      <c r="Y304" s="4337"/>
      <c r="Z304" s="1287"/>
      <c r="AA304" s="1287"/>
      <c r="AB304" s="1287"/>
      <c r="AC304" s="1287"/>
      <c r="AD304" s="1287"/>
      <c r="AE304" s="1322" t="s">
        <v>440</v>
      </c>
    </row>
    <row r="305" spans="1:31" s="31" customFormat="1" ht="13.2">
      <c r="A305" s="922"/>
      <c r="B305" s="4308"/>
      <c r="C305" s="1323"/>
      <c r="D305" s="1226" t="s">
        <v>25</v>
      </c>
      <c r="E305" s="1226" t="s">
        <v>24</v>
      </c>
      <c r="F305" s="1226" t="s">
        <v>24</v>
      </c>
      <c r="G305" s="1289"/>
      <c r="H305" s="1289"/>
      <c r="I305" s="1288"/>
      <c r="J305" s="1289"/>
      <c r="K305" s="1289"/>
      <c r="L305" s="1289"/>
      <c r="M305" s="1226" t="s">
        <v>24</v>
      </c>
      <c r="N305" s="1289"/>
      <c r="O305" s="1289"/>
      <c r="P305" s="926"/>
      <c r="Q305" s="1324"/>
      <c r="R305" s="926"/>
      <c r="S305" s="1289"/>
      <c r="T305" s="1289"/>
      <c r="U305" s="1289"/>
      <c r="V305" s="1289"/>
      <c r="W305" s="1289"/>
      <c r="X305" s="4338"/>
      <c r="Y305" s="4338"/>
      <c r="Z305" s="1289"/>
      <c r="AA305" s="1289"/>
      <c r="AB305" s="1289"/>
      <c r="AC305" s="1289"/>
      <c r="AD305" s="1289"/>
      <c r="AE305" s="1325"/>
    </row>
    <row r="306" spans="1:31" s="31" customFormat="1" ht="13.2">
      <c r="A306" s="922"/>
      <c r="B306" s="4308"/>
      <c r="C306" s="1323"/>
      <c r="D306" s="1253"/>
      <c r="E306" s="1252">
        <v>16.600000000000001</v>
      </c>
      <c r="F306" s="1252">
        <v>21</v>
      </c>
      <c r="G306" s="1289"/>
      <c r="H306" s="1289"/>
      <c r="I306" s="1288"/>
      <c r="J306" s="1289"/>
      <c r="K306" s="1289"/>
      <c r="L306" s="1289"/>
      <c r="M306" s="1252">
        <v>34</v>
      </c>
      <c r="N306" s="1289"/>
      <c r="O306" s="1289"/>
      <c r="P306" s="926"/>
      <c r="Q306" s="1324"/>
      <c r="R306" s="926"/>
      <c r="S306" s="1289"/>
      <c r="T306" s="1289"/>
      <c r="U306" s="1289"/>
      <c r="V306" s="1289"/>
      <c r="W306" s="1289"/>
      <c r="X306" s="4338"/>
      <c r="Y306" s="4338"/>
      <c r="Z306" s="1289"/>
      <c r="AA306" s="1289"/>
      <c r="AB306" s="1289"/>
      <c r="AC306" s="1289"/>
      <c r="AD306" s="1289"/>
      <c r="AE306" s="1325"/>
    </row>
    <row r="307" spans="1:31" s="31" customFormat="1" ht="13.2">
      <c r="A307" s="1072"/>
      <c r="B307" s="4336"/>
      <c r="C307" s="1326"/>
      <c r="D307" s="1257"/>
      <c r="E307" s="1226" t="s">
        <v>25</v>
      </c>
      <c r="F307" s="1238" t="s">
        <v>25</v>
      </c>
      <c r="G307" s="1327"/>
      <c r="H307" s="1327"/>
      <c r="I307" s="1328"/>
      <c r="J307" s="1327"/>
      <c r="K307" s="1327"/>
      <c r="L307" s="1327"/>
      <c r="M307" s="1238" t="s">
        <v>25</v>
      </c>
      <c r="N307" s="1327"/>
      <c r="O307" s="1327"/>
      <c r="P307" s="1329"/>
      <c r="Q307" s="1197"/>
      <c r="R307" s="1329"/>
      <c r="S307" s="1327"/>
      <c r="T307" s="1327"/>
      <c r="U307" s="1327"/>
      <c r="V307" s="1327"/>
      <c r="W307" s="1327"/>
      <c r="X307" s="4339"/>
      <c r="Y307" s="4339"/>
      <c r="Z307" s="1327"/>
      <c r="AA307" s="1327"/>
      <c r="AB307" s="1327"/>
      <c r="AC307" s="1327"/>
      <c r="AD307" s="1327"/>
      <c r="AE307" s="1330"/>
    </row>
    <row r="308" spans="1:31" s="31" customFormat="1" ht="15" customHeight="1">
      <c r="A308" s="4328" t="s">
        <v>441</v>
      </c>
      <c r="B308" s="4331" t="s">
        <v>18</v>
      </c>
      <c r="C308" s="4321" t="s">
        <v>18</v>
      </c>
      <c r="D308" s="4321" t="s">
        <v>18</v>
      </c>
      <c r="E308" s="1217">
        <f t="shared" ref="E308:J308" si="71">E312/$O$1</f>
        <v>13.801856563138513</v>
      </c>
      <c r="F308" s="4334">
        <f t="shared" si="71"/>
        <v>18.497333538226876</v>
      </c>
      <c r="G308" s="4318">
        <f t="shared" si="71"/>
        <v>18.497333538226876</v>
      </c>
      <c r="H308" s="4315">
        <f t="shared" si="71"/>
        <v>19.92020534885971</v>
      </c>
      <c r="I308" s="4318">
        <f t="shared" si="71"/>
        <v>19.92020534885971</v>
      </c>
      <c r="J308" s="4318">
        <f t="shared" si="71"/>
        <v>19.92020534885971</v>
      </c>
      <c r="K308" s="4321" t="s">
        <v>442</v>
      </c>
      <c r="L308" s="4324">
        <f>L312/O1</f>
        <v>32.726051644555241</v>
      </c>
      <c r="M308" s="1055">
        <f>M312/$O$1</f>
        <v>41.263282508352262</v>
      </c>
      <c r="N308" s="164">
        <f t="shared" ref="N308:O308" si="72">N312/$O$1</f>
        <v>48.377641561516441</v>
      </c>
      <c r="O308" s="164">
        <f t="shared" si="72"/>
        <v>48.377641561516441</v>
      </c>
      <c r="P308" s="1318">
        <v>55.49</v>
      </c>
      <c r="Q308" s="164">
        <v>55.49</v>
      </c>
      <c r="R308" s="765">
        <v>58</v>
      </c>
      <c r="S308" s="765">
        <v>62</v>
      </c>
      <c r="T308" s="765">
        <v>66</v>
      </c>
      <c r="U308" s="765">
        <v>70</v>
      </c>
      <c r="V308" s="765">
        <v>75</v>
      </c>
      <c r="W308" s="163">
        <v>80.25</v>
      </c>
      <c r="X308" s="4327">
        <v>85.9</v>
      </c>
      <c r="Y308" s="4327"/>
      <c r="Z308" s="163">
        <v>91.9</v>
      </c>
      <c r="AA308" s="163">
        <v>105.7</v>
      </c>
      <c r="AB308" s="835">
        <v>116.3</v>
      </c>
      <c r="AC308" s="835">
        <v>127.9</v>
      </c>
      <c r="AD308" s="835">
        <v>140.69999999999999</v>
      </c>
      <c r="AE308" s="4302" t="s">
        <v>443</v>
      </c>
    </row>
    <row r="309" spans="1:31" s="31" customFormat="1" ht="15" customHeight="1">
      <c r="A309" s="4329"/>
      <c r="B309" s="4332"/>
      <c r="C309" s="4322"/>
      <c r="D309" s="4322"/>
      <c r="E309" s="1226" t="s">
        <v>24</v>
      </c>
      <c r="F309" s="4335"/>
      <c r="G309" s="4319"/>
      <c r="H309" s="4316"/>
      <c r="I309" s="4319"/>
      <c r="J309" s="4319"/>
      <c r="K309" s="4322"/>
      <c r="L309" s="4325"/>
      <c r="M309" s="1226" t="s">
        <v>24</v>
      </c>
      <c r="N309" s="909"/>
      <c r="O309" s="909"/>
      <c r="P309" s="1333"/>
      <c r="Q309" s="1334"/>
      <c r="R309" s="1333"/>
      <c r="S309" s="1333"/>
      <c r="T309" s="1333"/>
      <c r="U309" s="1333"/>
      <c r="V309" s="908"/>
      <c r="W309" s="1223"/>
      <c r="X309" s="1335"/>
      <c r="Y309" s="1336"/>
      <c r="Z309" s="1223"/>
      <c r="AA309" s="1230" t="s">
        <v>346</v>
      </c>
      <c r="AB309" s="1230"/>
      <c r="AC309" s="1230"/>
      <c r="AD309" s="1230"/>
      <c r="AE309" s="4303"/>
    </row>
    <row r="310" spans="1:31" s="31" customFormat="1" ht="15" customHeight="1">
      <c r="A310" s="4329"/>
      <c r="B310" s="4332"/>
      <c r="C310" s="4322"/>
      <c r="D310" s="4322"/>
      <c r="E310" s="1063">
        <f>E314/$O$1</f>
        <v>16.220738641214336</v>
      </c>
      <c r="F310" s="1226" t="s">
        <v>444</v>
      </c>
      <c r="G310" s="4319"/>
      <c r="H310" s="4316"/>
      <c r="I310" s="4319"/>
      <c r="J310" s="4319"/>
      <c r="K310" s="4322"/>
      <c r="L310" s="4325"/>
      <c r="M310" s="1063">
        <f>M314/$O$1</f>
        <v>48.377641561516441</v>
      </c>
      <c r="N310" s="909"/>
      <c r="O310" s="909"/>
      <c r="P310" s="1333"/>
      <c r="Q310" s="1334"/>
      <c r="R310" s="1333"/>
      <c r="S310" s="1333"/>
      <c r="T310" s="1333"/>
      <c r="U310" s="1333"/>
      <c r="V310" s="908"/>
      <c r="W310" s="1223"/>
      <c r="X310" s="1335"/>
      <c r="Y310" s="1336"/>
      <c r="Z310" s="1223"/>
      <c r="AA310" s="1223"/>
      <c r="AB310" s="1223"/>
      <c r="AC310" s="1223"/>
      <c r="AD310" s="1223"/>
      <c r="AE310" s="4303"/>
    </row>
    <row r="311" spans="1:31" s="31" customFormat="1" ht="15" customHeight="1">
      <c r="A311" s="4330"/>
      <c r="B311" s="4333"/>
      <c r="C311" s="4323"/>
      <c r="D311" s="4323"/>
      <c r="E311" s="1238" t="s">
        <v>25</v>
      </c>
      <c r="F311" s="1337"/>
      <c r="G311" s="4320"/>
      <c r="H311" s="4317"/>
      <c r="I311" s="4320"/>
      <c r="J311" s="4320"/>
      <c r="K311" s="4323"/>
      <c r="L311" s="4326"/>
      <c r="M311" s="1226" t="s">
        <v>25</v>
      </c>
      <c r="N311" s="770"/>
      <c r="O311" s="770"/>
      <c r="P311" s="1338"/>
      <c r="Q311" s="1339"/>
      <c r="R311" s="1338"/>
      <c r="S311" s="1338"/>
      <c r="T311" s="1338"/>
      <c r="U311" s="1338"/>
      <c r="V311" s="772"/>
      <c r="W311" s="1235"/>
      <c r="X311" s="1340"/>
      <c r="Y311" s="1341"/>
      <c r="Z311" s="1235"/>
      <c r="AA311" s="1235"/>
      <c r="AB311" s="1235"/>
      <c r="AC311" s="1235"/>
      <c r="AD311" s="1235"/>
      <c r="AE311" s="4304"/>
    </row>
    <row r="312" spans="1:31" s="31" customFormat="1" ht="12.75" customHeight="1">
      <c r="A312" s="4305" t="s">
        <v>445</v>
      </c>
      <c r="B312" s="4307" t="s">
        <v>18</v>
      </c>
      <c r="C312" s="4309" t="s">
        <v>18</v>
      </c>
      <c r="D312" s="4309" t="s">
        <v>18</v>
      </c>
      <c r="E312" s="1321">
        <v>9.6999999999999993</v>
      </c>
      <c r="F312" s="4311">
        <v>13</v>
      </c>
      <c r="G312" s="4288">
        <v>13</v>
      </c>
      <c r="H312" s="4313">
        <v>14</v>
      </c>
      <c r="I312" s="4288">
        <v>14</v>
      </c>
      <c r="J312" s="4288">
        <v>14</v>
      </c>
      <c r="K312" s="4288" t="s">
        <v>446</v>
      </c>
      <c r="L312" s="4288">
        <v>23</v>
      </c>
      <c r="M312" s="1321">
        <v>29</v>
      </c>
      <c r="N312" s="1287">
        <v>34</v>
      </c>
      <c r="O312" s="1287">
        <v>34</v>
      </c>
      <c r="P312" s="4288"/>
      <c r="Q312" s="4300"/>
      <c r="R312" s="4288"/>
      <c r="S312" s="4288"/>
      <c r="T312" s="4288"/>
      <c r="U312" s="4288"/>
      <c r="V312" s="4288"/>
      <c r="W312" s="1242"/>
      <c r="X312" s="4290"/>
      <c r="Y312" s="4291"/>
      <c r="Z312" s="1242"/>
      <c r="AA312" s="1242"/>
      <c r="AB312" s="1242"/>
      <c r="AC312" s="1242"/>
      <c r="AD312" s="1242"/>
      <c r="AE312" s="4296" t="s">
        <v>447</v>
      </c>
    </row>
    <row r="313" spans="1:31" s="31" customFormat="1" ht="22.5" customHeight="1">
      <c r="A313" s="4306"/>
      <c r="B313" s="4308"/>
      <c r="C313" s="4310"/>
      <c r="D313" s="4310"/>
      <c r="E313" s="1226" t="s">
        <v>24</v>
      </c>
      <c r="F313" s="4312"/>
      <c r="G313" s="4289"/>
      <c r="H313" s="4314"/>
      <c r="I313" s="4289"/>
      <c r="J313" s="4289"/>
      <c r="K313" s="4289"/>
      <c r="L313" s="4289"/>
      <c r="M313" s="1226" t="s">
        <v>24</v>
      </c>
      <c r="N313" s="1289"/>
      <c r="O313" s="1289"/>
      <c r="P313" s="4289"/>
      <c r="Q313" s="4301"/>
      <c r="R313" s="4289"/>
      <c r="S313" s="4289"/>
      <c r="T313" s="4289"/>
      <c r="U313" s="4289"/>
      <c r="V313" s="4289"/>
      <c r="W313" s="1247"/>
      <c r="X313" s="4292"/>
      <c r="Y313" s="4293"/>
      <c r="Z313" s="1247"/>
      <c r="AA313" s="1247"/>
      <c r="AB313" s="1247"/>
      <c r="AC313" s="1247"/>
      <c r="AD313" s="1247"/>
      <c r="AE313" s="4297"/>
    </row>
    <row r="314" spans="1:31" s="31" customFormat="1" ht="12.75" customHeight="1">
      <c r="A314" s="4306"/>
      <c r="B314" s="4308"/>
      <c r="C314" s="4310"/>
      <c r="D314" s="4310"/>
      <c r="E314" s="1252">
        <v>11.4</v>
      </c>
      <c r="F314" s="1226" t="s">
        <v>444</v>
      </c>
      <c r="G314" s="4289"/>
      <c r="H314" s="4314"/>
      <c r="I314" s="4289"/>
      <c r="J314" s="4289"/>
      <c r="K314" s="4289"/>
      <c r="L314" s="4289"/>
      <c r="M314" s="1252">
        <v>34</v>
      </c>
      <c r="N314" s="1289"/>
      <c r="O314" s="1289"/>
      <c r="P314" s="4289"/>
      <c r="Q314" s="4301"/>
      <c r="R314" s="4289"/>
      <c r="S314" s="4289"/>
      <c r="T314" s="4289"/>
      <c r="U314" s="4289"/>
      <c r="V314" s="4289"/>
      <c r="W314" s="1247"/>
      <c r="X314" s="4292"/>
      <c r="Y314" s="4293"/>
      <c r="Z314" s="1247"/>
      <c r="AA314" s="1247"/>
      <c r="AB314" s="1247"/>
      <c r="AC314" s="1247"/>
      <c r="AD314" s="1247"/>
      <c r="AE314" s="4297"/>
    </row>
    <row r="315" spans="1:31" s="31" customFormat="1" ht="22.5" customHeight="1">
      <c r="A315" s="4306"/>
      <c r="B315" s="4308"/>
      <c r="C315" s="4310"/>
      <c r="D315" s="4310"/>
      <c r="E315" s="1226" t="s">
        <v>25</v>
      </c>
      <c r="F315" s="1337"/>
      <c r="G315" s="4289"/>
      <c r="H315" s="4314"/>
      <c r="I315" s="4289"/>
      <c r="J315" s="4289"/>
      <c r="K315" s="4289"/>
      <c r="L315" s="4289"/>
      <c r="M315" s="1238" t="s">
        <v>25</v>
      </c>
      <c r="N315" s="1327"/>
      <c r="O315" s="1327"/>
      <c r="P315" s="4289"/>
      <c r="Q315" s="4301"/>
      <c r="R315" s="4289"/>
      <c r="S315" s="4289"/>
      <c r="T315" s="4289"/>
      <c r="U315" s="4289"/>
      <c r="V315" s="4289"/>
      <c r="W315" s="1247"/>
      <c r="X315" s="4294"/>
      <c r="Y315" s="4295"/>
      <c r="Z315" s="1247"/>
      <c r="AA315" s="1247"/>
      <c r="AB315" s="1247"/>
      <c r="AC315" s="1247"/>
      <c r="AD315" s="1247"/>
      <c r="AE315" s="4297"/>
    </row>
    <row r="316" spans="1:31">
      <c r="A316" s="1342" t="s">
        <v>448</v>
      </c>
      <c r="B316" s="1291" t="s">
        <v>18</v>
      </c>
      <c r="C316" s="1343" t="s">
        <v>18</v>
      </c>
      <c r="D316" s="1343" t="s">
        <v>18</v>
      </c>
      <c r="E316" s="1343" t="s">
        <v>18</v>
      </c>
      <c r="F316" s="1343" t="s">
        <v>18</v>
      </c>
      <c r="G316" s="1343" t="s">
        <v>18</v>
      </c>
      <c r="H316" s="1343" t="s">
        <v>18</v>
      </c>
      <c r="I316" s="1343" t="s">
        <v>18</v>
      </c>
      <c r="J316" s="1343" t="s">
        <v>18</v>
      </c>
      <c r="K316" s="1343" t="s">
        <v>18</v>
      </c>
      <c r="L316" s="1343" t="s">
        <v>18</v>
      </c>
      <c r="M316" s="1343" t="s">
        <v>18</v>
      </c>
      <c r="N316" s="1343" t="s">
        <v>18</v>
      </c>
      <c r="O316" s="1343" t="s">
        <v>18</v>
      </c>
      <c r="P316" s="1343" t="s">
        <v>18</v>
      </c>
      <c r="Q316" s="1344">
        <f t="shared" ref="Q316:V316" si="73">Q300</f>
        <v>55.49</v>
      </c>
      <c r="R316" s="1345">
        <f t="shared" si="73"/>
        <v>58</v>
      </c>
      <c r="S316" s="1345">
        <f t="shared" si="73"/>
        <v>62</v>
      </c>
      <c r="T316" s="1345">
        <f t="shared" si="73"/>
        <v>66</v>
      </c>
      <c r="U316" s="1345">
        <f t="shared" si="73"/>
        <v>70</v>
      </c>
      <c r="V316" s="1345">
        <f t="shared" si="73"/>
        <v>75</v>
      </c>
      <c r="W316" s="1344">
        <v>80.25</v>
      </c>
      <c r="X316" s="4298">
        <v>85.9</v>
      </c>
      <c r="Y316" s="4299"/>
      <c r="Z316" s="1346">
        <v>91.9</v>
      </c>
      <c r="AA316" s="1346">
        <v>105.7</v>
      </c>
      <c r="AB316" s="1346">
        <v>116.3</v>
      </c>
      <c r="AC316" s="1346">
        <v>127.9</v>
      </c>
      <c r="AD316" s="1346">
        <v>140.69999999999999</v>
      </c>
      <c r="AE316" s="1293" t="s">
        <v>449</v>
      </c>
    </row>
    <row r="317" spans="1:31" s="31" customFormat="1" ht="12.75" customHeight="1">
      <c r="A317" s="1347"/>
      <c r="B317" s="1348"/>
      <c r="C317" s="1349"/>
      <c r="D317" s="1349"/>
      <c r="E317" s="1349"/>
      <c r="F317" s="1349"/>
      <c r="G317" s="1349"/>
      <c r="H317" s="1349"/>
      <c r="I317" s="1349"/>
      <c r="J317" s="1349"/>
      <c r="K317" s="1349"/>
      <c r="L317" s="1349"/>
      <c r="M317" s="1349"/>
      <c r="N317" s="1349"/>
      <c r="O317" s="1349"/>
      <c r="P317" s="1349"/>
      <c r="Q317" s="1313" t="s">
        <v>450</v>
      </c>
      <c r="R317" s="1350"/>
      <c r="S317" s="1351"/>
      <c r="T317" s="1351"/>
      <c r="U317" s="1351"/>
      <c r="V317" s="1351"/>
      <c r="W317" s="1351"/>
      <c r="X317" s="4283"/>
      <c r="Y317" s="4283"/>
      <c r="Z317" s="1351"/>
      <c r="AA317" s="1352" t="s">
        <v>346</v>
      </c>
      <c r="AB317" s="1352"/>
      <c r="AC317" s="1352"/>
      <c r="AD317" s="1352"/>
      <c r="AE317" s="1315"/>
    </row>
    <row r="318" spans="1:31">
      <c r="A318" s="1268" t="s">
        <v>451</v>
      </c>
      <c r="B318" s="1222" t="s">
        <v>18</v>
      </c>
      <c r="C318" s="1223" t="s">
        <v>18</v>
      </c>
      <c r="D318" s="1223" t="s">
        <v>18</v>
      </c>
      <c r="E318" s="1223" t="s">
        <v>18</v>
      </c>
      <c r="F318" s="1223" t="s">
        <v>18</v>
      </c>
      <c r="G318" s="1223" t="s">
        <v>18</v>
      </c>
      <c r="H318" s="1223" t="s">
        <v>18</v>
      </c>
      <c r="I318" s="1223" t="s">
        <v>18</v>
      </c>
      <c r="J318" s="1223" t="s">
        <v>18</v>
      </c>
      <c r="K318" s="1223" t="s">
        <v>18</v>
      </c>
      <c r="L318" s="1223" t="s">
        <v>18</v>
      </c>
      <c r="M318" s="1223" t="s">
        <v>18</v>
      </c>
      <c r="N318" s="1223" t="s">
        <v>18</v>
      </c>
      <c r="O318" s="1223" t="s">
        <v>18</v>
      </c>
      <c r="P318" s="1223" t="s">
        <v>18</v>
      </c>
      <c r="Q318" s="1223" t="s">
        <v>18</v>
      </c>
      <c r="R318" s="1353">
        <v>62</v>
      </c>
      <c r="S318" s="1353">
        <f>S316</f>
        <v>62</v>
      </c>
      <c r="T318" s="1353">
        <f>T316</f>
        <v>66</v>
      </c>
      <c r="U318" s="1353">
        <f>U316</f>
        <v>70</v>
      </c>
      <c r="V318" s="1353">
        <f>V316</f>
        <v>75</v>
      </c>
      <c r="W318" s="1353">
        <v>160</v>
      </c>
      <c r="X318" s="4284">
        <v>207</v>
      </c>
      <c r="Y318" s="4284"/>
      <c r="Z318" s="1353">
        <v>218</v>
      </c>
      <c r="AA318" s="1353">
        <v>251</v>
      </c>
      <c r="AB318" s="1353">
        <v>276</v>
      </c>
      <c r="AC318" s="1353">
        <v>304</v>
      </c>
      <c r="AD318" s="1355">
        <v>334.4</v>
      </c>
      <c r="AE318" s="1284" t="s">
        <v>452</v>
      </c>
    </row>
    <row r="319" spans="1:31" s="31" customFormat="1" ht="12.75" customHeight="1">
      <c r="A319" s="1356"/>
      <c r="B319" s="1357"/>
      <c r="C319" s="1358"/>
      <c r="D319" s="1358"/>
      <c r="E319" s="1358"/>
      <c r="F319" s="1358"/>
      <c r="G319" s="1358"/>
      <c r="H319" s="1358"/>
      <c r="I319" s="1358"/>
      <c r="J319" s="1358"/>
      <c r="K319" s="1358"/>
      <c r="L319" s="1358"/>
      <c r="M319" s="1358"/>
      <c r="N319" s="1358"/>
      <c r="O319" s="1358"/>
      <c r="P319" s="1358"/>
      <c r="Q319" s="1358"/>
      <c r="R319" s="1226" t="s">
        <v>346</v>
      </c>
      <c r="S319" s="1359"/>
      <c r="T319" s="1359"/>
      <c r="U319" s="1359"/>
      <c r="V319" s="1359"/>
      <c r="W319" s="1359"/>
      <c r="X319" s="4285"/>
      <c r="Y319" s="4285"/>
      <c r="Z319" s="1359"/>
      <c r="AA319" s="1230" t="s">
        <v>346</v>
      </c>
      <c r="AB319" s="1230"/>
      <c r="AC319" s="1230"/>
      <c r="AD319" s="1230"/>
      <c r="AE319" s="1360"/>
    </row>
    <row r="320" spans="1:31" ht="57" customHeight="1">
      <c r="A320" s="1361" t="s">
        <v>453</v>
      </c>
      <c r="B320" s="1362" t="s">
        <v>18</v>
      </c>
      <c r="C320" s="1363" t="s">
        <v>18</v>
      </c>
      <c r="D320" s="1363" t="s">
        <v>18</v>
      </c>
      <c r="E320" s="1363" t="s">
        <v>18</v>
      </c>
      <c r="F320" s="1363" t="s">
        <v>18</v>
      </c>
      <c r="G320" s="1363" t="s">
        <v>18</v>
      </c>
      <c r="H320" s="1363" t="s">
        <v>18</v>
      </c>
      <c r="I320" s="1363" t="s">
        <v>18</v>
      </c>
      <c r="J320" s="1363" t="s">
        <v>18</v>
      </c>
      <c r="K320" s="1363" t="s">
        <v>18</v>
      </c>
      <c r="L320" s="1363" t="s">
        <v>18</v>
      </c>
      <c r="M320" s="1363" t="s">
        <v>18</v>
      </c>
      <c r="N320" s="1363" t="s">
        <v>18</v>
      </c>
      <c r="O320" s="1363" t="s">
        <v>18</v>
      </c>
      <c r="P320" s="1363" t="s">
        <v>18</v>
      </c>
      <c r="Q320" s="1363" t="s">
        <v>18</v>
      </c>
      <c r="R320" s="1364" t="s">
        <v>454</v>
      </c>
      <c r="S320" s="1365" t="s">
        <v>454</v>
      </c>
      <c r="T320" s="1365" t="s">
        <v>454</v>
      </c>
      <c r="U320" s="1365" t="s">
        <v>454</v>
      </c>
      <c r="V320" s="1365" t="s">
        <v>454</v>
      </c>
      <c r="W320" s="1366">
        <v>0.12</v>
      </c>
      <c r="X320" s="4286">
        <v>0.16</v>
      </c>
      <c r="Y320" s="4286"/>
      <c r="Z320" s="1366">
        <v>0.2</v>
      </c>
      <c r="AA320" s="1366" t="s">
        <v>455</v>
      </c>
      <c r="AB320" s="1366">
        <v>0.28999999999999998</v>
      </c>
      <c r="AC320" s="1366">
        <v>0.35</v>
      </c>
      <c r="AD320" s="1366">
        <v>0.39</v>
      </c>
      <c r="AE320" s="1367" t="s">
        <v>456</v>
      </c>
    </row>
    <row r="321" spans="1:33" ht="24">
      <c r="A321" s="1368" t="s">
        <v>457</v>
      </c>
      <c r="B321" s="1316" t="s">
        <v>18</v>
      </c>
      <c r="C321" s="1369" t="s">
        <v>18</v>
      </c>
      <c r="D321" s="1369" t="s">
        <v>18</v>
      </c>
      <c r="E321" s="1369" t="s">
        <v>18</v>
      </c>
      <c r="F321" s="1369" t="s">
        <v>18</v>
      </c>
      <c r="G321" s="1369" t="s">
        <v>18</v>
      </c>
      <c r="H321" s="1369" t="s">
        <v>18</v>
      </c>
      <c r="I321" s="1369" t="s">
        <v>18</v>
      </c>
      <c r="J321" s="1369" t="s">
        <v>18</v>
      </c>
      <c r="K321" s="1369" t="s">
        <v>18</v>
      </c>
      <c r="L321" s="1369" t="s">
        <v>18</v>
      </c>
      <c r="M321" s="1369" t="s">
        <v>18</v>
      </c>
      <c r="N321" s="1369" t="s">
        <v>18</v>
      </c>
      <c r="O321" s="1369" t="s">
        <v>18</v>
      </c>
      <c r="P321" s="1369" t="s">
        <v>18</v>
      </c>
      <c r="Q321" s="1369" t="s">
        <v>18</v>
      </c>
      <c r="R321" s="1369" t="s">
        <v>18</v>
      </c>
      <c r="S321" s="1369" t="s">
        <v>18</v>
      </c>
      <c r="T321" s="1369" t="s">
        <v>18</v>
      </c>
      <c r="U321" s="1369" t="s">
        <v>18</v>
      </c>
      <c r="V321" s="1369" t="s">
        <v>18</v>
      </c>
      <c r="W321" s="1354">
        <v>80</v>
      </c>
      <c r="X321" s="4284">
        <v>100</v>
      </c>
      <c r="Y321" s="4284"/>
      <c r="Z321" s="1354">
        <v>120</v>
      </c>
      <c r="AA321" s="1354" t="s">
        <v>458</v>
      </c>
      <c r="AB321" s="1370">
        <v>151.80000000000001</v>
      </c>
      <c r="AC321" s="1354">
        <v>167</v>
      </c>
      <c r="AD321" s="1370">
        <v>183.7</v>
      </c>
      <c r="AE321" s="1319" t="s">
        <v>459</v>
      </c>
    </row>
    <row r="322" spans="1:33" ht="15.6">
      <c r="A322" s="1371" t="s">
        <v>460</v>
      </c>
      <c r="B322" s="1372"/>
      <c r="C322" s="1373"/>
      <c r="D322" s="1373"/>
      <c r="E322" s="1373"/>
      <c r="F322" s="1373"/>
      <c r="G322" s="1373"/>
      <c r="H322" s="1373"/>
      <c r="I322" s="1373"/>
      <c r="J322" s="1373"/>
      <c r="K322" s="1373"/>
      <c r="L322" s="1374"/>
      <c r="M322" s="1374"/>
      <c r="N322" s="1374"/>
      <c r="O322" s="1374"/>
      <c r="P322" s="1374"/>
      <c r="Q322" s="1374"/>
      <c r="R322" s="1374"/>
      <c r="S322" s="1374"/>
      <c r="T322" s="1374"/>
      <c r="U322" s="1375"/>
      <c r="V322" s="1375"/>
      <c r="W322" s="1375"/>
      <c r="X322" s="4287"/>
      <c r="Y322" s="4287"/>
      <c r="Z322" s="1053"/>
      <c r="AA322" s="1053"/>
      <c r="AB322" s="1053"/>
      <c r="AC322" s="1053"/>
      <c r="AD322" s="1053"/>
      <c r="AE322" s="1375" t="s">
        <v>461</v>
      </c>
    </row>
    <row r="323" spans="1:33">
      <c r="A323" s="1376" t="s">
        <v>462</v>
      </c>
      <c r="B323" s="1377"/>
      <c r="C323" s="1378"/>
      <c r="D323" s="1378"/>
      <c r="E323" s="1378"/>
      <c r="F323" s="1379"/>
      <c r="G323" s="1380"/>
      <c r="H323" s="1381"/>
      <c r="I323" s="1380"/>
      <c r="J323" s="1380"/>
      <c r="K323" s="1380"/>
      <c r="L323" s="1381"/>
      <c r="M323" s="1381"/>
      <c r="N323" s="1381"/>
      <c r="O323" s="1381"/>
      <c r="P323" s="1382"/>
      <c r="Q323" s="1382"/>
      <c r="R323" s="1382"/>
      <c r="S323" s="1382"/>
      <c r="T323" s="1382"/>
      <c r="U323" s="1383"/>
      <c r="V323" s="1383"/>
      <c r="W323" s="1383"/>
      <c r="X323" s="4279"/>
      <c r="Y323" s="4279"/>
      <c r="Z323" s="1384"/>
      <c r="AA323" s="1384"/>
      <c r="AB323" s="1384"/>
      <c r="AC323" s="1384"/>
      <c r="AD323" s="1384"/>
      <c r="AE323" s="1385" t="s">
        <v>463</v>
      </c>
    </row>
    <row r="324" spans="1:33">
      <c r="A324" s="1386" t="s">
        <v>464</v>
      </c>
      <c r="B324" s="1211" t="s">
        <v>18</v>
      </c>
      <c r="C324" s="1212" t="s">
        <v>18</v>
      </c>
      <c r="D324" s="1212" t="s">
        <v>18</v>
      </c>
      <c r="E324" s="1212" t="s">
        <v>18</v>
      </c>
      <c r="F324" s="1212" t="s">
        <v>18</v>
      </c>
      <c r="G324" s="1212" t="s">
        <v>18</v>
      </c>
      <c r="H324" s="1212" t="s">
        <v>18</v>
      </c>
      <c r="I324" s="1212" t="s">
        <v>18</v>
      </c>
      <c r="J324" s="1212" t="s">
        <v>18</v>
      </c>
      <c r="K324" s="1212" t="s">
        <v>18</v>
      </c>
      <c r="L324" s="1282">
        <f>L327/$O$1</f>
        <v>99.601026744298551</v>
      </c>
      <c r="M324" s="1387" t="s">
        <v>18</v>
      </c>
      <c r="N324" s="1216">
        <f>N327/$O$1</f>
        <v>99.601026744298551</v>
      </c>
      <c r="O324" s="1216">
        <f>O327/$O$1</f>
        <v>99.601026744298551</v>
      </c>
      <c r="P324" s="1388">
        <v>99.6</v>
      </c>
      <c r="Q324" s="1388">
        <v>99.6</v>
      </c>
      <c r="R324" s="1388">
        <v>99.6</v>
      </c>
      <c r="S324" s="1388">
        <v>99.6</v>
      </c>
      <c r="T324" s="1388">
        <v>9.64</v>
      </c>
      <c r="U324" s="1388">
        <v>9.64</v>
      </c>
      <c r="V324" s="1388">
        <v>9.64</v>
      </c>
      <c r="W324" s="1389">
        <v>1.91</v>
      </c>
      <c r="X324" s="4280">
        <v>1.91</v>
      </c>
      <c r="Y324" s="4280"/>
      <c r="Z324" s="1390">
        <v>1.91</v>
      </c>
      <c r="AA324" s="1390">
        <v>1.91</v>
      </c>
      <c r="AB324" s="1391">
        <v>3.63</v>
      </c>
      <c r="AC324" s="1391">
        <v>13.45</v>
      </c>
      <c r="AD324" s="1390">
        <v>13.45</v>
      </c>
      <c r="AE324" s="1392" t="s">
        <v>465</v>
      </c>
      <c r="AG324" s="1393"/>
    </row>
    <row r="325" spans="1:33" ht="18" customHeight="1">
      <c r="A325" s="1221" t="s">
        <v>466</v>
      </c>
      <c r="B325" s="1222"/>
      <c r="C325" s="1223"/>
      <c r="D325" s="1223"/>
      <c r="E325" s="1223"/>
      <c r="F325" s="1223"/>
      <c r="G325" s="1223"/>
      <c r="H325" s="1223"/>
      <c r="I325" s="1223"/>
      <c r="J325" s="1223"/>
      <c r="K325" s="1223"/>
      <c r="L325" s="4281" t="s">
        <v>467</v>
      </c>
      <c r="M325" s="4281" t="s">
        <v>468</v>
      </c>
      <c r="N325" s="909"/>
      <c r="O325" s="909"/>
      <c r="P325" s="1394"/>
      <c r="Q325" s="1394"/>
      <c r="R325" s="1394"/>
      <c r="S325" s="1395">
        <v>9.64</v>
      </c>
      <c r="T325" s="1394"/>
      <c r="U325" s="1394"/>
      <c r="V325" s="1394"/>
      <c r="W325" s="1396"/>
      <c r="X325" s="4270"/>
      <c r="Y325" s="4270"/>
      <c r="Z325" s="1397"/>
      <c r="AA325" s="1397"/>
      <c r="AB325" s="1397"/>
      <c r="AC325" s="1397"/>
      <c r="AD325" s="1397"/>
      <c r="AE325" s="1398" t="s">
        <v>469</v>
      </c>
    </row>
    <row r="326" spans="1:33" ht="19.5" customHeight="1">
      <c r="A326" s="840"/>
      <c r="B326" s="1234"/>
      <c r="C326" s="1235"/>
      <c r="D326" s="1235"/>
      <c r="E326" s="1235"/>
      <c r="F326" s="1235"/>
      <c r="G326" s="1235"/>
      <c r="H326" s="1235"/>
      <c r="I326" s="1235"/>
      <c r="J326" s="1235"/>
      <c r="K326" s="1235"/>
      <c r="L326" s="4282"/>
      <c r="M326" s="4282"/>
      <c r="N326" s="770"/>
      <c r="O326" s="770"/>
      <c r="P326" s="1189"/>
      <c r="Q326" s="1189"/>
      <c r="R326" s="1189"/>
      <c r="S326" s="1238" t="s">
        <v>450</v>
      </c>
      <c r="T326" s="1189"/>
      <c r="U326" s="1189"/>
      <c r="V326" s="1189"/>
      <c r="W326" s="1399"/>
      <c r="X326" s="4245"/>
      <c r="Y326" s="4245"/>
      <c r="Z326" s="1400"/>
      <c r="AA326" s="1400"/>
      <c r="AB326" s="1400"/>
      <c r="AC326" s="1400"/>
      <c r="AD326" s="1400"/>
      <c r="AE326" s="775"/>
    </row>
    <row r="327" spans="1:33" s="419" customFormat="1" ht="15.6">
      <c r="A327" s="1192" t="s">
        <v>470</v>
      </c>
      <c r="B327" s="1401" t="s">
        <v>18</v>
      </c>
      <c r="C327" s="1402" t="s">
        <v>18</v>
      </c>
      <c r="D327" s="1402" t="s">
        <v>18</v>
      </c>
      <c r="E327" s="1402" t="s">
        <v>18</v>
      </c>
      <c r="F327" s="1402" t="s">
        <v>18</v>
      </c>
      <c r="G327" s="1402" t="s">
        <v>18</v>
      </c>
      <c r="H327" s="1402" t="s">
        <v>18</v>
      </c>
      <c r="I327" s="1402" t="s">
        <v>18</v>
      </c>
      <c r="J327" s="1402" t="s">
        <v>18</v>
      </c>
      <c r="K327" s="1402" t="s">
        <v>18</v>
      </c>
      <c r="L327" s="1403">
        <v>70</v>
      </c>
      <c r="M327" s="1404" t="s">
        <v>18</v>
      </c>
      <c r="N327" s="1403">
        <v>70</v>
      </c>
      <c r="O327" s="1403">
        <v>70</v>
      </c>
      <c r="P327" s="1405"/>
      <c r="Q327" s="1405"/>
      <c r="R327" s="1405"/>
      <c r="S327" s="469"/>
      <c r="T327" s="1405"/>
      <c r="U327" s="1406"/>
      <c r="V327" s="1406"/>
      <c r="W327" s="1406"/>
      <c r="X327" s="4271"/>
      <c r="Y327" s="4271"/>
      <c r="Z327" s="1407"/>
      <c r="AA327" s="1407"/>
      <c r="AB327" s="1407"/>
      <c r="AC327" s="1407"/>
      <c r="AD327" s="1407"/>
      <c r="AE327" s="781" t="s">
        <v>471</v>
      </c>
    </row>
    <row r="328" spans="1:33" s="419" customFormat="1" ht="27.6">
      <c r="A328" s="1408" t="s">
        <v>472</v>
      </c>
      <c r="B328" s="1409"/>
      <c r="C328" s="1410"/>
      <c r="D328" s="1410"/>
      <c r="E328" s="1410"/>
      <c r="F328" s="1410"/>
      <c r="G328" s="1410"/>
      <c r="H328" s="1410"/>
      <c r="I328" s="1410"/>
      <c r="J328" s="1410"/>
      <c r="K328" s="1410"/>
      <c r="L328" s="1411"/>
      <c r="M328" s="1412"/>
      <c r="N328" s="1411"/>
      <c r="O328" s="1413" t="s">
        <v>18</v>
      </c>
      <c r="P328" s="1413" t="s">
        <v>18</v>
      </c>
      <c r="Q328" s="1413" t="s">
        <v>18</v>
      </c>
      <c r="R328" s="1413" t="s">
        <v>18</v>
      </c>
      <c r="S328" s="1413" t="s">
        <v>18</v>
      </c>
      <c r="T328" s="1413" t="s">
        <v>18</v>
      </c>
      <c r="U328" s="1413" t="s">
        <v>18</v>
      </c>
      <c r="V328" s="1413" t="s">
        <v>18</v>
      </c>
      <c r="W328" s="1413" t="s">
        <v>18</v>
      </c>
      <c r="X328" s="4272" t="s">
        <v>18</v>
      </c>
      <c r="Y328" s="4273"/>
      <c r="Z328" s="1413" t="s">
        <v>18</v>
      </c>
      <c r="AA328" s="1414" t="s">
        <v>473</v>
      </c>
      <c r="AB328" s="1415">
        <v>9.64</v>
      </c>
      <c r="AC328" s="1416">
        <v>13.45</v>
      </c>
      <c r="AD328" s="1417">
        <v>13.45</v>
      </c>
      <c r="AE328" s="1418" t="s">
        <v>474</v>
      </c>
      <c r="AF328" s="1419"/>
      <c r="AG328" s="1419"/>
    </row>
    <row r="329" spans="1:33">
      <c r="A329" s="1100" t="s">
        <v>475</v>
      </c>
      <c r="B329" s="1291" t="s">
        <v>18</v>
      </c>
      <c r="C329" s="1343" t="s">
        <v>18</v>
      </c>
      <c r="D329" s="1343" t="s">
        <v>18</v>
      </c>
      <c r="E329" s="1343" t="s">
        <v>18</v>
      </c>
      <c r="F329" s="1343" t="s">
        <v>18</v>
      </c>
      <c r="G329" s="1343" t="s">
        <v>18</v>
      </c>
      <c r="H329" s="1343" t="s">
        <v>18</v>
      </c>
      <c r="I329" s="1343" t="s">
        <v>18</v>
      </c>
      <c r="J329" s="1343" t="s">
        <v>18</v>
      </c>
      <c r="K329" s="1343" t="s">
        <v>18</v>
      </c>
      <c r="L329" s="795">
        <f>L332/$O$1</f>
        <v>22.19680024587225</v>
      </c>
      <c r="M329" s="796" t="s">
        <v>18</v>
      </c>
      <c r="N329" s="1420">
        <f>N332/$O$1</f>
        <v>17.074461727594038</v>
      </c>
      <c r="O329" s="796">
        <f>O332/$O$1</f>
        <v>17.074461727594038</v>
      </c>
      <c r="P329" s="1421">
        <v>17.07</v>
      </c>
      <c r="Q329" s="1421">
        <v>17.07</v>
      </c>
      <c r="R329" s="1421">
        <v>17.07</v>
      </c>
      <c r="S329" s="1421">
        <v>17.07</v>
      </c>
      <c r="T329" s="1421">
        <v>1.65</v>
      </c>
      <c r="U329" s="1421">
        <v>1.65</v>
      </c>
      <c r="V329" s="1421">
        <v>1.65</v>
      </c>
      <c r="W329" s="1421">
        <v>1.65</v>
      </c>
      <c r="X329" s="4274">
        <v>1.65</v>
      </c>
      <c r="Y329" s="4274"/>
      <c r="Z329" s="1421">
        <v>1.65</v>
      </c>
      <c r="AA329" s="1421">
        <v>1.65</v>
      </c>
      <c r="AB329" s="1422">
        <v>3.8</v>
      </c>
      <c r="AC329" s="1422">
        <v>5.95</v>
      </c>
      <c r="AD329" s="1421">
        <v>5.95</v>
      </c>
      <c r="AE329" s="1164" t="s">
        <v>476</v>
      </c>
    </row>
    <row r="330" spans="1:33" ht="15" customHeight="1">
      <c r="A330" s="1294" t="s">
        <v>466</v>
      </c>
      <c r="B330" s="1295"/>
      <c r="C330" s="1423"/>
      <c r="D330" s="1423"/>
      <c r="E330" s="1423"/>
      <c r="F330" s="1423"/>
      <c r="G330" s="1423"/>
      <c r="H330" s="1423"/>
      <c r="I330" s="1423"/>
      <c r="J330" s="1423"/>
      <c r="K330" s="1423"/>
      <c r="L330" s="4275" t="s">
        <v>467</v>
      </c>
      <c r="M330" s="4275" t="s">
        <v>468</v>
      </c>
      <c r="N330" s="868"/>
      <c r="O330" s="868"/>
      <c r="P330" s="1424"/>
      <c r="Q330" s="1424"/>
      <c r="R330" s="1424"/>
      <c r="S330" s="1425">
        <v>1.65</v>
      </c>
      <c r="T330" s="1424"/>
      <c r="U330" s="1426"/>
      <c r="V330" s="1426"/>
      <c r="W330" s="1426"/>
      <c r="X330" s="4277"/>
      <c r="Y330" s="4277"/>
      <c r="Z330" s="1427"/>
      <c r="AA330" s="1427"/>
      <c r="AB330" s="1427"/>
      <c r="AC330" s="1427"/>
      <c r="AD330" s="1427"/>
      <c r="AE330" s="1428" t="s">
        <v>477</v>
      </c>
    </row>
    <row r="331" spans="1:33" ht="20.25" customHeight="1">
      <c r="A331" s="1110"/>
      <c r="B331" s="1301"/>
      <c r="C331" s="1429"/>
      <c r="D331" s="1429"/>
      <c r="E331" s="1429"/>
      <c r="F331" s="1429"/>
      <c r="G331" s="1429"/>
      <c r="H331" s="1429"/>
      <c r="I331" s="1429"/>
      <c r="J331" s="1429"/>
      <c r="K331" s="1429"/>
      <c r="L331" s="4276"/>
      <c r="M331" s="4276"/>
      <c r="N331" s="808"/>
      <c r="O331" s="808"/>
      <c r="P331" s="1430"/>
      <c r="Q331" s="1430"/>
      <c r="R331" s="1430"/>
      <c r="S331" s="1302" t="s">
        <v>450</v>
      </c>
      <c r="T331" s="1430"/>
      <c r="U331" s="1431"/>
      <c r="V331" s="1431"/>
      <c r="W331" s="1431"/>
      <c r="X331" s="4278"/>
      <c r="Y331" s="4278"/>
      <c r="Z331" s="1432"/>
      <c r="AA331" s="1432"/>
      <c r="AB331" s="1432"/>
      <c r="AC331" s="1432"/>
      <c r="AD331" s="1432"/>
      <c r="AE331" s="1114"/>
    </row>
    <row r="332" spans="1:33" s="419" customFormat="1" ht="18" customHeight="1">
      <c r="A332" s="1433" t="s">
        <v>470</v>
      </c>
      <c r="B332" s="1434" t="s">
        <v>18</v>
      </c>
      <c r="C332" s="1435" t="s">
        <v>18</v>
      </c>
      <c r="D332" s="1435" t="s">
        <v>18</v>
      </c>
      <c r="E332" s="1435" t="s">
        <v>18</v>
      </c>
      <c r="F332" s="1435" t="s">
        <v>18</v>
      </c>
      <c r="G332" s="1435" t="s">
        <v>18</v>
      </c>
      <c r="H332" s="1435" t="s">
        <v>18</v>
      </c>
      <c r="I332" s="1435" t="s">
        <v>18</v>
      </c>
      <c r="J332" s="1435" t="s">
        <v>18</v>
      </c>
      <c r="K332" s="1435" t="s">
        <v>18</v>
      </c>
      <c r="L332" s="1436">
        <v>15.6</v>
      </c>
      <c r="M332" s="1437" t="s">
        <v>18</v>
      </c>
      <c r="N332" s="1438">
        <v>12</v>
      </c>
      <c r="O332" s="1437">
        <v>12</v>
      </c>
      <c r="P332" s="1439"/>
      <c r="Q332" s="1439"/>
      <c r="R332" s="1439"/>
      <c r="S332" s="1440"/>
      <c r="T332" s="1439"/>
      <c r="U332" s="1441"/>
      <c r="V332" s="1441"/>
      <c r="W332" s="1442"/>
      <c r="X332" s="4265"/>
      <c r="Y332" s="4266"/>
      <c r="Z332" s="1443"/>
      <c r="AA332" s="1444"/>
      <c r="AB332" s="1444"/>
      <c r="AC332" s="1444"/>
      <c r="AD332" s="1444"/>
      <c r="AE332" s="1445" t="s">
        <v>478</v>
      </c>
    </row>
    <row r="333" spans="1:33" s="419" customFormat="1" ht="42" customHeight="1">
      <c r="A333" s="1446" t="s">
        <v>479</v>
      </c>
      <c r="B333" s="1125"/>
      <c r="C333" s="1447"/>
      <c r="D333" s="1447"/>
      <c r="E333" s="1447"/>
      <c r="F333" s="1447"/>
      <c r="G333" s="1447"/>
      <c r="H333" s="1447"/>
      <c r="I333" s="1447"/>
      <c r="J333" s="1447"/>
      <c r="K333" s="1447"/>
      <c r="L333" s="1448"/>
      <c r="M333" s="1314"/>
      <c r="N333" s="1449"/>
      <c r="O333" s="1314"/>
      <c r="P333" s="992"/>
      <c r="Q333" s="992"/>
      <c r="R333" s="992"/>
      <c r="S333" s="1450"/>
      <c r="T333" s="992"/>
      <c r="U333" s="993"/>
      <c r="V333" s="993"/>
      <c r="W333" s="993"/>
      <c r="X333" s="4260"/>
      <c r="Y333" s="4260"/>
      <c r="Z333" s="991"/>
      <c r="AA333" s="991"/>
      <c r="AB333" s="1451">
        <v>2.08</v>
      </c>
      <c r="AC333" s="1451">
        <v>2.5099999999999998</v>
      </c>
      <c r="AD333" s="1451">
        <v>2.94</v>
      </c>
      <c r="AE333" s="1452" t="s">
        <v>480</v>
      </c>
    </row>
    <row r="334" spans="1:33" ht="15" customHeight="1">
      <c r="A334" s="4267" t="s">
        <v>481</v>
      </c>
      <c r="B334" s="1222" t="s">
        <v>18</v>
      </c>
      <c r="C334" s="1223" t="s">
        <v>18</v>
      </c>
      <c r="D334" s="1223" t="s">
        <v>18</v>
      </c>
      <c r="E334" s="1223" t="s">
        <v>18</v>
      </c>
      <c r="F334" s="1223" t="s">
        <v>18</v>
      </c>
      <c r="G334" s="1223" t="s">
        <v>18</v>
      </c>
      <c r="H334" s="1223" t="s">
        <v>18</v>
      </c>
      <c r="I334" s="1223" t="s">
        <v>18</v>
      </c>
      <c r="J334" s="1223" t="s">
        <v>18</v>
      </c>
      <c r="K334" s="1223" t="s">
        <v>18</v>
      </c>
      <c r="L334" s="1453" t="s">
        <v>18</v>
      </c>
      <c r="M334" s="1453" t="s">
        <v>18</v>
      </c>
      <c r="N334" s="1453" t="s">
        <v>18</v>
      </c>
      <c r="O334" s="1453" t="s">
        <v>18</v>
      </c>
      <c r="P334" s="908">
        <v>5.65</v>
      </c>
      <c r="Q334" s="909">
        <v>5.65</v>
      </c>
      <c r="R334" s="909">
        <v>5.65</v>
      </c>
      <c r="S334" s="909">
        <v>5.65</v>
      </c>
      <c r="T334" s="909">
        <v>0.55000000000000004</v>
      </c>
      <c r="U334" s="909">
        <v>0.55000000000000004</v>
      </c>
      <c r="V334" s="909">
        <v>0.55000000000000004</v>
      </c>
      <c r="W334" s="909">
        <v>0.55000000000000004</v>
      </c>
      <c r="X334" s="4268">
        <v>0.55000000000000004</v>
      </c>
      <c r="Y334" s="4268"/>
      <c r="Z334" s="909">
        <v>0.55000000000000004</v>
      </c>
      <c r="AA334" s="909">
        <v>0.55000000000000004</v>
      </c>
      <c r="AB334" s="908">
        <v>2.57</v>
      </c>
      <c r="AC334" s="908">
        <v>4.5999999999999996</v>
      </c>
      <c r="AD334" s="909">
        <v>4.5999999999999996</v>
      </c>
      <c r="AE334" s="4269" t="s">
        <v>482</v>
      </c>
    </row>
    <row r="335" spans="1:33" ht="14.25" customHeight="1">
      <c r="A335" s="4267"/>
      <c r="B335" s="1222"/>
      <c r="C335" s="1454"/>
      <c r="D335" s="1454"/>
      <c r="E335" s="1454"/>
      <c r="F335" s="1455"/>
      <c r="G335" s="1456"/>
      <c r="H335" s="1453"/>
      <c r="I335" s="1456"/>
      <c r="J335" s="1456"/>
      <c r="K335" s="1456"/>
      <c r="L335" s="1453"/>
      <c r="M335" s="1453"/>
      <c r="N335" s="1453"/>
      <c r="O335" s="1453"/>
      <c r="P335" s="909"/>
      <c r="Q335" s="909"/>
      <c r="R335" s="909"/>
      <c r="S335" s="908">
        <v>0.55000000000000004</v>
      </c>
      <c r="T335" s="909"/>
      <c r="U335" s="1396"/>
      <c r="V335" s="1396"/>
      <c r="W335" s="1396"/>
      <c r="X335" s="4270"/>
      <c r="Y335" s="4270"/>
      <c r="Z335" s="1397"/>
      <c r="AA335" s="1397"/>
      <c r="AB335" s="1397"/>
      <c r="AC335" s="1397"/>
      <c r="AD335" s="1397"/>
      <c r="AE335" s="4269"/>
    </row>
    <row r="336" spans="1:33" ht="18" customHeight="1">
      <c r="A336" s="1457" t="s">
        <v>466</v>
      </c>
      <c r="B336" s="1357"/>
      <c r="C336" s="1458"/>
      <c r="D336" s="1458"/>
      <c r="E336" s="1458"/>
      <c r="F336" s="1459"/>
      <c r="G336" s="1460"/>
      <c r="H336" s="1461"/>
      <c r="I336" s="1460"/>
      <c r="J336" s="1460"/>
      <c r="K336" s="1460"/>
      <c r="L336" s="1461"/>
      <c r="M336" s="1461"/>
      <c r="N336" s="1461"/>
      <c r="O336" s="1461"/>
      <c r="P336" s="1462"/>
      <c r="Q336" s="1462"/>
      <c r="R336" s="1462"/>
      <c r="S336" s="1463" t="s">
        <v>450</v>
      </c>
      <c r="T336" s="1462"/>
      <c r="U336" s="1464"/>
      <c r="V336" s="1464"/>
      <c r="W336" s="1464"/>
      <c r="X336" s="4261"/>
      <c r="Y336" s="4261"/>
      <c r="Z336" s="1465"/>
      <c r="AA336" s="1465"/>
      <c r="AB336" s="1465"/>
      <c r="AC336" s="1465"/>
      <c r="AD336" s="1465"/>
      <c r="AE336" s="1466" t="s">
        <v>469</v>
      </c>
    </row>
    <row r="337" spans="1:31" ht="29.25" customHeight="1">
      <c r="A337" s="1165" t="s">
        <v>483</v>
      </c>
      <c r="B337" s="1295"/>
      <c r="C337" s="1467"/>
      <c r="D337" s="1467"/>
      <c r="E337" s="1467"/>
      <c r="F337" s="1468"/>
      <c r="G337" s="1469"/>
      <c r="H337" s="1470"/>
      <c r="I337" s="1469"/>
      <c r="J337" s="1469"/>
      <c r="K337" s="1469"/>
      <c r="L337" s="1470" t="s">
        <v>18</v>
      </c>
      <c r="M337" s="1470" t="s">
        <v>18</v>
      </c>
      <c r="N337" s="1420">
        <v>17.07</v>
      </c>
      <c r="O337" s="1470" t="s">
        <v>18</v>
      </c>
      <c r="P337" s="1470" t="s">
        <v>18</v>
      </c>
      <c r="Q337" s="1470" t="s">
        <v>18</v>
      </c>
      <c r="R337" s="1470" t="s">
        <v>18</v>
      </c>
      <c r="S337" s="1470" t="s">
        <v>18</v>
      </c>
      <c r="T337" s="1470" t="s">
        <v>18</v>
      </c>
      <c r="U337" s="1470" t="s">
        <v>18</v>
      </c>
      <c r="V337" s="868">
        <v>0.55000000000000004</v>
      </c>
      <c r="W337" s="868">
        <v>0.55000000000000004</v>
      </c>
      <c r="X337" s="4262">
        <v>0.55000000000000004</v>
      </c>
      <c r="Y337" s="4262"/>
      <c r="Z337" s="868">
        <v>0.55000000000000004</v>
      </c>
      <c r="AA337" s="868">
        <v>0.55000000000000004</v>
      </c>
      <c r="AB337" s="867">
        <v>0.85</v>
      </c>
      <c r="AC337" s="867">
        <v>1.1599999999999999</v>
      </c>
      <c r="AD337" s="867">
        <v>1.47</v>
      </c>
      <c r="AE337" s="1471" t="s">
        <v>484</v>
      </c>
    </row>
    <row r="338" spans="1:31" ht="15" customHeight="1">
      <c r="A338" s="1472" t="s">
        <v>466</v>
      </c>
      <c r="B338" s="1473"/>
      <c r="C338" s="1474"/>
      <c r="D338" s="1474"/>
      <c r="E338" s="1474"/>
      <c r="F338" s="1475"/>
      <c r="G338" s="1476"/>
      <c r="H338" s="1477"/>
      <c r="I338" s="1476"/>
      <c r="J338" s="1476"/>
      <c r="K338" s="1476"/>
      <c r="L338" s="1477"/>
      <c r="M338" s="1477"/>
      <c r="N338" s="1477"/>
      <c r="O338" s="1477"/>
      <c r="P338" s="1478"/>
      <c r="Q338" s="1478"/>
      <c r="R338" s="1478"/>
      <c r="S338" s="1479"/>
      <c r="T338" s="1478"/>
      <c r="U338" s="1480"/>
      <c r="V338" s="1481" t="s">
        <v>203</v>
      </c>
      <c r="W338" s="1480"/>
      <c r="X338" s="4250"/>
      <c r="Y338" s="4250"/>
      <c r="Z338" s="1482"/>
      <c r="AA338" s="1482"/>
      <c r="AB338" s="1482"/>
      <c r="AC338" s="1482"/>
      <c r="AD338" s="1482"/>
      <c r="AE338" s="1483" t="s">
        <v>469</v>
      </c>
    </row>
    <row r="339" spans="1:31" ht="28.5" customHeight="1">
      <c r="A339" s="1160" t="s">
        <v>485</v>
      </c>
      <c r="B339" s="1222"/>
      <c r="C339" s="1454"/>
      <c r="D339" s="1454"/>
      <c r="E339" s="1454"/>
      <c r="F339" s="1455"/>
      <c r="G339" s="1456"/>
      <c r="H339" s="1453"/>
      <c r="I339" s="1456"/>
      <c r="J339" s="1456"/>
      <c r="K339" s="1456"/>
      <c r="L339" s="163">
        <v>22.2</v>
      </c>
      <c r="M339" s="1484">
        <v>17.07</v>
      </c>
      <c r="N339" s="1484">
        <v>17.07</v>
      </c>
      <c r="O339" s="1453" t="s">
        <v>18</v>
      </c>
      <c r="P339" s="1453" t="s">
        <v>18</v>
      </c>
      <c r="Q339" s="1453" t="s">
        <v>18</v>
      </c>
      <c r="R339" s="1453" t="s">
        <v>18</v>
      </c>
      <c r="S339" s="1453" t="s">
        <v>18</v>
      </c>
      <c r="T339" s="1453" t="s">
        <v>18</v>
      </c>
      <c r="U339" s="1453" t="s">
        <v>18</v>
      </c>
      <c r="V339" s="909">
        <v>0.55000000000000004</v>
      </c>
      <c r="W339" s="909">
        <v>0.55000000000000004</v>
      </c>
      <c r="X339" s="4263">
        <v>0.55000000000000004</v>
      </c>
      <c r="Y339" s="4263"/>
      <c r="Z339" s="909">
        <v>0.55000000000000004</v>
      </c>
      <c r="AA339" s="909">
        <v>0.55000000000000004</v>
      </c>
      <c r="AB339" s="908">
        <v>0.85</v>
      </c>
      <c r="AC339" s="908">
        <v>1.1599999999999999</v>
      </c>
      <c r="AD339" s="908">
        <v>1.47</v>
      </c>
      <c r="AE339" s="1061" t="s">
        <v>486</v>
      </c>
    </row>
    <row r="340" spans="1:31" ht="15" customHeight="1">
      <c r="A340" s="1457" t="s">
        <v>466</v>
      </c>
      <c r="B340" s="1485"/>
      <c r="C340" s="1486"/>
      <c r="D340" s="1486"/>
      <c r="E340" s="1486"/>
      <c r="F340" s="1487"/>
      <c r="G340" s="1488"/>
      <c r="H340" s="1489"/>
      <c r="I340" s="1488"/>
      <c r="J340" s="1488"/>
      <c r="K340" s="1488"/>
      <c r="L340" s="1489"/>
      <c r="M340" s="1489"/>
      <c r="N340" s="1489"/>
      <c r="O340" s="1489"/>
      <c r="P340" s="1490"/>
      <c r="Q340" s="1490"/>
      <c r="R340" s="1490"/>
      <c r="S340" s="1491"/>
      <c r="T340" s="1490"/>
      <c r="U340" s="1492"/>
      <c r="V340" s="1493" t="s">
        <v>203</v>
      </c>
      <c r="W340" s="1494"/>
      <c r="X340" s="4264"/>
      <c r="Y340" s="4264"/>
      <c r="Z340" s="1495"/>
      <c r="AA340" s="1495"/>
      <c r="AB340" s="1495"/>
      <c r="AC340" s="1495"/>
      <c r="AD340" s="1495"/>
      <c r="AE340" s="1231" t="s">
        <v>487</v>
      </c>
    </row>
    <row r="341" spans="1:31" ht="15" customHeight="1">
      <c r="A341" s="1165" t="s">
        <v>488</v>
      </c>
      <c r="B341" s="1295"/>
      <c r="C341" s="1467"/>
      <c r="D341" s="1467"/>
      <c r="E341" s="1467"/>
      <c r="F341" s="1468"/>
      <c r="G341" s="1469"/>
      <c r="H341" s="1470"/>
      <c r="I341" s="1469"/>
      <c r="J341" s="1469"/>
      <c r="K341" s="1469"/>
      <c r="L341" s="1470" t="s">
        <v>18</v>
      </c>
      <c r="M341" s="1470" t="s">
        <v>18</v>
      </c>
      <c r="N341" s="1420">
        <v>17.07</v>
      </c>
      <c r="O341" s="1470" t="s">
        <v>18</v>
      </c>
      <c r="P341" s="1470" t="s">
        <v>18</v>
      </c>
      <c r="Q341" s="1470" t="s">
        <v>18</v>
      </c>
      <c r="R341" s="1470" t="s">
        <v>18</v>
      </c>
      <c r="S341" s="1470" t="s">
        <v>18</v>
      </c>
      <c r="T341" s="1470" t="s">
        <v>18</v>
      </c>
      <c r="U341" s="1470" t="s">
        <v>18</v>
      </c>
      <c r="V341" s="868">
        <v>0.55000000000000004</v>
      </c>
      <c r="W341" s="868">
        <v>0.55000000000000004</v>
      </c>
      <c r="X341" s="4262">
        <v>0.55000000000000004</v>
      </c>
      <c r="Y341" s="4262"/>
      <c r="Z341" s="796">
        <v>0.55000000000000004</v>
      </c>
      <c r="AA341" s="796">
        <v>0.55000000000000004</v>
      </c>
      <c r="AB341" s="795">
        <v>0.85</v>
      </c>
      <c r="AC341" s="795">
        <v>1.1599999999999999</v>
      </c>
      <c r="AD341" s="795">
        <v>1.47</v>
      </c>
      <c r="AE341" s="1496" t="s">
        <v>489</v>
      </c>
    </row>
    <row r="342" spans="1:31" ht="15" customHeight="1">
      <c r="A342" s="1472" t="s">
        <v>466</v>
      </c>
      <c r="B342" s="1473"/>
      <c r="C342" s="1474"/>
      <c r="D342" s="1474"/>
      <c r="E342" s="1474"/>
      <c r="F342" s="1475"/>
      <c r="G342" s="1476"/>
      <c r="H342" s="1477"/>
      <c r="I342" s="1476"/>
      <c r="J342" s="1476"/>
      <c r="K342" s="1476"/>
      <c r="L342" s="1477"/>
      <c r="M342" s="1477"/>
      <c r="N342" s="1477"/>
      <c r="O342" s="1477"/>
      <c r="P342" s="1478"/>
      <c r="Q342" s="1478"/>
      <c r="R342" s="1478"/>
      <c r="S342" s="1479"/>
      <c r="T342" s="1478"/>
      <c r="U342" s="1480"/>
      <c r="V342" s="1481" t="s">
        <v>203</v>
      </c>
      <c r="W342" s="1480"/>
      <c r="X342" s="4250"/>
      <c r="Y342" s="4250"/>
      <c r="Z342" s="1482"/>
      <c r="AA342" s="1482"/>
      <c r="AB342" s="1482"/>
      <c r="AC342" s="1482"/>
      <c r="AD342" s="1482"/>
      <c r="AE342" s="1483" t="s">
        <v>469</v>
      </c>
    </row>
    <row r="343" spans="1:31" ht="26.4">
      <c r="A343" s="1497" t="s">
        <v>490</v>
      </c>
      <c r="B343" s="1498"/>
      <c r="C343" s="1499"/>
      <c r="D343" s="1499"/>
      <c r="E343" s="1499"/>
      <c r="F343" s="1500">
        <f>F345/$O$1</f>
        <v>2.8457436212656728</v>
      </c>
      <c r="G343" s="1500">
        <f t="shared" ref="G343:O343" si="74">G345/$O$1</f>
        <v>2.8457436212656728</v>
      </c>
      <c r="H343" s="1500">
        <f t="shared" si="74"/>
        <v>2.8457436212656728</v>
      </c>
      <c r="I343" s="1500">
        <f t="shared" si="74"/>
        <v>2.8457436212656728</v>
      </c>
      <c r="J343" s="1500">
        <f t="shared" si="74"/>
        <v>2.8457436212656728</v>
      </c>
      <c r="K343" s="1501">
        <f t="shared" si="74"/>
        <v>5.6914872425313456</v>
      </c>
      <c r="L343" s="1500">
        <f t="shared" si="74"/>
        <v>5.6914872425313456</v>
      </c>
      <c r="M343" s="1501">
        <f t="shared" si="74"/>
        <v>7.3989334152907498</v>
      </c>
      <c r="N343" s="1500">
        <f t="shared" si="74"/>
        <v>7.3989334152907498</v>
      </c>
      <c r="O343" s="1500">
        <f t="shared" si="74"/>
        <v>7.3989334152907498</v>
      </c>
      <c r="P343" s="1502">
        <v>7.4</v>
      </c>
      <c r="Q343" s="1502">
        <v>7.4</v>
      </c>
      <c r="R343" s="1502">
        <v>7.4</v>
      </c>
      <c r="S343" s="1502">
        <v>7.4</v>
      </c>
      <c r="T343" s="1502">
        <v>7.4</v>
      </c>
      <c r="U343" s="1502">
        <v>7.4</v>
      </c>
      <c r="V343" s="1502">
        <v>7.4</v>
      </c>
      <c r="W343" s="1502">
        <v>7.4</v>
      </c>
      <c r="X343" s="4251">
        <v>7.4</v>
      </c>
      <c r="Y343" s="4252"/>
      <c r="Z343" s="1502">
        <v>7.4</v>
      </c>
      <c r="AA343" s="1502">
        <v>7.4</v>
      </c>
      <c r="AB343" s="1502">
        <v>7.4</v>
      </c>
      <c r="AC343" s="1502">
        <v>7.4</v>
      </c>
      <c r="AD343" s="1502">
        <v>7.4</v>
      </c>
      <c r="AE343" s="4255" t="s">
        <v>491</v>
      </c>
    </row>
    <row r="344" spans="1:31">
      <c r="A344" s="1503"/>
      <c r="B344" s="1504"/>
      <c r="C344" s="1505"/>
      <c r="D344" s="1505"/>
      <c r="E344" s="1505"/>
      <c r="F344" s="1506"/>
      <c r="G344" s="1506"/>
      <c r="H344" s="1506"/>
      <c r="I344" s="1506"/>
      <c r="J344" s="1507"/>
      <c r="K344" s="1508" t="s">
        <v>492</v>
      </c>
      <c r="L344" s="1509"/>
      <c r="M344" s="1509"/>
      <c r="N344" s="1509"/>
      <c r="O344" s="1509"/>
      <c r="P344" s="1510"/>
      <c r="Q344" s="1510"/>
      <c r="R344" s="1510"/>
      <c r="S344" s="1510"/>
      <c r="T344" s="1510"/>
      <c r="U344" s="1511"/>
      <c r="V344" s="1511"/>
      <c r="W344" s="1511"/>
      <c r="X344" s="4253"/>
      <c r="Y344" s="4254"/>
      <c r="Z344" s="1512"/>
      <c r="AA344" s="1512"/>
      <c r="AB344" s="1512"/>
      <c r="AC344" s="1512"/>
      <c r="AD344" s="1512"/>
      <c r="AE344" s="4256"/>
    </row>
    <row r="345" spans="1:31" s="419" customFormat="1" ht="13.2">
      <c r="A345" s="1513" t="s">
        <v>493</v>
      </c>
      <c r="B345" s="1514"/>
      <c r="C345" s="1515"/>
      <c r="D345" s="1515"/>
      <c r="E345" s="1515"/>
      <c r="F345" s="1516">
        <v>2</v>
      </c>
      <c r="G345" s="1516">
        <v>2</v>
      </c>
      <c r="H345" s="1516">
        <v>2</v>
      </c>
      <c r="I345" s="1516">
        <v>2</v>
      </c>
      <c r="J345" s="1516">
        <v>2</v>
      </c>
      <c r="K345" s="1517">
        <v>4</v>
      </c>
      <c r="L345" s="1518">
        <v>4</v>
      </c>
      <c r="M345" s="1519">
        <v>5.2</v>
      </c>
      <c r="N345" s="1520">
        <v>5.2</v>
      </c>
      <c r="O345" s="1520">
        <v>5.2</v>
      </c>
      <c r="P345" s="1521"/>
      <c r="Q345" s="1522"/>
      <c r="R345" s="1523"/>
      <c r="S345" s="1523"/>
      <c r="T345" s="1523"/>
      <c r="U345" s="1524"/>
      <c r="V345" s="1524"/>
      <c r="W345" s="1524"/>
      <c r="X345" s="4257"/>
      <c r="Y345" s="4257"/>
      <c r="Z345" s="1524"/>
      <c r="AA345" s="1525"/>
      <c r="AB345" s="1525"/>
      <c r="AC345" s="1525"/>
      <c r="AD345" s="1525"/>
      <c r="AE345" s="1526" t="s">
        <v>494</v>
      </c>
    </row>
    <row r="346" spans="1:31" s="419" customFormat="1" ht="39.6">
      <c r="A346" s="1527" t="s">
        <v>495</v>
      </c>
      <c r="B346" s="1528"/>
      <c r="C346" s="1529"/>
      <c r="D346" s="1529"/>
      <c r="E346" s="1529"/>
      <c r="F346" s="1530">
        <f>F347/$O$1</f>
        <v>2.8457436212656728</v>
      </c>
      <c r="G346" s="1530">
        <f t="shared" ref="G346:J346" si="75">G347/$O$1</f>
        <v>2.8457436212656728</v>
      </c>
      <c r="H346" s="1530">
        <f t="shared" si="75"/>
        <v>2.8457436212656728</v>
      </c>
      <c r="I346" s="1530">
        <f t="shared" si="75"/>
        <v>2.8457436212656728</v>
      </c>
      <c r="J346" s="1530">
        <f t="shared" si="75"/>
        <v>2.8457436212656728</v>
      </c>
      <c r="K346" s="1531" t="s">
        <v>496</v>
      </c>
      <c r="L346" s="1532">
        <f t="shared" ref="L346:O346" si="76">L347/$O$1</f>
        <v>5.6914872425313456</v>
      </c>
      <c r="M346" s="1533">
        <f t="shared" si="76"/>
        <v>7.3989334152907498</v>
      </c>
      <c r="N346" s="1532">
        <f t="shared" si="76"/>
        <v>7.3989334152907498</v>
      </c>
      <c r="O346" s="1532">
        <f t="shared" si="76"/>
        <v>7.3989334152907498</v>
      </c>
      <c r="P346" s="1532">
        <v>7.4</v>
      </c>
      <c r="Q346" s="1534">
        <v>7.4</v>
      </c>
      <c r="R346" s="1532">
        <v>7.4</v>
      </c>
      <c r="S346" s="1532">
        <v>7.4</v>
      </c>
      <c r="T346" s="1532">
        <v>7.4</v>
      </c>
      <c r="U346" s="1535">
        <v>7.4</v>
      </c>
      <c r="V346" s="1535">
        <v>7.4</v>
      </c>
      <c r="W346" s="1536">
        <v>7.4</v>
      </c>
      <c r="X346" s="4258">
        <v>14</v>
      </c>
      <c r="Y346" s="4259"/>
      <c r="Z346" s="1537">
        <v>14</v>
      </c>
      <c r="AA346" s="1538" t="s">
        <v>497</v>
      </c>
      <c r="AB346" s="1539">
        <v>21</v>
      </c>
      <c r="AC346" s="1538">
        <v>21</v>
      </c>
      <c r="AD346" s="1538">
        <v>21</v>
      </c>
      <c r="AE346" s="1540" t="s">
        <v>498</v>
      </c>
    </row>
    <row r="347" spans="1:31" s="419" customFormat="1" ht="13.2">
      <c r="A347" s="887" t="s">
        <v>493</v>
      </c>
      <c r="B347" s="1125"/>
      <c r="C347" s="824"/>
      <c r="D347" s="824"/>
      <c r="E347" s="824"/>
      <c r="F347" s="896">
        <v>2</v>
      </c>
      <c r="G347" s="896">
        <v>2</v>
      </c>
      <c r="H347" s="896">
        <v>2</v>
      </c>
      <c r="I347" s="896">
        <v>2</v>
      </c>
      <c r="J347" s="1450">
        <v>2</v>
      </c>
      <c r="K347" s="419">
        <v>4</v>
      </c>
      <c r="L347" s="827">
        <v>4</v>
      </c>
      <c r="M347" s="827">
        <v>5.2</v>
      </c>
      <c r="N347" s="827">
        <v>5.2</v>
      </c>
      <c r="O347" s="827">
        <v>5.2</v>
      </c>
      <c r="P347" s="992"/>
      <c r="Q347" s="992"/>
      <c r="R347" s="992"/>
      <c r="S347" s="992"/>
      <c r="T347" s="992"/>
      <c r="U347" s="993"/>
      <c r="V347" s="993"/>
      <c r="W347" s="993"/>
      <c r="X347" s="4260"/>
      <c r="Y347" s="4260"/>
      <c r="Z347" s="991"/>
      <c r="AA347" s="991"/>
      <c r="AB347" s="991"/>
      <c r="AC347" s="991"/>
      <c r="AD347" s="991"/>
      <c r="AE347" s="828" t="s">
        <v>494</v>
      </c>
    </row>
    <row r="348" spans="1:31">
      <c r="A348" s="1541" t="s">
        <v>499</v>
      </c>
      <c r="B348" s="1316"/>
      <c r="C348" s="1542"/>
      <c r="D348" s="1542"/>
      <c r="E348" s="1542"/>
      <c r="F348" s="1543">
        <f>F350/$O$1</f>
        <v>71.14359053164182</v>
      </c>
      <c r="G348" s="1543">
        <f t="shared" ref="G348:O348" si="77">G350/$O$1</f>
        <v>71.14359053164182</v>
      </c>
      <c r="H348" s="1543">
        <f t="shared" si="77"/>
        <v>71.14359053164182</v>
      </c>
      <c r="I348" s="1543">
        <f t="shared" si="77"/>
        <v>71.14359053164182</v>
      </c>
      <c r="J348" s="1543">
        <f t="shared" si="77"/>
        <v>71.14359053164182</v>
      </c>
      <c r="K348" s="1544">
        <f t="shared" si="77"/>
        <v>142.28718106328364</v>
      </c>
      <c r="L348" s="1543">
        <f t="shared" si="77"/>
        <v>142.28718106328364</v>
      </c>
      <c r="M348" s="1543">
        <f t="shared" si="77"/>
        <v>142.28718106328364</v>
      </c>
      <c r="N348" s="1543">
        <f t="shared" si="77"/>
        <v>142.28718106328364</v>
      </c>
      <c r="O348" s="1543">
        <f t="shared" si="77"/>
        <v>142.28718106328364</v>
      </c>
      <c r="P348" s="1545">
        <v>142.29</v>
      </c>
      <c r="Q348" s="1546">
        <v>142.29</v>
      </c>
      <c r="R348" s="1394">
        <v>142.29</v>
      </c>
      <c r="S348" s="1394">
        <v>142.29</v>
      </c>
      <c r="T348" s="1394">
        <v>142.29</v>
      </c>
      <c r="U348" s="1394">
        <v>142.29</v>
      </c>
      <c r="V348" s="1394">
        <v>142.29</v>
      </c>
      <c r="W348" s="1394">
        <v>142.29</v>
      </c>
      <c r="X348" s="4244">
        <v>142.29</v>
      </c>
      <c r="Y348" s="4244"/>
      <c r="Z348" s="1546">
        <v>142.29</v>
      </c>
      <c r="AA348" s="1394">
        <v>142.29</v>
      </c>
      <c r="AB348" s="1394">
        <v>142.29</v>
      </c>
      <c r="AC348" s="1394">
        <v>142.29</v>
      </c>
      <c r="AD348" s="1394">
        <v>142.29</v>
      </c>
      <c r="AE348" s="1547" t="s">
        <v>500</v>
      </c>
    </row>
    <row r="349" spans="1:31">
      <c r="A349" s="1233"/>
      <c r="B349" s="1234"/>
      <c r="C349" s="1548"/>
      <c r="D349" s="1548"/>
      <c r="E349" s="1548"/>
      <c r="F349" s="1549"/>
      <c r="G349" s="1549"/>
      <c r="H349" s="1549"/>
      <c r="I349" s="1549"/>
      <c r="J349" s="742"/>
      <c r="K349" s="1238" t="s">
        <v>492</v>
      </c>
      <c r="L349" s="1550"/>
      <c r="M349" s="1550"/>
      <c r="N349" s="1550"/>
      <c r="O349" s="1550"/>
      <c r="P349" s="1551"/>
      <c r="Q349" s="1551"/>
      <c r="R349" s="1551"/>
      <c r="S349" s="1551"/>
      <c r="T349" s="1551"/>
      <c r="U349" s="1399"/>
      <c r="V349" s="1399"/>
      <c r="W349" s="1399"/>
      <c r="X349" s="4245"/>
      <c r="Y349" s="4245"/>
      <c r="Z349" s="1400"/>
      <c r="AA349" s="1400"/>
      <c r="AB349" s="1400"/>
      <c r="AC349" s="1400"/>
      <c r="AD349" s="1400"/>
      <c r="AE349" s="1552"/>
    </row>
    <row r="350" spans="1:31" s="419" customFormat="1" ht="13.2">
      <c r="A350" s="231" t="s">
        <v>501</v>
      </c>
      <c r="B350" s="231"/>
      <c r="C350" s="1553"/>
      <c r="D350" s="1553"/>
      <c r="E350" s="1553"/>
      <c r="F350" s="1554">
        <v>50</v>
      </c>
      <c r="G350" s="1554">
        <v>50</v>
      </c>
      <c r="H350" s="1554">
        <v>50</v>
      </c>
      <c r="I350" s="1554">
        <v>50</v>
      </c>
      <c r="J350" s="1554">
        <v>50</v>
      </c>
      <c r="K350" s="1555">
        <v>100</v>
      </c>
      <c r="L350" s="1554">
        <v>100</v>
      </c>
      <c r="M350" s="1554">
        <v>100</v>
      </c>
      <c r="N350" s="1554">
        <v>100</v>
      </c>
      <c r="O350" s="1554">
        <v>100</v>
      </c>
      <c r="P350" s="1553"/>
      <c r="Q350" s="1553"/>
      <c r="R350" s="1553"/>
      <c r="S350" s="1553"/>
      <c r="T350" s="1553"/>
      <c r="U350" s="1553"/>
      <c r="V350" s="1553"/>
      <c r="W350" s="1553"/>
      <c r="X350" s="4246"/>
      <c r="Y350" s="4246"/>
      <c r="Z350" s="1554"/>
      <c r="AA350" s="1554"/>
      <c r="AB350" s="1554"/>
      <c r="AC350" s="1554"/>
      <c r="AD350" s="1554"/>
      <c r="AE350" s="1556" t="s">
        <v>502</v>
      </c>
    </row>
    <row r="351" spans="1:31">
      <c r="A351" s="1557"/>
      <c r="B351" s="1557"/>
      <c r="C351" s="35"/>
      <c r="D351" s="35"/>
      <c r="E351" s="35"/>
      <c r="F351" s="35"/>
      <c r="G351" s="35"/>
      <c r="H351" s="35"/>
      <c r="I351" s="35"/>
      <c r="J351" s="35"/>
      <c r="K351" s="1226" t="s">
        <v>492</v>
      </c>
      <c r="L351" s="35"/>
      <c r="M351" s="35"/>
      <c r="N351" s="35"/>
      <c r="O351" s="35"/>
      <c r="P351" s="35"/>
      <c r="Q351" s="35"/>
      <c r="R351" s="35"/>
      <c r="S351" s="35"/>
      <c r="T351" s="35"/>
      <c r="U351" s="35"/>
      <c r="V351" s="35"/>
      <c r="W351" s="35"/>
      <c r="X351" s="4247"/>
      <c r="Y351" s="4247"/>
      <c r="Z351" s="37"/>
      <c r="AA351" s="37"/>
      <c r="AB351" s="37"/>
      <c r="AC351" s="37"/>
      <c r="AD351" s="37"/>
      <c r="AE351" s="35"/>
    </row>
    <row r="352" spans="1:31" s="4" customFormat="1" ht="21" customHeight="1">
      <c r="A352" s="1558" t="s">
        <v>503</v>
      </c>
      <c r="B352" s="1559" t="s">
        <v>18</v>
      </c>
      <c r="C352" s="1560" t="s">
        <v>18</v>
      </c>
      <c r="D352" s="1560" t="s">
        <v>18</v>
      </c>
      <c r="E352" s="1560" t="s">
        <v>18</v>
      </c>
      <c r="F352" s="1561" t="s">
        <v>18</v>
      </c>
      <c r="G352" s="1561" t="s">
        <v>18</v>
      </c>
      <c r="H352" s="1561" t="s">
        <v>18</v>
      </c>
      <c r="I352" s="1561">
        <f>0.35/O1</f>
        <v>0.49800513372149274</v>
      </c>
      <c r="J352" s="1561">
        <f>0.45/O1</f>
        <v>0.64029231478477644</v>
      </c>
      <c r="K352" s="1562">
        <f>0.55/O1</f>
        <v>0.78257949584806019</v>
      </c>
      <c r="L352" s="1561">
        <f>0.71/O1</f>
        <v>1.0102389855493139</v>
      </c>
      <c r="M352" s="1562">
        <f>0.71/O1</f>
        <v>1.0102389855493139</v>
      </c>
      <c r="N352" s="1561">
        <f>0.71/O1</f>
        <v>1.0102389855493139</v>
      </c>
      <c r="O352" s="1561">
        <f t="shared" ref="O352:W352" si="78">N352</f>
        <v>1.0102389855493139</v>
      </c>
      <c r="P352" s="1563">
        <f t="shared" si="78"/>
        <v>1.0102389855493139</v>
      </c>
      <c r="Q352" s="1563">
        <f t="shared" si="78"/>
        <v>1.0102389855493139</v>
      </c>
      <c r="R352" s="1563">
        <f t="shared" si="78"/>
        <v>1.0102389855493139</v>
      </c>
      <c r="S352" s="1563">
        <f t="shared" si="78"/>
        <v>1.0102389855493139</v>
      </c>
      <c r="T352" s="1563">
        <f t="shared" si="78"/>
        <v>1.0102389855493139</v>
      </c>
      <c r="U352" s="1563">
        <f t="shared" si="78"/>
        <v>1.0102389855493139</v>
      </c>
      <c r="V352" s="1563">
        <f t="shared" si="78"/>
        <v>1.0102389855493139</v>
      </c>
      <c r="W352" s="1563">
        <f t="shared" si="78"/>
        <v>1.0102389855493139</v>
      </c>
      <c r="X352" s="4248">
        <v>1.01</v>
      </c>
      <c r="Y352" s="4248"/>
      <c r="Z352" s="1563">
        <v>1.01</v>
      </c>
      <c r="AA352" s="1563">
        <v>1.01</v>
      </c>
      <c r="AB352" s="1563">
        <v>1.01</v>
      </c>
      <c r="AC352" s="1563">
        <v>1.01</v>
      </c>
      <c r="AD352" s="1563">
        <v>1.01</v>
      </c>
      <c r="AE352" s="1564" t="s">
        <v>504</v>
      </c>
    </row>
    <row r="353" spans="1:31" s="4" customFormat="1" ht="15.6">
      <c r="A353" s="1565" t="s">
        <v>505</v>
      </c>
      <c r="B353" s="1566" t="s">
        <v>18</v>
      </c>
      <c r="C353" s="1566" t="s">
        <v>18</v>
      </c>
      <c r="D353" s="1566" t="s">
        <v>18</v>
      </c>
      <c r="E353" s="1566" t="s">
        <v>18</v>
      </c>
      <c r="F353" s="1566" t="s">
        <v>18</v>
      </c>
      <c r="G353" s="1566" t="s">
        <v>18</v>
      </c>
      <c r="H353" s="1566" t="s">
        <v>18</v>
      </c>
      <c r="I353" s="1566" t="s">
        <v>18</v>
      </c>
      <c r="J353" s="1566" t="s">
        <v>18</v>
      </c>
      <c r="K353" s="1566" t="s">
        <v>18</v>
      </c>
      <c r="L353" s="1566" t="s">
        <v>18</v>
      </c>
      <c r="M353" s="1566" t="s">
        <v>18</v>
      </c>
      <c r="N353" s="1566" t="s">
        <v>18</v>
      </c>
      <c r="O353" s="1566" t="s">
        <v>18</v>
      </c>
      <c r="P353" s="1566"/>
      <c r="Q353" s="1566"/>
      <c r="R353" s="1566"/>
      <c r="S353" s="1566"/>
      <c r="T353" s="1566"/>
      <c r="U353" s="1566"/>
      <c r="V353" s="1566"/>
      <c r="W353" s="1566"/>
      <c r="X353" s="4249"/>
      <c r="Y353" s="4249"/>
      <c r="Z353" s="1566"/>
      <c r="AA353" s="1566"/>
      <c r="AB353" s="1566"/>
      <c r="AC353" s="1566"/>
      <c r="AD353" s="1566"/>
      <c r="AE353" s="1567" t="s">
        <v>506</v>
      </c>
    </row>
    <row r="354" spans="1:31" s="4" customFormat="1" ht="15.6">
      <c r="A354" s="736" t="s">
        <v>507</v>
      </c>
      <c r="B354" s="4241" t="s">
        <v>18</v>
      </c>
      <c r="C354" s="4238" t="s">
        <v>18</v>
      </c>
      <c r="D354" s="4238" t="s">
        <v>18</v>
      </c>
      <c r="E354" s="4238" t="s">
        <v>18</v>
      </c>
      <c r="F354" s="4238" t="s">
        <v>18</v>
      </c>
      <c r="G354" s="4238" t="s">
        <v>18</v>
      </c>
      <c r="H354" s="4238" t="s">
        <v>18</v>
      </c>
      <c r="I354" s="4238" t="s">
        <v>18</v>
      </c>
      <c r="J354" s="4238" t="s">
        <v>18</v>
      </c>
      <c r="K354" s="4238" t="s">
        <v>18</v>
      </c>
      <c r="L354" s="4238" t="s">
        <v>18</v>
      </c>
      <c r="M354" s="4238" t="s">
        <v>18</v>
      </c>
      <c r="N354" s="4238" t="s">
        <v>18</v>
      </c>
      <c r="O354" s="4238" t="s">
        <v>18</v>
      </c>
      <c r="P354" s="1568">
        <v>0.15</v>
      </c>
      <c r="Q354" s="1568">
        <v>0.15</v>
      </c>
      <c r="R354" s="1568">
        <v>0.15</v>
      </c>
      <c r="S354" s="1568">
        <v>0.15</v>
      </c>
      <c r="T354" s="4238" t="s">
        <v>18</v>
      </c>
      <c r="U354" s="4238" t="s">
        <v>18</v>
      </c>
      <c r="V354" s="4238" t="s">
        <v>18</v>
      </c>
      <c r="W354" s="4238" t="s">
        <v>18</v>
      </c>
      <c r="X354" s="4235" t="s">
        <v>18</v>
      </c>
      <c r="Y354" s="4235"/>
      <c r="Z354" s="4235" t="s">
        <v>18</v>
      </c>
      <c r="AA354" s="4235" t="s">
        <v>18</v>
      </c>
      <c r="AB354" s="4235" t="s">
        <v>18</v>
      </c>
      <c r="AC354" s="4235" t="s">
        <v>18</v>
      </c>
      <c r="AD354" s="4235" t="s">
        <v>18</v>
      </c>
      <c r="AE354" s="742" t="s">
        <v>508</v>
      </c>
    </row>
    <row r="355" spans="1:31" s="4" customFormat="1" ht="15.6">
      <c r="A355" s="224" t="s">
        <v>509</v>
      </c>
      <c r="B355" s="4242"/>
      <c r="C355" s="4239"/>
      <c r="D355" s="4239"/>
      <c r="E355" s="4239"/>
      <c r="F355" s="4239"/>
      <c r="G355" s="4239"/>
      <c r="H355" s="4239"/>
      <c r="I355" s="4239"/>
      <c r="J355" s="4239"/>
      <c r="K355" s="4239"/>
      <c r="L355" s="4239"/>
      <c r="M355" s="4239"/>
      <c r="N355" s="4239"/>
      <c r="O355" s="4239"/>
      <c r="P355" s="1569">
        <v>0.1</v>
      </c>
      <c r="Q355" s="1569">
        <v>0.1</v>
      </c>
      <c r="R355" s="1569">
        <v>0.1</v>
      </c>
      <c r="S355" s="1569">
        <v>0.1</v>
      </c>
      <c r="T355" s="4239"/>
      <c r="U355" s="4239"/>
      <c r="V355" s="4239"/>
      <c r="W355" s="4239"/>
      <c r="X355" s="4236"/>
      <c r="Y355" s="4236"/>
      <c r="Z355" s="4236"/>
      <c r="AA355" s="4236"/>
      <c r="AB355" s="4236"/>
      <c r="AC355" s="4236"/>
      <c r="AD355" s="4236"/>
      <c r="AE355" s="318" t="s">
        <v>510</v>
      </c>
    </row>
    <row r="356" spans="1:31" s="4" customFormat="1" ht="30.75" customHeight="1">
      <c r="A356" s="1570" t="s">
        <v>511</v>
      </c>
      <c r="B356" s="4243"/>
      <c r="C356" s="4240"/>
      <c r="D356" s="4240"/>
      <c r="E356" s="4240"/>
      <c r="F356" s="4240"/>
      <c r="G356" s="4240"/>
      <c r="H356" s="4240"/>
      <c r="I356" s="4240"/>
      <c r="J356" s="4240"/>
      <c r="K356" s="4240"/>
      <c r="L356" s="4240"/>
      <c r="M356" s="4240"/>
      <c r="N356" s="4240"/>
      <c r="O356" s="4240"/>
      <c r="P356" s="1571">
        <v>0.05</v>
      </c>
      <c r="Q356" s="1571">
        <v>0.05</v>
      </c>
      <c r="R356" s="1571">
        <v>0.05</v>
      </c>
      <c r="S356" s="1571">
        <v>0.05</v>
      </c>
      <c r="T356" s="4240"/>
      <c r="U356" s="4240"/>
      <c r="V356" s="4240"/>
      <c r="W356" s="4240"/>
      <c r="X356" s="4237"/>
      <c r="Y356" s="4237"/>
      <c r="Z356" s="4237"/>
      <c r="AA356" s="4237"/>
      <c r="AB356" s="4237"/>
      <c r="AC356" s="4237"/>
      <c r="AD356" s="4237"/>
      <c r="AE356" s="1572" t="s">
        <v>512</v>
      </c>
    </row>
    <row r="357" spans="1:31" s="1575" customFormat="1" ht="16.5" customHeight="1">
      <c r="A357" s="1573" t="s">
        <v>513</v>
      </c>
      <c r="B357" s="1566"/>
      <c r="C357" s="1566"/>
      <c r="D357" s="1566"/>
      <c r="E357" s="1566"/>
      <c r="F357" s="1566"/>
      <c r="G357" s="1566"/>
      <c r="H357" s="1566"/>
      <c r="I357" s="1566"/>
      <c r="J357" s="1566"/>
      <c r="K357" s="1566"/>
      <c r="L357" s="1566"/>
      <c r="M357" s="1574"/>
      <c r="N357" s="1574"/>
      <c r="O357" s="1574"/>
      <c r="P357" s="1574"/>
      <c r="Q357" s="1574"/>
      <c r="R357" s="1574"/>
      <c r="S357" s="1574"/>
      <c r="T357" s="1574"/>
      <c r="U357" s="1574"/>
      <c r="V357" s="1574"/>
      <c r="W357" s="1574"/>
      <c r="X357" s="4232"/>
      <c r="Y357" s="4232"/>
      <c r="Z357" s="1574"/>
      <c r="AA357" s="1574"/>
      <c r="AB357" s="1574"/>
      <c r="AC357" s="1574"/>
      <c r="AD357" s="1574"/>
      <c r="AE357" s="1573" t="s">
        <v>514</v>
      </c>
    </row>
    <row r="358" spans="1:31" s="4" customFormat="1" ht="36" customHeight="1">
      <c r="A358" s="1576" t="s">
        <v>515</v>
      </c>
      <c r="B358" s="4233"/>
      <c r="C358" s="4226"/>
      <c r="D358" s="4226"/>
      <c r="E358" s="4226"/>
      <c r="F358" s="4226"/>
      <c r="G358" s="4226"/>
      <c r="H358" s="4226"/>
      <c r="I358" s="4226"/>
      <c r="J358" s="4226"/>
      <c r="K358" s="4226"/>
      <c r="L358" s="4226"/>
      <c r="M358" s="1577" t="s">
        <v>516</v>
      </c>
      <c r="N358" s="1577" t="s">
        <v>516</v>
      </c>
      <c r="O358" s="1577" t="s">
        <v>516</v>
      </c>
      <c r="P358" s="1577" t="s">
        <v>516</v>
      </c>
      <c r="Q358" s="1577" t="s">
        <v>516</v>
      </c>
      <c r="R358" s="1577" t="s">
        <v>516</v>
      </c>
      <c r="S358" s="1577" t="s">
        <v>517</v>
      </c>
      <c r="T358" s="1577" t="s">
        <v>518</v>
      </c>
      <c r="U358" s="1577" t="s">
        <v>519</v>
      </c>
      <c r="V358" s="1578">
        <v>0.76</v>
      </c>
      <c r="W358" s="1578">
        <v>0.76</v>
      </c>
      <c r="X358" s="4228">
        <v>0.76</v>
      </c>
      <c r="Y358" s="4228"/>
      <c r="Z358" s="1578">
        <v>0.76</v>
      </c>
      <c r="AA358" s="1578">
        <v>0.76</v>
      </c>
      <c r="AB358" s="1579">
        <v>0.9</v>
      </c>
      <c r="AC358" s="1578">
        <v>0.9</v>
      </c>
      <c r="AD358" s="1579">
        <v>1</v>
      </c>
      <c r="AE358" s="1114" t="s">
        <v>520</v>
      </c>
    </row>
    <row r="359" spans="1:31" s="4" customFormat="1" ht="35.25" customHeight="1">
      <c r="A359" s="1580" t="s">
        <v>521</v>
      </c>
      <c r="B359" s="4234"/>
      <c r="C359" s="4227"/>
      <c r="D359" s="4227"/>
      <c r="E359" s="4227"/>
      <c r="F359" s="4227"/>
      <c r="G359" s="4227"/>
      <c r="H359" s="4227"/>
      <c r="I359" s="4227"/>
      <c r="J359" s="4227"/>
      <c r="K359" s="4227"/>
      <c r="L359" s="4227"/>
      <c r="M359" s="1581" t="s">
        <v>522</v>
      </c>
      <c r="N359" s="1581" t="s">
        <v>522</v>
      </c>
      <c r="O359" s="1581" t="s">
        <v>522</v>
      </c>
      <c r="P359" s="1581" t="s">
        <v>522</v>
      </c>
      <c r="Q359" s="1581" t="s">
        <v>522</v>
      </c>
      <c r="R359" s="1581" t="s">
        <v>522</v>
      </c>
      <c r="S359" s="1581" t="s">
        <v>523</v>
      </c>
      <c r="T359" s="1581" t="s">
        <v>524</v>
      </c>
      <c r="U359" s="1581" t="s">
        <v>525</v>
      </c>
      <c r="V359" s="1582">
        <v>21.3</v>
      </c>
      <c r="W359" s="1582">
        <v>21.3</v>
      </c>
      <c r="X359" s="4229">
        <v>21.3</v>
      </c>
      <c r="Y359" s="4229"/>
      <c r="Z359" s="1583">
        <v>21.3</v>
      </c>
      <c r="AA359" s="1583">
        <v>21.3</v>
      </c>
      <c r="AB359" s="1584">
        <v>25.2</v>
      </c>
      <c r="AC359" s="1583">
        <v>25.2</v>
      </c>
      <c r="AD359" s="1584">
        <v>28</v>
      </c>
      <c r="AE359" s="1585" t="s">
        <v>526</v>
      </c>
    </row>
    <row r="360" spans="1:31" ht="15.6">
      <c r="A360" s="516" t="s">
        <v>527</v>
      </c>
      <c r="B360" s="732"/>
      <c r="C360" s="735"/>
      <c r="D360" s="735"/>
      <c r="E360" s="735"/>
      <c r="F360" s="735"/>
      <c r="G360" s="735"/>
      <c r="H360" s="735"/>
      <c r="I360" s="733"/>
      <c r="J360" s="734"/>
      <c r="K360" s="734"/>
      <c r="L360" s="733"/>
      <c r="M360" s="735"/>
      <c r="N360" s="735"/>
      <c r="O360" s="735"/>
      <c r="P360" s="735"/>
      <c r="Q360" s="735"/>
      <c r="R360" s="735"/>
      <c r="S360" s="735"/>
      <c r="T360" s="735"/>
      <c r="U360" s="519"/>
      <c r="V360" s="519"/>
      <c r="W360" s="519"/>
      <c r="X360" s="4230"/>
      <c r="Y360" s="4230"/>
      <c r="Z360" s="520"/>
      <c r="AA360" s="520"/>
      <c r="AB360" s="520"/>
      <c r="AC360" s="520"/>
      <c r="AD360" s="520"/>
      <c r="AE360" s="522" t="s">
        <v>528</v>
      </c>
    </row>
    <row r="361" spans="1:31" ht="21.75" customHeight="1">
      <c r="A361" s="1586" t="s">
        <v>529</v>
      </c>
      <c r="B361" s="1587"/>
      <c r="C361" s="1588"/>
      <c r="D361" s="1588"/>
      <c r="E361" s="1588"/>
      <c r="F361" s="1588"/>
      <c r="G361" s="1588"/>
      <c r="H361" s="1588"/>
      <c r="I361" s="1589"/>
      <c r="J361" s="1590"/>
      <c r="K361" s="1590"/>
      <c r="L361" s="1589"/>
      <c r="M361" s="1588"/>
      <c r="N361" s="1588"/>
      <c r="O361" s="1588"/>
      <c r="P361" s="1588"/>
      <c r="Q361" s="1588"/>
      <c r="R361" s="1588"/>
      <c r="S361" s="1588"/>
      <c r="T361" s="1588"/>
      <c r="U361" s="1591"/>
      <c r="V361" s="1591"/>
      <c r="W361" s="1591"/>
      <c r="X361" s="4231"/>
      <c r="Y361" s="4231"/>
      <c r="Z361" s="1592"/>
      <c r="AA361" s="1592"/>
      <c r="AB361" s="1592"/>
      <c r="AC361" s="1592"/>
      <c r="AD361" s="1592"/>
      <c r="AE361" s="1593" t="s">
        <v>530</v>
      </c>
    </row>
    <row r="362" spans="1:31" ht="37.5" customHeight="1">
      <c r="A362" s="1594" t="s">
        <v>531</v>
      </c>
      <c r="B362" s="1595"/>
      <c r="C362" s="1596"/>
      <c r="D362" s="1596"/>
      <c r="E362" s="1596"/>
      <c r="F362" s="1596"/>
      <c r="G362" s="1596"/>
      <c r="H362" s="1596"/>
      <c r="I362" s="1597"/>
      <c r="J362" s="1598"/>
      <c r="K362" s="1598"/>
      <c r="L362" s="1599">
        <v>13659.57</v>
      </c>
      <c r="M362" s="1600" t="s">
        <v>532</v>
      </c>
      <c r="N362" s="1601">
        <v>17279.36</v>
      </c>
      <c r="O362" s="1599">
        <v>17279.36</v>
      </c>
      <c r="P362" s="1599">
        <v>17279.36</v>
      </c>
      <c r="Q362" s="1599">
        <v>17279.36</v>
      </c>
      <c r="R362" s="1601">
        <v>18000</v>
      </c>
      <c r="S362" s="1599">
        <v>18000</v>
      </c>
      <c r="T362" s="1601">
        <v>23400</v>
      </c>
      <c r="U362" s="1599">
        <v>23400</v>
      </c>
      <c r="V362" s="1602">
        <v>28080</v>
      </c>
      <c r="W362" s="1599">
        <v>28080</v>
      </c>
      <c r="X362" s="4225">
        <v>28080</v>
      </c>
      <c r="Y362" s="4225"/>
      <c r="Z362" s="1599">
        <v>28080</v>
      </c>
      <c r="AA362" s="1603">
        <v>33696</v>
      </c>
      <c r="AB362" s="1599">
        <v>33696</v>
      </c>
      <c r="AC362" s="1599">
        <v>33696</v>
      </c>
      <c r="AD362" s="1603">
        <v>40440</v>
      </c>
      <c r="AE362" s="1604" t="s">
        <v>533</v>
      </c>
    </row>
    <row r="363" spans="1:31" ht="34.5" customHeight="1">
      <c r="A363" s="1605" t="s">
        <v>534</v>
      </c>
      <c r="B363" s="1595"/>
      <c r="C363" s="1596"/>
      <c r="D363" s="1596"/>
      <c r="E363" s="1596"/>
      <c r="F363" s="1596"/>
      <c r="G363" s="1596"/>
      <c r="H363" s="1596"/>
      <c r="I363" s="1597"/>
      <c r="J363" s="1598"/>
      <c r="K363" s="1598"/>
      <c r="L363" s="1599">
        <v>13659.57</v>
      </c>
      <c r="M363" s="1606" t="s">
        <v>535</v>
      </c>
      <c r="N363" s="1601">
        <v>17279.36</v>
      </c>
      <c r="O363" s="1599">
        <v>17279.36</v>
      </c>
      <c r="P363" s="1599">
        <v>17279.36</v>
      </c>
      <c r="Q363" s="1599">
        <v>17279.36</v>
      </c>
      <c r="R363" s="1601">
        <v>18000</v>
      </c>
      <c r="S363" s="1599">
        <v>18000</v>
      </c>
      <c r="T363" s="1601">
        <v>23400</v>
      </c>
      <c r="U363" s="1599">
        <v>23400</v>
      </c>
      <c r="V363" s="1602">
        <v>28080</v>
      </c>
      <c r="W363" s="1599">
        <v>28080</v>
      </c>
      <c r="X363" s="4225">
        <v>28080</v>
      </c>
      <c r="Y363" s="4225"/>
      <c r="Z363" s="1599">
        <v>28080</v>
      </c>
      <c r="AA363" s="1603">
        <v>33696</v>
      </c>
      <c r="AB363" s="1599">
        <v>33696</v>
      </c>
      <c r="AC363" s="1599">
        <v>33696</v>
      </c>
      <c r="AD363" s="1603">
        <v>40440</v>
      </c>
      <c r="AE363" s="1605" t="s">
        <v>536</v>
      </c>
    </row>
    <row r="364" spans="1:31" ht="27.6">
      <c r="A364" s="1607" t="s">
        <v>537</v>
      </c>
      <c r="B364" s="1595"/>
      <c r="C364" s="1596"/>
      <c r="D364" s="1596"/>
      <c r="E364" s="1596"/>
      <c r="F364" s="1596"/>
      <c r="G364" s="1596"/>
      <c r="H364" s="1596"/>
      <c r="I364" s="1597"/>
      <c r="J364" s="1598"/>
      <c r="K364" s="1598"/>
      <c r="L364" s="1599">
        <v>2390.42</v>
      </c>
      <c r="M364" s="1606" t="s">
        <v>538</v>
      </c>
      <c r="N364" s="1601">
        <v>3141.7</v>
      </c>
      <c r="O364" s="1599">
        <v>3141.7</v>
      </c>
      <c r="P364" s="1599">
        <v>3141.7</v>
      </c>
      <c r="Q364" s="1599">
        <v>3141.7</v>
      </c>
      <c r="R364" s="1601">
        <v>3204</v>
      </c>
      <c r="S364" s="1599">
        <v>3204</v>
      </c>
      <c r="T364" s="1601">
        <v>4164</v>
      </c>
      <c r="U364" s="1599">
        <v>4164</v>
      </c>
      <c r="V364" s="1602">
        <v>5172</v>
      </c>
      <c r="W364" s="1599">
        <v>5172</v>
      </c>
      <c r="X364" s="4225">
        <v>5172</v>
      </c>
      <c r="Y364" s="4225"/>
      <c r="Z364" s="1599">
        <v>5172</v>
      </c>
      <c r="AA364" s="1603">
        <v>6204</v>
      </c>
      <c r="AB364" s="1599">
        <v>6204</v>
      </c>
      <c r="AC364" s="1599">
        <v>6204</v>
      </c>
      <c r="AD364" s="1603">
        <v>7440</v>
      </c>
      <c r="AE364" s="1607" t="s">
        <v>539</v>
      </c>
    </row>
    <row r="365" spans="1:31" ht="27.6">
      <c r="A365" s="1605" t="s">
        <v>540</v>
      </c>
      <c r="B365" s="1595"/>
      <c r="C365" s="1596"/>
      <c r="D365" s="1596"/>
      <c r="E365" s="1596"/>
      <c r="F365" s="1596"/>
      <c r="G365" s="1596"/>
      <c r="H365" s="1596"/>
      <c r="I365" s="1597"/>
      <c r="J365" s="1598"/>
      <c r="K365" s="1598"/>
      <c r="L365" s="1608">
        <v>0.15</v>
      </c>
      <c r="M365" s="1608">
        <v>0.15</v>
      </c>
      <c r="N365" s="1609">
        <v>0.15</v>
      </c>
      <c r="O365" s="1609">
        <v>0.15</v>
      </c>
      <c r="P365" s="1609">
        <v>0.15</v>
      </c>
      <c r="Q365" s="1609">
        <v>0.15</v>
      </c>
      <c r="R365" s="1609">
        <v>0.15</v>
      </c>
      <c r="S365" s="1609">
        <v>0.15</v>
      </c>
      <c r="T365" s="1609">
        <v>0.15</v>
      </c>
      <c r="U365" s="1609">
        <v>0.15</v>
      </c>
      <c r="V365" s="1609">
        <v>0.15</v>
      </c>
      <c r="W365" s="1609">
        <v>0.15</v>
      </c>
      <c r="X365" s="4219">
        <v>0.15</v>
      </c>
      <c r="Y365" s="4219"/>
      <c r="Z365" s="1609">
        <v>0.15</v>
      </c>
      <c r="AA365" s="1609">
        <v>0.15</v>
      </c>
      <c r="AB365" s="1609">
        <v>0.15</v>
      </c>
      <c r="AC365" s="1609">
        <v>0.15</v>
      </c>
      <c r="AD365" s="1610">
        <v>0.18</v>
      </c>
      <c r="AE365" s="1605" t="s">
        <v>541</v>
      </c>
    </row>
    <row r="366" spans="1:31" ht="27.6">
      <c r="A366" s="1611" t="s">
        <v>542</v>
      </c>
      <c r="B366" s="1595"/>
      <c r="C366" s="1596"/>
      <c r="D366" s="1596"/>
      <c r="E366" s="1596"/>
      <c r="F366" s="1596"/>
      <c r="G366" s="1596"/>
      <c r="H366" s="1596"/>
      <c r="I366" s="1597"/>
      <c r="J366" s="1598"/>
      <c r="K366" s="1598"/>
      <c r="L366" s="1608">
        <v>0.15</v>
      </c>
      <c r="M366" s="1608">
        <v>0.15</v>
      </c>
      <c r="N366" s="1609">
        <v>0.15</v>
      </c>
      <c r="O366" s="1609">
        <v>0.15</v>
      </c>
      <c r="P366" s="1609">
        <v>0.15</v>
      </c>
      <c r="Q366" s="1609">
        <v>0.15</v>
      </c>
      <c r="R366" s="1609">
        <v>0.15</v>
      </c>
      <c r="S366" s="1609">
        <v>0.15</v>
      </c>
      <c r="T366" s="1609">
        <v>0.15</v>
      </c>
      <c r="U366" s="1609">
        <v>0.15</v>
      </c>
      <c r="V366" s="1609">
        <v>0.15</v>
      </c>
      <c r="W366" s="1609">
        <v>0.15</v>
      </c>
      <c r="X366" s="4219">
        <v>0.15</v>
      </c>
      <c r="Y366" s="4219"/>
      <c r="Z366" s="1609">
        <v>0.15</v>
      </c>
      <c r="AA366" s="1609">
        <v>0.15</v>
      </c>
      <c r="AB366" s="1609">
        <v>0.15</v>
      </c>
      <c r="AC366" s="1609">
        <v>0.15</v>
      </c>
      <c r="AD366" s="1610">
        <v>0.18</v>
      </c>
      <c r="AE366" s="1605" t="s">
        <v>543</v>
      </c>
    </row>
    <row r="367" spans="1:31" ht="15.6">
      <c r="A367" s="1611" t="s">
        <v>544</v>
      </c>
      <c r="B367" s="1595"/>
      <c r="C367" s="1596"/>
      <c r="D367" s="1596"/>
      <c r="E367" s="1596"/>
      <c r="F367" s="1596"/>
      <c r="G367" s="1596"/>
      <c r="H367" s="1596"/>
      <c r="I367" s="1597"/>
      <c r="J367" s="1598"/>
      <c r="K367" s="1598"/>
      <c r="L367" s="1608">
        <v>0.1</v>
      </c>
      <c r="M367" s="1608">
        <v>0.1</v>
      </c>
      <c r="N367" s="1609">
        <v>0.1</v>
      </c>
      <c r="O367" s="1609">
        <v>0.1</v>
      </c>
      <c r="P367" s="1609">
        <v>0.1</v>
      </c>
      <c r="Q367" s="1609">
        <v>0.1</v>
      </c>
      <c r="R367" s="1609">
        <v>0.1</v>
      </c>
      <c r="S367" s="1609">
        <v>0.1</v>
      </c>
      <c r="T367" s="1609">
        <v>0.1</v>
      </c>
      <c r="U367" s="1609">
        <v>0.1</v>
      </c>
      <c r="V367" s="1609">
        <v>0.1</v>
      </c>
      <c r="W367" s="1609">
        <v>0.1</v>
      </c>
      <c r="X367" s="4219">
        <v>0.1</v>
      </c>
      <c r="Y367" s="4219"/>
      <c r="Z367" s="1609">
        <v>0.1</v>
      </c>
      <c r="AA367" s="1609">
        <v>0.1</v>
      </c>
      <c r="AB367" s="1609">
        <v>0.1</v>
      </c>
      <c r="AC367" s="1609">
        <v>0.1</v>
      </c>
      <c r="AD367" s="1610">
        <v>0.12</v>
      </c>
      <c r="AE367" s="1605" t="s">
        <v>545</v>
      </c>
    </row>
    <row r="368" spans="1:31" ht="27.6">
      <c r="A368" s="1611" t="s">
        <v>546</v>
      </c>
      <c r="B368" s="1595"/>
      <c r="C368" s="1596"/>
      <c r="D368" s="1596"/>
      <c r="E368" s="1596"/>
      <c r="F368" s="1596"/>
      <c r="G368" s="1596"/>
      <c r="H368" s="1596"/>
      <c r="I368" s="1597"/>
      <c r="J368" s="1598"/>
      <c r="K368" s="1598"/>
      <c r="L368" s="1608">
        <v>0.1</v>
      </c>
      <c r="M368" s="1608">
        <v>0.1</v>
      </c>
      <c r="N368" s="1609">
        <v>0.1</v>
      </c>
      <c r="O368" s="1609">
        <v>0.1</v>
      </c>
      <c r="P368" s="1609">
        <v>0.1</v>
      </c>
      <c r="Q368" s="1609">
        <v>0.1</v>
      </c>
      <c r="R368" s="1609">
        <v>0.1</v>
      </c>
      <c r="S368" s="1609">
        <v>0.1</v>
      </c>
      <c r="T368" s="1609">
        <v>0.1</v>
      </c>
      <c r="U368" s="1609">
        <v>0.1</v>
      </c>
      <c r="V368" s="1609">
        <v>0.1</v>
      </c>
      <c r="W368" s="1609">
        <v>0.1</v>
      </c>
      <c r="X368" s="4219">
        <v>0.1</v>
      </c>
      <c r="Y368" s="4219"/>
      <c r="Z368" s="1609">
        <v>0.1</v>
      </c>
      <c r="AA368" s="1610">
        <v>0.12</v>
      </c>
      <c r="AB368" s="1609">
        <v>0.12</v>
      </c>
      <c r="AC368" s="1609">
        <v>0.12</v>
      </c>
      <c r="AD368" s="1610">
        <v>0.15</v>
      </c>
      <c r="AE368" s="1605" t="s">
        <v>547</v>
      </c>
    </row>
    <row r="369" spans="1:31" ht="27.6">
      <c r="A369" s="1612" t="s">
        <v>548</v>
      </c>
      <c r="B369" s="1595"/>
      <c r="C369" s="1596"/>
      <c r="D369" s="1596"/>
      <c r="E369" s="1596"/>
      <c r="F369" s="1596"/>
      <c r="G369" s="1596"/>
      <c r="H369" s="1596"/>
      <c r="I369" s="1597"/>
      <c r="J369" s="1598"/>
      <c r="K369" s="1598"/>
      <c r="L369" s="1608">
        <v>0.1</v>
      </c>
      <c r="M369" s="1608">
        <v>0.1</v>
      </c>
      <c r="N369" s="1609">
        <v>0.1</v>
      </c>
      <c r="O369" s="1609">
        <v>0.1</v>
      </c>
      <c r="P369" s="1609">
        <v>0.1</v>
      </c>
      <c r="Q369" s="1609">
        <v>0.1</v>
      </c>
      <c r="R369" s="1613">
        <v>0.1</v>
      </c>
      <c r="S369" s="1614"/>
      <c r="T369" s="1614"/>
      <c r="U369" s="1614"/>
      <c r="V369" s="1615"/>
      <c r="W369" s="1615"/>
      <c r="X369" s="4220"/>
      <c r="Y369" s="4220"/>
      <c r="Z369" s="1616"/>
      <c r="AA369" s="1616"/>
      <c r="AB369" s="1616"/>
      <c r="AC369" s="1616"/>
      <c r="AD369" s="1616"/>
      <c r="AE369" s="1617" t="s">
        <v>549</v>
      </c>
    </row>
    <row r="370" spans="1:31" ht="41.4">
      <c r="A370" s="1618" t="s">
        <v>550</v>
      </c>
      <c r="B370" s="1595"/>
      <c r="C370" s="1596"/>
      <c r="D370" s="1596"/>
      <c r="E370" s="1596"/>
      <c r="F370" s="1596"/>
      <c r="G370" s="1596"/>
      <c r="H370" s="1596"/>
      <c r="I370" s="1597"/>
      <c r="J370" s="1598"/>
      <c r="K370" s="1598"/>
      <c r="L370" s="1619"/>
      <c r="M370" s="1596"/>
      <c r="N370" s="1614"/>
      <c r="O370" s="1614"/>
      <c r="P370" s="1614"/>
      <c r="Q370" s="1614"/>
      <c r="R370" s="1614"/>
      <c r="S370" s="1620">
        <v>0.1</v>
      </c>
      <c r="T370" s="1620">
        <v>0.1</v>
      </c>
      <c r="U370" s="1620">
        <v>0.1</v>
      </c>
      <c r="V370" s="1620">
        <v>0.1</v>
      </c>
      <c r="W370" s="1620">
        <v>0.1</v>
      </c>
      <c r="X370" s="4221">
        <v>0.1</v>
      </c>
      <c r="Y370" s="4221"/>
      <c r="Z370" s="1620">
        <v>0.1</v>
      </c>
      <c r="AA370" s="1620">
        <v>0.1</v>
      </c>
      <c r="AB370" s="1610">
        <v>0.15</v>
      </c>
      <c r="AC370" s="1620">
        <v>0.15</v>
      </c>
      <c r="AD370" s="1620">
        <v>0.15</v>
      </c>
      <c r="AE370" s="1621" t="s">
        <v>551</v>
      </c>
    </row>
    <row r="371" spans="1:31" ht="57" customHeight="1">
      <c r="A371" s="1618" t="s">
        <v>552</v>
      </c>
      <c r="B371" s="1595"/>
      <c r="C371" s="1596"/>
      <c r="D371" s="1596"/>
      <c r="E371" s="1596"/>
      <c r="F371" s="1596"/>
      <c r="G371" s="1596"/>
      <c r="H371" s="1596"/>
      <c r="I371" s="1597"/>
      <c r="J371" s="1598"/>
      <c r="K371" s="1598"/>
      <c r="L371" s="1619"/>
      <c r="M371" s="1596"/>
      <c r="N371" s="1614"/>
      <c r="O371" s="1614"/>
      <c r="P371" s="1614"/>
      <c r="Q371" s="1614"/>
      <c r="R371" s="1614"/>
      <c r="S371" s="1620">
        <v>0.1</v>
      </c>
      <c r="T371" s="1620">
        <v>0.1</v>
      </c>
      <c r="U371" s="1620">
        <v>0.1</v>
      </c>
      <c r="V371" s="1620">
        <v>0.1</v>
      </c>
      <c r="W371" s="1620">
        <v>0.1</v>
      </c>
      <c r="X371" s="4221">
        <v>0.1</v>
      </c>
      <c r="Y371" s="4221"/>
      <c r="Z371" s="1620">
        <v>0.1</v>
      </c>
      <c r="AA371" s="1620">
        <v>0.1</v>
      </c>
      <c r="AB371" s="1610">
        <v>0.15</v>
      </c>
      <c r="AC371" s="1620">
        <v>0.15</v>
      </c>
      <c r="AD371" s="1620">
        <v>0.15</v>
      </c>
      <c r="AE371" s="1621" t="s">
        <v>553</v>
      </c>
    </row>
    <row r="372" spans="1:31" ht="42.6" customHeight="1">
      <c r="A372" s="1622" t="s">
        <v>554</v>
      </c>
      <c r="B372" s="1623"/>
      <c r="C372" s="1624"/>
      <c r="D372" s="1624"/>
      <c r="E372" s="1624"/>
      <c r="F372" s="1624"/>
      <c r="G372" s="1624"/>
      <c r="H372" s="1624"/>
      <c r="I372" s="1625"/>
      <c r="J372" s="1626"/>
      <c r="K372" s="1626"/>
      <c r="L372" s="1627"/>
      <c r="M372" s="1624"/>
      <c r="N372" s="1628"/>
      <c r="O372" s="1628"/>
      <c r="P372" s="1628"/>
      <c r="Q372" s="1628"/>
      <c r="R372" s="1628"/>
      <c r="S372" s="1629">
        <v>0.1</v>
      </c>
      <c r="T372" s="1629">
        <v>0.1</v>
      </c>
      <c r="U372" s="1629">
        <v>0.1</v>
      </c>
      <c r="V372" s="1629">
        <v>0.1</v>
      </c>
      <c r="W372" s="1629">
        <v>0.1</v>
      </c>
      <c r="X372" s="4222">
        <v>0.1</v>
      </c>
      <c r="Y372" s="4222"/>
      <c r="Z372" s="1629">
        <v>0.1</v>
      </c>
      <c r="AA372" s="1629">
        <v>0.1</v>
      </c>
      <c r="AB372" s="1630">
        <v>0.15</v>
      </c>
      <c r="AC372" s="1629">
        <v>0.15</v>
      </c>
      <c r="AD372" s="1629">
        <v>0.15</v>
      </c>
      <c r="AE372" s="1631" t="s">
        <v>555</v>
      </c>
    </row>
    <row r="373" spans="1:31">
      <c r="A373" s="1557"/>
      <c r="B373" s="1557"/>
      <c r="C373" s="35"/>
      <c r="D373" s="35"/>
      <c r="E373" s="35"/>
      <c r="F373" s="35"/>
      <c r="G373" s="35"/>
      <c r="H373" s="35"/>
      <c r="I373" s="35"/>
      <c r="J373" s="35"/>
      <c r="K373" s="35"/>
      <c r="L373" s="35"/>
      <c r="M373" s="35"/>
      <c r="N373" s="35"/>
      <c r="O373" s="35"/>
      <c r="P373" s="35"/>
      <c r="Q373" s="35"/>
      <c r="R373" s="35"/>
      <c r="S373" s="35"/>
      <c r="T373" s="35"/>
      <c r="U373" s="35"/>
      <c r="V373" s="35"/>
      <c r="W373" s="35"/>
      <c r="X373" s="4223"/>
      <c r="Y373" s="4224"/>
      <c r="Z373" s="35"/>
      <c r="AA373" s="35"/>
      <c r="AB373" s="35"/>
      <c r="AC373" s="35"/>
      <c r="AD373" s="35"/>
      <c r="AE373" s="35"/>
    </row>
    <row r="374" spans="1:31" ht="17.399999999999999">
      <c r="A374" s="1632" t="s">
        <v>556</v>
      </c>
      <c r="B374" s="1557"/>
      <c r="C374" s="35"/>
      <c r="D374" s="35"/>
      <c r="E374" s="35"/>
      <c r="F374" s="35"/>
      <c r="G374" s="35"/>
      <c r="H374" s="35"/>
      <c r="I374" s="35"/>
      <c r="J374" s="35"/>
      <c r="K374" s="35"/>
      <c r="L374" s="35"/>
      <c r="M374" s="35"/>
      <c r="N374" s="35"/>
      <c r="O374" s="35"/>
      <c r="P374" s="35"/>
      <c r="Q374" s="35"/>
      <c r="R374" s="35"/>
      <c r="S374" s="35"/>
      <c r="T374" s="35"/>
      <c r="U374" s="35"/>
      <c r="V374" s="35"/>
      <c r="W374" s="35"/>
      <c r="Z374" s="35"/>
      <c r="AA374" s="35"/>
      <c r="AB374" s="35"/>
      <c r="AC374" s="35"/>
      <c r="AD374" s="35"/>
      <c r="AE374" s="1633" t="s">
        <v>557</v>
      </c>
    </row>
    <row r="375" spans="1:31" ht="15.6">
      <c r="A375" s="516" t="s">
        <v>558</v>
      </c>
      <c r="B375" s="732"/>
      <c r="C375" s="735"/>
      <c r="D375" s="735"/>
      <c r="E375" s="735"/>
      <c r="F375" s="735"/>
      <c r="G375" s="735"/>
      <c r="H375" s="735"/>
      <c r="I375" s="733"/>
      <c r="J375" s="734"/>
      <c r="K375" s="1634" t="s">
        <v>25</v>
      </c>
      <c r="L375" s="733"/>
      <c r="M375" s="735"/>
      <c r="N375" s="735"/>
      <c r="O375" s="735"/>
      <c r="P375" s="735"/>
      <c r="Q375" s="735"/>
      <c r="R375" s="735"/>
      <c r="S375" s="735"/>
      <c r="T375" s="735"/>
      <c r="U375" s="519"/>
      <c r="V375" s="519"/>
      <c r="W375" s="519"/>
      <c r="X375" s="4212"/>
      <c r="Y375" s="4213"/>
      <c r="Z375" s="519"/>
      <c r="AA375" s="519"/>
      <c r="AB375" s="519"/>
      <c r="AC375" s="519"/>
      <c r="AD375" s="519"/>
      <c r="AE375" s="522" t="s">
        <v>559</v>
      </c>
    </row>
    <row r="376" spans="1:31" ht="15.6" customHeight="1">
      <c r="A376" s="840" t="s">
        <v>560</v>
      </c>
      <c r="B376" s="1635"/>
      <c r="C376" s="1004">
        <f>4.5/$O$1</f>
        <v>6.4029231478477646</v>
      </c>
      <c r="D376" s="1004">
        <f>4.5/$O$1</f>
        <v>6.4029231478477646</v>
      </c>
      <c r="E376" s="772">
        <f>6/$O$1</f>
        <v>8.5372308637970189</v>
      </c>
      <c r="F376" s="1004">
        <f>6/$O$1</f>
        <v>8.5372308637970189</v>
      </c>
      <c r="G376" s="1004">
        <f>6/$O$1</f>
        <v>8.5372308637970189</v>
      </c>
      <c r="H376" s="1004">
        <f>6/$O$1</f>
        <v>8.5372308637970189</v>
      </c>
      <c r="I376" s="772">
        <f t="shared" ref="I376:O381" si="79">8/$O$1</f>
        <v>11.382974485062691</v>
      </c>
      <c r="J376" s="770">
        <f t="shared" si="79"/>
        <v>11.382974485062691</v>
      </c>
      <c r="K376" s="1189">
        <f t="shared" si="79"/>
        <v>11.382974485062691</v>
      </c>
      <c r="L376" s="1189">
        <f t="shared" si="79"/>
        <v>11.382974485062691</v>
      </c>
      <c r="M376" s="1189">
        <f t="shared" si="79"/>
        <v>11.382974485062691</v>
      </c>
      <c r="N376" s="1189">
        <f t="shared" si="79"/>
        <v>11.382974485062691</v>
      </c>
      <c r="O376" s="1189">
        <f t="shared" si="79"/>
        <v>11.382974485062691</v>
      </c>
      <c r="P376" s="1189">
        <v>11.38</v>
      </c>
      <c r="Q376" s="1189">
        <v>11.38</v>
      </c>
      <c r="R376" s="1189">
        <v>11.38</v>
      </c>
      <c r="S376" s="1189">
        <v>11.38</v>
      </c>
      <c r="T376" s="1189">
        <v>11.38</v>
      </c>
      <c r="U376" s="1189">
        <v>11.38</v>
      </c>
      <c r="V376" s="1189">
        <v>11.38</v>
      </c>
      <c r="W376" s="1189">
        <v>11.38</v>
      </c>
      <c r="X376" s="4217">
        <v>25</v>
      </c>
      <c r="Y376" s="4218"/>
      <c r="Z376" s="1189">
        <v>25</v>
      </c>
      <c r="AA376" s="1189">
        <v>25</v>
      </c>
      <c r="AB376" s="1189">
        <v>25</v>
      </c>
      <c r="AC376" s="1189">
        <v>25</v>
      </c>
      <c r="AD376" s="1189">
        <v>25</v>
      </c>
      <c r="AE376" s="846" t="s">
        <v>561</v>
      </c>
    </row>
    <row r="377" spans="1:31">
      <c r="A377" s="1636" t="s">
        <v>562</v>
      </c>
      <c r="B377" s="1637"/>
      <c r="C377" s="226">
        <f>6.75/$O$1</f>
        <v>9.6043847217716465</v>
      </c>
      <c r="D377" s="226">
        <f>6.75/$O$1</f>
        <v>9.6043847217716465</v>
      </c>
      <c r="E377" s="227">
        <f>7.2/$O$1</f>
        <v>10.244677036556423</v>
      </c>
      <c r="F377" s="226">
        <f>7.2/$O$1</f>
        <v>10.244677036556423</v>
      </c>
      <c r="G377" s="226">
        <f>7.2/$O$1</f>
        <v>10.244677036556423</v>
      </c>
      <c r="H377" s="226">
        <f>7.2/$O$1</f>
        <v>10.244677036556423</v>
      </c>
      <c r="I377" s="227">
        <f>9.6/$O$1</f>
        <v>13.65956938207523</v>
      </c>
      <c r="J377" s="228">
        <f>9.6/$O$1</f>
        <v>13.65956938207523</v>
      </c>
      <c r="K377" s="1638">
        <f t="shared" si="79"/>
        <v>11.382974485062691</v>
      </c>
      <c r="L377" s="1639">
        <f t="shared" si="79"/>
        <v>11.382974485062691</v>
      </c>
      <c r="M377" s="1639">
        <f t="shared" si="79"/>
        <v>11.382974485062691</v>
      </c>
      <c r="N377" s="1639">
        <f t="shared" si="79"/>
        <v>11.382974485062691</v>
      </c>
      <c r="O377" s="1639">
        <f t="shared" si="79"/>
        <v>11.382974485062691</v>
      </c>
      <c r="P377" s="1639">
        <v>11.38</v>
      </c>
      <c r="Q377" s="1640">
        <v>22.76</v>
      </c>
      <c r="R377" s="1639">
        <v>22.76</v>
      </c>
      <c r="S377" s="1639">
        <v>22.76</v>
      </c>
      <c r="T377" s="1639">
        <v>22.76</v>
      </c>
      <c r="U377" s="1639">
        <v>22.76</v>
      </c>
      <c r="V377" s="1639">
        <v>22.76</v>
      </c>
      <c r="W377" s="1639">
        <v>22.76</v>
      </c>
      <c r="X377" s="4210">
        <v>50</v>
      </c>
      <c r="Y377" s="4211"/>
      <c r="Z377" s="1639">
        <v>50</v>
      </c>
      <c r="AA377" s="1639">
        <v>50</v>
      </c>
      <c r="AB377" s="1639">
        <v>50</v>
      </c>
      <c r="AC377" s="1639">
        <v>50</v>
      </c>
      <c r="AD377" s="1639">
        <v>50</v>
      </c>
      <c r="AE377" s="1641" t="s">
        <v>563</v>
      </c>
    </row>
    <row r="378" spans="1:31">
      <c r="A378" s="1386" t="s">
        <v>564</v>
      </c>
      <c r="B378" s="1642"/>
      <c r="C378" s="1643">
        <f>9/$O$1</f>
        <v>12.805846295695529</v>
      </c>
      <c r="D378" s="1643">
        <f>9/$O$1</f>
        <v>12.805846295695529</v>
      </c>
      <c r="E378" s="1282">
        <f>9.6/$O$1</f>
        <v>13.65956938207523</v>
      </c>
      <c r="F378" s="1643">
        <f>9.6/$O$1</f>
        <v>13.65956938207523</v>
      </c>
      <c r="G378" s="1643">
        <f>9.6/$O$1</f>
        <v>13.65956938207523</v>
      </c>
      <c r="H378" s="1643">
        <f>9.6/$O$1</f>
        <v>13.65956938207523</v>
      </c>
      <c r="I378" s="1282">
        <f>12.8/$O$1</f>
        <v>18.21275917610031</v>
      </c>
      <c r="J378" s="1216">
        <f>12.8/$O$1</f>
        <v>18.21275917610031</v>
      </c>
      <c r="K378" s="1389">
        <f t="shared" si="79"/>
        <v>11.382974485062691</v>
      </c>
      <c r="L378" s="1388">
        <f t="shared" si="79"/>
        <v>11.382974485062691</v>
      </c>
      <c r="M378" s="1388">
        <f t="shared" si="79"/>
        <v>11.382974485062691</v>
      </c>
      <c r="N378" s="1388">
        <f t="shared" si="79"/>
        <v>11.382974485062691</v>
      </c>
      <c r="O378" s="1388">
        <f t="shared" si="79"/>
        <v>11.382974485062691</v>
      </c>
      <c r="P378" s="1388">
        <v>11.38</v>
      </c>
      <c r="Q378" s="1391">
        <v>34.14</v>
      </c>
      <c r="R378" s="1388">
        <v>34.14</v>
      </c>
      <c r="S378" s="1388">
        <v>34.14</v>
      </c>
      <c r="T378" s="1388">
        <v>34.14</v>
      </c>
      <c r="U378" s="1388">
        <v>34.14</v>
      </c>
      <c r="V378" s="1388">
        <v>34.14</v>
      </c>
      <c r="W378" s="1388">
        <v>34.14</v>
      </c>
      <c r="X378" s="4210">
        <v>75</v>
      </c>
      <c r="Y378" s="4211"/>
      <c r="Z378" s="1639">
        <v>75</v>
      </c>
      <c r="AA378" s="1639">
        <v>75</v>
      </c>
      <c r="AB378" s="1639">
        <v>75</v>
      </c>
      <c r="AC378" s="1639">
        <v>75</v>
      </c>
      <c r="AD378" s="1639">
        <v>75</v>
      </c>
      <c r="AE378" s="1641" t="s">
        <v>565</v>
      </c>
    </row>
    <row r="379" spans="1:31">
      <c r="A379" s="1386" t="s">
        <v>566</v>
      </c>
      <c r="B379" s="1642"/>
      <c r="C379" s="1643">
        <f>9/$O$1</f>
        <v>12.805846295695529</v>
      </c>
      <c r="D379" s="1643">
        <f>9/$O$1</f>
        <v>12.805846295695529</v>
      </c>
      <c r="E379" s="1282">
        <f>10.8/$O$1</f>
        <v>15.367015554834635</v>
      </c>
      <c r="F379" s="1643">
        <f>10.8/$O$1</f>
        <v>15.367015554834635</v>
      </c>
      <c r="G379" s="1643">
        <f>10.8/$O$1</f>
        <v>15.367015554834635</v>
      </c>
      <c r="H379" s="1643">
        <f>10.8/$O$1</f>
        <v>15.367015554834635</v>
      </c>
      <c r="I379" s="1282">
        <f t="shared" ref="I379:J381" si="80">14.4/$O$1</f>
        <v>20.489354073112846</v>
      </c>
      <c r="J379" s="1216">
        <f t="shared" si="80"/>
        <v>20.489354073112846</v>
      </c>
      <c r="K379" s="1389">
        <f t="shared" si="79"/>
        <v>11.382974485062691</v>
      </c>
      <c r="L379" s="1388">
        <f t="shared" si="79"/>
        <v>11.382974485062691</v>
      </c>
      <c r="M379" s="1388">
        <f t="shared" si="79"/>
        <v>11.382974485062691</v>
      </c>
      <c r="N379" s="1388">
        <f t="shared" si="79"/>
        <v>11.382974485062691</v>
      </c>
      <c r="O379" s="1388">
        <f t="shared" si="79"/>
        <v>11.382974485062691</v>
      </c>
      <c r="P379" s="1388">
        <v>11.38</v>
      </c>
      <c r="Q379" s="1391">
        <v>34.14</v>
      </c>
      <c r="R379" s="1388">
        <v>34.14</v>
      </c>
      <c r="S379" s="1644">
        <v>50.07</v>
      </c>
      <c r="T379" s="1388">
        <v>50.07</v>
      </c>
      <c r="U379" s="1388">
        <v>50.07</v>
      </c>
      <c r="V379" s="1388">
        <v>50.07</v>
      </c>
      <c r="W379" s="1388">
        <v>50.07</v>
      </c>
      <c r="X379" s="4210">
        <v>100</v>
      </c>
      <c r="Y379" s="4211"/>
      <c r="Z379" s="1639">
        <v>100</v>
      </c>
      <c r="AA379" s="1639">
        <v>100</v>
      </c>
      <c r="AB379" s="1639">
        <v>100</v>
      </c>
      <c r="AC379" s="1639">
        <v>100</v>
      </c>
      <c r="AD379" s="1639">
        <v>100</v>
      </c>
      <c r="AE379" s="1641" t="s">
        <v>567</v>
      </c>
    </row>
    <row r="380" spans="1:31">
      <c r="A380" s="1386" t="s">
        <v>568</v>
      </c>
      <c r="B380" s="1642"/>
      <c r="C380" s="1643">
        <f>6.75/$O$1</f>
        <v>9.6043847217716465</v>
      </c>
      <c r="D380" s="1643">
        <f>6.75/$O$1</f>
        <v>9.6043847217716465</v>
      </c>
      <c r="E380" s="1282">
        <f t="shared" ref="E380:H381" si="81">10.8/$O$1</f>
        <v>15.367015554834635</v>
      </c>
      <c r="F380" s="1643">
        <f t="shared" si="81"/>
        <v>15.367015554834635</v>
      </c>
      <c r="G380" s="1643">
        <f t="shared" si="81"/>
        <v>15.367015554834635</v>
      </c>
      <c r="H380" s="1643">
        <f t="shared" si="81"/>
        <v>15.367015554834635</v>
      </c>
      <c r="I380" s="1282">
        <f t="shared" si="80"/>
        <v>20.489354073112846</v>
      </c>
      <c r="J380" s="1216">
        <f t="shared" si="80"/>
        <v>20.489354073112846</v>
      </c>
      <c r="K380" s="1389">
        <f t="shared" si="79"/>
        <v>11.382974485062691</v>
      </c>
      <c r="L380" s="1388">
        <f t="shared" si="79"/>
        <v>11.382974485062691</v>
      </c>
      <c r="M380" s="1388">
        <f t="shared" si="79"/>
        <v>11.382974485062691</v>
      </c>
      <c r="N380" s="1388">
        <f t="shared" si="79"/>
        <v>11.382974485062691</v>
      </c>
      <c r="O380" s="1388">
        <f t="shared" si="79"/>
        <v>11.382974485062691</v>
      </c>
      <c r="P380" s="1388">
        <v>11.38</v>
      </c>
      <c r="Q380" s="1391">
        <v>34.14</v>
      </c>
      <c r="R380" s="1388">
        <v>34.14</v>
      </c>
      <c r="S380" s="1645">
        <v>50.07</v>
      </c>
      <c r="T380" s="1388">
        <v>50.07</v>
      </c>
      <c r="U380" s="1388">
        <v>50.07</v>
      </c>
      <c r="V380" s="1388">
        <v>50.07</v>
      </c>
      <c r="W380" s="1388">
        <v>50.07</v>
      </c>
      <c r="X380" s="4210">
        <v>100</v>
      </c>
      <c r="Y380" s="4211"/>
      <c r="Z380" s="1639">
        <v>100</v>
      </c>
      <c r="AA380" s="1639">
        <v>100</v>
      </c>
      <c r="AB380" s="1639">
        <v>100</v>
      </c>
      <c r="AC380" s="1639">
        <v>100</v>
      </c>
      <c r="AD380" s="1639">
        <v>100</v>
      </c>
      <c r="AE380" s="1641" t="s">
        <v>569</v>
      </c>
    </row>
    <row r="381" spans="1:31" ht="16.350000000000001" customHeight="1">
      <c r="A381" s="1386" t="s">
        <v>570</v>
      </c>
      <c r="B381" s="1642"/>
      <c r="C381" s="1643">
        <f>4.5/$O$1</f>
        <v>6.4029231478477646</v>
      </c>
      <c r="D381" s="1643">
        <f>4.5/$O$1</f>
        <v>6.4029231478477646</v>
      </c>
      <c r="E381" s="1282">
        <f t="shared" si="81"/>
        <v>15.367015554834635</v>
      </c>
      <c r="F381" s="1643">
        <f t="shared" si="81"/>
        <v>15.367015554834635</v>
      </c>
      <c r="G381" s="1643">
        <f t="shared" si="81"/>
        <v>15.367015554834635</v>
      </c>
      <c r="H381" s="1643">
        <f t="shared" si="81"/>
        <v>15.367015554834635</v>
      </c>
      <c r="I381" s="1282">
        <f t="shared" si="80"/>
        <v>20.489354073112846</v>
      </c>
      <c r="J381" s="1216">
        <f t="shared" si="80"/>
        <v>20.489354073112846</v>
      </c>
      <c r="K381" s="1389">
        <f t="shared" si="79"/>
        <v>11.382974485062691</v>
      </c>
      <c r="L381" s="1388">
        <f t="shared" si="79"/>
        <v>11.382974485062691</v>
      </c>
      <c r="M381" s="1388">
        <f t="shared" si="79"/>
        <v>11.382974485062691</v>
      </c>
      <c r="N381" s="1388">
        <f t="shared" si="79"/>
        <v>11.382974485062691</v>
      </c>
      <c r="O381" s="1388">
        <f t="shared" si="79"/>
        <v>11.382974485062691</v>
      </c>
      <c r="P381" s="1388">
        <v>11.38</v>
      </c>
      <c r="Q381" s="1391">
        <f>Q378</f>
        <v>34.14</v>
      </c>
      <c r="R381" s="1388">
        <f>R378</f>
        <v>34.14</v>
      </c>
      <c r="S381" s="1645">
        <v>50.07</v>
      </c>
      <c r="T381" s="1388">
        <v>50.07</v>
      </c>
      <c r="U381" s="1388">
        <v>50.07</v>
      </c>
      <c r="V381" s="1388">
        <v>50.07</v>
      </c>
      <c r="W381" s="1388">
        <v>50.07</v>
      </c>
      <c r="X381" s="4210">
        <v>100</v>
      </c>
      <c r="Y381" s="4211"/>
      <c r="Z381" s="1639">
        <v>100</v>
      </c>
      <c r="AA381" s="1639">
        <v>100</v>
      </c>
      <c r="AB381" s="1639">
        <v>100</v>
      </c>
      <c r="AC381" s="1639">
        <v>100</v>
      </c>
      <c r="AD381" s="1639">
        <v>100</v>
      </c>
      <c r="AE381" s="1641" t="s">
        <v>571</v>
      </c>
    </row>
    <row r="382" spans="1:31" ht="24.6" customHeight="1">
      <c r="A382" s="1646" t="s">
        <v>572</v>
      </c>
      <c r="B382" s="1647"/>
      <c r="C382" s="1643"/>
      <c r="D382" s="1643"/>
      <c r="E382" s="1282"/>
      <c r="F382" s="1643"/>
      <c r="G382" s="1643"/>
      <c r="H382" s="1643"/>
      <c r="I382" s="1388">
        <f>50/$O$1</f>
        <v>71.14359053164182</v>
      </c>
      <c r="J382" s="1391">
        <f t="shared" ref="J382:K382" si="82">150/$O$1</f>
        <v>213.43077159492549</v>
      </c>
      <c r="K382" s="1388">
        <f t="shared" si="82"/>
        <v>213.43077159492549</v>
      </c>
      <c r="L382" s="1388">
        <f>150/$O$1</f>
        <v>213.43077159492549</v>
      </c>
      <c r="M382" s="1388">
        <f t="shared" ref="M382:O382" si="83">150/$O$1</f>
        <v>213.43077159492549</v>
      </c>
      <c r="N382" s="1388">
        <f t="shared" si="83"/>
        <v>213.43077159492549</v>
      </c>
      <c r="O382" s="1388">
        <f t="shared" si="83"/>
        <v>213.43077159492549</v>
      </c>
      <c r="P382" s="1388">
        <v>213.43</v>
      </c>
      <c r="Q382" s="1388">
        <v>213.43</v>
      </c>
      <c r="R382" s="1388">
        <v>213.43</v>
      </c>
      <c r="S382" s="1648">
        <v>213.43</v>
      </c>
      <c r="T382" s="1388">
        <v>213.43</v>
      </c>
      <c r="U382" s="1217" t="s">
        <v>573</v>
      </c>
      <c r="V382" s="1388">
        <v>313.43</v>
      </c>
      <c r="W382" s="1388">
        <v>313.43</v>
      </c>
      <c r="X382" s="4210">
        <v>313.43</v>
      </c>
      <c r="Y382" s="4211"/>
      <c r="Z382" s="1639">
        <v>313.43</v>
      </c>
      <c r="AA382" s="1639">
        <v>313.43</v>
      </c>
      <c r="AB382" s="1640">
        <v>413.43</v>
      </c>
      <c r="AC382" s="1639">
        <v>413.43</v>
      </c>
      <c r="AD382" s="1639">
        <v>413.43</v>
      </c>
      <c r="AE382" s="1641" t="s">
        <v>574</v>
      </c>
    </row>
    <row r="383" spans="1:31" ht="15.6">
      <c r="A383" s="516" t="s">
        <v>575</v>
      </c>
      <c r="B383" s="732" t="s">
        <v>18</v>
      </c>
      <c r="C383" s="1649" t="s">
        <v>18</v>
      </c>
      <c r="D383" s="1649" t="s">
        <v>18</v>
      </c>
      <c r="E383" s="1649" t="s">
        <v>18</v>
      </c>
      <c r="F383" s="1649" t="s">
        <v>18</v>
      </c>
      <c r="G383" s="1649" t="s">
        <v>18</v>
      </c>
      <c r="H383" s="1649" t="s">
        <v>18</v>
      </c>
      <c r="I383" s="1649" t="s">
        <v>18</v>
      </c>
      <c r="J383" s="1649" t="s">
        <v>18</v>
      </c>
      <c r="K383" s="1649" t="s">
        <v>18</v>
      </c>
      <c r="L383" s="1649" t="s">
        <v>18</v>
      </c>
      <c r="M383" s="1649" t="s">
        <v>18</v>
      </c>
      <c r="N383" s="1649" t="s">
        <v>18</v>
      </c>
      <c r="O383" s="1649" t="s">
        <v>18</v>
      </c>
      <c r="P383" s="1649" t="s">
        <v>18</v>
      </c>
      <c r="Q383" s="1649" t="s">
        <v>18</v>
      </c>
      <c r="R383" s="1649" t="s">
        <v>18</v>
      </c>
      <c r="S383" s="1649" t="s">
        <v>18</v>
      </c>
      <c r="T383" s="1650" t="s">
        <v>346</v>
      </c>
      <c r="U383" s="519"/>
      <c r="V383" s="519"/>
      <c r="W383" s="519"/>
      <c r="X383" s="4212"/>
      <c r="Y383" s="4213"/>
      <c r="Z383" s="519"/>
      <c r="AA383" s="519"/>
      <c r="AB383" s="519"/>
      <c r="AC383" s="519"/>
      <c r="AD383" s="519"/>
      <c r="AE383" s="522" t="s">
        <v>576</v>
      </c>
    </row>
    <row r="384" spans="1:31" ht="15.6" customHeight="1">
      <c r="A384" s="840" t="s">
        <v>577</v>
      </c>
      <c r="B384" s="1635" t="s">
        <v>18</v>
      </c>
      <c r="C384" s="1651" t="s">
        <v>18</v>
      </c>
      <c r="D384" s="1651" t="s">
        <v>18</v>
      </c>
      <c r="E384" s="1651" t="s">
        <v>18</v>
      </c>
      <c r="F384" s="1651" t="s">
        <v>18</v>
      </c>
      <c r="G384" s="1651" t="s">
        <v>18</v>
      </c>
      <c r="H384" s="1651" t="s">
        <v>18</v>
      </c>
      <c r="I384" s="1651" t="s">
        <v>18</v>
      </c>
      <c r="J384" s="1651" t="s">
        <v>18</v>
      </c>
      <c r="K384" s="1651" t="s">
        <v>18</v>
      </c>
      <c r="L384" s="1651" t="s">
        <v>18</v>
      </c>
      <c r="M384" s="1651" t="s">
        <v>18</v>
      </c>
      <c r="N384" s="1651" t="s">
        <v>18</v>
      </c>
      <c r="O384" s="1651" t="s">
        <v>18</v>
      </c>
      <c r="P384" s="1651" t="s">
        <v>18</v>
      </c>
      <c r="Q384" s="1651" t="s">
        <v>18</v>
      </c>
      <c r="R384" s="1651" t="s">
        <v>18</v>
      </c>
      <c r="S384" s="1651" t="s">
        <v>18</v>
      </c>
      <c r="T384" s="1652">
        <v>10</v>
      </c>
      <c r="U384" s="1189">
        <v>10</v>
      </c>
      <c r="V384" s="1189">
        <v>10</v>
      </c>
      <c r="W384" s="1189">
        <v>10</v>
      </c>
      <c r="X384" s="4214" t="s">
        <v>18</v>
      </c>
      <c r="Y384" s="4214"/>
      <c r="Z384" s="1653" t="s">
        <v>18</v>
      </c>
      <c r="AA384" s="1653" t="s">
        <v>18</v>
      </c>
      <c r="AB384" s="1653" t="s">
        <v>18</v>
      </c>
      <c r="AC384" s="1653" t="s">
        <v>18</v>
      </c>
      <c r="AD384" s="1653" t="s">
        <v>18</v>
      </c>
      <c r="AE384" s="846" t="s">
        <v>578</v>
      </c>
    </row>
    <row r="385" spans="1:31">
      <c r="A385" s="1386" t="s">
        <v>579</v>
      </c>
      <c r="B385" s="1637" t="s">
        <v>18</v>
      </c>
      <c r="C385" s="1654" t="s">
        <v>18</v>
      </c>
      <c r="D385" s="1654" t="s">
        <v>18</v>
      </c>
      <c r="E385" s="1654" t="s">
        <v>18</v>
      </c>
      <c r="F385" s="1654" t="s">
        <v>18</v>
      </c>
      <c r="G385" s="1654" t="s">
        <v>18</v>
      </c>
      <c r="H385" s="1654" t="s">
        <v>18</v>
      </c>
      <c r="I385" s="1654" t="s">
        <v>18</v>
      </c>
      <c r="J385" s="1654" t="s">
        <v>18</v>
      </c>
      <c r="K385" s="1654" t="s">
        <v>18</v>
      </c>
      <c r="L385" s="1654" t="s">
        <v>18</v>
      </c>
      <c r="M385" s="1654" t="s">
        <v>18</v>
      </c>
      <c r="N385" s="1654" t="s">
        <v>18</v>
      </c>
      <c r="O385" s="1654" t="s">
        <v>18</v>
      </c>
      <c r="P385" s="1654" t="s">
        <v>18</v>
      </c>
      <c r="Q385" s="1654" t="s">
        <v>18</v>
      </c>
      <c r="R385" s="1654" t="s">
        <v>18</v>
      </c>
      <c r="S385" s="1654" t="s">
        <v>18</v>
      </c>
      <c r="T385" s="1640">
        <v>66</v>
      </c>
      <c r="U385" s="1639">
        <v>66</v>
      </c>
      <c r="V385" s="1639">
        <v>66</v>
      </c>
      <c r="W385" s="1639">
        <v>66</v>
      </c>
      <c r="X385" s="4215" t="s">
        <v>18</v>
      </c>
      <c r="Y385" s="4215"/>
      <c r="Z385" s="1655" t="s">
        <v>18</v>
      </c>
      <c r="AA385" s="1655" t="s">
        <v>18</v>
      </c>
      <c r="AB385" s="1655" t="s">
        <v>18</v>
      </c>
      <c r="AC385" s="1655" t="s">
        <v>18</v>
      </c>
      <c r="AD385" s="1655" t="s">
        <v>18</v>
      </c>
      <c r="AE385" s="1641" t="s">
        <v>578</v>
      </c>
    </row>
    <row r="386" spans="1:31">
      <c r="A386" s="1656" t="s">
        <v>580</v>
      </c>
      <c r="B386" s="1657" t="s">
        <v>18</v>
      </c>
      <c r="C386" s="1658" t="s">
        <v>18</v>
      </c>
      <c r="D386" s="1658" t="s">
        <v>18</v>
      </c>
      <c r="E386" s="1658" t="s">
        <v>18</v>
      </c>
      <c r="F386" s="1658" t="s">
        <v>18</v>
      </c>
      <c r="G386" s="1658" t="s">
        <v>18</v>
      </c>
      <c r="H386" s="1658" t="s">
        <v>18</v>
      </c>
      <c r="I386" s="1658" t="s">
        <v>18</v>
      </c>
      <c r="J386" s="1658" t="s">
        <v>18</v>
      </c>
      <c r="K386" s="1658" t="s">
        <v>18</v>
      </c>
      <c r="L386" s="1658" t="s">
        <v>18</v>
      </c>
      <c r="M386" s="1658" t="s">
        <v>18</v>
      </c>
      <c r="N386" s="1658" t="s">
        <v>18</v>
      </c>
      <c r="O386" s="1658" t="s">
        <v>18</v>
      </c>
      <c r="P386" s="1658" t="s">
        <v>18</v>
      </c>
      <c r="Q386" s="1658" t="s">
        <v>18</v>
      </c>
      <c r="R386" s="1658" t="s">
        <v>18</v>
      </c>
      <c r="S386" s="1658" t="s">
        <v>18</v>
      </c>
      <c r="T386" s="1659">
        <v>50</v>
      </c>
      <c r="U386" s="1660">
        <v>50</v>
      </c>
      <c r="V386" s="1660">
        <v>50</v>
      </c>
      <c r="W386" s="1660">
        <v>50</v>
      </c>
      <c r="X386" s="4216" t="s">
        <v>18</v>
      </c>
      <c r="Y386" s="4216"/>
      <c r="Z386" s="1661" t="s">
        <v>18</v>
      </c>
      <c r="AA386" s="1661" t="s">
        <v>18</v>
      </c>
      <c r="AB386" s="1661" t="s">
        <v>18</v>
      </c>
      <c r="AC386" s="1661" t="s">
        <v>18</v>
      </c>
      <c r="AD386" s="1661" t="s">
        <v>18</v>
      </c>
      <c r="AE386" s="1662" t="s">
        <v>581</v>
      </c>
    </row>
    <row r="387" spans="1:31" ht="15.75" customHeight="1">
      <c r="A387" s="1646" t="s">
        <v>572</v>
      </c>
      <c r="B387" s="1663"/>
      <c r="C387" s="1664"/>
      <c r="D387" s="1664"/>
      <c r="E387" s="1664"/>
      <c r="F387" s="1664"/>
      <c r="G387" s="1664"/>
      <c r="H387" s="1664"/>
      <c r="I387" s="1664"/>
      <c r="J387" s="1664"/>
      <c r="K387" s="1664"/>
      <c r="L387" s="1664"/>
      <c r="M387" s="1664"/>
      <c r="N387" s="1664"/>
      <c r="O387" s="1664"/>
      <c r="P387" s="1664"/>
      <c r="Q387" s="1664"/>
      <c r="R387" s="1664"/>
      <c r="S387" s="1664"/>
      <c r="T387" s="1665">
        <v>106.72</v>
      </c>
      <c r="U387" s="1665">
        <v>106.72</v>
      </c>
      <c r="V387" s="1665">
        <v>106.72</v>
      </c>
      <c r="W387" s="1665">
        <v>106.72</v>
      </c>
      <c r="X387" s="4209">
        <v>106.72</v>
      </c>
      <c r="Y387" s="4209"/>
      <c r="Z387" s="1665">
        <v>106.72</v>
      </c>
      <c r="AA387" s="1666">
        <v>160</v>
      </c>
      <c r="AB387" s="1665">
        <v>160</v>
      </c>
      <c r="AC387" s="1665">
        <v>160</v>
      </c>
      <c r="AD387" s="1665">
        <v>160</v>
      </c>
      <c r="AE387" s="1667" t="s">
        <v>582</v>
      </c>
    </row>
    <row r="388" spans="1:31" ht="15.6">
      <c r="A388" s="1668"/>
      <c r="B388" s="1669"/>
    </row>
    <row r="390" spans="1:31">
      <c r="W390" s="1393"/>
    </row>
  </sheetData>
  <mergeCells count="665">
    <mergeCell ref="B6:B9"/>
    <mergeCell ref="C6:C9"/>
    <mergeCell ref="D6:D9"/>
    <mergeCell ref="E6:E9"/>
    <mergeCell ref="F6:F9"/>
    <mergeCell ref="G6:G9"/>
    <mergeCell ref="H6:H9"/>
    <mergeCell ref="I6:I9"/>
    <mergeCell ref="J6:J9"/>
    <mergeCell ref="K6:K9"/>
    <mergeCell ref="L6:L9"/>
    <mergeCell ref="M6:M9"/>
    <mergeCell ref="X2:Y2"/>
    <mergeCell ref="X3:Y3"/>
    <mergeCell ref="X4:Y4"/>
    <mergeCell ref="X5:Y5"/>
    <mergeCell ref="AD6:AD8"/>
    <mergeCell ref="X7:Y7"/>
    <mergeCell ref="X8:Y8"/>
    <mergeCell ref="N6:N9"/>
    <mergeCell ref="O6:O9"/>
    <mergeCell ref="P6:P9"/>
    <mergeCell ref="Q6:Q9"/>
    <mergeCell ref="R6:R9"/>
    <mergeCell ref="S6:S9"/>
    <mergeCell ref="X9:Y9"/>
    <mergeCell ref="X10:Y10"/>
    <mergeCell ref="X11:Y11"/>
    <mergeCell ref="X12:Y12"/>
    <mergeCell ref="X13:Y13"/>
    <mergeCell ref="X14:Y14"/>
    <mergeCell ref="X6:Y6"/>
    <mergeCell ref="AB6:AB8"/>
    <mergeCell ref="AC6:AC8"/>
    <mergeCell ref="B21:B24"/>
    <mergeCell ref="C21:C24"/>
    <mergeCell ref="D21:D24"/>
    <mergeCell ref="E21:E24"/>
    <mergeCell ref="F21:F24"/>
    <mergeCell ref="G21:G24"/>
    <mergeCell ref="X15:Y15"/>
    <mergeCell ref="X16:Y16"/>
    <mergeCell ref="X17:Y17"/>
    <mergeCell ref="X18:Y18"/>
    <mergeCell ref="X19:Y19"/>
    <mergeCell ref="X20:Y20"/>
    <mergeCell ref="N21:N24"/>
    <mergeCell ref="O21:O24"/>
    <mergeCell ref="P21:P24"/>
    <mergeCell ref="Q21:Q24"/>
    <mergeCell ref="X21:Y21"/>
    <mergeCell ref="X23:Y23"/>
    <mergeCell ref="X24:Y24"/>
    <mergeCell ref="H21:H24"/>
    <mergeCell ref="I21:I24"/>
    <mergeCell ref="J21:J24"/>
    <mergeCell ref="K21:K24"/>
    <mergeCell ref="L21:L24"/>
    <mergeCell ref="M21:M24"/>
    <mergeCell ref="X33:Y33"/>
    <mergeCell ref="X34:Y34"/>
    <mergeCell ref="X35:Y35"/>
    <mergeCell ref="X36:Y36"/>
    <mergeCell ref="X37:Y37"/>
    <mergeCell ref="X38:Y38"/>
    <mergeCell ref="R26:Y26"/>
    <mergeCell ref="X28:Y28"/>
    <mergeCell ref="X29:Y29"/>
    <mergeCell ref="X30:Y30"/>
    <mergeCell ref="X31:Y31"/>
    <mergeCell ref="X32:Y32"/>
    <mergeCell ref="Q39:Q41"/>
    <mergeCell ref="R39:R41"/>
    <mergeCell ref="S39:S41"/>
    <mergeCell ref="T39:T41"/>
    <mergeCell ref="U39:U41"/>
    <mergeCell ref="V39:V41"/>
    <mergeCell ref="K39:K41"/>
    <mergeCell ref="L39:L41"/>
    <mergeCell ref="M39:M41"/>
    <mergeCell ref="N39:N41"/>
    <mergeCell ref="O39:O41"/>
    <mergeCell ref="P39:P41"/>
    <mergeCell ref="X51:Y51"/>
    <mergeCell ref="X52:Y52"/>
    <mergeCell ref="X53:Y53"/>
    <mergeCell ref="X54:Y54"/>
    <mergeCell ref="X55:Y55"/>
    <mergeCell ref="X56:Y56"/>
    <mergeCell ref="W39:W41"/>
    <mergeCell ref="X39:Y41"/>
    <mergeCell ref="X42:Y42"/>
    <mergeCell ref="X43:Y43"/>
    <mergeCell ref="T44:AD47"/>
    <mergeCell ref="T48:AD50"/>
    <mergeCell ref="X79:Y79"/>
    <mergeCell ref="X80:Y80"/>
    <mergeCell ref="X81:Y81"/>
    <mergeCell ref="X82:Y82"/>
    <mergeCell ref="X83:Y83"/>
    <mergeCell ref="X84:Y84"/>
    <mergeCell ref="X57:Y57"/>
    <mergeCell ref="X58:Y58"/>
    <mergeCell ref="X59:Y59"/>
    <mergeCell ref="X60:Y60"/>
    <mergeCell ref="X61:Y61"/>
    <mergeCell ref="X62:Y62"/>
    <mergeCell ref="X85:Y85"/>
    <mergeCell ref="X86:Y86"/>
    <mergeCell ref="A87:A88"/>
    <mergeCell ref="B87:B88"/>
    <mergeCell ref="C87:C88"/>
    <mergeCell ref="D87:D88"/>
    <mergeCell ref="E87:E88"/>
    <mergeCell ref="F87:F88"/>
    <mergeCell ref="G87:G88"/>
    <mergeCell ref="H87:H88"/>
    <mergeCell ref="B89:B90"/>
    <mergeCell ref="C89:C90"/>
    <mergeCell ref="D89:D90"/>
    <mergeCell ref="E89:E90"/>
    <mergeCell ref="F89:F90"/>
    <mergeCell ref="G89:G90"/>
    <mergeCell ref="H89:H90"/>
    <mergeCell ref="U87:U88"/>
    <mergeCell ref="V87:V88"/>
    <mergeCell ref="O87:O88"/>
    <mergeCell ref="P87:P88"/>
    <mergeCell ref="Q87:Q88"/>
    <mergeCell ref="R87:R88"/>
    <mergeCell ref="S87:S88"/>
    <mergeCell ref="T87:T88"/>
    <mergeCell ref="I87:I88"/>
    <mergeCell ref="J87:J88"/>
    <mergeCell ref="K87:K88"/>
    <mergeCell ref="L87:L88"/>
    <mergeCell ref="M87:M88"/>
    <mergeCell ref="N87:N88"/>
    <mergeCell ref="I89:I90"/>
    <mergeCell ref="J89:J90"/>
    <mergeCell ref="K89:K90"/>
    <mergeCell ref="L89:L90"/>
    <mergeCell ref="M89:M90"/>
    <mergeCell ref="N89:N90"/>
    <mergeCell ref="AC87:AC88"/>
    <mergeCell ref="AD87:AD88"/>
    <mergeCell ref="AE87:AE88"/>
    <mergeCell ref="X87:Y88"/>
    <mergeCell ref="Z87:Z88"/>
    <mergeCell ref="AA87:AA88"/>
    <mergeCell ref="AB87:AB88"/>
    <mergeCell ref="X92:Y92"/>
    <mergeCell ref="X93:Y93"/>
    <mergeCell ref="X94:Y94"/>
    <mergeCell ref="X95:Y95"/>
    <mergeCell ref="X96:Y96"/>
    <mergeCell ref="X97:Y97"/>
    <mergeCell ref="O89:O90"/>
    <mergeCell ref="P89:P90"/>
    <mergeCell ref="Q89:Q90"/>
    <mergeCell ref="X89:Y89"/>
    <mergeCell ref="X90:Y90"/>
    <mergeCell ref="X91:Y91"/>
    <mergeCell ref="B107:B109"/>
    <mergeCell ref="C107:C109"/>
    <mergeCell ref="D107:D109"/>
    <mergeCell ref="E107:E109"/>
    <mergeCell ref="F107:F109"/>
    <mergeCell ref="G107:G109"/>
    <mergeCell ref="H107:H109"/>
    <mergeCell ref="X98:Y98"/>
    <mergeCell ref="X99:Y99"/>
    <mergeCell ref="X100:Y100"/>
    <mergeCell ref="X101:Y101"/>
    <mergeCell ref="X102:Y102"/>
    <mergeCell ref="X103:Y103"/>
    <mergeCell ref="V107:V108"/>
    <mergeCell ref="I107:I109"/>
    <mergeCell ref="J107:J109"/>
    <mergeCell ref="K107:K109"/>
    <mergeCell ref="M107:M108"/>
    <mergeCell ref="N107:N108"/>
    <mergeCell ref="O107:O108"/>
    <mergeCell ref="X104:Y104"/>
    <mergeCell ref="X105:Y105"/>
    <mergeCell ref="X106:Y106"/>
    <mergeCell ref="B117:B120"/>
    <mergeCell ref="C117:C120"/>
    <mergeCell ref="D117:D120"/>
    <mergeCell ref="E117:E120"/>
    <mergeCell ref="F117:F120"/>
    <mergeCell ref="G117:G120"/>
    <mergeCell ref="H117:H120"/>
    <mergeCell ref="AD107:AD109"/>
    <mergeCell ref="X109:Y109"/>
    <mergeCell ref="X110:Y110"/>
    <mergeCell ref="X111:Y111"/>
    <mergeCell ref="X112:Y112"/>
    <mergeCell ref="X113:Y113"/>
    <mergeCell ref="W107:W108"/>
    <mergeCell ref="X107:Y108"/>
    <mergeCell ref="Z107:Z108"/>
    <mergeCell ref="AA107:AA109"/>
    <mergeCell ref="AB107:AB109"/>
    <mergeCell ref="AC107:AC109"/>
    <mergeCell ref="P107:P108"/>
    <mergeCell ref="Q107:Q108"/>
    <mergeCell ref="R107:R108"/>
    <mergeCell ref="T107:T108"/>
    <mergeCell ref="U107:U108"/>
    <mergeCell ref="I117:I120"/>
    <mergeCell ref="J117:J120"/>
    <mergeCell ref="L117:L120"/>
    <mergeCell ref="M117:M120"/>
    <mergeCell ref="N117:N120"/>
    <mergeCell ref="O117:O120"/>
    <mergeCell ref="X114:Y114"/>
    <mergeCell ref="X115:Y115"/>
    <mergeCell ref="X116:Y116"/>
    <mergeCell ref="V117:V120"/>
    <mergeCell ref="W117:W120"/>
    <mergeCell ref="X117:Y120"/>
    <mergeCell ref="X121:Y121"/>
    <mergeCell ref="X122:Y122"/>
    <mergeCell ref="X123:Y123"/>
    <mergeCell ref="P117:P120"/>
    <mergeCell ref="Q117:Q120"/>
    <mergeCell ref="R117:R120"/>
    <mergeCell ref="S117:S120"/>
    <mergeCell ref="T117:T120"/>
    <mergeCell ref="U117:U120"/>
    <mergeCell ref="X130:Y130"/>
    <mergeCell ref="X131:Y131"/>
    <mergeCell ref="X132:Y132"/>
    <mergeCell ref="X133:Y133"/>
    <mergeCell ref="X134:Y134"/>
    <mergeCell ref="X135:Y135"/>
    <mergeCell ref="X124:Y124"/>
    <mergeCell ref="X125:Y125"/>
    <mergeCell ref="X126:Y126"/>
    <mergeCell ref="X127:Y127"/>
    <mergeCell ref="X128:Y128"/>
    <mergeCell ref="X129:Y129"/>
    <mergeCell ref="X142:Y142"/>
    <mergeCell ref="X143:Y143"/>
    <mergeCell ref="X144:Y144"/>
    <mergeCell ref="X145:Y145"/>
    <mergeCell ref="X146:Y146"/>
    <mergeCell ref="X147:Y147"/>
    <mergeCell ref="X136:Y136"/>
    <mergeCell ref="X137:Y137"/>
    <mergeCell ref="X138:Y138"/>
    <mergeCell ref="X139:Y139"/>
    <mergeCell ref="X140:Y140"/>
    <mergeCell ref="X141:Y141"/>
    <mergeCell ref="X154:Y154"/>
    <mergeCell ref="X155:Y155"/>
    <mergeCell ref="X156:Y156"/>
    <mergeCell ref="X157:Y157"/>
    <mergeCell ref="X158:Y158"/>
    <mergeCell ref="X159:Y159"/>
    <mergeCell ref="X148:Y148"/>
    <mergeCell ref="X149:Y149"/>
    <mergeCell ref="X150:Y150"/>
    <mergeCell ref="X151:Y151"/>
    <mergeCell ref="X152:Y152"/>
    <mergeCell ref="X153:Y153"/>
    <mergeCell ref="X166:Y166"/>
    <mergeCell ref="X167:Y167"/>
    <mergeCell ref="X168:Y168"/>
    <mergeCell ref="X169:Y169"/>
    <mergeCell ref="X170:Y170"/>
    <mergeCell ref="X171:Y171"/>
    <mergeCell ref="X160:Y160"/>
    <mergeCell ref="X161:Y161"/>
    <mergeCell ref="X162:Y162"/>
    <mergeCell ref="X163:Y163"/>
    <mergeCell ref="X164:Y164"/>
    <mergeCell ref="X165:Y165"/>
    <mergeCell ref="X178:Y178"/>
    <mergeCell ref="X179:Y179"/>
    <mergeCell ref="X180:Y180"/>
    <mergeCell ref="X181:Y181"/>
    <mergeCell ref="X182:Y182"/>
    <mergeCell ref="X183:Y183"/>
    <mergeCell ref="X172:Y172"/>
    <mergeCell ref="X173:Y173"/>
    <mergeCell ref="X174:Y174"/>
    <mergeCell ref="X175:Y175"/>
    <mergeCell ref="X176:Y176"/>
    <mergeCell ref="X177:Y177"/>
    <mergeCell ref="A190:A191"/>
    <mergeCell ref="X190:Y190"/>
    <mergeCell ref="X191:Y191"/>
    <mergeCell ref="X192:Y192"/>
    <mergeCell ref="X193:Y193"/>
    <mergeCell ref="X194:Y194"/>
    <mergeCell ref="X184:Y184"/>
    <mergeCell ref="X185:Y185"/>
    <mergeCell ref="X186:Y186"/>
    <mergeCell ref="X187:Y187"/>
    <mergeCell ref="X188:Y188"/>
    <mergeCell ref="X189:Y189"/>
    <mergeCell ref="X195:Y195"/>
    <mergeCell ref="A196:A197"/>
    <mergeCell ref="X196:Y196"/>
    <mergeCell ref="X197:Y197"/>
    <mergeCell ref="A198:A199"/>
    <mergeCell ref="B198:B201"/>
    <mergeCell ref="C198:C201"/>
    <mergeCell ref="D198:D201"/>
    <mergeCell ref="E198:E201"/>
    <mergeCell ref="F198:F201"/>
    <mergeCell ref="AA198:AA199"/>
    <mergeCell ref="AB198:AB199"/>
    <mergeCell ref="AC198:AC199"/>
    <mergeCell ref="AD198:AD199"/>
    <mergeCell ref="AE198:AE199"/>
    <mergeCell ref="A200:A201"/>
    <mergeCell ref="X200:Y201"/>
    <mergeCell ref="Z200:Z201"/>
    <mergeCell ref="AA200:AA201"/>
    <mergeCell ref="AB200:AB201"/>
    <mergeCell ref="S198:S201"/>
    <mergeCell ref="T198:T201"/>
    <mergeCell ref="U198:U201"/>
    <mergeCell ref="V198:V201"/>
    <mergeCell ref="X198:Y199"/>
    <mergeCell ref="Z198:Z199"/>
    <mergeCell ref="M198:M201"/>
    <mergeCell ref="N198:N201"/>
    <mergeCell ref="O198:O201"/>
    <mergeCell ref="P198:P201"/>
    <mergeCell ref="Q198:Q201"/>
    <mergeCell ref="R198:R201"/>
    <mergeCell ref="G198:G201"/>
    <mergeCell ref="H198:H201"/>
    <mergeCell ref="L202:L204"/>
    <mergeCell ref="M202:M204"/>
    <mergeCell ref="N202:N204"/>
    <mergeCell ref="O202:O204"/>
    <mergeCell ref="AC200:AC201"/>
    <mergeCell ref="AD200:AD201"/>
    <mergeCell ref="AE200:AE201"/>
    <mergeCell ref="A202:A203"/>
    <mergeCell ref="D202:D205"/>
    <mergeCell ref="E202:E204"/>
    <mergeCell ref="F202:F204"/>
    <mergeCell ref="G202:G204"/>
    <mergeCell ref="H202:H204"/>
    <mergeCell ref="I202:I204"/>
    <mergeCell ref="I198:I201"/>
    <mergeCell ref="J198:J201"/>
    <mergeCell ref="K198:K201"/>
    <mergeCell ref="L198:L201"/>
    <mergeCell ref="AD202:AD203"/>
    <mergeCell ref="AE202:AE203"/>
    <mergeCell ref="A204:A205"/>
    <mergeCell ref="X204:Y205"/>
    <mergeCell ref="Z204:Z205"/>
    <mergeCell ref="AA204:AA205"/>
    <mergeCell ref="AB204:AB205"/>
    <mergeCell ref="AC204:AC205"/>
    <mergeCell ref="AD204:AD205"/>
    <mergeCell ref="AE204:AE205"/>
    <mergeCell ref="V202:V204"/>
    <mergeCell ref="X202:Y203"/>
    <mergeCell ref="Z202:Z203"/>
    <mergeCell ref="AA202:AA203"/>
    <mergeCell ref="AB202:AB203"/>
    <mergeCell ref="AC202:AC203"/>
    <mergeCell ref="P202:P204"/>
    <mergeCell ref="Q202:Q204"/>
    <mergeCell ref="R202:R204"/>
    <mergeCell ref="S202:S204"/>
    <mergeCell ref="T202:T204"/>
    <mergeCell ref="U202:U204"/>
    <mergeCell ref="J202:J204"/>
    <mergeCell ref="K202:K204"/>
    <mergeCell ref="X212:Y212"/>
    <mergeCell ref="X213:Y213"/>
    <mergeCell ref="X214:Y214"/>
    <mergeCell ref="X215:Y215"/>
    <mergeCell ref="X216:Y216"/>
    <mergeCell ref="X217:Y217"/>
    <mergeCell ref="E205:V205"/>
    <mergeCell ref="X207:Y207"/>
    <mergeCell ref="X208:Y208"/>
    <mergeCell ref="X209:Y209"/>
    <mergeCell ref="X210:Y210"/>
    <mergeCell ref="X211:Y211"/>
    <mergeCell ref="X223:Y223"/>
    <mergeCell ref="X224:Y224"/>
    <mergeCell ref="X225:Y225"/>
    <mergeCell ref="X226:Y226"/>
    <mergeCell ref="X227:Y227"/>
    <mergeCell ref="X228:Y228"/>
    <mergeCell ref="X218:Y218"/>
    <mergeCell ref="AE218:AE219"/>
    <mergeCell ref="X219:Y219"/>
    <mergeCell ref="X220:Y220"/>
    <mergeCell ref="X221:Y221"/>
    <mergeCell ref="X222:Y222"/>
    <mergeCell ref="X234:Y234"/>
    <mergeCell ref="X235:Y235"/>
    <mergeCell ref="A236:A237"/>
    <mergeCell ref="X236:Y236"/>
    <mergeCell ref="AE236:AE237"/>
    <mergeCell ref="X237:Y237"/>
    <mergeCell ref="X229:Y229"/>
    <mergeCell ref="A230:A231"/>
    <mergeCell ref="X230:Y230"/>
    <mergeCell ref="AE230:AE231"/>
    <mergeCell ref="X231:Y231"/>
    <mergeCell ref="A232:A233"/>
    <mergeCell ref="X232:Y232"/>
    <mergeCell ref="AE232:AE233"/>
    <mergeCell ref="X233:Y233"/>
    <mergeCell ref="A242:A243"/>
    <mergeCell ref="X242:Y242"/>
    <mergeCell ref="AE242:AE243"/>
    <mergeCell ref="X243:Y243"/>
    <mergeCell ref="A244:A245"/>
    <mergeCell ref="X244:Y244"/>
    <mergeCell ref="AE244:AE245"/>
    <mergeCell ref="X245:Y245"/>
    <mergeCell ref="A238:A239"/>
    <mergeCell ref="X238:Y238"/>
    <mergeCell ref="AE238:AE239"/>
    <mergeCell ref="X239:Y239"/>
    <mergeCell ref="X240:Y240"/>
    <mergeCell ref="X241:Y241"/>
    <mergeCell ref="A250:A251"/>
    <mergeCell ref="X250:Y250"/>
    <mergeCell ref="AE250:AE251"/>
    <mergeCell ref="X251:Y251"/>
    <mergeCell ref="X252:Y252"/>
    <mergeCell ref="X253:Y253"/>
    <mergeCell ref="X246:Y246"/>
    <mergeCell ref="X247:Y247"/>
    <mergeCell ref="A248:A249"/>
    <mergeCell ref="X248:Y248"/>
    <mergeCell ref="AE248:AE249"/>
    <mergeCell ref="X249:Y249"/>
    <mergeCell ref="A254:A255"/>
    <mergeCell ref="X254:Y254"/>
    <mergeCell ref="AE254:AE255"/>
    <mergeCell ref="X255:Y255"/>
    <mergeCell ref="A256:A259"/>
    <mergeCell ref="X256:Y256"/>
    <mergeCell ref="AE256:AE259"/>
    <mergeCell ref="X257:Y257"/>
    <mergeCell ref="X258:Y258"/>
    <mergeCell ref="X259:Y259"/>
    <mergeCell ref="X260:Y260"/>
    <mergeCell ref="X261:Y261"/>
    <mergeCell ref="X262:Y262"/>
    <mergeCell ref="X263:Y263"/>
    <mergeCell ref="A264:A267"/>
    <mergeCell ref="X264:Y264"/>
    <mergeCell ref="X265:Y265"/>
    <mergeCell ref="X266:Y266"/>
    <mergeCell ref="X267:Y267"/>
    <mergeCell ref="E272:E273"/>
    <mergeCell ref="F272:F273"/>
    <mergeCell ref="X272:Y272"/>
    <mergeCell ref="X273:Y273"/>
    <mergeCell ref="X274:Y274"/>
    <mergeCell ref="X275:Y275"/>
    <mergeCell ref="X268:Y268"/>
    <mergeCell ref="X269:Y269"/>
    <mergeCell ref="E270:E271"/>
    <mergeCell ref="F270:F271"/>
    <mergeCell ref="X270:Y270"/>
    <mergeCell ref="X271:Y271"/>
    <mergeCell ref="AE282:AE283"/>
    <mergeCell ref="X283:Y283"/>
    <mergeCell ref="X276:Y276"/>
    <mergeCell ref="X277:Y277"/>
    <mergeCell ref="P278:P281"/>
    <mergeCell ref="Q278:Q281"/>
    <mergeCell ref="R278:R281"/>
    <mergeCell ref="S278:S281"/>
    <mergeCell ref="T278:T281"/>
    <mergeCell ref="U278:U281"/>
    <mergeCell ref="X278:Y278"/>
    <mergeCell ref="X279:Y279"/>
    <mergeCell ref="X284:Y284"/>
    <mergeCell ref="X285:Y285"/>
    <mergeCell ref="X286:Y286"/>
    <mergeCell ref="X287:Y287"/>
    <mergeCell ref="X288:Y288"/>
    <mergeCell ref="X289:Y289"/>
    <mergeCell ref="X280:Y280"/>
    <mergeCell ref="X281:Y281"/>
    <mergeCell ref="A282:A283"/>
    <mergeCell ref="X282:Y282"/>
    <mergeCell ref="A300:A301"/>
    <mergeCell ref="X300:Y300"/>
    <mergeCell ref="X301:Y301"/>
    <mergeCell ref="X290:Y290"/>
    <mergeCell ref="X291:Y291"/>
    <mergeCell ref="X292:Y292"/>
    <mergeCell ref="X293:Y293"/>
    <mergeCell ref="X294:Y294"/>
    <mergeCell ref="X295:Y295"/>
    <mergeCell ref="P290:P291"/>
    <mergeCell ref="Q290:Q291"/>
    <mergeCell ref="R290:R291"/>
    <mergeCell ref="S290:S291"/>
    <mergeCell ref="T290:T291"/>
    <mergeCell ref="U290:U291"/>
    <mergeCell ref="X302:Y302"/>
    <mergeCell ref="X303:Y303"/>
    <mergeCell ref="B304:B307"/>
    <mergeCell ref="X304:Y304"/>
    <mergeCell ref="X305:Y305"/>
    <mergeCell ref="X306:Y306"/>
    <mergeCell ref="X307:Y307"/>
    <mergeCell ref="X296:Y296"/>
    <mergeCell ref="X297:Y297"/>
    <mergeCell ref="X298:Y298"/>
    <mergeCell ref="X299:Y299"/>
    <mergeCell ref="AE308:AE311"/>
    <mergeCell ref="A312:A315"/>
    <mergeCell ref="B312:B315"/>
    <mergeCell ref="C312:C315"/>
    <mergeCell ref="D312:D315"/>
    <mergeCell ref="F312:F313"/>
    <mergeCell ref="G312:G315"/>
    <mergeCell ref="H312:H315"/>
    <mergeCell ref="I312:I315"/>
    <mergeCell ref="J312:J315"/>
    <mergeCell ref="H308:H311"/>
    <mergeCell ref="I308:I311"/>
    <mergeCell ref="J308:J311"/>
    <mergeCell ref="K308:K311"/>
    <mergeCell ref="L308:L311"/>
    <mergeCell ref="X308:Y308"/>
    <mergeCell ref="A308:A311"/>
    <mergeCell ref="B308:B311"/>
    <mergeCell ref="C308:C311"/>
    <mergeCell ref="D308:D311"/>
    <mergeCell ref="F308:F309"/>
    <mergeCell ref="G308:G311"/>
    <mergeCell ref="T312:T315"/>
    <mergeCell ref="U312:U315"/>
    <mergeCell ref="V312:V315"/>
    <mergeCell ref="X312:Y315"/>
    <mergeCell ref="AE312:AE315"/>
    <mergeCell ref="X316:Y316"/>
    <mergeCell ref="K312:K315"/>
    <mergeCell ref="L312:L315"/>
    <mergeCell ref="P312:P315"/>
    <mergeCell ref="Q312:Q315"/>
    <mergeCell ref="R312:R315"/>
    <mergeCell ref="S312:S315"/>
    <mergeCell ref="X323:Y323"/>
    <mergeCell ref="X324:Y324"/>
    <mergeCell ref="L325:L326"/>
    <mergeCell ref="M325:M326"/>
    <mergeCell ref="X325:Y325"/>
    <mergeCell ref="X326:Y326"/>
    <mergeCell ref="X317:Y317"/>
    <mergeCell ref="X318:Y318"/>
    <mergeCell ref="X319:Y319"/>
    <mergeCell ref="X320:Y320"/>
    <mergeCell ref="X321:Y321"/>
    <mergeCell ref="X322:Y322"/>
    <mergeCell ref="AE334:AE335"/>
    <mergeCell ref="X335:Y335"/>
    <mergeCell ref="X327:Y327"/>
    <mergeCell ref="X328:Y328"/>
    <mergeCell ref="X329:Y329"/>
    <mergeCell ref="L330:L331"/>
    <mergeCell ref="M330:M331"/>
    <mergeCell ref="X330:Y330"/>
    <mergeCell ref="X331:Y331"/>
    <mergeCell ref="X336:Y336"/>
    <mergeCell ref="X337:Y337"/>
    <mergeCell ref="X338:Y338"/>
    <mergeCell ref="X339:Y339"/>
    <mergeCell ref="X340:Y340"/>
    <mergeCell ref="X341:Y341"/>
    <mergeCell ref="X332:Y332"/>
    <mergeCell ref="X333:Y333"/>
    <mergeCell ref="A334:A335"/>
    <mergeCell ref="X334:Y334"/>
    <mergeCell ref="X348:Y348"/>
    <mergeCell ref="X349:Y349"/>
    <mergeCell ref="X350:Y350"/>
    <mergeCell ref="X351:Y351"/>
    <mergeCell ref="X352:Y352"/>
    <mergeCell ref="X353:Y353"/>
    <mergeCell ref="X342:Y342"/>
    <mergeCell ref="X343:Y344"/>
    <mergeCell ref="AE343:AE344"/>
    <mergeCell ref="X345:Y345"/>
    <mergeCell ref="X346:Y346"/>
    <mergeCell ref="X347:Y347"/>
    <mergeCell ref="H354:H356"/>
    <mergeCell ref="I354:I356"/>
    <mergeCell ref="J354:J356"/>
    <mergeCell ref="K354:K356"/>
    <mergeCell ref="L354:L356"/>
    <mergeCell ref="M354:M356"/>
    <mergeCell ref="B354:B356"/>
    <mergeCell ref="C354:C356"/>
    <mergeCell ref="D354:D356"/>
    <mergeCell ref="E354:E356"/>
    <mergeCell ref="F354:F356"/>
    <mergeCell ref="G354:G356"/>
    <mergeCell ref="X354:Y356"/>
    <mergeCell ref="Z354:Z356"/>
    <mergeCell ref="AA354:AA356"/>
    <mergeCell ref="AB354:AB356"/>
    <mergeCell ref="AC354:AC356"/>
    <mergeCell ref="AD354:AD356"/>
    <mergeCell ref="N354:N356"/>
    <mergeCell ref="O354:O356"/>
    <mergeCell ref="T354:T356"/>
    <mergeCell ref="U354:U356"/>
    <mergeCell ref="V354:V356"/>
    <mergeCell ref="W354:W356"/>
    <mergeCell ref="K358:K359"/>
    <mergeCell ref="L358:L359"/>
    <mergeCell ref="X358:Y358"/>
    <mergeCell ref="X359:Y359"/>
    <mergeCell ref="X360:Y360"/>
    <mergeCell ref="X361:Y361"/>
    <mergeCell ref="X357:Y357"/>
    <mergeCell ref="B358:B359"/>
    <mergeCell ref="C358:C359"/>
    <mergeCell ref="D358:D359"/>
    <mergeCell ref="E358:E359"/>
    <mergeCell ref="F358:F359"/>
    <mergeCell ref="G358:G359"/>
    <mergeCell ref="H358:H359"/>
    <mergeCell ref="I358:I359"/>
    <mergeCell ref="J358:J359"/>
    <mergeCell ref="X368:Y368"/>
    <mergeCell ref="X369:Y369"/>
    <mergeCell ref="X370:Y370"/>
    <mergeCell ref="X371:Y371"/>
    <mergeCell ref="X372:Y372"/>
    <mergeCell ref="X373:Y373"/>
    <mergeCell ref="X362:Y362"/>
    <mergeCell ref="X363:Y363"/>
    <mergeCell ref="X364:Y364"/>
    <mergeCell ref="X365:Y365"/>
    <mergeCell ref="X366:Y366"/>
    <mergeCell ref="X367:Y367"/>
    <mergeCell ref="X387:Y387"/>
    <mergeCell ref="X381:Y381"/>
    <mergeCell ref="X382:Y382"/>
    <mergeCell ref="X383:Y383"/>
    <mergeCell ref="X384:Y384"/>
    <mergeCell ref="X385:Y385"/>
    <mergeCell ref="X386:Y386"/>
    <mergeCell ref="X375:Y375"/>
    <mergeCell ref="X376:Y376"/>
    <mergeCell ref="X377:Y377"/>
    <mergeCell ref="X378:Y378"/>
    <mergeCell ref="X379:Y379"/>
    <mergeCell ref="X380:Y380"/>
  </mergeCells>
  <pageMargins left="3.937007874015748E-2" right="3.937007874015748E-2" top="0.55118110236220474" bottom="0.35433070866141736" header="0.31496062992125984" footer="0.31496062992125984"/>
  <pageSetup paperSize="9" scale="46"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AF1A5-9A89-4E97-AEF9-EF5318608C3E}">
  <sheetPr>
    <tabColor rgb="FF00B0F0"/>
    <pageSetUpPr fitToPage="1"/>
  </sheetPr>
  <dimension ref="A1:AE231"/>
  <sheetViews>
    <sheetView zoomScale="85" zoomScaleNormal="85" workbookViewId="0">
      <pane xSplit="1" ySplit="2" topLeftCell="Q3" activePane="bottomRight" state="frozen"/>
      <selection activeCell="Z62" sqref="Z62"/>
      <selection pane="topRight" activeCell="Z62" sqref="Z62"/>
      <selection pane="bottomLeft" activeCell="Z62" sqref="Z62"/>
      <selection pane="bottomRight" activeCell="AA218" sqref="AA218"/>
    </sheetView>
  </sheetViews>
  <sheetFormatPr defaultColWidth="9" defaultRowHeight="13.8"/>
  <cols>
    <col min="1" max="1" width="40.09765625" style="39" customWidth="1"/>
    <col min="2" max="8" width="6.09765625" style="39" customWidth="1"/>
    <col min="9" max="9" width="7" style="39" customWidth="1"/>
    <col min="10" max="10" width="6.09765625" style="39" customWidth="1"/>
    <col min="11" max="11" width="7.59765625" style="39" customWidth="1"/>
    <col min="12" max="17" width="6.09765625" style="39" customWidth="1"/>
    <col min="18" max="18" width="7.59765625" style="39" customWidth="1"/>
    <col min="19" max="19" width="7.09765625" style="39" customWidth="1"/>
    <col min="20" max="20" width="17" style="39" customWidth="1"/>
    <col min="21" max="21" width="7.59765625" style="39" customWidth="1"/>
    <col min="22" max="22" width="12.09765625" style="39" customWidth="1"/>
    <col min="23" max="25" width="8.5" style="39" customWidth="1"/>
    <col min="26" max="29" width="9.59765625" style="39" customWidth="1"/>
    <col min="30" max="30" width="41" style="39" customWidth="1"/>
    <col min="31" max="31" width="7.09765625" style="39" customWidth="1"/>
    <col min="32" max="16384" width="9" style="39"/>
  </cols>
  <sheetData>
    <row r="1" spans="1:30" s="1671" customFormat="1" ht="18.600000000000001" thickBot="1">
      <c r="A1" s="8" t="s">
        <v>583</v>
      </c>
      <c r="C1" s="1672"/>
      <c r="D1" s="1672"/>
      <c r="E1" s="1672"/>
      <c r="F1" s="1672"/>
      <c r="G1" s="1672"/>
      <c r="H1" s="1672"/>
      <c r="I1" s="1672"/>
      <c r="J1" s="1672"/>
      <c r="K1" s="6" t="s">
        <v>584</v>
      </c>
      <c r="L1" s="1673">
        <v>15.646599999999999</v>
      </c>
      <c r="M1" s="1672"/>
      <c r="P1" s="1674"/>
      <c r="AD1" s="8" t="s">
        <v>585</v>
      </c>
    </row>
    <row r="2" spans="1:30" ht="14.4" thickBot="1">
      <c r="A2" s="1675"/>
      <c r="B2" s="1676">
        <v>2000</v>
      </c>
      <c r="C2" s="1677">
        <v>2001</v>
      </c>
      <c r="D2" s="1677">
        <v>2002</v>
      </c>
      <c r="E2" s="1677">
        <v>2003</v>
      </c>
      <c r="F2" s="1677">
        <v>2004</v>
      </c>
      <c r="G2" s="1677">
        <v>2005</v>
      </c>
      <c r="H2" s="1677">
        <v>2006</v>
      </c>
      <c r="I2" s="1677">
        <v>2007</v>
      </c>
      <c r="J2" s="1677">
        <v>2008</v>
      </c>
      <c r="K2" s="1677">
        <v>2009</v>
      </c>
      <c r="L2" s="1677">
        <v>2010</v>
      </c>
      <c r="M2" s="1677">
        <v>2011</v>
      </c>
      <c r="N2" s="1677">
        <v>2012</v>
      </c>
      <c r="O2" s="1677">
        <v>2013</v>
      </c>
      <c r="P2" s="1677">
        <v>2014</v>
      </c>
      <c r="Q2" s="1677">
        <v>2015</v>
      </c>
      <c r="R2" s="1677">
        <v>2016</v>
      </c>
      <c r="S2" s="1677">
        <v>2017</v>
      </c>
      <c r="T2" s="1677">
        <v>2018</v>
      </c>
      <c r="U2" s="1677">
        <v>2019</v>
      </c>
      <c r="V2" s="1677">
        <v>2020</v>
      </c>
      <c r="W2" s="1677">
        <v>2021</v>
      </c>
      <c r="X2" s="1678">
        <v>2022</v>
      </c>
      <c r="Y2" s="1677">
        <v>2023</v>
      </c>
      <c r="Z2" s="1678">
        <v>2024</v>
      </c>
      <c r="AA2" s="1678">
        <v>2025</v>
      </c>
      <c r="AB2" s="1678">
        <v>2026</v>
      </c>
      <c r="AC2" s="1678">
        <v>2027</v>
      </c>
      <c r="AD2" s="1679"/>
    </row>
    <row r="3" spans="1:30" s="4" customFormat="1" ht="15.6">
      <c r="A3" s="1680" t="s">
        <v>3</v>
      </c>
      <c r="B3" s="1681"/>
      <c r="C3" s="1682"/>
      <c r="D3" s="1683">
        <f t="shared" ref="D3:L3" si="0">D4/$L$1</f>
        <v>118.23654979356537</v>
      </c>
      <c r="E3" s="1683">
        <f t="shared" si="0"/>
        <v>138.04916084005472</v>
      </c>
      <c r="F3" s="1683">
        <f t="shared" si="0"/>
        <v>158.50088837191467</v>
      </c>
      <c r="G3" s="1683">
        <f t="shared" si="0"/>
        <v>171.92233456469776</v>
      </c>
      <c r="H3" s="1683">
        <f t="shared" si="0"/>
        <v>191.73</v>
      </c>
      <c r="I3" s="1683">
        <f t="shared" si="0"/>
        <v>230.08</v>
      </c>
      <c r="J3" s="1683">
        <f t="shared" si="0"/>
        <v>278.02</v>
      </c>
      <c r="K3" s="1683">
        <f t="shared" si="0"/>
        <v>278.02</v>
      </c>
      <c r="L3" s="1683">
        <f t="shared" si="0"/>
        <v>278.02</v>
      </c>
      <c r="M3" s="1684">
        <v>278.02</v>
      </c>
      <c r="N3" s="1684">
        <v>278.02</v>
      </c>
      <c r="O3" s="1685">
        <v>290</v>
      </c>
      <c r="P3" s="1685">
        <v>320</v>
      </c>
      <c r="Q3" s="1685">
        <v>390</v>
      </c>
      <c r="R3" s="1685">
        <v>430</v>
      </c>
      <c r="S3" s="1685">
        <v>470</v>
      </c>
      <c r="T3" s="1685">
        <v>500</v>
      </c>
      <c r="U3" s="1686">
        <v>540</v>
      </c>
      <c r="V3" s="1686">
        <v>584</v>
      </c>
      <c r="W3" s="1686">
        <v>584</v>
      </c>
      <c r="X3" s="1687">
        <v>654</v>
      </c>
      <c r="Y3" s="1686">
        <v>725</v>
      </c>
      <c r="Z3" s="1686">
        <v>820</v>
      </c>
      <c r="AA3" s="1686"/>
      <c r="AB3" s="1686"/>
      <c r="AC3" s="1686"/>
      <c r="AD3" s="1688" t="s">
        <v>4</v>
      </c>
    </row>
    <row r="4" spans="1:30" s="4" customFormat="1" ht="16.2" thickBot="1">
      <c r="A4" s="1689" t="s">
        <v>586</v>
      </c>
      <c r="B4" s="1690"/>
      <c r="C4" s="1691"/>
      <c r="D4" s="1692">
        <v>1850</v>
      </c>
      <c r="E4" s="1692">
        <v>2160</v>
      </c>
      <c r="F4" s="1692">
        <v>2480</v>
      </c>
      <c r="G4" s="1692">
        <v>2690</v>
      </c>
      <c r="H4" s="1692">
        <v>2999.9226179999996</v>
      </c>
      <c r="I4" s="1692">
        <v>3599.969728</v>
      </c>
      <c r="J4" s="1692">
        <v>4350.0677319999995</v>
      </c>
      <c r="K4" s="1693">
        <v>4350.0677319999995</v>
      </c>
      <c r="L4" s="1693">
        <v>4350.0677319999995</v>
      </c>
      <c r="M4" s="1694"/>
      <c r="N4" s="1694"/>
      <c r="O4" s="1695"/>
      <c r="P4" s="1695"/>
      <c r="Q4" s="1695"/>
      <c r="R4" s="1695"/>
      <c r="S4" s="1695"/>
      <c r="T4" s="1695"/>
      <c r="U4" s="1696"/>
      <c r="V4" s="1696"/>
      <c r="W4" s="1696"/>
      <c r="X4" s="1697"/>
      <c r="Y4" s="1696"/>
      <c r="Z4" s="1697"/>
      <c r="AA4" s="1697"/>
      <c r="AB4" s="1697"/>
      <c r="AC4" s="1697"/>
      <c r="AD4" s="1698" t="s">
        <v>587</v>
      </c>
    </row>
    <row r="5" spans="1:30" s="4" customFormat="1" ht="16.2" thickBot="1">
      <c r="A5" s="1699" t="s">
        <v>588</v>
      </c>
      <c r="B5" s="1700"/>
      <c r="C5" s="1695"/>
      <c r="D5" s="1700"/>
      <c r="E5" s="1695"/>
      <c r="F5" s="1695"/>
      <c r="G5" s="1700"/>
      <c r="H5" s="1695"/>
      <c r="I5" s="1695"/>
      <c r="J5" s="1695"/>
      <c r="K5" s="1695"/>
      <c r="L5" s="1700"/>
      <c r="M5" s="1695"/>
      <c r="N5" s="1700"/>
      <c r="O5" s="1700"/>
      <c r="P5" s="1695"/>
      <c r="Q5" s="1695"/>
      <c r="R5" s="1695"/>
      <c r="S5" s="1695"/>
      <c r="T5" s="1695"/>
      <c r="U5" s="1695"/>
      <c r="V5" s="1695"/>
      <c r="W5" s="1695"/>
      <c r="X5" s="1701"/>
      <c r="Y5" s="1695"/>
      <c r="Z5" s="1701"/>
      <c r="AA5" s="1701"/>
      <c r="AB5" s="1701"/>
      <c r="AC5" s="1701"/>
      <c r="AD5" s="1702" t="s">
        <v>8</v>
      </c>
    </row>
    <row r="6" spans="1:30">
      <c r="A6" s="1703" t="s">
        <v>9</v>
      </c>
      <c r="B6" s="1704">
        <v>0.26</v>
      </c>
      <c r="C6" s="1704">
        <v>0.26</v>
      </c>
      <c r="D6" s="1704">
        <v>0.26</v>
      </c>
      <c r="E6" s="1704">
        <v>0.26</v>
      </c>
      <c r="F6" s="1704">
        <v>0.26</v>
      </c>
      <c r="G6" s="1705">
        <v>0.24</v>
      </c>
      <c r="H6" s="1705">
        <v>0.23</v>
      </c>
      <c r="I6" s="1705">
        <v>0.22</v>
      </c>
      <c r="J6" s="1705">
        <v>0.21</v>
      </c>
      <c r="K6" s="1704">
        <v>0.21</v>
      </c>
      <c r="L6" s="1704">
        <v>0.21</v>
      </c>
      <c r="M6" s="1706">
        <f>L6</f>
        <v>0.21</v>
      </c>
      <c r="N6" s="1704">
        <f>M6</f>
        <v>0.21</v>
      </c>
      <c r="O6" s="1704">
        <f>N6</f>
        <v>0.21</v>
      </c>
      <c r="P6" s="1704">
        <f>O6</f>
        <v>0.21</v>
      </c>
      <c r="Q6" s="1707">
        <v>0.2</v>
      </c>
      <c r="R6" s="1706">
        <v>0.2</v>
      </c>
      <c r="S6" s="1706">
        <v>0.2</v>
      </c>
      <c r="T6" s="1706">
        <v>0.2</v>
      </c>
      <c r="U6" s="1706">
        <v>0.2</v>
      </c>
      <c r="V6" s="1706">
        <v>0.2</v>
      </c>
      <c r="W6" s="1706">
        <v>0.2</v>
      </c>
      <c r="X6" s="1708">
        <v>0.2</v>
      </c>
      <c r="Y6" s="1706">
        <v>0.2</v>
      </c>
      <c r="Z6" s="1708">
        <v>0.2</v>
      </c>
      <c r="AA6" s="1708"/>
      <c r="AB6" s="1708"/>
      <c r="AC6" s="1708"/>
      <c r="AD6" s="1709" t="s">
        <v>10</v>
      </c>
    </row>
    <row r="7" spans="1:30">
      <c r="A7" s="1710" t="s">
        <v>589</v>
      </c>
      <c r="B7" s="1711">
        <f>B6</f>
        <v>0.26</v>
      </c>
      <c r="C7" s="1711">
        <f t="shared" ref="C7:U7" si="1">C6</f>
        <v>0.26</v>
      </c>
      <c r="D7" s="1711">
        <f t="shared" si="1"/>
        <v>0.26</v>
      </c>
      <c r="E7" s="1711">
        <f t="shared" si="1"/>
        <v>0.26</v>
      </c>
      <c r="F7" s="1711">
        <f t="shared" si="1"/>
        <v>0.26</v>
      </c>
      <c r="G7" s="1712">
        <f t="shared" si="1"/>
        <v>0.24</v>
      </c>
      <c r="H7" s="1712">
        <f t="shared" si="1"/>
        <v>0.23</v>
      </c>
      <c r="I7" s="1712">
        <f t="shared" si="1"/>
        <v>0.22</v>
      </c>
      <c r="J7" s="1712">
        <f t="shared" si="1"/>
        <v>0.21</v>
      </c>
      <c r="K7" s="1711">
        <f t="shared" si="1"/>
        <v>0.21</v>
      </c>
      <c r="L7" s="1711">
        <f t="shared" si="1"/>
        <v>0.21</v>
      </c>
      <c r="M7" s="1711">
        <f t="shared" si="1"/>
        <v>0.21</v>
      </c>
      <c r="N7" s="1711">
        <f t="shared" si="1"/>
        <v>0.21</v>
      </c>
      <c r="O7" s="1711">
        <f t="shared" si="1"/>
        <v>0.21</v>
      </c>
      <c r="P7" s="1711">
        <f t="shared" si="1"/>
        <v>0.21</v>
      </c>
      <c r="Q7" s="1712">
        <f t="shared" si="1"/>
        <v>0.2</v>
      </c>
      <c r="R7" s="1711">
        <f t="shared" si="1"/>
        <v>0.2</v>
      </c>
      <c r="S7" s="1711">
        <f t="shared" si="1"/>
        <v>0.2</v>
      </c>
      <c r="T7" s="1711">
        <f t="shared" si="1"/>
        <v>0.2</v>
      </c>
      <c r="U7" s="1711">
        <f t="shared" si="1"/>
        <v>0.2</v>
      </c>
      <c r="V7" s="1711">
        <v>0.2</v>
      </c>
      <c r="W7" s="1711">
        <v>0.2</v>
      </c>
      <c r="X7" s="1713">
        <v>0.2</v>
      </c>
      <c r="Y7" s="1711">
        <v>0.2</v>
      </c>
      <c r="Z7" s="1713">
        <v>0.2</v>
      </c>
      <c r="AA7" s="1713"/>
      <c r="AB7" s="1713"/>
      <c r="AC7" s="1713"/>
      <c r="AD7" s="1714" t="s">
        <v>590</v>
      </c>
    </row>
    <row r="8" spans="1:30">
      <c r="A8" s="1715" t="s">
        <v>22</v>
      </c>
      <c r="B8" s="76">
        <f t="shared" ref="B8:L8" si="2">B9/$L$1</f>
        <v>51.129318829649897</v>
      </c>
      <c r="C8" s="77">
        <f t="shared" si="2"/>
        <v>63.911648537062369</v>
      </c>
      <c r="D8" s="76">
        <f t="shared" si="2"/>
        <v>63.911648537062369</v>
      </c>
      <c r="E8" s="76">
        <f t="shared" si="2"/>
        <v>63.911648537062369</v>
      </c>
      <c r="F8" s="77">
        <f t="shared" si="2"/>
        <v>89.476307951887321</v>
      </c>
      <c r="G8" s="77">
        <f t="shared" si="2"/>
        <v>108.64980251300602</v>
      </c>
      <c r="H8" s="77">
        <f t="shared" si="2"/>
        <v>127.82329707412474</v>
      </c>
      <c r="I8" s="1716">
        <f t="shared" si="2"/>
        <v>127.82329707412474</v>
      </c>
      <c r="J8" s="77">
        <f t="shared" si="2"/>
        <v>143.80120920839033</v>
      </c>
      <c r="K8" s="1716">
        <f t="shared" si="2"/>
        <v>143.80120920839033</v>
      </c>
      <c r="L8" s="76">
        <f t="shared" si="2"/>
        <v>143.80120920839033</v>
      </c>
      <c r="M8" s="1717">
        <v>144</v>
      </c>
      <c r="N8" s="1718">
        <v>144</v>
      </c>
      <c r="O8" s="1718">
        <v>144</v>
      </c>
      <c r="P8" s="1718">
        <v>144</v>
      </c>
      <c r="Q8" s="78">
        <v>154</v>
      </c>
      <c r="R8" s="78">
        <v>170</v>
      </c>
      <c r="S8" s="78">
        <v>180</v>
      </c>
      <c r="T8" s="1719" t="s">
        <v>18</v>
      </c>
      <c r="U8" s="1719" t="s">
        <v>18</v>
      </c>
      <c r="V8" s="1719" t="s">
        <v>18</v>
      </c>
      <c r="W8" s="1719" t="s">
        <v>18</v>
      </c>
      <c r="X8" s="1720" t="s">
        <v>18</v>
      </c>
      <c r="Y8" s="1719"/>
      <c r="Z8" s="1720"/>
      <c r="AA8" s="1720"/>
      <c r="AB8" s="1720"/>
      <c r="AC8" s="1720"/>
      <c r="AD8" s="1721" t="s">
        <v>23</v>
      </c>
    </row>
    <row r="9" spans="1:30" s="419" customFormat="1" ht="13.2">
      <c r="A9" s="1722" t="s">
        <v>591</v>
      </c>
      <c r="B9" s="1723">
        <f>9600/12</f>
        <v>800</v>
      </c>
      <c r="C9" s="1724">
        <f>12000/12</f>
        <v>1000</v>
      </c>
      <c r="D9" s="1723">
        <f>12000/12</f>
        <v>1000</v>
      </c>
      <c r="E9" s="1723">
        <f>12000/12</f>
        <v>1000</v>
      </c>
      <c r="F9" s="1724">
        <f>16800/12</f>
        <v>1400</v>
      </c>
      <c r="G9" s="1724">
        <f>20400/12</f>
        <v>1700</v>
      </c>
      <c r="H9" s="1724">
        <f>24000/12</f>
        <v>2000</v>
      </c>
      <c r="I9" s="1725">
        <f>24000/12</f>
        <v>2000</v>
      </c>
      <c r="J9" s="1724">
        <f>27000/12</f>
        <v>2250</v>
      </c>
      <c r="K9" s="1725">
        <f>27000/12</f>
        <v>2250</v>
      </c>
      <c r="L9" s="1725">
        <f>27000/12</f>
        <v>2250</v>
      </c>
      <c r="M9" s="1723"/>
      <c r="N9" s="1723"/>
      <c r="O9" s="1723"/>
      <c r="P9" s="1723"/>
      <c r="Q9" s="1726"/>
      <c r="R9" s="1726"/>
      <c r="S9" s="1727"/>
      <c r="T9" s="1727"/>
      <c r="U9" s="1727"/>
      <c r="V9" s="1727"/>
      <c r="W9" s="1727"/>
      <c r="X9" s="1728"/>
      <c r="Y9" s="1727"/>
      <c r="Z9" s="1728"/>
      <c r="AA9" s="1728"/>
      <c r="AB9" s="1728"/>
      <c r="AC9" s="1728"/>
      <c r="AD9" s="1729" t="s">
        <v>592</v>
      </c>
    </row>
    <row r="10" spans="1:30" s="319" customFormat="1">
      <c r="A10" s="1730" t="s">
        <v>593</v>
      </c>
      <c r="B10" s="1731" t="s">
        <v>18</v>
      </c>
      <c r="C10" s="1731" t="s">
        <v>18</v>
      </c>
      <c r="D10" s="1731" t="s">
        <v>18</v>
      </c>
      <c r="E10" s="1731" t="s">
        <v>18</v>
      </c>
      <c r="F10" s="1731" t="s">
        <v>18</v>
      </c>
      <c r="G10" s="1731" t="s">
        <v>18</v>
      </c>
      <c r="H10" s="1731" t="s">
        <v>18</v>
      </c>
      <c r="I10" s="1731" t="s">
        <v>18</v>
      </c>
      <c r="J10" s="1731" t="s">
        <v>18</v>
      </c>
      <c r="K10" s="1731" t="s">
        <v>18</v>
      </c>
      <c r="L10" s="1731" t="s">
        <v>18</v>
      </c>
      <c r="M10" s="1731" t="s">
        <v>18</v>
      </c>
      <c r="N10" s="1731" t="s">
        <v>18</v>
      </c>
      <c r="O10" s="1731" t="s">
        <v>18</v>
      </c>
      <c r="P10" s="1731" t="s">
        <v>18</v>
      </c>
      <c r="Q10" s="1731" t="s">
        <v>18</v>
      </c>
      <c r="R10" s="1731" t="s">
        <v>18</v>
      </c>
      <c r="S10" s="1732" t="s">
        <v>18</v>
      </c>
      <c r="T10" s="1732"/>
      <c r="U10" s="1732"/>
      <c r="V10" s="1732"/>
      <c r="W10" s="1732"/>
      <c r="X10" s="1733"/>
      <c r="Y10" s="1732"/>
      <c r="Z10" s="1733"/>
      <c r="AA10" s="1733"/>
      <c r="AB10" s="1733"/>
      <c r="AC10" s="1733"/>
      <c r="AD10" s="1734" t="s">
        <v>594</v>
      </c>
    </row>
    <row r="11" spans="1:30" ht="15.6">
      <c r="A11" s="1735" t="s">
        <v>32</v>
      </c>
      <c r="B11" s="4710"/>
      <c r="C11" s="4710"/>
      <c r="D11" s="4710"/>
      <c r="E11" s="4710"/>
      <c r="F11" s="4710"/>
      <c r="G11" s="4710"/>
      <c r="H11" s="4712"/>
      <c r="I11" s="4712"/>
      <c r="J11" s="4712"/>
      <c r="K11" s="4720"/>
      <c r="L11" s="4710"/>
      <c r="M11" s="4712"/>
      <c r="N11" s="4710"/>
      <c r="O11" s="4710"/>
      <c r="P11" s="4712"/>
      <c r="Q11" s="4714"/>
      <c r="R11" s="4716"/>
      <c r="S11" s="4718"/>
      <c r="T11" s="1736">
        <v>0</v>
      </c>
      <c r="U11" s="1737">
        <v>0</v>
      </c>
      <c r="V11" s="1737">
        <v>0</v>
      </c>
      <c r="W11" s="1737">
        <v>0</v>
      </c>
      <c r="X11" s="1738">
        <v>0</v>
      </c>
      <c r="Y11" s="1737">
        <v>0</v>
      </c>
      <c r="Z11" s="1738">
        <v>0</v>
      </c>
      <c r="AA11" s="1738"/>
      <c r="AB11" s="1738"/>
      <c r="AC11" s="1738"/>
      <c r="AD11" s="1739" t="s">
        <v>33</v>
      </c>
    </row>
    <row r="12" spans="1:30" ht="15.6">
      <c r="A12" s="1740" t="s">
        <v>34</v>
      </c>
      <c r="B12" s="4711"/>
      <c r="C12" s="4711"/>
      <c r="D12" s="4711"/>
      <c r="E12" s="4711"/>
      <c r="F12" s="4711"/>
      <c r="G12" s="4711"/>
      <c r="H12" s="4713"/>
      <c r="I12" s="4713"/>
      <c r="J12" s="4713"/>
      <c r="K12" s="4721"/>
      <c r="L12" s="4711"/>
      <c r="M12" s="4713"/>
      <c r="N12" s="4711"/>
      <c r="O12" s="4711"/>
      <c r="P12" s="4713"/>
      <c r="Q12" s="4715"/>
      <c r="R12" s="4717"/>
      <c r="S12" s="4719"/>
      <c r="T12" s="1741">
        <f>6000/12</f>
        <v>500</v>
      </c>
      <c r="U12" s="1742">
        <v>500</v>
      </c>
      <c r="V12" s="1742">
        <v>500</v>
      </c>
      <c r="W12" s="1742">
        <v>500</v>
      </c>
      <c r="X12" s="1743">
        <v>500</v>
      </c>
      <c r="Y12" s="1741">
        <v>654</v>
      </c>
      <c r="Z12" s="1743">
        <v>654</v>
      </c>
      <c r="AA12" s="1743"/>
      <c r="AB12" s="1743"/>
      <c r="AC12" s="1743"/>
      <c r="AD12" s="1744" t="s">
        <v>35</v>
      </c>
    </row>
    <row r="13" spans="1:30" ht="15.6">
      <c r="A13" s="1740" t="s">
        <v>36</v>
      </c>
      <c r="B13" s="4711"/>
      <c r="C13" s="4711"/>
      <c r="D13" s="4711"/>
      <c r="E13" s="4711"/>
      <c r="F13" s="4711"/>
      <c r="G13" s="4711"/>
      <c r="H13" s="4713"/>
      <c r="I13" s="4713"/>
      <c r="J13" s="4713"/>
      <c r="K13" s="4721"/>
      <c r="L13" s="4711"/>
      <c r="M13" s="4713"/>
      <c r="N13" s="4711"/>
      <c r="O13" s="4711"/>
      <c r="P13" s="4713"/>
      <c r="Q13" s="4715"/>
      <c r="R13" s="4717"/>
      <c r="S13" s="4719"/>
      <c r="T13" s="1745">
        <f>14400/12</f>
        <v>1200</v>
      </c>
      <c r="U13" s="1745">
        <v>1200</v>
      </c>
      <c r="V13" s="1745">
        <v>1200</v>
      </c>
      <c r="W13" s="1745">
        <v>1200</v>
      </c>
      <c r="X13" s="1746">
        <v>1200</v>
      </c>
      <c r="Y13" s="1745">
        <v>1200</v>
      </c>
      <c r="Z13" s="1746">
        <v>1200</v>
      </c>
      <c r="AA13" s="1746"/>
      <c r="AB13" s="1746"/>
      <c r="AC13" s="1746"/>
      <c r="AD13" s="1744" t="s">
        <v>37</v>
      </c>
    </row>
    <row r="14" spans="1:30" ht="15.6">
      <c r="A14" s="1740" t="s">
        <v>38</v>
      </c>
      <c r="B14" s="4711"/>
      <c r="C14" s="4711"/>
      <c r="D14" s="4711"/>
      <c r="E14" s="4711"/>
      <c r="F14" s="4711"/>
      <c r="G14" s="4711"/>
      <c r="H14" s="4713"/>
      <c r="I14" s="4713"/>
      <c r="J14" s="4713"/>
      <c r="K14" s="4721"/>
      <c r="L14" s="4711"/>
      <c r="M14" s="4713"/>
      <c r="N14" s="4711"/>
      <c r="O14" s="4711"/>
      <c r="P14" s="4713"/>
      <c r="Q14" s="4715"/>
      <c r="R14" s="4717"/>
      <c r="S14" s="4719"/>
      <c r="T14" s="1745">
        <f>25200/12</f>
        <v>2100</v>
      </c>
      <c r="U14" s="1745">
        <v>2100</v>
      </c>
      <c r="V14" s="1745">
        <v>2100</v>
      </c>
      <c r="W14" s="1745">
        <v>2100</v>
      </c>
      <c r="X14" s="1746">
        <v>2100</v>
      </c>
      <c r="Y14" s="1745">
        <v>2100</v>
      </c>
      <c r="Z14" s="1746">
        <v>2100</v>
      </c>
      <c r="AA14" s="1746"/>
      <c r="AB14" s="1746"/>
      <c r="AC14" s="1746"/>
      <c r="AD14" s="1744" t="s">
        <v>39</v>
      </c>
    </row>
    <row r="15" spans="1:30" ht="42" customHeight="1">
      <c r="A15" s="1747" t="s">
        <v>595</v>
      </c>
      <c r="B15" s="1748"/>
      <c r="C15" s="1748"/>
      <c r="D15" s="1748"/>
      <c r="E15" s="1748"/>
      <c r="F15" s="1748"/>
      <c r="G15" s="1748"/>
      <c r="H15" s="1749"/>
      <c r="I15" s="1749"/>
      <c r="J15" s="1749"/>
      <c r="K15" s="1750"/>
      <c r="L15" s="1748"/>
      <c r="M15" s="1749"/>
      <c r="N15" s="1748"/>
      <c r="O15" s="1748"/>
      <c r="P15" s="1749"/>
      <c r="Q15" s="1751"/>
      <c r="R15" s="1752"/>
      <c r="S15" s="1753"/>
      <c r="T15" s="4693" t="s">
        <v>596</v>
      </c>
      <c r="U15" s="4694"/>
      <c r="V15" s="4694"/>
      <c r="W15" s="4694"/>
      <c r="X15" s="4694"/>
      <c r="Y15" s="4694"/>
      <c r="Z15" s="1754"/>
      <c r="AA15" s="1754"/>
      <c r="AB15" s="1754"/>
      <c r="AC15" s="1754"/>
      <c r="AD15" s="1755" t="s">
        <v>44</v>
      </c>
    </row>
    <row r="16" spans="1:30" s="31" customFormat="1" ht="27.6">
      <c r="A16" s="1756" t="s">
        <v>597</v>
      </c>
      <c r="B16" s="1757"/>
      <c r="C16" s="1757"/>
      <c r="D16" s="1757"/>
      <c r="E16" s="1757"/>
      <c r="F16" s="1757"/>
      <c r="G16" s="1757"/>
      <c r="H16" s="1758"/>
      <c r="I16" s="1759">
        <f>I17/$L$1</f>
        <v>191.7349456111871</v>
      </c>
      <c r="J16" s="1759">
        <f>J17/$L$1</f>
        <v>191.7349456111871</v>
      </c>
      <c r="K16" s="1759">
        <f>K17/$L$1</f>
        <v>191.7349456111871</v>
      </c>
      <c r="L16" s="1759">
        <f>L17/$L$1</f>
        <v>191.7349456111871</v>
      </c>
      <c r="M16" s="1760">
        <v>192</v>
      </c>
      <c r="N16" s="1761">
        <v>192</v>
      </c>
      <c r="O16" s="1761">
        <v>192</v>
      </c>
      <c r="P16" s="1760">
        <v>210</v>
      </c>
      <c r="Q16" s="1760">
        <v>220</v>
      </c>
      <c r="R16" s="1760">
        <v>225</v>
      </c>
      <c r="S16" s="1760">
        <v>236</v>
      </c>
      <c r="T16" s="1762">
        <v>500</v>
      </c>
      <c r="U16" s="1763">
        <v>500</v>
      </c>
      <c r="V16" s="1763">
        <v>500</v>
      </c>
      <c r="W16" s="1763">
        <v>500</v>
      </c>
      <c r="X16" s="1764">
        <v>500</v>
      </c>
      <c r="Y16" s="1762">
        <v>704</v>
      </c>
      <c r="Z16" s="1762">
        <v>776</v>
      </c>
      <c r="AA16" s="1762"/>
      <c r="AB16" s="1762"/>
      <c r="AC16" s="1762"/>
      <c r="AD16" s="1765" t="s">
        <v>598</v>
      </c>
    </row>
    <row r="17" spans="1:30" s="31" customFormat="1" ht="13.2">
      <c r="A17" s="1766" t="s">
        <v>599</v>
      </c>
      <c r="B17" s="1767"/>
      <c r="C17" s="1767"/>
      <c r="D17" s="1767"/>
      <c r="E17" s="1767"/>
      <c r="F17" s="1767"/>
      <c r="G17" s="1767"/>
      <c r="H17" s="1768"/>
      <c r="I17" s="925">
        <v>3000</v>
      </c>
      <c r="J17" s="926">
        <v>3000</v>
      </c>
      <c r="K17" s="926">
        <v>3000</v>
      </c>
      <c r="L17" s="926">
        <v>3000</v>
      </c>
      <c r="M17" s="926"/>
      <c r="N17" s="926"/>
      <c r="O17" s="926"/>
      <c r="P17" s="1769"/>
      <c r="Q17" s="1769"/>
      <c r="R17" s="1769"/>
      <c r="S17" s="1769"/>
      <c r="T17" s="1770"/>
      <c r="U17" s="1770"/>
      <c r="V17" s="1770"/>
      <c r="W17" s="1770"/>
      <c r="X17" s="1771"/>
      <c r="Y17" s="1770"/>
      <c r="Z17" s="1770"/>
      <c r="AA17" s="1770"/>
      <c r="AB17" s="1770"/>
      <c r="AC17" s="1770"/>
      <c r="AD17" s="1772" t="s">
        <v>600</v>
      </c>
    </row>
    <row r="18" spans="1:30" s="31" customFormat="1" ht="15.6">
      <c r="A18" s="1773" t="s">
        <v>32</v>
      </c>
      <c r="B18" s="1774"/>
      <c r="C18" s="1774"/>
      <c r="D18" s="1774"/>
      <c r="E18" s="1774"/>
      <c r="F18" s="1774"/>
      <c r="G18" s="1774"/>
      <c r="H18" s="1775"/>
      <c r="I18" s="1776"/>
      <c r="J18" s="1777"/>
      <c r="K18" s="1777"/>
      <c r="L18" s="1777"/>
      <c r="M18" s="1777"/>
      <c r="N18" s="1777"/>
      <c r="O18" s="1777"/>
      <c r="P18" s="1778"/>
      <c r="Q18" s="1778"/>
      <c r="R18" s="1778"/>
      <c r="S18" s="1779"/>
      <c r="T18" s="1780">
        <v>0</v>
      </c>
      <c r="U18" s="1781">
        <v>0</v>
      </c>
      <c r="V18" s="1781">
        <v>0</v>
      </c>
      <c r="W18" s="1781">
        <v>0</v>
      </c>
      <c r="X18" s="1782">
        <v>0</v>
      </c>
      <c r="Y18" s="1781" t="s">
        <v>18</v>
      </c>
      <c r="Z18" s="1781" t="s">
        <v>18</v>
      </c>
      <c r="AA18" s="1781"/>
      <c r="AB18" s="1781"/>
      <c r="AC18" s="1781"/>
      <c r="AD18" s="1783" t="s">
        <v>33</v>
      </c>
    </row>
    <row r="19" spans="1:30" s="31" customFormat="1" ht="15.6">
      <c r="A19" s="1773" t="s">
        <v>34</v>
      </c>
      <c r="B19" s="1774"/>
      <c r="C19" s="1774"/>
      <c r="D19" s="1774"/>
      <c r="E19" s="1774"/>
      <c r="F19" s="1774"/>
      <c r="G19" s="1774"/>
      <c r="H19" s="1775"/>
      <c r="I19" s="1776"/>
      <c r="J19" s="1777"/>
      <c r="K19" s="1777"/>
      <c r="L19" s="1777"/>
      <c r="M19" s="1777"/>
      <c r="N19" s="1777"/>
      <c r="O19" s="1777"/>
      <c r="P19" s="1778"/>
      <c r="Q19" s="1778"/>
      <c r="R19" s="1778"/>
      <c r="S19" s="1779"/>
      <c r="T19" s="169">
        <v>500</v>
      </c>
      <c r="U19" s="1781">
        <v>500</v>
      </c>
      <c r="V19" s="1781">
        <v>500</v>
      </c>
      <c r="W19" s="1781">
        <v>500</v>
      </c>
      <c r="X19" s="1782">
        <v>500</v>
      </c>
      <c r="Y19" s="1781" t="s">
        <v>18</v>
      </c>
      <c r="Z19" s="1781" t="s">
        <v>18</v>
      </c>
      <c r="AA19" s="1781"/>
      <c r="AB19" s="1781"/>
      <c r="AC19" s="1781"/>
      <c r="AD19" s="1783" t="s">
        <v>35</v>
      </c>
    </row>
    <row r="20" spans="1:30" s="31" customFormat="1" ht="15.6">
      <c r="A20" s="1773" t="s">
        <v>36</v>
      </c>
      <c r="B20" s="1774"/>
      <c r="C20" s="1774"/>
      <c r="D20" s="1774"/>
      <c r="E20" s="1774"/>
      <c r="F20" s="1774"/>
      <c r="G20" s="1774"/>
      <c r="H20" s="1775"/>
      <c r="I20" s="1776"/>
      <c r="J20" s="1777"/>
      <c r="K20" s="1777"/>
      <c r="L20" s="1777"/>
      <c r="M20" s="1777"/>
      <c r="N20" s="1777"/>
      <c r="O20" s="1777"/>
      <c r="P20" s="1778"/>
      <c r="Q20" s="1778"/>
      <c r="R20" s="1778"/>
      <c r="S20" s="1779"/>
      <c r="T20" s="1784">
        <v>1200</v>
      </c>
      <c r="U20" s="1784">
        <v>1200</v>
      </c>
      <c r="V20" s="1784">
        <v>1200</v>
      </c>
      <c r="W20" s="1784">
        <v>1200</v>
      </c>
      <c r="X20" s="1785">
        <v>1200</v>
      </c>
      <c r="Y20" s="1784" t="s">
        <v>18</v>
      </c>
      <c r="Z20" s="1784" t="s">
        <v>18</v>
      </c>
      <c r="AA20" s="1784"/>
      <c r="AB20" s="1784"/>
      <c r="AC20" s="1784"/>
      <c r="AD20" s="1783" t="s">
        <v>37</v>
      </c>
    </row>
    <row r="21" spans="1:30" ht="15.6">
      <c r="A21" s="1786" t="s">
        <v>38</v>
      </c>
      <c r="B21" s="1787"/>
      <c r="C21" s="1787"/>
      <c r="D21" s="1787"/>
      <c r="E21" s="1787"/>
      <c r="F21" s="1787"/>
      <c r="G21" s="1787"/>
      <c r="H21" s="1788"/>
      <c r="I21" s="1789"/>
      <c r="J21" s="1790"/>
      <c r="K21" s="1790"/>
      <c r="L21" s="1790"/>
      <c r="M21" s="1790"/>
      <c r="N21" s="1790"/>
      <c r="O21" s="1790"/>
      <c r="P21" s="1791"/>
      <c r="Q21" s="1791"/>
      <c r="R21" s="1791"/>
      <c r="S21" s="1792"/>
      <c r="T21" s="1793">
        <v>2100</v>
      </c>
      <c r="U21" s="1793">
        <v>2100</v>
      </c>
      <c r="V21" s="1793">
        <v>2100</v>
      </c>
      <c r="W21" s="1793">
        <v>2100</v>
      </c>
      <c r="X21" s="1794">
        <v>2100</v>
      </c>
      <c r="Y21" s="1793" t="s">
        <v>18</v>
      </c>
      <c r="Z21" s="1793" t="s">
        <v>18</v>
      </c>
      <c r="AA21" s="1793"/>
      <c r="AB21" s="1793"/>
      <c r="AC21" s="1793"/>
      <c r="AD21" s="1795" t="s">
        <v>39</v>
      </c>
    </row>
    <row r="22" spans="1:30" s="31" customFormat="1" ht="28.2">
      <c r="A22" s="1796" t="s">
        <v>601</v>
      </c>
      <c r="B22" s="76">
        <f t="shared" ref="B22:L22" si="3">B24/$L$1</f>
        <v>0</v>
      </c>
      <c r="C22" s="77">
        <f t="shared" si="3"/>
        <v>0</v>
      </c>
      <c r="D22" s="76">
        <f t="shared" si="3"/>
        <v>0</v>
      </c>
      <c r="E22" s="76">
        <f t="shared" si="3"/>
        <v>0</v>
      </c>
      <c r="F22" s="77">
        <f t="shared" si="3"/>
        <v>0</v>
      </c>
      <c r="G22" s="77">
        <f t="shared" si="3"/>
        <v>0</v>
      </c>
      <c r="H22" s="77">
        <f t="shared" si="3"/>
        <v>0</v>
      </c>
      <c r="I22" s="1716">
        <f t="shared" si="3"/>
        <v>0</v>
      </c>
      <c r="J22" s="77">
        <f t="shared" si="3"/>
        <v>0</v>
      </c>
      <c r="K22" s="1716">
        <f t="shared" si="3"/>
        <v>0</v>
      </c>
      <c r="L22" s="76">
        <f t="shared" si="3"/>
        <v>0</v>
      </c>
      <c r="M22" s="1717">
        <f>1728/12</f>
        <v>144</v>
      </c>
      <c r="N22" s="1718">
        <v>144</v>
      </c>
      <c r="O22" s="1718">
        <v>144</v>
      </c>
      <c r="P22" s="1718">
        <v>144</v>
      </c>
      <c r="Q22" s="78">
        <v>154</v>
      </c>
      <c r="R22" s="79">
        <v>154</v>
      </c>
      <c r="S22" s="79">
        <v>154</v>
      </c>
      <c r="T22" s="79">
        <v>154</v>
      </c>
      <c r="U22" s="79">
        <v>154</v>
      </c>
      <c r="V22" s="79">
        <v>154</v>
      </c>
      <c r="W22" s="1797">
        <v>154</v>
      </c>
      <c r="X22" s="1798">
        <v>154</v>
      </c>
      <c r="Y22" s="1797">
        <v>154</v>
      </c>
      <c r="Z22" s="1798" t="s">
        <v>18</v>
      </c>
      <c r="AA22" s="1798"/>
      <c r="AB22" s="1798"/>
      <c r="AC22" s="1798"/>
      <c r="AD22" s="1799" t="s">
        <v>602</v>
      </c>
    </row>
    <row r="23" spans="1:30">
      <c r="A23" s="1800" t="s">
        <v>591</v>
      </c>
      <c r="B23" s="1723">
        <f>9600/12</f>
        <v>800</v>
      </c>
      <c r="C23" s="1724">
        <f>12000/12</f>
        <v>1000</v>
      </c>
      <c r="D23" s="1723">
        <f>12000/12</f>
        <v>1000</v>
      </c>
      <c r="E23" s="1723">
        <f>12000/12</f>
        <v>1000</v>
      </c>
      <c r="F23" s="1724">
        <f>16800/12</f>
        <v>1400</v>
      </c>
      <c r="G23" s="1724">
        <f>20400/12</f>
        <v>1700</v>
      </c>
      <c r="H23" s="1724">
        <f>24000/12</f>
        <v>2000</v>
      </c>
      <c r="I23" s="1725">
        <f>24000/12</f>
        <v>2000</v>
      </c>
      <c r="J23" s="1724">
        <f>27000/12</f>
        <v>2250</v>
      </c>
      <c r="K23" s="1725">
        <f>27000/12</f>
        <v>2250</v>
      </c>
      <c r="L23" s="1725">
        <f>27000/12</f>
        <v>2250</v>
      </c>
      <c r="M23" s="1723"/>
      <c r="N23" s="1724"/>
      <c r="O23" s="1723"/>
      <c r="P23" s="1801"/>
      <c r="Q23" s="1802"/>
      <c r="R23" s="1801"/>
      <c r="S23" s="104"/>
      <c r="T23" s="1803"/>
      <c r="U23" s="1803"/>
      <c r="V23" s="1803"/>
      <c r="W23" s="1803"/>
      <c r="X23" s="1804"/>
      <c r="Y23" s="1803"/>
      <c r="Z23" s="1804"/>
      <c r="AA23" s="1804"/>
      <c r="AB23" s="1804"/>
      <c r="AC23" s="1804"/>
      <c r="AD23" s="1805" t="s">
        <v>592</v>
      </c>
    </row>
    <row r="24" spans="1:30" ht="26.4">
      <c r="A24" s="1800" t="s">
        <v>603</v>
      </c>
      <c r="B24" s="1723"/>
      <c r="C24" s="1724"/>
      <c r="D24" s="1723"/>
      <c r="E24" s="1723"/>
      <c r="F24" s="1724"/>
      <c r="G24" s="1724"/>
      <c r="H24" s="1724"/>
      <c r="I24" s="1725"/>
      <c r="J24" s="1724"/>
      <c r="K24" s="1725"/>
      <c r="L24" s="1725"/>
      <c r="M24" s="1723"/>
      <c r="N24" s="1724"/>
      <c r="O24" s="1723"/>
      <c r="P24" s="1801"/>
      <c r="Q24" s="1802"/>
      <c r="R24" s="1801"/>
      <c r="S24" s="104"/>
      <c r="T24" s="1803"/>
      <c r="U24" s="1803"/>
      <c r="V24" s="1806">
        <v>254</v>
      </c>
      <c r="W24" s="1807">
        <v>254</v>
      </c>
      <c r="X24" s="1808">
        <v>254</v>
      </c>
      <c r="Y24" s="1807">
        <v>254</v>
      </c>
      <c r="Z24" s="1808" t="s">
        <v>18</v>
      </c>
      <c r="AA24" s="1808"/>
      <c r="AB24" s="1808"/>
      <c r="AC24" s="1808"/>
      <c r="AD24" s="1809" t="s">
        <v>604</v>
      </c>
    </row>
    <row r="25" spans="1:30">
      <c r="A25" s="1810" t="s">
        <v>53</v>
      </c>
      <c r="B25" s="1811"/>
      <c r="C25" s="1812"/>
      <c r="D25" s="1811"/>
      <c r="E25" s="1811"/>
      <c r="F25" s="1812"/>
      <c r="G25" s="1812"/>
      <c r="H25" s="1812"/>
      <c r="I25" s="1813"/>
      <c r="J25" s="1812"/>
      <c r="K25" s="1813"/>
      <c r="L25" s="1813"/>
      <c r="M25" s="1811"/>
      <c r="N25" s="1812"/>
      <c r="O25" s="1811"/>
      <c r="P25" s="1814"/>
      <c r="Q25" s="1815"/>
      <c r="R25" s="1814"/>
      <c r="S25" s="1816"/>
      <c r="T25" s="1817" t="s">
        <v>18</v>
      </c>
      <c r="U25" s="1817" t="s">
        <v>18</v>
      </c>
      <c r="V25" s="1817" t="s">
        <v>18</v>
      </c>
      <c r="W25" s="1817" t="s">
        <v>18</v>
      </c>
      <c r="X25" s="1818" t="s">
        <v>18</v>
      </c>
      <c r="Y25" s="1817" t="s">
        <v>18</v>
      </c>
      <c r="Z25" s="1818" t="s">
        <v>18</v>
      </c>
      <c r="AA25" s="1818"/>
      <c r="AB25" s="1818"/>
      <c r="AC25" s="1818"/>
      <c r="AD25" s="1819" t="s">
        <v>54</v>
      </c>
    </row>
    <row r="26" spans="1:30">
      <c r="A26" s="1820"/>
      <c r="B26" s="1821"/>
      <c r="C26" s="1822"/>
      <c r="D26" s="1821"/>
      <c r="E26" s="1821"/>
      <c r="F26" s="1822"/>
      <c r="G26" s="1822"/>
      <c r="H26" s="1822"/>
      <c r="I26" s="1823"/>
      <c r="J26" s="1822"/>
      <c r="K26" s="1823"/>
      <c r="L26" s="1823"/>
      <c r="M26" s="1821"/>
      <c r="N26" s="1822"/>
      <c r="O26" s="1821"/>
      <c r="P26" s="206"/>
      <c r="Q26" s="205"/>
      <c r="R26" s="206"/>
      <c r="S26" s="113"/>
      <c r="T26" s="207"/>
      <c r="U26" s="207"/>
      <c r="V26" s="207"/>
      <c r="W26" s="207"/>
      <c r="X26" s="1824"/>
      <c r="Y26" s="207"/>
      <c r="Z26" s="1824"/>
      <c r="AA26" s="1824"/>
      <c r="AB26" s="1824"/>
      <c r="AC26" s="1824"/>
      <c r="AD26" s="1772"/>
    </row>
    <row r="27" spans="1:30">
      <c r="A27" s="1820"/>
      <c r="B27" s="1821"/>
      <c r="C27" s="1822"/>
      <c r="D27" s="1821"/>
      <c r="E27" s="1821"/>
      <c r="F27" s="1822"/>
      <c r="G27" s="1822"/>
      <c r="H27" s="1822"/>
      <c r="I27" s="1823"/>
      <c r="J27" s="1822"/>
      <c r="K27" s="1823"/>
      <c r="L27" s="1823"/>
      <c r="M27" s="1821"/>
      <c r="N27" s="1822"/>
      <c r="O27" s="1821"/>
      <c r="P27" s="206"/>
      <c r="Q27" s="205"/>
      <c r="R27" s="206"/>
      <c r="S27" s="113"/>
      <c r="T27" s="207"/>
      <c r="U27" s="207"/>
      <c r="V27" s="207"/>
      <c r="W27" s="207"/>
      <c r="X27" s="1824"/>
      <c r="Y27" s="207"/>
      <c r="Z27" s="1824"/>
      <c r="AA27" s="1824"/>
      <c r="AB27" s="1824"/>
      <c r="AC27" s="1824"/>
      <c r="AD27" s="1772"/>
    </row>
    <row r="28" spans="1:30">
      <c r="A28" s="1820"/>
      <c r="B28" s="1821"/>
      <c r="C28" s="1822"/>
      <c r="D28" s="1821"/>
      <c r="E28" s="1821"/>
      <c r="F28" s="1822"/>
      <c r="G28" s="1822"/>
      <c r="H28" s="1822"/>
      <c r="I28" s="1823"/>
      <c r="J28" s="1822"/>
      <c r="K28" s="1823"/>
      <c r="L28" s="1823"/>
      <c r="M28" s="1821"/>
      <c r="N28" s="1822"/>
      <c r="O28" s="1821"/>
      <c r="P28" s="206"/>
      <c r="Q28" s="205"/>
      <c r="R28" s="206"/>
      <c r="S28" s="113"/>
      <c r="T28" s="207"/>
      <c r="U28" s="207"/>
      <c r="V28" s="207"/>
      <c r="W28" s="207"/>
      <c r="X28" s="1824"/>
      <c r="Y28" s="207"/>
      <c r="Z28" s="1824"/>
      <c r="AA28" s="1824"/>
      <c r="AB28" s="1824"/>
      <c r="AC28" s="1824"/>
      <c r="AD28" s="1772"/>
    </row>
    <row r="29" spans="1:30" s="31" customFormat="1" ht="41.4">
      <c r="A29" s="1825" t="s">
        <v>605</v>
      </c>
      <c r="B29" s="219"/>
      <c r="C29" s="219"/>
      <c r="D29" s="219"/>
      <c r="E29" s="219"/>
      <c r="F29" s="219"/>
      <c r="G29" s="219"/>
      <c r="H29" s="220"/>
      <c r="I29" s="1759">
        <f>I30/$L$1</f>
        <v>63.911648537062369</v>
      </c>
      <c r="J29" s="1759">
        <f>J30/$L$1</f>
        <v>63.911648537062369</v>
      </c>
      <c r="K29" s="1759">
        <f>K30/$L$1</f>
        <v>63.911648537062369</v>
      </c>
      <c r="L29" s="1759">
        <f>L30/$L$1</f>
        <v>63.911648537062369</v>
      </c>
      <c r="M29" s="1760">
        <v>64</v>
      </c>
      <c r="N29" s="1761">
        <v>64</v>
      </c>
      <c r="O29" s="1761">
        <v>64</v>
      </c>
      <c r="P29" s="1761">
        <v>64</v>
      </c>
      <c r="Q29" s="1761">
        <v>64</v>
      </c>
      <c r="R29" s="1761">
        <v>64</v>
      </c>
      <c r="S29" s="1761">
        <v>64</v>
      </c>
      <c r="T29" s="167">
        <v>0</v>
      </c>
      <c r="U29" s="1826">
        <v>0</v>
      </c>
      <c r="V29" s="1826">
        <v>0</v>
      </c>
      <c r="W29" s="1826">
        <v>0</v>
      </c>
      <c r="X29" s="1826">
        <v>0</v>
      </c>
      <c r="Y29" s="1826">
        <v>0</v>
      </c>
      <c r="Z29" s="1827">
        <v>0</v>
      </c>
      <c r="AA29" s="1827"/>
      <c r="AB29" s="1827"/>
      <c r="AC29" s="1827"/>
      <c r="AD29" s="1819" t="s">
        <v>606</v>
      </c>
    </row>
    <row r="30" spans="1:30" s="31" customFormat="1" ht="13.2">
      <c r="A30" s="1828" t="s">
        <v>607</v>
      </c>
      <c r="B30" s="1829"/>
      <c r="C30" s="1829"/>
      <c r="D30" s="1829"/>
      <c r="E30" s="1829"/>
      <c r="F30" s="1829"/>
      <c r="G30" s="1829"/>
      <c r="H30" s="1830"/>
      <c r="I30" s="925">
        <v>1000</v>
      </c>
      <c r="J30" s="926">
        <v>1000</v>
      </c>
      <c r="K30" s="926">
        <v>1000</v>
      </c>
      <c r="L30" s="926">
        <v>1000</v>
      </c>
      <c r="M30" s="1831"/>
      <c r="N30" s="1831"/>
      <c r="O30" s="1831"/>
      <c r="P30" s="1831"/>
      <c r="Q30" s="1831"/>
      <c r="R30" s="1831"/>
      <c r="S30" s="1831"/>
      <c r="T30" s="1831"/>
      <c r="U30" s="1832"/>
      <c r="V30" s="1832"/>
      <c r="W30" s="1832"/>
      <c r="X30" s="1833"/>
      <c r="Y30" s="1832"/>
      <c r="Z30" s="1833"/>
      <c r="AA30" s="1833"/>
      <c r="AB30" s="1833"/>
      <c r="AC30" s="1833"/>
      <c r="AD30" s="1834" t="s">
        <v>608</v>
      </c>
    </row>
    <row r="31" spans="1:30" s="31" customFormat="1">
      <c r="A31" s="1835" t="s">
        <v>609</v>
      </c>
      <c r="B31" s="1836"/>
      <c r="C31" s="1836"/>
      <c r="D31" s="1836"/>
      <c r="E31" s="1836"/>
      <c r="F31" s="1836"/>
      <c r="G31" s="1836"/>
      <c r="H31" s="1837"/>
      <c r="I31" s="1838"/>
      <c r="J31" s="1839"/>
      <c r="K31" s="1839"/>
      <c r="L31" s="1839"/>
      <c r="M31" s="1840"/>
      <c r="N31" s="1840"/>
      <c r="O31" s="1840"/>
      <c r="P31" s="1840"/>
      <c r="Q31" s="1840"/>
      <c r="R31" s="1840"/>
      <c r="S31" s="1840"/>
      <c r="T31" s="1840"/>
      <c r="U31" s="1841"/>
      <c r="V31" s="1841"/>
      <c r="W31" s="1841"/>
      <c r="X31" s="1842"/>
      <c r="Y31" s="1841"/>
      <c r="Z31" s="1842"/>
      <c r="AA31" s="1842"/>
      <c r="AB31" s="1842"/>
      <c r="AC31" s="1842"/>
      <c r="AD31" s="1843" t="s">
        <v>610</v>
      </c>
    </row>
    <row r="32" spans="1:30" s="31" customFormat="1" ht="54.6" customHeight="1">
      <c r="A32" s="1844" t="s">
        <v>611</v>
      </c>
      <c r="B32" s="1845">
        <v>0.5</v>
      </c>
      <c r="C32" s="1845">
        <v>0.5</v>
      </c>
      <c r="D32" s="1845">
        <v>0.5</v>
      </c>
      <c r="E32" s="1845">
        <v>0.5</v>
      </c>
      <c r="F32" s="1845">
        <v>0.5</v>
      </c>
      <c r="G32" s="1845">
        <v>0.5</v>
      </c>
      <c r="H32" s="1845">
        <v>0.5</v>
      </c>
      <c r="I32" s="4695" t="s">
        <v>612</v>
      </c>
      <c r="J32" s="4696"/>
      <c r="K32" s="4696"/>
      <c r="L32" s="4696"/>
      <c r="M32" s="4697"/>
      <c r="N32" s="4698" t="s">
        <v>613</v>
      </c>
      <c r="O32" s="4699"/>
      <c r="P32" s="4699"/>
      <c r="Q32" s="4700"/>
      <c r="R32" s="4701" t="s">
        <v>614</v>
      </c>
      <c r="S32" s="4702"/>
      <c r="T32" s="4702"/>
      <c r="U32" s="4702"/>
      <c r="V32" s="4702"/>
      <c r="W32" s="4702"/>
      <c r="X32" s="4702"/>
      <c r="Y32" s="4702"/>
      <c r="Z32" s="4703"/>
      <c r="AA32" s="1846"/>
      <c r="AB32" s="1846"/>
      <c r="AC32" s="1846"/>
      <c r="AD32" s="1847" t="s">
        <v>615</v>
      </c>
    </row>
    <row r="33" spans="1:30" s="31" customFormat="1" ht="13.2">
      <c r="A33" s="1848" t="s">
        <v>616</v>
      </c>
      <c r="B33" s="1849"/>
      <c r="C33" s="1849"/>
      <c r="D33" s="1849"/>
      <c r="E33" s="1849"/>
      <c r="F33" s="1849"/>
      <c r="G33" s="1850"/>
      <c r="H33" s="1851"/>
      <c r="I33" s="1852">
        <v>50000</v>
      </c>
      <c r="J33" s="1853">
        <v>50000</v>
      </c>
      <c r="K33" s="1853">
        <v>50000</v>
      </c>
      <c r="L33" s="1853">
        <v>50000</v>
      </c>
      <c r="M33" s="1854"/>
      <c r="N33" s="1855"/>
      <c r="O33" s="1855"/>
      <c r="P33" s="1855"/>
      <c r="Q33" s="1855"/>
      <c r="R33" s="1855"/>
      <c r="S33" s="1855"/>
      <c r="T33" s="1855"/>
      <c r="U33" s="1855"/>
      <c r="V33" s="1855"/>
      <c r="W33" s="1855"/>
      <c r="X33" s="1855"/>
      <c r="Y33" s="1855"/>
      <c r="Z33" s="1856"/>
      <c r="AA33" s="1856"/>
      <c r="AB33" s="1856"/>
      <c r="AC33" s="1856"/>
      <c r="AD33" s="1857" t="s">
        <v>617</v>
      </c>
    </row>
    <row r="34" spans="1:30" s="4" customFormat="1" ht="48" customHeight="1">
      <c r="A34" s="1858" t="s">
        <v>618</v>
      </c>
      <c r="B34" s="1845">
        <v>0.15</v>
      </c>
      <c r="C34" s="1845">
        <v>0.15</v>
      </c>
      <c r="D34" s="1845">
        <v>0.15</v>
      </c>
      <c r="E34" s="1845">
        <v>0.15</v>
      </c>
      <c r="F34" s="1845">
        <v>0.15</v>
      </c>
      <c r="G34" s="1845">
        <v>0.15</v>
      </c>
      <c r="H34" s="1845">
        <v>0.15</v>
      </c>
      <c r="I34" s="1859">
        <v>0.15</v>
      </c>
      <c r="J34" s="1859">
        <v>0.15</v>
      </c>
      <c r="K34" s="1859">
        <v>0.15</v>
      </c>
      <c r="L34" s="1860">
        <v>0.15</v>
      </c>
      <c r="M34" s="1860">
        <v>0.15</v>
      </c>
      <c r="N34" s="4704" t="s">
        <v>619</v>
      </c>
      <c r="O34" s="4705"/>
      <c r="P34" s="4705"/>
      <c r="Q34" s="4705"/>
      <c r="R34" s="4705"/>
      <c r="S34" s="4705"/>
      <c r="T34" s="4705"/>
      <c r="U34" s="4705"/>
      <c r="V34" s="4705"/>
      <c r="W34" s="4705"/>
      <c r="X34" s="4705"/>
      <c r="Y34" s="4705"/>
      <c r="Z34" s="4706"/>
      <c r="AA34" s="1861"/>
      <c r="AB34" s="1861"/>
      <c r="AC34" s="1861"/>
      <c r="AD34" s="1847" t="s">
        <v>620</v>
      </c>
    </row>
    <row r="35" spans="1:30" s="4" customFormat="1" ht="44.25" customHeight="1" thickBot="1">
      <c r="A35" s="1862" t="s">
        <v>621</v>
      </c>
      <c r="B35" s="1863"/>
      <c r="C35" s="1863"/>
      <c r="D35" s="1863"/>
      <c r="E35" s="1863"/>
      <c r="F35" s="1863"/>
      <c r="G35" s="1863"/>
      <c r="H35" s="1863" t="s">
        <v>622</v>
      </c>
      <c r="I35" s="4707" t="s">
        <v>623</v>
      </c>
      <c r="J35" s="4708"/>
      <c r="K35" s="4708"/>
      <c r="L35" s="4708"/>
      <c r="M35" s="4708"/>
      <c r="N35" s="4708"/>
      <c r="O35" s="4708"/>
      <c r="P35" s="4708"/>
      <c r="Q35" s="4708"/>
      <c r="R35" s="4708"/>
      <c r="S35" s="4708"/>
      <c r="T35" s="4708"/>
      <c r="U35" s="4708"/>
      <c r="V35" s="4708"/>
      <c r="W35" s="4708"/>
      <c r="X35" s="4708"/>
      <c r="Y35" s="4708"/>
      <c r="Z35" s="4709"/>
      <c r="AA35" s="1864"/>
      <c r="AB35" s="1864"/>
      <c r="AC35" s="1864"/>
      <c r="AD35" s="1865" t="s">
        <v>624</v>
      </c>
    </row>
    <row r="36" spans="1:30" s="4" customFormat="1" ht="16.2" thickBot="1">
      <c r="A36" s="1866" t="s">
        <v>625</v>
      </c>
      <c r="B36" s="1867"/>
      <c r="C36" s="1685"/>
      <c r="D36" s="1867"/>
      <c r="E36" s="1685"/>
      <c r="F36" s="1685"/>
      <c r="G36" s="1867"/>
      <c r="H36" s="1685"/>
      <c r="I36" s="1685"/>
      <c r="J36" s="1685"/>
      <c r="K36" s="1685"/>
      <c r="L36" s="1685"/>
      <c r="M36" s="1685"/>
      <c r="N36" s="1685"/>
      <c r="O36" s="1685"/>
      <c r="P36" s="1685"/>
      <c r="Q36" s="1685"/>
      <c r="R36" s="1685"/>
      <c r="S36" s="1685"/>
      <c r="T36" s="1868"/>
      <c r="U36" s="1685"/>
      <c r="V36" s="1685"/>
      <c r="W36" s="1685"/>
      <c r="X36" s="1869"/>
      <c r="Y36" s="1685"/>
      <c r="Z36" s="1869"/>
      <c r="AA36" s="1869"/>
      <c r="AB36" s="1869"/>
      <c r="AC36" s="1869"/>
      <c r="AD36" s="1870" t="s">
        <v>94</v>
      </c>
    </row>
    <row r="37" spans="1:30">
      <c r="A37" s="1871" t="s">
        <v>626</v>
      </c>
      <c r="B37" s="1872">
        <f t="shared" ref="B37:U37" si="4">SUM(B47:B49)</f>
        <v>0.33</v>
      </c>
      <c r="C37" s="1872">
        <f t="shared" si="4"/>
        <v>0.33</v>
      </c>
      <c r="D37" s="1872">
        <f t="shared" si="4"/>
        <v>0.33</v>
      </c>
      <c r="E37" s="1872">
        <f t="shared" si="4"/>
        <v>0.33</v>
      </c>
      <c r="F37" s="1872">
        <f t="shared" si="4"/>
        <v>0.33</v>
      </c>
      <c r="G37" s="1872">
        <f t="shared" si="4"/>
        <v>0.33</v>
      </c>
      <c r="H37" s="1872">
        <f t="shared" si="4"/>
        <v>0.33</v>
      </c>
      <c r="I37" s="1872">
        <f t="shared" si="4"/>
        <v>0.33</v>
      </c>
      <c r="J37" s="1872">
        <f t="shared" si="4"/>
        <v>0.33</v>
      </c>
      <c r="K37" s="1872">
        <f t="shared" si="4"/>
        <v>0.33</v>
      </c>
      <c r="L37" s="1872">
        <f t="shared" si="4"/>
        <v>0.33</v>
      </c>
      <c r="M37" s="1872">
        <f t="shared" si="4"/>
        <v>0.33</v>
      </c>
      <c r="N37" s="1872">
        <f t="shared" si="4"/>
        <v>0.33</v>
      </c>
      <c r="O37" s="1872">
        <f t="shared" si="4"/>
        <v>0.33</v>
      </c>
      <c r="P37" s="1872">
        <f t="shared" si="4"/>
        <v>0.33</v>
      </c>
      <c r="Q37" s="1872">
        <f t="shared" si="4"/>
        <v>0.33</v>
      </c>
      <c r="R37" s="1872">
        <f t="shared" si="4"/>
        <v>0.33</v>
      </c>
      <c r="S37" s="1872">
        <f t="shared" si="4"/>
        <v>0.33</v>
      </c>
      <c r="T37" s="1872">
        <f t="shared" si="4"/>
        <v>0.33</v>
      </c>
      <c r="U37" s="1872">
        <f t="shared" si="4"/>
        <v>0.33</v>
      </c>
      <c r="V37" s="1872">
        <f>SUM(V47:V49)</f>
        <v>0.33</v>
      </c>
      <c r="W37" s="1872">
        <f>SUM(W47:W49)</f>
        <v>0.33</v>
      </c>
      <c r="X37" s="1873">
        <v>0.33</v>
      </c>
      <c r="Y37" s="1872">
        <v>0.33</v>
      </c>
      <c r="Z37" s="1873">
        <v>0.33</v>
      </c>
      <c r="AA37" s="1873"/>
      <c r="AB37" s="1873"/>
      <c r="AC37" s="1873"/>
      <c r="AD37" s="1874" t="s">
        <v>627</v>
      </c>
    </row>
    <row r="38" spans="1:30">
      <c r="A38" s="1875" t="s">
        <v>628</v>
      </c>
      <c r="B38" s="1876"/>
      <c r="C38" s="1876"/>
      <c r="D38" s="1876">
        <f t="shared" ref="D38:U38" si="5">D39-D37</f>
        <v>1.5000000000000013E-2</v>
      </c>
      <c r="E38" s="1876">
        <f t="shared" si="5"/>
        <v>1.5000000000000013E-2</v>
      </c>
      <c r="F38" s="1876">
        <f t="shared" si="5"/>
        <v>1.5000000000000013E-2</v>
      </c>
      <c r="G38" s="1876">
        <f t="shared" si="5"/>
        <v>1.5000000000000013E-2</v>
      </c>
      <c r="H38" s="1876">
        <f t="shared" si="5"/>
        <v>9.000000000000008E-3</v>
      </c>
      <c r="I38" s="1876">
        <f t="shared" si="5"/>
        <v>9.000000000000008E-3</v>
      </c>
      <c r="J38" s="1876">
        <f t="shared" si="5"/>
        <v>9.000000000000008E-3</v>
      </c>
      <c r="K38" s="1876">
        <f>K41-K37</f>
        <v>4.2000000000000037E-2</v>
      </c>
      <c r="L38" s="1876">
        <f t="shared" si="5"/>
        <v>2.200000000000002E-2</v>
      </c>
      <c r="M38" s="1876">
        <f t="shared" si="5"/>
        <v>4.2000000000000037E-2</v>
      </c>
      <c r="N38" s="1876">
        <f t="shared" si="5"/>
        <v>4.2000000000000037E-2</v>
      </c>
      <c r="O38" s="1876">
        <f t="shared" si="5"/>
        <v>3.0000000000000027E-2</v>
      </c>
      <c r="P38" s="1876">
        <f t="shared" si="5"/>
        <v>3.0000000000000027E-2</v>
      </c>
      <c r="Q38" s="1876">
        <f t="shared" si="5"/>
        <v>2.4000000000000021E-2</v>
      </c>
      <c r="R38" s="1876">
        <f t="shared" si="5"/>
        <v>2.4000000000000021E-2</v>
      </c>
      <c r="S38" s="1876">
        <f t="shared" si="5"/>
        <v>2.4000000000000021E-2</v>
      </c>
      <c r="T38" s="1876">
        <f t="shared" si="5"/>
        <v>2.4000000000000021E-2</v>
      </c>
      <c r="U38" s="1876">
        <f t="shared" si="5"/>
        <v>2.4000000000000021E-2</v>
      </c>
      <c r="V38" s="1876">
        <f>V39-V37</f>
        <v>2.4000000000000021E-2</v>
      </c>
      <c r="W38" s="1876">
        <f>W39-W37</f>
        <v>2.4000000000000021E-2</v>
      </c>
      <c r="X38" s="1877">
        <v>4.3999999999999984E-2</v>
      </c>
      <c r="Y38" s="1876">
        <v>4.3999999999999997E-2</v>
      </c>
      <c r="Z38" s="1877">
        <v>4.3999999999999997E-2</v>
      </c>
      <c r="AA38" s="1877"/>
      <c r="AB38" s="1877"/>
      <c r="AC38" s="1877"/>
      <c r="AD38" s="1878" t="s">
        <v>629</v>
      </c>
    </row>
    <row r="39" spans="1:30" s="565" customFormat="1">
      <c r="A39" s="1879" t="s">
        <v>630</v>
      </c>
      <c r="B39" s="1880">
        <f>B43</f>
        <v>0.33</v>
      </c>
      <c r="C39" s="1880">
        <f>C43</f>
        <v>0.33</v>
      </c>
      <c r="D39" s="1881">
        <f t="shared" ref="D39:I39" si="6">D43+D54</f>
        <v>0.34500000000000003</v>
      </c>
      <c r="E39" s="1880">
        <f t="shared" si="6"/>
        <v>0.34500000000000003</v>
      </c>
      <c r="F39" s="1880">
        <f t="shared" si="6"/>
        <v>0.34500000000000003</v>
      </c>
      <c r="G39" s="1880">
        <f t="shared" si="6"/>
        <v>0.34500000000000003</v>
      </c>
      <c r="H39" s="1881">
        <f t="shared" si="6"/>
        <v>0.33900000000000002</v>
      </c>
      <c r="I39" s="1880">
        <f t="shared" si="6"/>
        <v>0.33900000000000002</v>
      </c>
      <c r="J39" s="1880">
        <f>J43+J54</f>
        <v>0.33900000000000002</v>
      </c>
      <c r="K39" s="1881">
        <f>K43+K54</f>
        <v>0.38</v>
      </c>
      <c r="L39" s="1881">
        <f t="shared" ref="L39:U39" si="7">L43+L54</f>
        <v>0.35200000000000004</v>
      </c>
      <c r="M39" s="1880">
        <f t="shared" si="7"/>
        <v>0.37200000000000005</v>
      </c>
      <c r="N39" s="1880">
        <f t="shared" si="7"/>
        <v>0.37200000000000005</v>
      </c>
      <c r="O39" s="1881">
        <f t="shared" si="7"/>
        <v>0.36000000000000004</v>
      </c>
      <c r="P39" s="1880">
        <f t="shared" si="7"/>
        <v>0.36000000000000004</v>
      </c>
      <c r="Q39" s="1882">
        <f t="shared" si="7"/>
        <v>0.35400000000000004</v>
      </c>
      <c r="R39" s="1880">
        <f t="shared" si="7"/>
        <v>0.35400000000000004</v>
      </c>
      <c r="S39" s="1880">
        <f t="shared" si="7"/>
        <v>0.35400000000000004</v>
      </c>
      <c r="T39" s="1880">
        <f t="shared" si="7"/>
        <v>0.35400000000000004</v>
      </c>
      <c r="U39" s="1880">
        <f t="shared" si="7"/>
        <v>0.35400000000000004</v>
      </c>
      <c r="V39" s="1880">
        <f>V43+V54</f>
        <v>0.35400000000000004</v>
      </c>
      <c r="W39" s="1880">
        <f>W43+W54</f>
        <v>0.35400000000000004</v>
      </c>
      <c r="X39" s="1883">
        <v>0.374</v>
      </c>
      <c r="Y39" s="1880">
        <v>0.374</v>
      </c>
      <c r="Z39" s="1883">
        <v>0.374</v>
      </c>
      <c r="AA39" s="1883"/>
      <c r="AB39" s="1883"/>
      <c r="AC39" s="1883"/>
      <c r="AD39" s="1884" t="s">
        <v>631</v>
      </c>
    </row>
    <row r="40" spans="1:30">
      <c r="A40" s="1885"/>
      <c r="B40" s="1886"/>
      <c r="C40" s="1886"/>
      <c r="D40" s="1887"/>
      <c r="E40" s="1886"/>
      <c r="F40" s="1886"/>
      <c r="G40" s="1886"/>
      <c r="H40" s="1887"/>
      <c r="I40" s="1886"/>
      <c r="J40" s="1886"/>
      <c r="K40" s="1888" t="s">
        <v>632</v>
      </c>
      <c r="L40" s="1887"/>
      <c r="M40" s="1886"/>
      <c r="N40" s="1887"/>
      <c r="O40" s="1889"/>
      <c r="P40" s="1886"/>
      <c r="Q40" s="1889"/>
      <c r="R40" s="1886"/>
      <c r="S40" s="1886"/>
      <c r="T40" s="1886"/>
      <c r="U40" s="1890"/>
      <c r="V40" s="1891"/>
      <c r="W40" s="1891"/>
      <c r="X40" s="1892"/>
      <c r="Y40" s="1891"/>
      <c r="Z40" s="1892"/>
      <c r="AA40" s="1892"/>
      <c r="AB40" s="1892"/>
      <c r="AC40" s="1892"/>
      <c r="AD40" s="1893"/>
    </row>
    <row r="41" spans="1:30" s="565" customFormat="1">
      <c r="A41" s="1894"/>
      <c r="B41" s="1895"/>
      <c r="C41" s="1895"/>
      <c r="D41" s="1896"/>
      <c r="E41" s="1895"/>
      <c r="F41" s="1895"/>
      <c r="G41" s="1895"/>
      <c r="H41" s="1896"/>
      <c r="I41" s="1895"/>
      <c r="J41" s="1895"/>
      <c r="K41" s="1896">
        <f>K45+K56</f>
        <v>0.37200000000000005</v>
      </c>
      <c r="L41" s="1896"/>
      <c r="M41" s="1895"/>
      <c r="N41" s="1896"/>
      <c r="O41" s="1897"/>
      <c r="P41" s="1895"/>
      <c r="Q41" s="1897"/>
      <c r="R41" s="1895"/>
      <c r="S41" s="1895"/>
      <c r="T41" s="1895"/>
      <c r="U41" s="1898"/>
      <c r="V41" s="1899"/>
      <c r="W41" s="1899"/>
      <c r="X41" s="1900"/>
      <c r="Y41" s="1899"/>
      <c r="Z41" s="1900"/>
      <c r="AA41" s="1900"/>
      <c r="AB41" s="1900"/>
      <c r="AC41" s="1900"/>
      <c r="AD41" s="1901"/>
    </row>
    <row r="42" spans="1:30" s="319" customFormat="1">
      <c r="A42" s="1902"/>
      <c r="B42" s="1903"/>
      <c r="C42" s="1903"/>
      <c r="D42" s="1904"/>
      <c r="E42" s="1903"/>
      <c r="F42" s="1903"/>
      <c r="G42" s="1903"/>
      <c r="H42" s="1904"/>
      <c r="I42" s="1903"/>
      <c r="J42" s="1903"/>
      <c r="K42" s="1905" t="s">
        <v>344</v>
      </c>
      <c r="L42" s="1904"/>
      <c r="M42" s="1903"/>
      <c r="N42" s="1904"/>
      <c r="O42" s="1906"/>
      <c r="P42" s="1903"/>
      <c r="Q42" s="1906"/>
      <c r="R42" s="1903"/>
      <c r="S42" s="1903"/>
      <c r="T42" s="1903"/>
      <c r="U42" s="562"/>
      <c r="V42" s="1907"/>
      <c r="W42" s="1907"/>
      <c r="X42" s="1908"/>
      <c r="Y42" s="1907"/>
      <c r="Z42" s="1908"/>
      <c r="AA42" s="1908"/>
      <c r="AB42" s="1908"/>
      <c r="AC42" s="1908"/>
      <c r="AD42" s="1909"/>
    </row>
    <row r="43" spans="1:30" s="1916" customFormat="1">
      <c r="A43" s="1910" t="s">
        <v>633</v>
      </c>
      <c r="B43" s="1911">
        <f t="shared" ref="B43:J43" si="8">SUM(B47:B50)</f>
        <v>0.33</v>
      </c>
      <c r="C43" s="1911">
        <f t="shared" si="8"/>
        <v>0.33</v>
      </c>
      <c r="D43" s="70">
        <f t="shared" si="8"/>
        <v>0.33500000000000002</v>
      </c>
      <c r="E43" s="1911">
        <f t="shared" si="8"/>
        <v>0.33500000000000002</v>
      </c>
      <c r="F43" s="1911">
        <f t="shared" si="8"/>
        <v>0.33500000000000002</v>
      </c>
      <c r="G43" s="1911">
        <f t="shared" si="8"/>
        <v>0.33500000000000002</v>
      </c>
      <c r="H43" s="1912">
        <f t="shared" si="8"/>
        <v>0.33300000000000002</v>
      </c>
      <c r="I43" s="1911">
        <f t="shared" si="8"/>
        <v>0.33300000000000002</v>
      </c>
      <c r="J43" s="1911">
        <f t="shared" si="8"/>
        <v>0.33300000000000002</v>
      </c>
      <c r="K43" s="1913">
        <f>K47+K48+K49+K50</f>
        <v>0.34</v>
      </c>
      <c r="L43" s="71">
        <f t="shared" ref="L43:W43" si="9">SUM(L47:L50)</f>
        <v>0.34400000000000003</v>
      </c>
      <c r="M43" s="71">
        <f t="shared" si="9"/>
        <v>0.34400000000000003</v>
      </c>
      <c r="N43" s="71">
        <f t="shared" si="9"/>
        <v>0.34400000000000003</v>
      </c>
      <c r="O43" s="71">
        <f t="shared" si="9"/>
        <v>0.34</v>
      </c>
      <c r="P43" s="71">
        <f t="shared" si="9"/>
        <v>0.34</v>
      </c>
      <c r="Q43" s="1912">
        <f t="shared" si="9"/>
        <v>0.33800000000000002</v>
      </c>
      <c r="R43" s="71">
        <f t="shared" si="9"/>
        <v>0.33800000000000002</v>
      </c>
      <c r="S43" s="71">
        <f t="shared" si="9"/>
        <v>0.33800000000000002</v>
      </c>
      <c r="T43" s="71">
        <f t="shared" si="9"/>
        <v>0.33800000000000002</v>
      </c>
      <c r="U43" s="71">
        <f t="shared" si="9"/>
        <v>0.33800000000000002</v>
      </c>
      <c r="V43" s="71">
        <f t="shared" si="9"/>
        <v>0.33800000000000002</v>
      </c>
      <c r="W43" s="71">
        <f t="shared" si="9"/>
        <v>0.33800000000000002</v>
      </c>
      <c r="X43" s="1914">
        <v>0.33800000000000002</v>
      </c>
      <c r="Y43" s="71">
        <v>0.33800000000000002</v>
      </c>
      <c r="Z43" s="1914">
        <v>0.33800000000000002</v>
      </c>
      <c r="AA43" s="1914"/>
      <c r="AB43" s="1914"/>
      <c r="AC43" s="1914"/>
      <c r="AD43" s="1915" t="s">
        <v>634</v>
      </c>
    </row>
    <row r="44" spans="1:30" s="319" customFormat="1">
      <c r="A44" s="1917"/>
      <c r="B44" s="1918"/>
      <c r="C44" s="1918"/>
      <c r="D44" s="1919"/>
      <c r="E44" s="1918"/>
      <c r="F44" s="1918"/>
      <c r="G44" s="1918"/>
      <c r="H44" s="1920"/>
      <c r="I44" s="1918"/>
      <c r="J44" s="1918"/>
      <c r="K44" s="1921" t="s">
        <v>632</v>
      </c>
      <c r="L44" s="1922"/>
      <c r="M44" s="1922"/>
      <c r="N44" s="1922"/>
      <c r="O44" s="1922"/>
      <c r="P44" s="1922"/>
      <c r="Q44" s="1920"/>
      <c r="R44" s="1922"/>
      <c r="S44" s="1922"/>
      <c r="T44" s="1922"/>
      <c r="U44" s="1923"/>
      <c r="V44" s="1923"/>
      <c r="W44" s="1923"/>
      <c r="X44" s="1924"/>
      <c r="Y44" s="1923"/>
      <c r="Z44" s="1924"/>
      <c r="AA44" s="1924"/>
      <c r="AB44" s="1924"/>
      <c r="AC44" s="1924"/>
      <c r="AD44" s="1925"/>
    </row>
    <row r="45" spans="1:30" s="1916" customFormat="1">
      <c r="A45" s="1926"/>
      <c r="B45" s="1927"/>
      <c r="C45" s="1927"/>
      <c r="D45" s="1928"/>
      <c r="E45" s="1927"/>
      <c r="F45" s="1927"/>
      <c r="G45" s="1927"/>
      <c r="H45" s="1929"/>
      <c r="I45" s="1927"/>
      <c r="J45" s="1927"/>
      <c r="K45" s="1930">
        <f>K47+K49+K52+K48</f>
        <v>0.34400000000000003</v>
      </c>
      <c r="L45" s="1931"/>
      <c r="M45" s="1931"/>
      <c r="N45" s="1931"/>
      <c r="O45" s="1931"/>
      <c r="P45" s="1931"/>
      <c r="Q45" s="1929"/>
      <c r="R45" s="1931"/>
      <c r="S45" s="1931"/>
      <c r="T45" s="1931"/>
      <c r="U45" s="1932"/>
      <c r="V45" s="1932"/>
      <c r="W45" s="1932"/>
      <c r="X45" s="1933"/>
      <c r="Y45" s="1932"/>
      <c r="Z45" s="1933"/>
      <c r="AA45" s="1933"/>
      <c r="AB45" s="1933"/>
      <c r="AC45" s="1933"/>
      <c r="AD45" s="1934"/>
    </row>
    <row r="46" spans="1:30" s="319" customFormat="1">
      <c r="A46" s="1935"/>
      <c r="B46" s="1936"/>
      <c r="C46" s="1936"/>
      <c r="D46" s="1937"/>
      <c r="E46" s="1936"/>
      <c r="F46" s="1936"/>
      <c r="G46" s="1936"/>
      <c r="H46" s="1938"/>
      <c r="I46" s="1936"/>
      <c r="J46" s="1936"/>
      <c r="K46" s="1939" t="s">
        <v>344</v>
      </c>
      <c r="L46" s="1940"/>
      <c r="M46" s="1940"/>
      <c r="N46" s="1940"/>
      <c r="O46" s="1940"/>
      <c r="P46" s="1940"/>
      <c r="Q46" s="1938"/>
      <c r="R46" s="1940"/>
      <c r="S46" s="1940"/>
      <c r="T46" s="1940"/>
      <c r="U46" s="1941"/>
      <c r="V46" s="1941"/>
      <c r="W46" s="1941"/>
      <c r="X46" s="1942"/>
      <c r="Y46" s="1941"/>
      <c r="Z46" s="1942"/>
      <c r="AA46" s="1942"/>
      <c r="AB46" s="1942"/>
      <c r="AC46" s="1942"/>
      <c r="AD46" s="1943"/>
    </row>
    <row r="47" spans="1:30" s="319" customFormat="1">
      <c r="A47" s="1944" t="s">
        <v>635</v>
      </c>
      <c r="B47" s="1945">
        <v>0.16</v>
      </c>
      <c r="C47" s="1945">
        <v>0.16</v>
      </c>
      <c r="D47" s="1945">
        <v>0.16</v>
      </c>
      <c r="E47" s="1945">
        <v>0.16</v>
      </c>
      <c r="F47" s="1945">
        <v>0.16</v>
      </c>
      <c r="G47" s="1945">
        <v>0.16</v>
      </c>
      <c r="H47" s="1945">
        <v>0.16</v>
      </c>
      <c r="I47" s="1945">
        <v>0.16</v>
      </c>
      <c r="J47" s="1945">
        <v>0.16</v>
      </c>
      <c r="K47" s="1945">
        <v>0.16</v>
      </c>
      <c r="L47" s="1945">
        <v>0.16</v>
      </c>
      <c r="M47" s="1945">
        <v>0.16</v>
      </c>
      <c r="N47" s="1945">
        <v>0.16</v>
      </c>
      <c r="O47" s="1945">
        <v>0.16</v>
      </c>
      <c r="P47" s="1945">
        <v>0.16</v>
      </c>
      <c r="Q47" s="1945">
        <v>0.16</v>
      </c>
      <c r="R47" s="1945">
        <v>0.16</v>
      </c>
      <c r="S47" s="1945">
        <v>0.16</v>
      </c>
      <c r="T47" s="1945">
        <v>0.16</v>
      </c>
      <c r="U47" s="1945">
        <v>0.16</v>
      </c>
      <c r="V47" s="1945">
        <v>0.16</v>
      </c>
      <c r="W47" s="1945">
        <v>0.16</v>
      </c>
      <c r="X47" s="1946">
        <v>0.16</v>
      </c>
      <c r="Y47" s="1945">
        <v>0.16</v>
      </c>
      <c r="Z47" s="1946">
        <v>0.16</v>
      </c>
      <c r="AA47" s="1946"/>
      <c r="AB47" s="1946"/>
      <c r="AC47" s="1946"/>
      <c r="AD47" s="1947" t="s">
        <v>636</v>
      </c>
    </row>
    <row r="48" spans="1:30" s="319" customFormat="1">
      <c r="A48" s="1944" t="s">
        <v>637</v>
      </c>
      <c r="B48" s="1945">
        <v>0.04</v>
      </c>
      <c r="C48" s="1945">
        <v>0.04</v>
      </c>
      <c r="D48" s="1945">
        <v>0.04</v>
      </c>
      <c r="E48" s="1945">
        <v>0.04</v>
      </c>
      <c r="F48" s="1945">
        <v>0.04</v>
      </c>
      <c r="G48" s="1945">
        <v>0.04</v>
      </c>
      <c r="H48" s="1945">
        <v>0.04</v>
      </c>
      <c r="I48" s="1945">
        <v>0.04</v>
      </c>
      <c r="J48" s="1945">
        <v>0.04</v>
      </c>
      <c r="K48" s="1945">
        <v>0.04</v>
      </c>
      <c r="L48" s="1945">
        <v>0.04</v>
      </c>
      <c r="M48" s="1945">
        <v>0.04</v>
      </c>
      <c r="N48" s="1945">
        <v>0.04</v>
      </c>
      <c r="O48" s="1945">
        <v>0.04</v>
      </c>
      <c r="P48" s="1945">
        <v>0.04</v>
      </c>
      <c r="Q48" s="1945">
        <v>0.04</v>
      </c>
      <c r="R48" s="1945">
        <v>0.04</v>
      </c>
      <c r="S48" s="1945">
        <v>0.04</v>
      </c>
      <c r="T48" s="1945">
        <v>0.04</v>
      </c>
      <c r="U48" s="1945">
        <v>0.04</v>
      </c>
      <c r="V48" s="1945">
        <v>0.04</v>
      </c>
      <c r="W48" s="1945">
        <v>0.04</v>
      </c>
      <c r="X48" s="1946">
        <v>0.04</v>
      </c>
      <c r="Y48" s="1945">
        <v>0.04</v>
      </c>
      <c r="Z48" s="1946">
        <v>0.04</v>
      </c>
      <c r="AA48" s="1946"/>
      <c r="AB48" s="1946"/>
      <c r="AC48" s="1946"/>
      <c r="AD48" s="1947" t="s">
        <v>638</v>
      </c>
    </row>
    <row r="49" spans="1:30" s="319" customFormat="1">
      <c r="A49" s="1944" t="s">
        <v>639</v>
      </c>
      <c r="B49" s="1945">
        <v>0.13</v>
      </c>
      <c r="C49" s="1945">
        <v>0.13</v>
      </c>
      <c r="D49" s="1945">
        <v>0.13</v>
      </c>
      <c r="E49" s="1945">
        <v>0.13</v>
      </c>
      <c r="F49" s="1945">
        <v>0.13</v>
      </c>
      <c r="G49" s="1945">
        <v>0.13</v>
      </c>
      <c r="H49" s="1945">
        <v>0.13</v>
      </c>
      <c r="I49" s="1945">
        <v>0.13</v>
      </c>
      <c r="J49" s="1945">
        <v>0.13</v>
      </c>
      <c r="K49" s="1945">
        <v>0.13</v>
      </c>
      <c r="L49" s="1945">
        <v>0.13</v>
      </c>
      <c r="M49" s="1945">
        <v>0.13</v>
      </c>
      <c r="N49" s="1945">
        <v>0.13</v>
      </c>
      <c r="O49" s="1945">
        <v>0.13</v>
      </c>
      <c r="P49" s="1945">
        <v>0.13</v>
      </c>
      <c r="Q49" s="1945">
        <v>0.13</v>
      </c>
      <c r="R49" s="1945">
        <v>0.13</v>
      </c>
      <c r="S49" s="1945">
        <v>0.13</v>
      </c>
      <c r="T49" s="1945">
        <v>0.13</v>
      </c>
      <c r="U49" s="1945">
        <v>0.13</v>
      </c>
      <c r="V49" s="1945">
        <v>0.13</v>
      </c>
      <c r="W49" s="1945">
        <v>0.13</v>
      </c>
      <c r="X49" s="1946">
        <v>0.13</v>
      </c>
      <c r="Y49" s="1945">
        <v>0.13</v>
      </c>
      <c r="Z49" s="1946">
        <v>0.13</v>
      </c>
      <c r="AA49" s="1946"/>
      <c r="AB49" s="1946"/>
      <c r="AC49" s="1946"/>
      <c r="AD49" s="1947" t="s">
        <v>640</v>
      </c>
    </row>
    <row r="50" spans="1:30" s="1916" customFormat="1">
      <c r="A50" s="1948" t="s">
        <v>641</v>
      </c>
      <c r="B50" s="1949"/>
      <c r="C50" s="1949"/>
      <c r="D50" s="1950">
        <v>5.0000000000000001E-3</v>
      </c>
      <c r="E50" s="1951">
        <v>5.0000000000000001E-3</v>
      </c>
      <c r="F50" s="1951">
        <v>5.0000000000000001E-3</v>
      </c>
      <c r="G50" s="1951">
        <v>5.0000000000000001E-3</v>
      </c>
      <c r="H50" s="1952">
        <v>3.0000000000000001E-3</v>
      </c>
      <c r="I50" s="1953">
        <v>3.0000000000000001E-3</v>
      </c>
      <c r="J50" s="1953">
        <v>3.0000000000000001E-3</v>
      </c>
      <c r="K50" s="1954">
        <v>0.01</v>
      </c>
      <c r="L50" s="1953">
        <v>1.4E-2</v>
      </c>
      <c r="M50" s="1953">
        <v>1.4E-2</v>
      </c>
      <c r="N50" s="1953">
        <v>1.4E-2</v>
      </c>
      <c r="O50" s="1952">
        <v>0.01</v>
      </c>
      <c r="P50" s="1953">
        <v>0.01</v>
      </c>
      <c r="Q50" s="1952">
        <v>8.0000000000000002E-3</v>
      </c>
      <c r="R50" s="1953">
        <v>8.0000000000000002E-3</v>
      </c>
      <c r="S50" s="1953">
        <v>8.0000000000000002E-3</v>
      </c>
      <c r="T50" s="1953">
        <v>8.0000000000000002E-3</v>
      </c>
      <c r="U50" s="1953">
        <v>8.0000000000000002E-3</v>
      </c>
      <c r="V50" s="1953">
        <v>8.0000000000000002E-3</v>
      </c>
      <c r="W50" s="1953">
        <v>8.0000000000000002E-3</v>
      </c>
      <c r="X50" s="1955">
        <v>8.0000000000000002E-3</v>
      </c>
      <c r="Y50" s="1953">
        <v>8.0000000000000002E-3</v>
      </c>
      <c r="Z50" s="1955">
        <v>8.0000000000000002E-3</v>
      </c>
      <c r="AA50" s="1955"/>
      <c r="AB50" s="1955"/>
      <c r="AC50" s="1955"/>
      <c r="AD50" s="1956" t="s">
        <v>642</v>
      </c>
    </row>
    <row r="51" spans="1:30" s="319" customFormat="1">
      <c r="A51" s="1957"/>
      <c r="B51" s="1958"/>
      <c r="C51" s="1958"/>
      <c r="D51" s="1959"/>
      <c r="E51" s="1960"/>
      <c r="F51" s="1960"/>
      <c r="G51" s="1960"/>
      <c r="H51" s="1961"/>
      <c r="I51" s="1962"/>
      <c r="J51" s="1962"/>
      <c r="K51" s="1888" t="s">
        <v>632</v>
      </c>
      <c r="L51" s="1962"/>
      <c r="M51" s="1962"/>
      <c r="N51" s="1962"/>
      <c r="O51" s="1961"/>
      <c r="P51" s="1962"/>
      <c r="Q51" s="1961"/>
      <c r="R51" s="1962"/>
      <c r="S51" s="1962"/>
      <c r="T51" s="1962"/>
      <c r="U51" s="1963"/>
      <c r="V51" s="1963"/>
      <c r="W51" s="1963"/>
      <c r="X51" s="1964"/>
      <c r="Y51" s="1963"/>
      <c r="Z51" s="1964"/>
      <c r="AA51" s="1964"/>
      <c r="AB51" s="1964"/>
      <c r="AC51" s="1964"/>
      <c r="AD51" s="1965"/>
    </row>
    <row r="52" spans="1:30" s="1916" customFormat="1">
      <c r="A52" s="1966"/>
      <c r="B52" s="1967"/>
      <c r="C52" s="1967"/>
      <c r="D52" s="1968"/>
      <c r="E52" s="1969"/>
      <c r="F52" s="1969"/>
      <c r="G52" s="1969"/>
      <c r="H52" s="1970"/>
      <c r="I52" s="1971"/>
      <c r="J52" s="1971"/>
      <c r="K52" s="1972">
        <v>1.4E-2</v>
      </c>
      <c r="L52" s="1971"/>
      <c r="M52" s="1971"/>
      <c r="N52" s="1971"/>
      <c r="O52" s="1970"/>
      <c r="P52" s="1971"/>
      <c r="Q52" s="1970"/>
      <c r="R52" s="1971"/>
      <c r="S52" s="1971"/>
      <c r="T52" s="1971"/>
      <c r="U52" s="1973"/>
      <c r="V52" s="1973"/>
      <c r="W52" s="1973"/>
      <c r="X52" s="1974"/>
      <c r="Y52" s="1973"/>
      <c r="Z52" s="1974"/>
      <c r="AA52" s="1974"/>
      <c r="AB52" s="1974"/>
      <c r="AC52" s="1974"/>
      <c r="AD52" s="1975"/>
    </row>
    <row r="53" spans="1:30" s="319" customFormat="1">
      <c r="A53" s="1976"/>
      <c r="B53" s="1977"/>
      <c r="C53" s="1977"/>
      <c r="D53" s="1978"/>
      <c r="E53" s="1979"/>
      <c r="F53" s="1979"/>
      <c r="G53" s="1979"/>
      <c r="H53" s="1980"/>
      <c r="I53" s="1981"/>
      <c r="J53" s="1981"/>
      <c r="K53" s="1905" t="s">
        <v>344</v>
      </c>
      <c r="L53" s="1981"/>
      <c r="M53" s="1981"/>
      <c r="N53" s="1981"/>
      <c r="O53" s="1980"/>
      <c r="P53" s="1981"/>
      <c r="Q53" s="1980"/>
      <c r="R53" s="1981"/>
      <c r="S53" s="1981"/>
      <c r="T53" s="1981"/>
      <c r="U53" s="1982"/>
      <c r="V53" s="1982"/>
      <c r="W53" s="1982"/>
      <c r="X53" s="1983"/>
      <c r="Y53" s="1982"/>
      <c r="Z53" s="1983"/>
      <c r="AA53" s="1983"/>
      <c r="AB53" s="1983"/>
      <c r="AC53" s="1983"/>
      <c r="AD53" s="1984"/>
    </row>
    <row r="54" spans="1:30" s="319" customFormat="1">
      <c r="A54" s="1985" t="s">
        <v>643</v>
      </c>
      <c r="B54" s="1911" t="s">
        <v>18</v>
      </c>
      <c r="C54" s="1911" t="s">
        <v>18</v>
      </c>
      <c r="D54" s="70">
        <f>SUM(D58:D58)</f>
        <v>0.01</v>
      </c>
      <c r="E54" s="71">
        <f>SUM(E58:E58)</f>
        <v>0.01</v>
      </c>
      <c r="F54" s="71">
        <f>SUM(F58:F58)</f>
        <v>0.01</v>
      </c>
      <c r="G54" s="71">
        <f>SUM(G58:G58)</f>
        <v>0.01</v>
      </c>
      <c r="H54" s="71">
        <f>SUM(H58:H58)</f>
        <v>6.0000000000000001E-3</v>
      </c>
      <c r="I54" s="1911">
        <f>H54</f>
        <v>6.0000000000000001E-3</v>
      </c>
      <c r="J54" s="1911">
        <f>I54</f>
        <v>6.0000000000000001E-3</v>
      </c>
      <c r="K54" s="1913">
        <f>K62+K58</f>
        <v>0.04</v>
      </c>
      <c r="L54" s="1912">
        <f t="shared" ref="L54:W54" si="10">SUM(L58:L58)</f>
        <v>8.0000000000000002E-3</v>
      </c>
      <c r="M54" s="70">
        <f t="shared" si="10"/>
        <v>2.8000000000000001E-2</v>
      </c>
      <c r="N54" s="71">
        <f t="shared" si="10"/>
        <v>2.8000000000000001E-2</v>
      </c>
      <c r="O54" s="1912">
        <f t="shared" si="10"/>
        <v>0.02</v>
      </c>
      <c r="P54" s="71">
        <f t="shared" si="10"/>
        <v>0.02</v>
      </c>
      <c r="Q54" s="1912">
        <f t="shared" si="10"/>
        <v>1.6E-2</v>
      </c>
      <c r="R54" s="71">
        <f t="shared" si="10"/>
        <v>1.6E-2</v>
      </c>
      <c r="S54" s="71">
        <f t="shared" si="10"/>
        <v>1.6E-2</v>
      </c>
      <c r="T54" s="71">
        <f t="shared" si="10"/>
        <v>1.6E-2</v>
      </c>
      <c r="U54" s="71">
        <f t="shared" si="10"/>
        <v>1.6E-2</v>
      </c>
      <c r="V54" s="71">
        <f t="shared" si="10"/>
        <v>1.6E-2</v>
      </c>
      <c r="W54" s="71">
        <f t="shared" si="10"/>
        <v>1.6E-2</v>
      </c>
      <c r="X54" s="1914">
        <v>3.6000000000000004E-2</v>
      </c>
      <c r="Y54" s="71">
        <v>3.6000000000000004E-2</v>
      </c>
      <c r="Z54" s="1914">
        <v>3.5999999999999997E-2</v>
      </c>
      <c r="AA54" s="1914"/>
      <c r="AB54" s="1914"/>
      <c r="AC54" s="1914"/>
      <c r="AD54" s="1915" t="s">
        <v>644</v>
      </c>
    </row>
    <row r="55" spans="1:30" s="319" customFormat="1" ht="14.4">
      <c r="A55" s="1986"/>
      <c r="B55" s="1927"/>
      <c r="C55" s="1927"/>
      <c r="D55" s="1928"/>
      <c r="E55" s="1931"/>
      <c r="F55" s="1931"/>
      <c r="G55" s="1931"/>
      <c r="H55" s="1931"/>
      <c r="I55" s="1927"/>
      <c r="J55" s="1927"/>
      <c r="K55" s="1921" t="s">
        <v>632</v>
      </c>
      <c r="L55" s="1931"/>
      <c r="M55" s="1928"/>
      <c r="N55" s="1931"/>
      <c r="O55" s="1929"/>
      <c r="P55" s="1931"/>
      <c r="Q55" s="1929"/>
      <c r="R55" s="1931"/>
      <c r="S55" s="1931"/>
      <c r="T55" s="1931"/>
      <c r="U55" s="1932"/>
      <c r="V55" s="1932"/>
      <c r="W55" s="1932"/>
      <c r="X55" s="1933"/>
      <c r="Y55" s="1932"/>
      <c r="Z55" s="1933"/>
      <c r="AA55" s="1933"/>
      <c r="AB55" s="1933"/>
      <c r="AC55" s="1933"/>
      <c r="AD55" s="1934"/>
    </row>
    <row r="56" spans="1:30" s="319" customFormat="1" ht="14.4">
      <c r="A56" s="1986"/>
      <c r="B56" s="1927"/>
      <c r="C56" s="1927"/>
      <c r="D56" s="1928"/>
      <c r="E56" s="1931"/>
      <c r="F56" s="1931"/>
      <c r="G56" s="1931"/>
      <c r="H56" s="1931"/>
      <c r="I56" s="1927"/>
      <c r="J56" s="1927"/>
      <c r="K56" s="1930">
        <f>K62+K60</f>
        <v>2.8000000000000001E-2</v>
      </c>
      <c r="L56" s="1931"/>
      <c r="M56" s="1928"/>
      <c r="N56" s="1931"/>
      <c r="O56" s="1929"/>
      <c r="P56" s="1931"/>
      <c r="Q56" s="1929"/>
      <c r="R56" s="1931"/>
      <c r="S56" s="1931"/>
      <c r="T56" s="1931"/>
      <c r="U56" s="1932"/>
      <c r="V56" s="1932"/>
      <c r="W56" s="1932"/>
      <c r="X56" s="1933"/>
      <c r="Y56" s="1932"/>
      <c r="Z56" s="1933"/>
      <c r="AA56" s="1933"/>
      <c r="AB56" s="1933"/>
      <c r="AC56" s="1933"/>
      <c r="AD56" s="1934"/>
    </row>
    <row r="57" spans="1:30" s="319" customFormat="1" ht="14.4">
      <c r="A57" s="1987"/>
      <c r="B57" s="1988"/>
      <c r="C57" s="1988"/>
      <c r="D57" s="61"/>
      <c r="E57" s="62"/>
      <c r="F57" s="62"/>
      <c r="G57" s="62"/>
      <c r="H57" s="62"/>
      <c r="I57" s="1988"/>
      <c r="J57" s="1988"/>
      <c r="K57" s="1939" t="s">
        <v>344</v>
      </c>
      <c r="L57" s="62"/>
      <c r="M57" s="61"/>
      <c r="N57" s="62"/>
      <c r="O57" s="1989"/>
      <c r="P57" s="62"/>
      <c r="Q57" s="1989"/>
      <c r="R57" s="62"/>
      <c r="S57" s="62"/>
      <c r="T57" s="62"/>
      <c r="U57" s="1990"/>
      <c r="V57" s="1990"/>
      <c r="W57" s="1990"/>
      <c r="X57" s="1991"/>
      <c r="Y57" s="1990"/>
      <c r="Z57" s="1991"/>
      <c r="AA57" s="1991"/>
      <c r="AB57" s="1991"/>
      <c r="AC57" s="1991"/>
      <c r="AD57" s="1992"/>
    </row>
    <row r="58" spans="1:30" s="1916" customFormat="1">
      <c r="A58" s="1948" t="s">
        <v>645</v>
      </c>
      <c r="B58" s="1949"/>
      <c r="C58" s="1949"/>
      <c r="D58" s="1950">
        <v>0.01</v>
      </c>
      <c r="E58" s="1951">
        <v>0.01</v>
      </c>
      <c r="F58" s="1951">
        <v>0.01</v>
      </c>
      <c r="G58" s="1951">
        <v>0.01</v>
      </c>
      <c r="H58" s="1993">
        <v>6.0000000000000001E-3</v>
      </c>
      <c r="I58" s="1951">
        <v>6.0000000000000001E-3</v>
      </c>
      <c r="J58" s="1951">
        <v>6.0000000000000001E-3</v>
      </c>
      <c r="K58" s="1954">
        <v>0.02</v>
      </c>
      <c r="L58" s="1993">
        <v>8.0000000000000002E-3</v>
      </c>
      <c r="M58" s="1950">
        <v>2.8000000000000001E-2</v>
      </c>
      <c r="N58" s="1951">
        <v>2.8000000000000001E-2</v>
      </c>
      <c r="O58" s="1993">
        <v>0.02</v>
      </c>
      <c r="P58" s="1951">
        <v>0.02</v>
      </c>
      <c r="Q58" s="1993">
        <v>1.6E-2</v>
      </c>
      <c r="R58" s="1951">
        <v>1.6E-2</v>
      </c>
      <c r="S58" s="1951">
        <v>1.6E-2</v>
      </c>
      <c r="T58" s="1951">
        <v>1.6E-2</v>
      </c>
      <c r="U58" s="1951">
        <v>1.6E-2</v>
      </c>
      <c r="V58" s="1951">
        <v>1.6E-2</v>
      </c>
      <c r="W58" s="1951">
        <v>1.6E-2</v>
      </c>
      <c r="X58" s="1994">
        <v>1.6E-2</v>
      </c>
      <c r="Y58" s="1951">
        <v>1.6E-2</v>
      </c>
      <c r="Z58" s="1994">
        <v>1.6E-2</v>
      </c>
      <c r="AA58" s="1994"/>
      <c r="AB58" s="1994"/>
      <c r="AC58" s="1994"/>
      <c r="AD58" s="1956" t="s">
        <v>642</v>
      </c>
    </row>
    <row r="59" spans="1:30" s="319" customFormat="1">
      <c r="A59" s="1957"/>
      <c r="B59" s="1958"/>
      <c r="C59" s="1958"/>
      <c r="D59" s="1959"/>
      <c r="E59" s="1960"/>
      <c r="F59" s="1960"/>
      <c r="G59" s="1960"/>
      <c r="H59" s="1995"/>
      <c r="I59" s="1960"/>
      <c r="J59" s="1960"/>
      <c r="K59" s="1888" t="s">
        <v>632</v>
      </c>
      <c r="L59" s="1995"/>
      <c r="M59" s="1959"/>
      <c r="N59" s="1960"/>
      <c r="O59" s="1995"/>
      <c r="P59" s="1960"/>
      <c r="Q59" s="1995"/>
      <c r="R59" s="1960"/>
      <c r="S59" s="1960"/>
      <c r="T59" s="1996"/>
      <c r="U59" s="1963"/>
      <c r="V59" s="1963"/>
      <c r="W59" s="1963"/>
      <c r="X59" s="1964"/>
      <c r="Y59" s="1963"/>
      <c r="Z59" s="1964"/>
      <c r="AA59" s="1964"/>
      <c r="AB59" s="1964"/>
      <c r="AC59" s="1964"/>
      <c r="AD59" s="1965"/>
    </row>
    <row r="60" spans="1:30" s="1916" customFormat="1" ht="14.4">
      <c r="A60" s="1966"/>
      <c r="B60" s="1967"/>
      <c r="C60" s="1967"/>
      <c r="D60" s="1968"/>
      <c r="E60" s="1969"/>
      <c r="F60" s="1969"/>
      <c r="G60" s="1969"/>
      <c r="H60" s="1997"/>
      <c r="I60" s="1969"/>
      <c r="J60" s="1969"/>
      <c r="K60" s="1972">
        <v>8.0000000000000002E-3</v>
      </c>
      <c r="L60" s="1997"/>
      <c r="M60" s="1968"/>
      <c r="N60" s="1969"/>
      <c r="O60" s="1997"/>
      <c r="P60" s="1969"/>
      <c r="Q60" s="1997"/>
      <c r="R60" s="1969"/>
      <c r="S60" s="1969"/>
      <c r="T60" s="1998"/>
      <c r="U60" s="1973"/>
      <c r="V60" s="1973"/>
      <c r="W60" s="1973"/>
      <c r="X60" s="1974"/>
      <c r="Y60" s="1973"/>
      <c r="Z60" s="1974"/>
      <c r="AA60" s="1974"/>
      <c r="AB60" s="1974"/>
      <c r="AC60" s="1974"/>
      <c r="AD60" s="1975"/>
    </row>
    <row r="61" spans="1:30" ht="19.5" customHeight="1">
      <c r="A61" s="1999"/>
      <c r="B61" s="2000"/>
      <c r="C61" s="2000"/>
      <c r="D61" s="2001"/>
      <c r="E61" s="2002"/>
      <c r="F61" s="2002"/>
      <c r="G61" s="2002"/>
      <c r="H61" s="2003"/>
      <c r="I61" s="2002"/>
      <c r="J61" s="2002"/>
      <c r="K61" s="2004" t="s">
        <v>344</v>
      </c>
      <c r="L61" s="2003"/>
      <c r="M61" s="2001"/>
      <c r="N61" s="2002"/>
      <c r="O61" s="2003"/>
      <c r="P61" s="2002"/>
      <c r="Q61" s="2003"/>
      <c r="R61" s="2002"/>
      <c r="S61" s="2002"/>
      <c r="T61" s="2005"/>
      <c r="U61" s="2006"/>
      <c r="V61" s="2006"/>
      <c r="W61" s="2006"/>
      <c r="X61" s="2007"/>
      <c r="Y61" s="2006"/>
      <c r="Z61" s="2007"/>
      <c r="AA61" s="2007"/>
      <c r="AB61" s="2007"/>
      <c r="AC61" s="2007"/>
      <c r="AD61" s="2008"/>
    </row>
    <row r="62" spans="1:30" ht="19.5" customHeight="1">
      <c r="A62" s="1944" t="s">
        <v>646</v>
      </c>
      <c r="B62" s="2009"/>
      <c r="C62" s="2009"/>
      <c r="D62" s="1881"/>
      <c r="E62" s="2009"/>
      <c r="F62" s="2009"/>
      <c r="G62" s="2009"/>
      <c r="H62" s="2010">
        <v>0.02</v>
      </c>
      <c r="I62" s="2011">
        <v>0.02</v>
      </c>
      <c r="J62" s="2011">
        <v>0.02</v>
      </c>
      <c r="K62" s="2011">
        <v>0.02</v>
      </c>
      <c r="L62" s="2011">
        <v>0.02</v>
      </c>
      <c r="M62" s="2011">
        <v>0.02</v>
      </c>
      <c r="N62" s="2011">
        <v>0.02</v>
      </c>
      <c r="O62" s="2011">
        <v>0.02</v>
      </c>
      <c r="P62" s="2011">
        <v>0.02</v>
      </c>
      <c r="Q62" s="2011">
        <v>0.02</v>
      </c>
      <c r="R62" s="2011">
        <v>0.02</v>
      </c>
      <c r="S62" s="2011">
        <v>0.02</v>
      </c>
      <c r="T62" s="2011">
        <v>0.02</v>
      </c>
      <c r="U62" s="2011">
        <v>0.02</v>
      </c>
      <c r="V62" s="2011">
        <v>0.02</v>
      </c>
      <c r="W62" s="2011">
        <v>0.02</v>
      </c>
      <c r="X62" s="2012">
        <v>0.02</v>
      </c>
      <c r="Y62" s="2011">
        <v>0.02</v>
      </c>
      <c r="Z62" s="2012">
        <v>0.02</v>
      </c>
      <c r="AA62" s="2012"/>
      <c r="AB62" s="2012"/>
      <c r="AC62" s="2012"/>
      <c r="AD62" s="1947" t="s">
        <v>647</v>
      </c>
    </row>
    <row r="63" spans="1:30" s="419" customFormat="1">
      <c r="A63" s="2013" t="s">
        <v>648</v>
      </c>
      <c r="B63" s="2014">
        <v>0.33</v>
      </c>
      <c r="C63" s="2014">
        <v>0.33</v>
      </c>
      <c r="D63" s="2014">
        <v>0.33</v>
      </c>
      <c r="E63" s="2014">
        <v>0.33</v>
      </c>
      <c r="F63" s="2014">
        <v>0.33</v>
      </c>
      <c r="G63" s="2014">
        <v>0.33</v>
      </c>
      <c r="H63" s="2014">
        <v>0.33</v>
      </c>
      <c r="I63" s="2014">
        <v>0.33</v>
      </c>
      <c r="J63" s="2014">
        <v>0.33</v>
      </c>
      <c r="K63" s="2014">
        <v>0.33</v>
      </c>
      <c r="L63" s="2014">
        <v>0.33</v>
      </c>
      <c r="M63" s="2014">
        <v>0.33</v>
      </c>
      <c r="N63" s="2014">
        <v>0.33</v>
      </c>
      <c r="O63" s="2014">
        <v>0.33</v>
      </c>
      <c r="P63" s="2014">
        <v>0.33</v>
      </c>
      <c r="Q63" s="2014">
        <v>0.33</v>
      </c>
      <c r="R63" s="2014">
        <v>0.33</v>
      </c>
      <c r="S63" s="2014">
        <v>0.33</v>
      </c>
      <c r="T63" s="2014">
        <v>0.33</v>
      </c>
      <c r="U63" s="2014">
        <v>0.33</v>
      </c>
      <c r="V63" s="2014">
        <v>0.33</v>
      </c>
      <c r="W63" s="2014">
        <v>0.33</v>
      </c>
      <c r="X63" s="2015">
        <v>0.33</v>
      </c>
      <c r="Y63" s="2014">
        <v>0.33</v>
      </c>
      <c r="Z63" s="2015">
        <v>0.33</v>
      </c>
      <c r="AA63" s="2015"/>
      <c r="AB63" s="2015"/>
      <c r="AC63" s="2015"/>
      <c r="AD63" s="2016" t="s">
        <v>649</v>
      </c>
    </row>
    <row r="64" spans="1:30" s="4" customFormat="1" ht="15.6">
      <c r="A64" s="2017" t="s">
        <v>650</v>
      </c>
      <c r="B64" s="2018"/>
      <c r="C64" s="2019">
        <v>44.738153975943661</v>
      </c>
      <c r="D64" s="2019">
        <v>44.738153975943661</v>
      </c>
      <c r="E64" s="2019">
        <v>44.738153975943661</v>
      </c>
      <c r="F64" s="2019">
        <v>44.738153975943661</v>
      </c>
      <c r="G64" s="2019">
        <v>44.738153975943661</v>
      </c>
      <c r="H64" s="2020">
        <v>89.476307951887321</v>
      </c>
      <c r="I64" s="2020">
        <v>127.82</v>
      </c>
      <c r="J64" s="2020">
        <v>172.55999999999997</v>
      </c>
      <c r="K64" s="2020">
        <v>278.02</v>
      </c>
      <c r="L64" s="2019">
        <v>278.02</v>
      </c>
      <c r="M64" s="2019">
        <v>278.02</v>
      </c>
      <c r="N64" s="2019">
        <v>278.02</v>
      </c>
      <c r="O64" s="2021">
        <v>290</v>
      </c>
      <c r="P64" s="2021">
        <v>320</v>
      </c>
      <c r="Q64" s="2021">
        <v>355</v>
      </c>
      <c r="R64" s="2021">
        <v>390</v>
      </c>
      <c r="S64" s="2021">
        <v>430</v>
      </c>
      <c r="T64" s="2021">
        <v>470</v>
      </c>
      <c r="U64" s="2021">
        <v>500</v>
      </c>
      <c r="V64" s="2021">
        <v>540</v>
      </c>
      <c r="W64" s="2021">
        <v>584</v>
      </c>
      <c r="X64" s="2022">
        <v>584</v>
      </c>
      <c r="Y64" s="2021">
        <v>654</v>
      </c>
      <c r="Z64" s="2023">
        <v>725</v>
      </c>
      <c r="AA64" s="2023"/>
      <c r="AB64" s="2023"/>
      <c r="AC64" s="2023"/>
      <c r="AD64" s="2024" t="s">
        <v>651</v>
      </c>
    </row>
    <row r="65" spans="1:31" s="419" customFormat="1">
      <c r="A65" s="2025" t="s">
        <v>652</v>
      </c>
      <c r="B65" s="2026"/>
      <c r="C65" s="2027">
        <f t="shared" ref="C65:H65" si="11">C64*12</f>
        <v>536.85784771132398</v>
      </c>
      <c r="D65" s="2027">
        <f t="shared" si="11"/>
        <v>536.85784771132398</v>
      </c>
      <c r="E65" s="2027">
        <f t="shared" si="11"/>
        <v>536.85784771132398</v>
      </c>
      <c r="F65" s="2027">
        <f t="shared" si="11"/>
        <v>536.85784771132398</v>
      </c>
      <c r="G65" s="2027">
        <f t="shared" si="11"/>
        <v>536.85784771132398</v>
      </c>
      <c r="H65" s="2028">
        <f t="shared" si="11"/>
        <v>1073.715695422648</v>
      </c>
      <c r="I65" s="2028">
        <f>I66/$L$1</f>
        <v>1533.8795648894968</v>
      </c>
      <c r="J65" s="2028">
        <f>J66/$L$1</f>
        <v>2070.7374126008208</v>
      </c>
      <c r="K65" s="2028">
        <f>K66/$L$1</f>
        <v>3336.2519652831925</v>
      </c>
      <c r="L65" s="2029">
        <f>L66/$L$1</f>
        <v>3336.2519652831925</v>
      </c>
      <c r="M65" s="2027">
        <v>3336.25</v>
      </c>
      <c r="N65" s="2027">
        <v>3336.25</v>
      </c>
      <c r="O65" s="2028">
        <v>3480</v>
      </c>
      <c r="P65" s="2028">
        <v>3840</v>
      </c>
      <c r="Q65" s="2028">
        <v>4260</v>
      </c>
      <c r="R65" s="2028">
        <v>4680</v>
      </c>
      <c r="S65" s="2028">
        <v>5160</v>
      </c>
      <c r="T65" s="2028">
        <v>5640</v>
      </c>
      <c r="U65" s="2028">
        <v>6000</v>
      </c>
      <c r="V65" s="2028">
        <f>V64*12</f>
        <v>6480</v>
      </c>
      <c r="W65" s="2028">
        <v>7008</v>
      </c>
      <c r="X65" s="2030">
        <v>7008</v>
      </c>
      <c r="Y65" s="2028">
        <v>7848</v>
      </c>
      <c r="Z65" s="2031">
        <v>8700</v>
      </c>
      <c r="AA65" s="2031"/>
      <c r="AB65" s="2031"/>
      <c r="AC65" s="2031"/>
      <c r="AD65" s="2032" t="s">
        <v>141</v>
      </c>
    </row>
    <row r="66" spans="1:31" ht="17.100000000000001" hidden="1" customHeight="1">
      <c r="A66" s="2033" t="s">
        <v>653</v>
      </c>
      <c r="B66" s="2034"/>
      <c r="C66" s="2035"/>
      <c r="D66" s="2036"/>
      <c r="E66" s="2037"/>
      <c r="F66" s="2037"/>
      <c r="G66" s="2034"/>
      <c r="H66" s="2034"/>
      <c r="I66" s="2038">
        <v>24000</v>
      </c>
      <c r="J66" s="2039">
        <v>32400</v>
      </c>
      <c r="K66" s="2039">
        <v>52201</v>
      </c>
      <c r="L66" s="2038">
        <v>52201</v>
      </c>
      <c r="M66" s="466"/>
      <c r="N66" s="464"/>
      <c r="O66" s="464"/>
      <c r="P66" s="2040"/>
      <c r="Q66" s="2040"/>
      <c r="R66" s="2040"/>
      <c r="S66" s="2040"/>
      <c r="T66" s="2040"/>
      <c r="U66" s="469"/>
      <c r="V66" s="2041"/>
      <c r="W66" s="2041"/>
      <c r="X66" s="2042"/>
      <c r="Y66" s="2041"/>
      <c r="Z66" s="2043"/>
      <c r="AA66" s="2043"/>
      <c r="AB66" s="2043"/>
      <c r="AC66" s="2043"/>
      <c r="AD66" s="2044" t="s">
        <v>654</v>
      </c>
    </row>
    <row r="67" spans="1:31" s="4" customFormat="1" ht="15.6">
      <c r="A67" s="2045" t="s">
        <v>655</v>
      </c>
      <c r="B67" s="2046"/>
      <c r="C67" s="2047">
        <f t="shared" ref="C67:V67" si="12">C64*C37</f>
        <v>14.763590812061409</v>
      </c>
      <c r="D67" s="2047">
        <f t="shared" si="12"/>
        <v>14.763590812061409</v>
      </c>
      <c r="E67" s="2047">
        <f t="shared" si="12"/>
        <v>14.763590812061409</v>
      </c>
      <c r="F67" s="2047">
        <f t="shared" si="12"/>
        <v>14.763590812061409</v>
      </c>
      <c r="G67" s="2047">
        <f t="shared" si="12"/>
        <v>14.763590812061409</v>
      </c>
      <c r="H67" s="2048">
        <f t="shared" si="12"/>
        <v>29.527181624122818</v>
      </c>
      <c r="I67" s="2048">
        <f t="shared" si="12"/>
        <v>42.180599999999998</v>
      </c>
      <c r="J67" s="2048">
        <f t="shared" si="12"/>
        <v>56.944799999999994</v>
      </c>
      <c r="K67" s="2048">
        <f t="shared" si="12"/>
        <v>91.746600000000001</v>
      </c>
      <c r="L67" s="2047">
        <f t="shared" si="12"/>
        <v>91.746600000000001</v>
      </c>
      <c r="M67" s="2047">
        <f t="shared" si="12"/>
        <v>91.746600000000001</v>
      </c>
      <c r="N67" s="2047">
        <f t="shared" si="12"/>
        <v>91.746600000000001</v>
      </c>
      <c r="O67" s="2048">
        <f t="shared" si="12"/>
        <v>95.7</v>
      </c>
      <c r="P67" s="2048">
        <f t="shared" si="12"/>
        <v>105.60000000000001</v>
      </c>
      <c r="Q67" s="2048">
        <f t="shared" si="12"/>
        <v>117.15</v>
      </c>
      <c r="R67" s="2048">
        <f t="shared" si="12"/>
        <v>128.70000000000002</v>
      </c>
      <c r="S67" s="2048">
        <f t="shared" si="12"/>
        <v>141.9</v>
      </c>
      <c r="T67" s="2049">
        <f t="shared" si="12"/>
        <v>155.1</v>
      </c>
      <c r="U67" s="2049">
        <f t="shared" si="12"/>
        <v>165</v>
      </c>
      <c r="V67" s="2049">
        <f t="shared" si="12"/>
        <v>178.20000000000002</v>
      </c>
      <c r="W67" s="2048">
        <v>192.72</v>
      </c>
      <c r="X67" s="2050">
        <v>192.72</v>
      </c>
      <c r="Y67" s="2048">
        <v>215.82</v>
      </c>
      <c r="Z67" s="2051">
        <v>239.25</v>
      </c>
      <c r="AA67" s="2051"/>
      <c r="AB67" s="2051"/>
      <c r="AC67" s="2051"/>
      <c r="AD67" s="2052" t="s">
        <v>656</v>
      </c>
    </row>
    <row r="68" spans="1:31" s="4" customFormat="1" ht="16.2" thickBot="1">
      <c r="A68" s="2045" t="s">
        <v>657</v>
      </c>
      <c r="B68" s="2046">
        <f>B3*15*12*B63</f>
        <v>0</v>
      </c>
      <c r="C68" s="2046">
        <f>C3*15*12*C63</f>
        <v>0</v>
      </c>
      <c r="D68" s="2046">
        <f t="shared" ref="D68:S68" si="13">D3*15*12</f>
        <v>21282.578962841766</v>
      </c>
      <c r="E68" s="2046">
        <f t="shared" si="13"/>
        <v>24848.848951209849</v>
      </c>
      <c r="F68" s="2046">
        <f t="shared" si="13"/>
        <v>28530.159906944638</v>
      </c>
      <c r="G68" s="2046">
        <f t="shared" si="13"/>
        <v>30946.020221645595</v>
      </c>
      <c r="H68" s="2046">
        <f t="shared" si="13"/>
        <v>34511.399999999994</v>
      </c>
      <c r="I68" s="2046">
        <f t="shared" si="13"/>
        <v>41414.400000000001</v>
      </c>
      <c r="J68" s="2046">
        <f t="shared" si="13"/>
        <v>50043.599999999991</v>
      </c>
      <c r="K68" s="2046">
        <f t="shared" si="13"/>
        <v>50043.599999999991</v>
      </c>
      <c r="L68" s="2046">
        <f t="shared" si="13"/>
        <v>50043.599999999991</v>
      </c>
      <c r="M68" s="2046">
        <f t="shared" si="13"/>
        <v>50043.599999999991</v>
      </c>
      <c r="N68" s="2046">
        <f t="shared" si="13"/>
        <v>50043.599999999991</v>
      </c>
      <c r="O68" s="2046">
        <f t="shared" si="13"/>
        <v>52200</v>
      </c>
      <c r="P68" s="2046">
        <f t="shared" si="13"/>
        <v>57600</v>
      </c>
      <c r="Q68" s="2046">
        <f t="shared" si="13"/>
        <v>70200</v>
      </c>
      <c r="R68" s="2046">
        <f t="shared" si="13"/>
        <v>77400</v>
      </c>
      <c r="S68" s="2046">
        <f t="shared" si="13"/>
        <v>84600</v>
      </c>
      <c r="T68" s="2046">
        <f>T3*10*12</f>
        <v>60000</v>
      </c>
      <c r="U68" s="2046">
        <f>U3*10*12</f>
        <v>64800</v>
      </c>
      <c r="V68" s="2046">
        <f>V3*10*12</f>
        <v>70080</v>
      </c>
      <c r="W68" s="2046">
        <f>W3*10*12</f>
        <v>70080</v>
      </c>
      <c r="X68" s="2053">
        <f>X3*10*12</f>
        <v>78480</v>
      </c>
      <c r="Y68" s="2054">
        <v>87000</v>
      </c>
      <c r="Z68" s="2055">
        <v>98400</v>
      </c>
      <c r="AA68" s="2055"/>
      <c r="AB68" s="2055"/>
      <c r="AC68" s="2055"/>
      <c r="AD68" s="2052" t="s">
        <v>146</v>
      </c>
    </row>
    <row r="69" spans="1:31" s="4" customFormat="1" ht="16.2" thickBot="1">
      <c r="A69" s="2056" t="s">
        <v>658</v>
      </c>
      <c r="B69" s="1867"/>
      <c r="C69" s="1685"/>
      <c r="D69" s="1867"/>
      <c r="E69" s="1685"/>
      <c r="F69" s="1685"/>
      <c r="G69" s="1867"/>
      <c r="H69" s="1685"/>
      <c r="I69" s="1685"/>
      <c r="J69" s="1685"/>
      <c r="K69" s="1685"/>
      <c r="L69" s="1685"/>
      <c r="M69" s="1685"/>
      <c r="N69" s="1685"/>
      <c r="O69" s="1685"/>
      <c r="P69" s="1685"/>
      <c r="Q69" s="1685"/>
      <c r="R69" s="1685"/>
      <c r="S69" s="1685"/>
      <c r="T69" s="1868"/>
      <c r="U69" s="1685"/>
      <c r="V69" s="1867"/>
      <c r="W69" s="1867"/>
      <c r="X69" s="2057"/>
      <c r="Y69" s="1867"/>
      <c r="Z69" s="2057"/>
      <c r="AA69" s="2057"/>
      <c r="AB69" s="2057"/>
      <c r="AC69" s="2057"/>
      <c r="AD69" s="2058" t="s">
        <v>180</v>
      </c>
    </row>
    <row r="70" spans="1:31" s="4" customFormat="1" ht="15.6">
      <c r="A70" s="2059" t="s">
        <v>9</v>
      </c>
      <c r="B70" s="2060">
        <v>0.26</v>
      </c>
      <c r="C70" s="2060">
        <v>0.26</v>
      </c>
      <c r="D70" s="2060">
        <v>0.26</v>
      </c>
      <c r="E70" s="2060">
        <v>0.26</v>
      </c>
      <c r="F70" s="2060">
        <v>0.26</v>
      </c>
      <c r="G70" s="2061">
        <v>0.24</v>
      </c>
      <c r="H70" s="2061">
        <v>0.23</v>
      </c>
      <c r="I70" s="2061">
        <v>0.22</v>
      </c>
      <c r="J70" s="2061">
        <v>0.21</v>
      </c>
      <c r="K70" s="2060">
        <v>0.21</v>
      </c>
      <c r="L70" s="2060">
        <v>0.21</v>
      </c>
      <c r="M70" s="2060">
        <v>0.21</v>
      </c>
      <c r="N70" s="2060">
        <v>0.21</v>
      </c>
      <c r="O70" s="2060">
        <v>0.21</v>
      </c>
      <c r="P70" s="2060">
        <v>0.21</v>
      </c>
      <c r="Q70" s="2061">
        <v>0.2</v>
      </c>
      <c r="R70" s="2060">
        <v>0.2</v>
      </c>
      <c r="S70" s="2060">
        <v>0.2</v>
      </c>
      <c r="T70" s="2060">
        <v>0.2</v>
      </c>
      <c r="U70" s="2060">
        <v>0.2</v>
      </c>
      <c r="V70" s="2060">
        <v>0.2</v>
      </c>
      <c r="W70" s="2060">
        <v>0.2</v>
      </c>
      <c r="X70" s="2062">
        <v>0.2</v>
      </c>
      <c r="Y70" s="2060" t="s">
        <v>659</v>
      </c>
      <c r="Z70" s="2062" t="s">
        <v>659</v>
      </c>
      <c r="AA70" s="2062"/>
      <c r="AB70" s="2062"/>
      <c r="AC70" s="2062"/>
      <c r="AD70" s="2063" t="s">
        <v>181</v>
      </c>
    </row>
    <row r="71" spans="1:31" s="4" customFormat="1" ht="16.2" thickBot="1">
      <c r="A71" s="2064" t="s">
        <v>182</v>
      </c>
      <c r="B71" s="2065"/>
      <c r="C71" s="2065"/>
      <c r="D71" s="2065"/>
      <c r="E71" s="2066"/>
      <c r="F71" s="2067" t="s">
        <v>660</v>
      </c>
      <c r="G71" s="2068" t="s">
        <v>661</v>
      </c>
      <c r="H71" s="2068" t="s">
        <v>662</v>
      </c>
      <c r="I71" s="2068" t="s">
        <v>663</v>
      </c>
      <c r="J71" s="2068" t="s">
        <v>664</v>
      </c>
      <c r="K71" s="2067" t="s">
        <v>664</v>
      </c>
      <c r="L71" s="2067" t="s">
        <v>664</v>
      </c>
      <c r="M71" s="2067" t="s">
        <v>664</v>
      </c>
      <c r="N71" s="2067" t="s">
        <v>664</v>
      </c>
      <c r="O71" s="2067" t="s">
        <v>664</v>
      </c>
      <c r="P71" s="2067" t="s">
        <v>664</v>
      </c>
      <c r="Q71" s="2069" t="s">
        <v>183</v>
      </c>
      <c r="R71" s="2070" t="s">
        <v>183</v>
      </c>
      <c r="S71" s="2070" t="s">
        <v>183</v>
      </c>
      <c r="T71" s="2070" t="s">
        <v>183</v>
      </c>
      <c r="U71" s="2070" t="s">
        <v>183</v>
      </c>
      <c r="V71" s="2070" t="s">
        <v>183</v>
      </c>
      <c r="W71" s="2070" t="s">
        <v>183</v>
      </c>
      <c r="X71" s="2071" t="s">
        <v>183</v>
      </c>
      <c r="Y71" s="2070" t="s">
        <v>183</v>
      </c>
      <c r="Z71" s="2070" t="s">
        <v>183</v>
      </c>
      <c r="AA71" s="2070"/>
      <c r="AB71" s="2070"/>
      <c r="AC71" s="2070"/>
      <c r="AD71" s="2072" t="s">
        <v>184</v>
      </c>
    </row>
    <row r="72" spans="1:31" s="4" customFormat="1" ht="15.6">
      <c r="A72" s="2073" t="s">
        <v>665</v>
      </c>
      <c r="B72" s="2074"/>
      <c r="C72" s="2074"/>
      <c r="D72" s="2074"/>
      <c r="E72" s="2074"/>
      <c r="F72" s="2075"/>
      <c r="G72" s="2076"/>
      <c r="H72" s="2076"/>
      <c r="I72" s="2076"/>
      <c r="J72" s="2076"/>
      <c r="K72" s="2075"/>
      <c r="L72" s="2075"/>
      <c r="M72" s="2075"/>
      <c r="N72" s="2075"/>
      <c r="O72" s="2075"/>
      <c r="P72" s="2075"/>
      <c r="Q72" s="2077"/>
      <c r="R72" s="2078"/>
      <c r="S72" s="2078"/>
      <c r="T72" s="2078" t="s">
        <v>666</v>
      </c>
      <c r="U72" s="2078" t="s">
        <v>666</v>
      </c>
      <c r="V72" s="2078" t="s">
        <v>666</v>
      </c>
      <c r="W72" s="2078" t="s">
        <v>666</v>
      </c>
      <c r="X72" s="2079" t="s">
        <v>666</v>
      </c>
      <c r="Y72" s="2078" t="s">
        <v>666</v>
      </c>
      <c r="Z72" s="2078" t="s">
        <v>666</v>
      </c>
      <c r="AA72" s="2078"/>
      <c r="AB72" s="2078"/>
      <c r="AC72" s="2078"/>
      <c r="AD72" s="2080" t="s">
        <v>667</v>
      </c>
      <c r="AE72" s="2081"/>
    </row>
    <row r="73" spans="1:31" s="4" customFormat="1" ht="15.6">
      <c r="A73" s="2045" t="s">
        <v>668</v>
      </c>
      <c r="B73" s="2082"/>
      <c r="C73" s="2082"/>
      <c r="D73" s="2082"/>
      <c r="E73" s="2082"/>
      <c r="F73" s="2083"/>
      <c r="G73" s="2084"/>
      <c r="H73" s="2084"/>
      <c r="I73" s="2084"/>
      <c r="J73" s="2084"/>
      <c r="K73" s="2083"/>
      <c r="L73" s="2083"/>
      <c r="M73" s="2083"/>
      <c r="N73" s="2083"/>
      <c r="O73" s="2083"/>
      <c r="P73" s="2083"/>
      <c r="Q73" s="2085"/>
      <c r="R73" s="2086"/>
      <c r="S73" s="2086"/>
      <c r="T73" s="2086">
        <v>0.2</v>
      </c>
      <c r="U73" s="2086">
        <v>0.2</v>
      </c>
      <c r="V73" s="2086">
        <v>0.2</v>
      </c>
      <c r="W73" s="2086">
        <v>0.2</v>
      </c>
      <c r="X73" s="2087">
        <v>0.2</v>
      </c>
      <c r="Y73" s="2086">
        <v>0.2</v>
      </c>
      <c r="Z73" s="2086">
        <v>0.2</v>
      </c>
      <c r="AA73" s="2086"/>
      <c r="AB73" s="2086"/>
      <c r="AC73" s="2086"/>
      <c r="AD73" s="2088" t="s">
        <v>669</v>
      </c>
      <c r="AE73" s="2081"/>
    </row>
    <row r="74" spans="1:31" s="4" customFormat="1" ht="15.6">
      <c r="A74" s="2045" t="s">
        <v>670</v>
      </c>
      <c r="B74" s="2082"/>
      <c r="C74" s="2082"/>
      <c r="D74" s="2082"/>
      <c r="E74" s="2082"/>
      <c r="F74" s="2083"/>
      <c r="G74" s="2084"/>
      <c r="H74" s="2084"/>
      <c r="I74" s="2084"/>
      <c r="J74" s="2084"/>
      <c r="K74" s="2083"/>
      <c r="L74" s="2083"/>
      <c r="M74" s="2083"/>
      <c r="N74" s="2083"/>
      <c r="O74" s="2083"/>
      <c r="P74" s="2083"/>
      <c r="Q74" s="2085"/>
      <c r="R74" s="2086"/>
      <c r="S74" s="2086"/>
      <c r="T74" s="2086">
        <v>0.4</v>
      </c>
      <c r="U74" s="2086">
        <v>0.4</v>
      </c>
      <c r="V74" s="2086">
        <v>0.4</v>
      </c>
      <c r="W74" s="2086">
        <v>0.4</v>
      </c>
      <c r="X74" s="2087">
        <v>0.4</v>
      </c>
      <c r="Y74" s="2086">
        <v>0.4</v>
      </c>
      <c r="Z74" s="2086">
        <v>0.4</v>
      </c>
      <c r="AA74" s="2086"/>
      <c r="AB74" s="2086"/>
      <c r="AC74" s="2086"/>
      <c r="AD74" s="2088" t="s">
        <v>671</v>
      </c>
      <c r="AE74" s="2081"/>
    </row>
    <row r="75" spans="1:31" ht="16.2" thickBot="1">
      <c r="A75" s="2089" t="s">
        <v>672</v>
      </c>
      <c r="B75" s="2090"/>
      <c r="C75" s="2091"/>
      <c r="D75" s="2090"/>
      <c r="E75" s="2091"/>
      <c r="F75" s="2091"/>
      <c r="G75" s="2090"/>
      <c r="H75" s="2091"/>
      <c r="I75" s="2091"/>
      <c r="J75" s="2091"/>
      <c r="K75" s="2091"/>
      <c r="L75" s="2091"/>
      <c r="M75" s="2091"/>
      <c r="N75" s="2091"/>
      <c r="O75" s="2091"/>
      <c r="P75" s="2091"/>
      <c r="Q75" s="2091"/>
      <c r="R75" s="2091"/>
      <c r="S75" s="2091"/>
      <c r="T75" s="2092"/>
      <c r="U75" s="2091"/>
      <c r="V75" s="2090"/>
      <c r="W75" s="2090"/>
      <c r="X75" s="2093"/>
      <c r="Y75" s="2090"/>
      <c r="Z75" s="2093"/>
      <c r="AA75" s="2093"/>
      <c r="AB75" s="2093"/>
      <c r="AC75" s="2093"/>
      <c r="AD75" s="2094" t="s">
        <v>195</v>
      </c>
    </row>
    <row r="76" spans="1:31" s="565" customFormat="1">
      <c r="A76" s="2095" t="s">
        <v>9</v>
      </c>
      <c r="B76" s="2096">
        <v>0.18</v>
      </c>
      <c r="C76" s="2096">
        <f t="shared" ref="C76:I76" si="14">B76</f>
        <v>0.18</v>
      </c>
      <c r="D76" s="2096">
        <f t="shared" si="14"/>
        <v>0.18</v>
      </c>
      <c r="E76" s="2096">
        <f t="shared" si="14"/>
        <v>0.18</v>
      </c>
      <c r="F76" s="2096">
        <f t="shared" si="14"/>
        <v>0.18</v>
      </c>
      <c r="G76" s="2097">
        <f t="shared" si="14"/>
        <v>0.18</v>
      </c>
      <c r="H76" s="2097">
        <f t="shared" si="14"/>
        <v>0.18</v>
      </c>
      <c r="I76" s="2097">
        <f t="shared" si="14"/>
        <v>0.18</v>
      </c>
      <c r="J76" s="2097">
        <v>0.18</v>
      </c>
      <c r="K76" s="2098">
        <v>0.2</v>
      </c>
      <c r="L76" s="2096">
        <v>0.2</v>
      </c>
      <c r="M76" s="2096">
        <f>L76</f>
        <v>0.2</v>
      </c>
      <c r="N76" s="2096">
        <f>M76</f>
        <v>0.2</v>
      </c>
      <c r="O76" s="2096">
        <f>N76</f>
        <v>0.2</v>
      </c>
      <c r="P76" s="2096">
        <f>O76</f>
        <v>0.2</v>
      </c>
      <c r="Q76" s="2097">
        <f>P76</f>
        <v>0.2</v>
      </c>
      <c r="R76" s="2097">
        <f t="shared" ref="R76:W76" si="15">Q76</f>
        <v>0.2</v>
      </c>
      <c r="S76" s="2097">
        <f t="shared" si="15"/>
        <v>0.2</v>
      </c>
      <c r="T76" s="2097">
        <f t="shared" si="15"/>
        <v>0.2</v>
      </c>
      <c r="U76" s="2097">
        <f t="shared" si="15"/>
        <v>0.2</v>
      </c>
      <c r="V76" s="2097">
        <f t="shared" si="15"/>
        <v>0.2</v>
      </c>
      <c r="W76" s="2097">
        <f t="shared" si="15"/>
        <v>0.2</v>
      </c>
      <c r="X76" s="2099">
        <v>0.2</v>
      </c>
      <c r="Y76" s="2097">
        <v>0.2</v>
      </c>
      <c r="Z76" s="2100">
        <v>0.22</v>
      </c>
      <c r="AA76" s="2100"/>
      <c r="AB76" s="2100"/>
      <c r="AC76" s="2100"/>
      <c r="AD76" s="2101" t="s">
        <v>181</v>
      </c>
    </row>
    <row r="77" spans="1:31">
      <c r="A77" s="2102"/>
      <c r="B77" s="2103"/>
      <c r="C77" s="2103"/>
      <c r="D77" s="2103"/>
      <c r="E77" s="2103"/>
      <c r="F77" s="2103"/>
      <c r="G77" s="2104"/>
      <c r="H77" s="2104"/>
      <c r="I77" s="2104"/>
      <c r="J77" s="2104"/>
      <c r="K77" s="2004" t="s">
        <v>29</v>
      </c>
      <c r="L77" s="2103"/>
      <c r="M77" s="2103"/>
      <c r="N77" s="2103"/>
      <c r="O77" s="2103"/>
      <c r="P77" s="2103"/>
      <c r="Q77" s="2104"/>
      <c r="R77" s="2103"/>
      <c r="S77" s="2103"/>
      <c r="T77" s="2103"/>
      <c r="U77" s="2105"/>
      <c r="V77" s="2105"/>
      <c r="W77" s="2105"/>
      <c r="X77" s="2106"/>
      <c r="Y77" s="2105"/>
      <c r="Z77" s="2106"/>
      <c r="AA77" s="2106"/>
      <c r="AB77" s="2106"/>
      <c r="AC77" s="2106"/>
      <c r="AD77" s="2107"/>
    </row>
    <row r="78" spans="1:31" s="565" customFormat="1">
      <c r="A78" s="2108" t="s">
        <v>673</v>
      </c>
      <c r="B78" s="2109">
        <v>0.05</v>
      </c>
      <c r="C78" s="2109">
        <v>0.05</v>
      </c>
      <c r="D78" s="2109">
        <v>0.05</v>
      </c>
      <c r="E78" s="2109">
        <v>0.05</v>
      </c>
      <c r="F78" s="2109">
        <v>0.05</v>
      </c>
      <c r="G78" s="2109">
        <v>0.05</v>
      </c>
      <c r="H78" s="2109">
        <v>0.05</v>
      </c>
      <c r="I78" s="2109">
        <v>0.05</v>
      </c>
      <c r="J78" s="2109">
        <v>0.05</v>
      </c>
      <c r="K78" s="2110">
        <v>0.09</v>
      </c>
      <c r="L78" s="2111">
        <v>0.09</v>
      </c>
      <c r="M78" s="2111">
        <v>0.09</v>
      </c>
      <c r="N78" s="2111">
        <v>0.09</v>
      </c>
      <c r="O78" s="2111">
        <v>0.09</v>
      </c>
      <c r="P78" s="2111">
        <v>0.09</v>
      </c>
      <c r="Q78" s="2111">
        <v>0.09</v>
      </c>
      <c r="R78" s="2111">
        <v>0.09</v>
      </c>
      <c r="S78" s="2111">
        <v>0.09</v>
      </c>
      <c r="T78" s="2111">
        <v>0.09</v>
      </c>
      <c r="U78" s="2111">
        <v>0.09</v>
      </c>
      <c r="V78" s="2111">
        <v>0.09</v>
      </c>
      <c r="W78" s="2111">
        <v>0.09</v>
      </c>
      <c r="X78" s="2112">
        <v>0.09</v>
      </c>
      <c r="Y78" s="2111" t="s">
        <v>674</v>
      </c>
      <c r="Z78" s="2111" t="s">
        <v>674</v>
      </c>
      <c r="AA78" s="2111"/>
      <c r="AB78" s="2111"/>
      <c r="AC78" s="2111"/>
      <c r="AD78" s="2113" t="s">
        <v>675</v>
      </c>
    </row>
    <row r="79" spans="1:31">
      <c r="A79" s="2114"/>
      <c r="B79" s="2115"/>
      <c r="C79" s="2115"/>
      <c r="D79" s="2115"/>
      <c r="E79" s="2115"/>
      <c r="F79" s="2115"/>
      <c r="G79" s="2115"/>
      <c r="H79" s="2115"/>
      <c r="I79" s="2115"/>
      <c r="J79" s="2115"/>
      <c r="K79" s="1939" t="s">
        <v>29</v>
      </c>
      <c r="L79" s="2115"/>
      <c r="M79" s="2115"/>
      <c r="N79" s="2115"/>
      <c r="O79" s="2115"/>
      <c r="P79" s="2115"/>
      <c r="Q79" s="2115"/>
      <c r="R79" s="2115"/>
      <c r="S79" s="2115"/>
      <c r="T79" s="2115"/>
      <c r="U79" s="2115"/>
      <c r="V79" s="2115"/>
      <c r="W79" s="2115"/>
      <c r="X79" s="2116"/>
      <c r="Y79" s="2115"/>
      <c r="Z79" s="2116"/>
      <c r="AA79" s="2116"/>
      <c r="AB79" s="2116"/>
      <c r="AC79" s="2116"/>
      <c r="AD79" s="2117"/>
    </row>
    <row r="80" spans="1:31">
      <c r="A80" s="2118" t="s">
        <v>676</v>
      </c>
      <c r="B80" s="2119">
        <v>0.05</v>
      </c>
      <c r="C80" s="2119">
        <v>0.05</v>
      </c>
      <c r="D80" s="2119">
        <v>0.05</v>
      </c>
      <c r="E80" s="2119">
        <v>0.05</v>
      </c>
      <c r="F80" s="2119">
        <v>0.05</v>
      </c>
      <c r="G80" s="2119">
        <v>0.05</v>
      </c>
      <c r="H80" s="2119">
        <v>0.05</v>
      </c>
      <c r="I80" s="2119">
        <v>0.05</v>
      </c>
      <c r="J80" s="2119">
        <v>0.05</v>
      </c>
      <c r="K80" s="2120">
        <v>0.09</v>
      </c>
      <c r="L80" s="2121">
        <v>0.09</v>
      </c>
      <c r="M80" s="2121">
        <v>0.09</v>
      </c>
      <c r="N80" s="2121">
        <v>0.09</v>
      </c>
      <c r="O80" s="2121">
        <v>0.09</v>
      </c>
      <c r="P80" s="2121">
        <v>0.09</v>
      </c>
      <c r="Q80" s="2121">
        <v>0.09</v>
      </c>
      <c r="R80" s="2121">
        <v>0.09</v>
      </c>
      <c r="S80" s="2121">
        <v>0.09</v>
      </c>
      <c r="T80" s="2121">
        <v>0.09</v>
      </c>
      <c r="U80" s="2121">
        <v>0.09</v>
      </c>
      <c r="V80" s="2121">
        <v>0.09</v>
      </c>
      <c r="W80" s="2121">
        <v>0.09</v>
      </c>
      <c r="X80" s="2122">
        <v>0.09</v>
      </c>
      <c r="Y80" s="2121">
        <v>0.09</v>
      </c>
      <c r="Z80" s="2121">
        <v>0.09</v>
      </c>
      <c r="AA80" s="2121"/>
      <c r="AB80" s="2121"/>
      <c r="AC80" s="2121"/>
      <c r="AD80" s="2123" t="s">
        <v>677</v>
      </c>
    </row>
    <row r="81" spans="1:30" ht="30.75" customHeight="1">
      <c r="A81" s="2124" t="s">
        <v>678</v>
      </c>
      <c r="B81" s="2125">
        <v>0.05</v>
      </c>
      <c r="C81" s="2125">
        <v>0.05</v>
      </c>
      <c r="D81" s="2125">
        <v>0.05</v>
      </c>
      <c r="E81" s="2125">
        <v>0.05</v>
      </c>
      <c r="F81" s="2125">
        <v>0.05</v>
      </c>
      <c r="G81" s="2125">
        <v>0.05</v>
      </c>
      <c r="H81" s="2125">
        <v>0.05</v>
      </c>
      <c r="I81" s="2125">
        <v>0.05</v>
      </c>
      <c r="J81" s="2125">
        <v>0.05</v>
      </c>
      <c r="K81" s="2126">
        <v>0.09</v>
      </c>
      <c r="L81" s="2127">
        <v>0.09</v>
      </c>
      <c r="M81" s="2127">
        <v>0.09</v>
      </c>
      <c r="N81" s="2127">
        <v>0.09</v>
      </c>
      <c r="O81" s="2127">
        <v>0.09</v>
      </c>
      <c r="P81" s="2127">
        <v>0.09</v>
      </c>
      <c r="Q81" s="2127">
        <v>0.09</v>
      </c>
      <c r="R81" s="2127">
        <v>0.09</v>
      </c>
      <c r="S81" s="2127">
        <v>0.09</v>
      </c>
      <c r="T81" s="2127">
        <v>0.09</v>
      </c>
      <c r="U81" s="2127">
        <v>0.09</v>
      </c>
      <c r="V81" s="2127">
        <v>0.09</v>
      </c>
      <c r="W81" s="2127">
        <v>0.09</v>
      </c>
      <c r="X81" s="2128">
        <v>0.09</v>
      </c>
      <c r="Y81" s="2127">
        <v>0.09</v>
      </c>
      <c r="Z81" s="2127">
        <v>0.09</v>
      </c>
      <c r="AA81" s="2127"/>
      <c r="AB81" s="2127"/>
      <c r="AC81" s="2127"/>
      <c r="AD81" s="2129" t="s">
        <v>679</v>
      </c>
    </row>
    <row r="82" spans="1:30" ht="27.6">
      <c r="A82" s="2130" t="s">
        <v>680</v>
      </c>
      <c r="B82" s="2125">
        <v>0.05</v>
      </c>
      <c r="C82" s="2125">
        <v>0.05</v>
      </c>
      <c r="D82" s="2125">
        <v>0.05</v>
      </c>
      <c r="E82" s="2125">
        <v>0.05</v>
      </c>
      <c r="F82" s="2125">
        <v>0.05</v>
      </c>
      <c r="G82" s="2125">
        <v>0.05</v>
      </c>
      <c r="H82" s="2125">
        <v>0.05</v>
      </c>
      <c r="I82" s="2125">
        <v>0.05</v>
      </c>
      <c r="J82" s="2125">
        <v>0.05</v>
      </c>
      <c r="K82" s="2126">
        <v>0.09</v>
      </c>
      <c r="L82" s="2127">
        <v>0.09</v>
      </c>
      <c r="M82" s="2127">
        <v>0.09</v>
      </c>
      <c r="N82" s="2127">
        <v>0.09</v>
      </c>
      <c r="O82" s="2127">
        <v>0.09</v>
      </c>
      <c r="P82" s="2127">
        <v>0.09</v>
      </c>
      <c r="Q82" s="2127">
        <v>0.09</v>
      </c>
      <c r="R82" s="2127">
        <v>0.09</v>
      </c>
      <c r="S82" s="2127">
        <v>0.09</v>
      </c>
      <c r="T82" s="2127">
        <v>0.09</v>
      </c>
      <c r="U82" s="2127">
        <v>0.09</v>
      </c>
      <c r="V82" s="2127">
        <v>0.09</v>
      </c>
      <c r="W82" s="2127">
        <v>0.09</v>
      </c>
      <c r="X82" s="2128">
        <v>0.09</v>
      </c>
      <c r="Y82" s="2127">
        <v>0.09</v>
      </c>
      <c r="Z82" s="2127">
        <v>0.09</v>
      </c>
      <c r="AA82" s="2127"/>
      <c r="AB82" s="2127"/>
      <c r="AC82" s="2127"/>
      <c r="AD82" s="2131" t="s">
        <v>681</v>
      </c>
    </row>
    <row r="83" spans="1:30" ht="27.6">
      <c r="A83" s="2130" t="s">
        <v>682</v>
      </c>
      <c r="B83" s="2125"/>
      <c r="C83" s="2125"/>
      <c r="D83" s="2125"/>
      <c r="E83" s="2125"/>
      <c r="F83" s="2125"/>
      <c r="G83" s="2125"/>
      <c r="H83" s="2125"/>
      <c r="I83" s="2125"/>
      <c r="J83" s="2125"/>
      <c r="K83" s="2126"/>
      <c r="L83" s="2127"/>
      <c r="M83" s="2127"/>
      <c r="N83" s="2127"/>
      <c r="O83" s="2127"/>
      <c r="P83" s="2127"/>
      <c r="Q83" s="2127"/>
      <c r="R83" s="2127"/>
      <c r="S83" s="2127"/>
      <c r="T83" s="2127"/>
      <c r="U83" s="2127"/>
      <c r="V83" s="2132" t="s">
        <v>683</v>
      </c>
      <c r="W83" s="2127">
        <v>0.09</v>
      </c>
      <c r="X83" s="2133">
        <v>0.09</v>
      </c>
      <c r="Y83" s="2127">
        <v>0.09</v>
      </c>
      <c r="Z83" s="2127">
        <v>0.09</v>
      </c>
      <c r="AA83" s="2127"/>
      <c r="AB83" s="2127"/>
      <c r="AC83" s="2127"/>
      <c r="AD83" s="2134" t="s">
        <v>684</v>
      </c>
    </row>
    <row r="84" spans="1:30" ht="55.35" customHeight="1">
      <c r="A84" s="2130" t="s">
        <v>685</v>
      </c>
      <c r="B84" s="2125">
        <v>0.05</v>
      </c>
      <c r="C84" s="2125">
        <v>0.05</v>
      </c>
      <c r="D84" s="2125">
        <v>0.05</v>
      </c>
      <c r="E84" s="2125">
        <v>0.05</v>
      </c>
      <c r="F84" s="2125">
        <v>0.05</v>
      </c>
      <c r="G84" s="2125">
        <v>0.05</v>
      </c>
      <c r="H84" s="2125">
        <v>0.05</v>
      </c>
      <c r="I84" s="2125">
        <v>0.05</v>
      </c>
      <c r="J84" s="2125">
        <v>0.05</v>
      </c>
      <c r="K84" s="2126">
        <v>0.09</v>
      </c>
      <c r="L84" s="2127">
        <v>0.09</v>
      </c>
      <c r="M84" s="2127">
        <v>0.09</v>
      </c>
      <c r="N84" s="2127">
        <v>0.09</v>
      </c>
      <c r="O84" s="2127">
        <v>0.09</v>
      </c>
      <c r="P84" s="2127">
        <v>0.09</v>
      </c>
      <c r="Q84" s="2127">
        <v>0.09</v>
      </c>
      <c r="R84" s="2127">
        <v>0.09</v>
      </c>
      <c r="S84" s="2127">
        <v>0.09</v>
      </c>
      <c r="T84" s="2127">
        <v>0.09</v>
      </c>
      <c r="U84" s="2127">
        <v>0.09</v>
      </c>
      <c r="V84" s="2127">
        <v>0.09</v>
      </c>
      <c r="W84" s="2127">
        <v>0.09</v>
      </c>
      <c r="X84" s="2133" t="s">
        <v>686</v>
      </c>
      <c r="Y84" s="2127">
        <v>0.05</v>
      </c>
      <c r="Z84" s="2127">
        <v>0.05</v>
      </c>
      <c r="AA84" s="2127"/>
      <c r="AB84" s="2127"/>
      <c r="AC84" s="2127"/>
      <c r="AD84" s="2135" t="s">
        <v>687</v>
      </c>
    </row>
    <row r="85" spans="1:30" ht="27.6">
      <c r="A85" s="2130" t="s">
        <v>688</v>
      </c>
      <c r="B85" s="2125"/>
      <c r="C85" s="2125"/>
      <c r="D85" s="2125"/>
      <c r="E85" s="2125"/>
      <c r="F85" s="2125"/>
      <c r="G85" s="2125"/>
      <c r="H85" s="2125"/>
      <c r="I85" s="2125"/>
      <c r="J85" s="2125"/>
      <c r="K85" s="2126"/>
      <c r="L85" s="2127"/>
      <c r="M85" s="2127"/>
      <c r="N85" s="2127"/>
      <c r="O85" s="2127"/>
      <c r="P85" s="2127"/>
      <c r="Q85" s="2127"/>
      <c r="R85" s="2127"/>
      <c r="S85" s="2127"/>
      <c r="T85" s="2127"/>
      <c r="U85" s="2127"/>
      <c r="V85" s="2132" t="s">
        <v>683</v>
      </c>
      <c r="W85" s="2127">
        <v>0.09</v>
      </c>
      <c r="X85" s="2133" t="s">
        <v>689</v>
      </c>
      <c r="Y85" s="2127">
        <v>0.05</v>
      </c>
      <c r="Z85" s="2127">
        <v>0.05</v>
      </c>
      <c r="AA85" s="2127"/>
      <c r="AB85" s="2127"/>
      <c r="AC85" s="2127"/>
      <c r="AD85" s="2134" t="s">
        <v>690</v>
      </c>
    </row>
    <row r="86" spans="1:30">
      <c r="A86" s="2118" t="s">
        <v>223</v>
      </c>
      <c r="B86" s="2119">
        <v>0.05</v>
      </c>
      <c r="C86" s="2119">
        <v>0.05</v>
      </c>
      <c r="D86" s="2119">
        <v>0.05</v>
      </c>
      <c r="E86" s="2119">
        <v>0.05</v>
      </c>
      <c r="F86" s="2119">
        <v>0.05</v>
      </c>
      <c r="G86" s="2119">
        <v>0.05</v>
      </c>
      <c r="H86" s="2119">
        <v>0.05</v>
      </c>
      <c r="I86" s="2119">
        <v>0.05</v>
      </c>
      <c r="J86" s="2119">
        <v>0.05</v>
      </c>
      <c r="K86" s="2120">
        <v>0.09</v>
      </c>
      <c r="L86" s="2121">
        <v>0.09</v>
      </c>
      <c r="M86" s="2121">
        <v>0.09</v>
      </c>
      <c r="N86" s="2121">
        <v>0.09</v>
      </c>
      <c r="O86" s="2121">
        <v>0.09</v>
      </c>
      <c r="P86" s="2121">
        <v>0.09</v>
      </c>
      <c r="Q86" s="2121">
        <v>0.09</v>
      </c>
      <c r="R86" s="2121">
        <v>0.09</v>
      </c>
      <c r="S86" s="2121">
        <v>0.09</v>
      </c>
      <c r="T86" s="2121">
        <v>0.09</v>
      </c>
      <c r="U86" s="2121">
        <v>0.09</v>
      </c>
      <c r="V86" s="2121">
        <v>0.09</v>
      </c>
      <c r="W86" s="2121">
        <v>0.09</v>
      </c>
      <c r="X86" s="2122">
        <v>0.09</v>
      </c>
      <c r="Y86" s="2121">
        <v>0.09</v>
      </c>
      <c r="Z86" s="2121">
        <v>0.09</v>
      </c>
      <c r="AA86" s="2121"/>
      <c r="AB86" s="2121"/>
      <c r="AC86" s="2121"/>
      <c r="AD86" s="2136" t="s">
        <v>224</v>
      </c>
    </row>
    <row r="87" spans="1:30">
      <c r="A87" s="2118" t="s">
        <v>691</v>
      </c>
      <c r="B87" s="2137">
        <v>0.18</v>
      </c>
      <c r="C87" s="2137">
        <v>0.18</v>
      </c>
      <c r="D87" s="2137">
        <v>0.18</v>
      </c>
      <c r="E87" s="2137">
        <v>0.18</v>
      </c>
      <c r="F87" s="2137">
        <v>0.18</v>
      </c>
      <c r="G87" s="2137">
        <v>0.18</v>
      </c>
      <c r="H87" s="2137">
        <v>0.18</v>
      </c>
      <c r="I87" s="2138">
        <v>0.05</v>
      </c>
      <c r="J87" s="2139">
        <v>0.05</v>
      </c>
      <c r="K87" s="2140">
        <v>0.2</v>
      </c>
      <c r="L87" s="2141">
        <v>0.2</v>
      </c>
      <c r="M87" s="2141">
        <v>0.2</v>
      </c>
      <c r="N87" s="2141">
        <v>0.2</v>
      </c>
      <c r="O87" s="2141">
        <v>0.2</v>
      </c>
      <c r="P87" s="2141">
        <v>0.2</v>
      </c>
      <c r="Q87" s="2141">
        <v>0.2</v>
      </c>
      <c r="R87" s="2141">
        <v>0.2</v>
      </c>
      <c r="S87" s="2141">
        <v>0.2</v>
      </c>
      <c r="T87" s="2141">
        <v>0.2</v>
      </c>
      <c r="U87" s="2141">
        <v>0.2</v>
      </c>
      <c r="V87" s="2141">
        <v>0.2</v>
      </c>
      <c r="W87" s="2141">
        <v>0.2</v>
      </c>
      <c r="X87" s="2142">
        <v>0.2</v>
      </c>
      <c r="Y87" s="2141">
        <v>0.2</v>
      </c>
      <c r="Z87" s="2141">
        <v>0.2</v>
      </c>
      <c r="AA87" s="2141"/>
      <c r="AB87" s="2141"/>
      <c r="AC87" s="2141"/>
      <c r="AD87" s="2143" t="s">
        <v>692</v>
      </c>
    </row>
    <row r="88" spans="1:30">
      <c r="A88" s="2118" t="s">
        <v>693</v>
      </c>
      <c r="B88" s="2137">
        <v>0.18</v>
      </c>
      <c r="C88" s="2137">
        <v>0.18</v>
      </c>
      <c r="D88" s="2137">
        <v>0.18</v>
      </c>
      <c r="E88" s="2137">
        <v>0.18</v>
      </c>
      <c r="F88" s="2137">
        <v>0.18</v>
      </c>
      <c r="G88" s="2137">
        <v>0.18</v>
      </c>
      <c r="H88" s="2137">
        <v>0.18</v>
      </c>
      <c r="I88" s="2138">
        <v>0.05</v>
      </c>
      <c r="J88" s="2139">
        <v>0.05</v>
      </c>
      <c r="K88" s="2140">
        <v>0.2</v>
      </c>
      <c r="L88" s="2141">
        <v>0.2</v>
      </c>
      <c r="M88" s="2141">
        <v>0.2</v>
      </c>
      <c r="N88" s="2141">
        <v>0.2</v>
      </c>
      <c r="O88" s="2141">
        <v>0.2</v>
      </c>
      <c r="P88" s="2141">
        <v>0.2</v>
      </c>
      <c r="Q88" s="2141">
        <v>0.2</v>
      </c>
      <c r="R88" s="2141">
        <v>0.2</v>
      </c>
      <c r="S88" s="2141">
        <v>0.2</v>
      </c>
      <c r="T88" s="2141">
        <v>0.2</v>
      </c>
      <c r="U88" s="2141">
        <v>0.2</v>
      </c>
      <c r="V88" s="2141">
        <v>0.2</v>
      </c>
      <c r="W88" s="2141">
        <v>0.2</v>
      </c>
      <c r="X88" s="2142">
        <v>0.2</v>
      </c>
      <c r="Y88" s="2141">
        <v>0.2</v>
      </c>
      <c r="Z88" s="2141">
        <v>0.2</v>
      </c>
      <c r="AA88" s="2141"/>
      <c r="AB88" s="2141"/>
      <c r="AC88" s="2141"/>
      <c r="AD88" s="2143" t="s">
        <v>237</v>
      </c>
    </row>
    <row r="89" spans="1:30">
      <c r="A89" s="1910" t="s">
        <v>694</v>
      </c>
      <c r="B89" s="2137">
        <v>0.18</v>
      </c>
      <c r="C89" s="2137">
        <v>0.18</v>
      </c>
      <c r="D89" s="2137">
        <v>0.18</v>
      </c>
      <c r="E89" s="2137">
        <v>0.18</v>
      </c>
      <c r="F89" s="2137">
        <v>0.18</v>
      </c>
      <c r="G89" s="2137">
        <v>0.18</v>
      </c>
      <c r="H89" s="2137">
        <v>0.18</v>
      </c>
      <c r="I89" s="527">
        <v>0.05</v>
      </c>
      <c r="J89" s="68">
        <v>0.05</v>
      </c>
      <c r="K89" s="2140">
        <v>0.2</v>
      </c>
      <c r="L89" s="2141">
        <v>0.2</v>
      </c>
      <c r="M89" s="2141">
        <v>0.2</v>
      </c>
      <c r="N89" s="2141">
        <v>0.2</v>
      </c>
      <c r="O89" s="2141">
        <v>0.2</v>
      </c>
      <c r="P89" s="2141">
        <v>0.2</v>
      </c>
      <c r="Q89" s="2141">
        <v>0.2</v>
      </c>
      <c r="R89" s="2141">
        <v>0.2</v>
      </c>
      <c r="S89" s="2141">
        <v>0.2</v>
      </c>
      <c r="T89" s="2141">
        <v>0.2</v>
      </c>
      <c r="U89" s="2141">
        <v>0.2</v>
      </c>
      <c r="V89" s="2141">
        <v>0.2</v>
      </c>
      <c r="W89" s="2141">
        <v>0.2</v>
      </c>
      <c r="X89" s="2144">
        <v>0.2</v>
      </c>
      <c r="Y89" s="2141">
        <v>0.2</v>
      </c>
      <c r="Z89" s="2141">
        <v>0.2</v>
      </c>
      <c r="AA89" s="2141"/>
      <c r="AB89" s="2141"/>
      <c r="AC89" s="2141"/>
      <c r="AD89" s="1915" t="s">
        <v>695</v>
      </c>
    </row>
    <row r="90" spans="1:30" s="31" customFormat="1" ht="27.6">
      <c r="A90" s="2145" t="s">
        <v>696</v>
      </c>
      <c r="B90" s="2146"/>
      <c r="C90" s="2147"/>
      <c r="D90" s="2147"/>
      <c r="E90" s="2147"/>
      <c r="F90" s="2147"/>
      <c r="G90" s="2147"/>
      <c r="H90" s="2148"/>
      <c r="I90" s="2149"/>
      <c r="J90" s="2146"/>
      <c r="K90" s="2150">
        <f>K91/$L$1</f>
        <v>15977.912134265593</v>
      </c>
      <c r="L90" s="2150">
        <f>L91/$L$1</f>
        <v>15977.912134265593</v>
      </c>
      <c r="M90" s="2151">
        <v>16000</v>
      </c>
      <c r="N90" s="2150">
        <v>16000</v>
      </c>
      <c r="O90" s="2150">
        <v>16000</v>
      </c>
      <c r="P90" s="2150">
        <v>16000</v>
      </c>
      <c r="Q90" s="2150">
        <v>16000</v>
      </c>
      <c r="R90" s="2150">
        <v>16000</v>
      </c>
      <c r="S90" s="2150">
        <v>16000</v>
      </c>
      <c r="T90" s="2151">
        <v>40000</v>
      </c>
      <c r="U90" s="2150">
        <v>40000</v>
      </c>
      <c r="V90" s="2150">
        <v>40000</v>
      </c>
      <c r="W90" s="2150">
        <v>40000</v>
      </c>
      <c r="X90" s="2152">
        <v>40000</v>
      </c>
      <c r="Y90" s="2150">
        <v>40000</v>
      </c>
      <c r="Z90" s="2150">
        <v>40000</v>
      </c>
      <c r="AA90" s="2150"/>
      <c r="AB90" s="2150"/>
      <c r="AC90" s="2150"/>
      <c r="AD90" s="2153" t="s">
        <v>697</v>
      </c>
    </row>
    <row r="91" spans="1:30" s="4" customFormat="1" ht="16.2" thickBot="1">
      <c r="A91" s="2154" t="s">
        <v>698</v>
      </c>
      <c r="B91" s="2155"/>
      <c r="C91" s="2156"/>
      <c r="D91" s="2156"/>
      <c r="E91" s="2156"/>
      <c r="F91" s="2156"/>
      <c r="G91" s="2156"/>
      <c r="H91" s="2157"/>
      <c r="I91" s="2158"/>
      <c r="J91" s="2155"/>
      <c r="K91" s="2159">
        <v>250000</v>
      </c>
      <c r="L91" s="2159">
        <v>250000</v>
      </c>
      <c r="M91" s="2160"/>
      <c r="N91" s="2160"/>
      <c r="O91" s="2160"/>
      <c r="P91" s="2160"/>
      <c r="Q91" s="2160"/>
      <c r="R91" s="2160"/>
      <c r="S91" s="2160"/>
      <c r="T91" s="2160"/>
      <c r="U91" s="2160"/>
      <c r="V91" s="2161"/>
      <c r="W91" s="2161"/>
      <c r="X91" s="2162"/>
      <c r="Y91" s="2161"/>
      <c r="Z91" s="2161"/>
      <c r="AA91" s="2161"/>
      <c r="AB91" s="2161"/>
      <c r="AC91" s="2161"/>
      <c r="AD91" s="2163" t="s">
        <v>699</v>
      </c>
    </row>
    <row r="92" spans="1:30" ht="16.2" thickBot="1">
      <c r="A92" s="2056" t="s">
        <v>700</v>
      </c>
      <c r="B92" s="2164"/>
      <c r="C92" s="2164"/>
      <c r="D92" s="2164"/>
      <c r="E92" s="2164"/>
      <c r="F92" s="2164"/>
      <c r="G92" s="2164"/>
      <c r="H92" s="2165"/>
      <c r="I92" s="2166"/>
      <c r="J92" s="2166"/>
      <c r="K92" s="2167"/>
      <c r="L92" s="2167"/>
      <c r="M92" s="2167"/>
      <c r="N92" s="2167"/>
      <c r="O92" s="2167"/>
      <c r="P92" s="2167"/>
      <c r="Q92" s="2167"/>
      <c r="R92" s="2167"/>
      <c r="S92" s="2168"/>
      <c r="T92" s="2168"/>
      <c r="U92" s="2168"/>
      <c r="V92" s="2168"/>
      <c r="W92" s="2168"/>
      <c r="X92" s="2169"/>
      <c r="Y92" s="2168"/>
      <c r="Z92" s="2169"/>
      <c r="AA92" s="2169"/>
      <c r="AB92" s="2169"/>
      <c r="AC92" s="2169"/>
      <c r="AD92" s="2058" t="s">
        <v>259</v>
      </c>
    </row>
    <row r="93" spans="1:30" ht="14.4" thickBot="1">
      <c r="A93" s="2170" t="s">
        <v>701</v>
      </c>
      <c r="B93" s="2171"/>
      <c r="C93" s="2171"/>
      <c r="D93" s="2171"/>
      <c r="E93" s="2171"/>
      <c r="F93" s="2171"/>
      <c r="G93" s="2171"/>
      <c r="H93" s="2172"/>
      <c r="I93" s="2173"/>
      <c r="J93" s="2173"/>
      <c r="K93" s="2174"/>
      <c r="L93" s="2174"/>
      <c r="M93" s="2175" t="s">
        <v>702</v>
      </c>
      <c r="N93" s="2175" t="str">
        <f>M93</f>
        <v>0,1-2,5%</v>
      </c>
      <c r="O93" s="2175" t="str">
        <f t="shared" ref="O93:W93" si="16">N93</f>
        <v>0,1-2,5%</v>
      </c>
      <c r="P93" s="2175" t="str">
        <f t="shared" si="16"/>
        <v>0,1-2,5%</v>
      </c>
      <c r="Q93" s="2175" t="str">
        <f t="shared" si="16"/>
        <v>0,1-2,5%</v>
      </c>
      <c r="R93" s="2175" t="str">
        <f t="shared" si="16"/>
        <v>0,1-2,5%</v>
      </c>
      <c r="S93" s="2175" t="str">
        <f t="shared" si="16"/>
        <v>0,1-2,5%</v>
      </c>
      <c r="T93" s="2175" t="str">
        <f t="shared" si="16"/>
        <v>0,1-2,5%</v>
      </c>
      <c r="U93" s="2175" t="str">
        <f t="shared" si="16"/>
        <v>0,1-2,5%</v>
      </c>
      <c r="V93" s="2175" t="str">
        <f t="shared" si="16"/>
        <v>0,1-2,5%</v>
      </c>
      <c r="W93" s="2175" t="str">
        <f t="shared" si="16"/>
        <v>0,1-2,5%</v>
      </c>
      <c r="X93" s="2176" t="s">
        <v>702</v>
      </c>
      <c r="Y93" s="2175" t="s">
        <v>702</v>
      </c>
      <c r="Z93" s="2177" t="s">
        <v>703</v>
      </c>
      <c r="AA93" s="2177"/>
      <c r="AB93" s="2177"/>
      <c r="AC93" s="2177"/>
      <c r="AD93" s="2178" t="s">
        <v>704</v>
      </c>
    </row>
    <row r="94" spans="1:30" ht="16.2" thickBot="1">
      <c r="A94" s="2056" t="s">
        <v>705</v>
      </c>
      <c r="B94" s="2179"/>
      <c r="C94" s="2180"/>
      <c r="D94" s="2180"/>
      <c r="E94" s="2180"/>
      <c r="F94" s="2180"/>
      <c r="G94" s="2180"/>
      <c r="H94" s="2180"/>
      <c r="I94" s="2181"/>
      <c r="J94" s="2182"/>
      <c r="K94" s="2182"/>
      <c r="L94" s="2181"/>
      <c r="M94" s="2180"/>
      <c r="N94" s="2180"/>
      <c r="O94" s="2180"/>
      <c r="P94" s="2180"/>
      <c r="Q94" s="2180"/>
      <c r="R94" s="2180"/>
      <c r="S94" s="2180"/>
      <c r="T94" s="2180"/>
      <c r="U94" s="2168"/>
      <c r="V94" s="2168"/>
      <c r="W94" s="2168"/>
      <c r="X94" s="2169"/>
      <c r="Y94" s="2168"/>
      <c r="Z94" s="2169"/>
      <c r="AA94" s="2169"/>
      <c r="AB94" s="2169"/>
      <c r="AC94" s="2169"/>
      <c r="AD94" s="2058" t="s">
        <v>274</v>
      </c>
    </row>
    <row r="95" spans="1:30" ht="15.6">
      <c r="A95" s="2183" t="s">
        <v>275</v>
      </c>
      <c r="B95" s="2184"/>
      <c r="C95" s="1174"/>
      <c r="D95" s="1174"/>
      <c r="E95" s="1174"/>
      <c r="F95" s="1174"/>
      <c r="G95" s="1174"/>
      <c r="H95" s="1174"/>
      <c r="I95" s="1174"/>
      <c r="J95" s="1174"/>
      <c r="K95" s="1174"/>
      <c r="L95" s="1175"/>
      <c r="M95" s="1175"/>
      <c r="N95" s="1175"/>
      <c r="O95" s="1175"/>
      <c r="P95" s="1175"/>
      <c r="Q95" s="1175"/>
      <c r="R95" s="1175"/>
      <c r="S95" s="1175"/>
      <c r="T95" s="1175"/>
      <c r="U95" s="1176"/>
      <c r="V95" s="1176"/>
      <c r="W95" s="1176"/>
      <c r="X95" s="2185"/>
      <c r="Y95" s="1176"/>
      <c r="Z95" s="2185"/>
      <c r="AA95" s="2185"/>
      <c r="AB95" s="2185"/>
      <c r="AC95" s="2185"/>
      <c r="AD95" s="2186" t="s">
        <v>276</v>
      </c>
    </row>
    <row r="96" spans="1:30" s="565" customFormat="1">
      <c r="A96" s="2145" t="s">
        <v>277</v>
      </c>
      <c r="B96" s="164"/>
      <c r="C96" s="164"/>
      <c r="D96" s="164"/>
      <c r="E96" s="164"/>
      <c r="F96" s="764"/>
      <c r="G96" s="163"/>
      <c r="H96" s="164"/>
      <c r="I96" s="163">
        <f>I98/$L$1</f>
        <v>287.60241841678067</v>
      </c>
      <c r="J96" s="163">
        <f>J98/$L$1</f>
        <v>359.1834647782905</v>
      </c>
      <c r="K96" s="163">
        <f>K98/$L$1</f>
        <v>389.03020464509865</v>
      </c>
      <c r="L96" s="163">
        <f>L98/$L$1</f>
        <v>422.77555507266754</v>
      </c>
      <c r="M96" s="164">
        <v>422.77555507266754</v>
      </c>
      <c r="N96" s="164">
        <v>422.77555507266754</v>
      </c>
      <c r="O96" s="164">
        <v>422.77555507266754</v>
      </c>
      <c r="P96" s="164">
        <v>422.77555507266754</v>
      </c>
      <c r="Q96" s="164">
        <v>422.77555507266754</v>
      </c>
      <c r="R96" s="765">
        <v>465</v>
      </c>
      <c r="S96" s="765">
        <v>512</v>
      </c>
      <c r="T96" s="765">
        <v>563</v>
      </c>
      <c r="U96" s="766">
        <v>563</v>
      </c>
      <c r="V96" s="766">
        <v>563</v>
      </c>
      <c r="W96" s="766">
        <v>563</v>
      </c>
      <c r="X96" s="2187">
        <v>563</v>
      </c>
      <c r="Y96" s="766">
        <v>563</v>
      </c>
      <c r="Z96" s="766">
        <v>563</v>
      </c>
      <c r="AA96" s="766"/>
      <c r="AB96" s="766"/>
      <c r="AC96" s="766"/>
      <c r="AD96" s="2188" t="s">
        <v>706</v>
      </c>
    </row>
    <row r="97" spans="1:30">
      <c r="A97" s="2189"/>
      <c r="B97" s="2190"/>
      <c r="C97" s="2190"/>
      <c r="D97" s="2190"/>
      <c r="E97" s="2190"/>
      <c r="F97" s="771"/>
      <c r="G97" s="2191"/>
      <c r="H97" s="2190"/>
      <c r="I97" s="2192"/>
      <c r="J97" s="2192"/>
      <c r="K97" s="907" t="s">
        <v>25</v>
      </c>
      <c r="L97" s="2193"/>
      <c r="M97" s="907"/>
      <c r="N97" s="2190"/>
      <c r="O97" s="2190"/>
      <c r="P97" s="2190"/>
      <c r="Q97" s="2190"/>
      <c r="R97" s="907" t="s">
        <v>707</v>
      </c>
      <c r="S97" s="907" t="s">
        <v>707</v>
      </c>
      <c r="T97" s="2194"/>
      <c r="U97" s="2195"/>
      <c r="V97" s="2194"/>
      <c r="W97" s="2194"/>
      <c r="X97" s="2196"/>
      <c r="Y97" s="2194"/>
      <c r="Z97" s="2196"/>
      <c r="AA97" s="2196"/>
      <c r="AB97" s="2196"/>
      <c r="AC97" s="2196"/>
      <c r="AD97" s="2197"/>
    </row>
    <row r="98" spans="1:30" s="565" customFormat="1" ht="13.2">
      <c r="A98" s="2198" t="s">
        <v>708</v>
      </c>
      <c r="B98" s="778"/>
      <c r="C98" s="778"/>
      <c r="D98" s="778"/>
      <c r="E98" s="778"/>
      <c r="F98" s="779"/>
      <c r="G98" s="234"/>
      <c r="H98" s="233"/>
      <c r="I98" s="2199">
        <v>4500</v>
      </c>
      <c r="J98" s="2199">
        <v>5620</v>
      </c>
      <c r="K98" s="2199">
        <v>6087</v>
      </c>
      <c r="L98" s="2199">
        <v>6615</v>
      </c>
      <c r="M98" s="2200"/>
      <c r="N98" s="2200"/>
      <c r="O98" s="2200"/>
      <c r="P98" s="2200"/>
      <c r="Q98" s="2200"/>
      <c r="R98" s="233"/>
      <c r="S98" s="233"/>
      <c r="T98" s="233"/>
      <c r="U98" s="233"/>
      <c r="V98" s="233"/>
      <c r="W98" s="233"/>
      <c r="X98" s="2201"/>
      <c r="Y98" s="233"/>
      <c r="Z98" s="2201"/>
      <c r="AA98" s="2201"/>
      <c r="AB98" s="2201"/>
      <c r="AC98" s="2201"/>
      <c r="AD98" s="2202" t="s">
        <v>709</v>
      </c>
    </row>
    <row r="99" spans="1:30">
      <c r="A99" s="2203"/>
      <c r="B99" s="2204"/>
      <c r="C99" s="2204"/>
      <c r="D99" s="2204"/>
      <c r="E99" s="2204"/>
      <c r="F99" s="785"/>
      <c r="G99" s="2205"/>
      <c r="H99" s="2206"/>
      <c r="I99" s="2205"/>
      <c r="J99" s="2205"/>
      <c r="K99" s="785" t="s">
        <v>25</v>
      </c>
      <c r="L99" s="2207"/>
      <c r="M99" s="785"/>
      <c r="N99" s="2208"/>
      <c r="O99" s="2208"/>
      <c r="P99" s="2206"/>
      <c r="Q99" s="2206"/>
      <c r="R99" s="2206"/>
      <c r="S99" s="2206"/>
      <c r="T99" s="2206"/>
      <c r="U99" s="2206"/>
      <c r="V99" s="2206"/>
      <c r="W99" s="2206"/>
      <c r="X99" s="2209"/>
      <c r="Y99" s="2206"/>
      <c r="Z99" s="2209"/>
      <c r="AA99" s="2209"/>
      <c r="AB99" s="2209"/>
      <c r="AC99" s="2209"/>
      <c r="AD99" s="2210"/>
    </row>
    <row r="100" spans="1:30">
      <c r="A100" s="2211" t="s">
        <v>284</v>
      </c>
      <c r="B100" s="793"/>
      <c r="C100" s="793"/>
      <c r="D100" s="793"/>
      <c r="E100" s="793"/>
      <c r="F100" s="794"/>
      <c r="G100" s="795"/>
      <c r="H100" s="796"/>
      <c r="I100" s="795">
        <f>I102/$L$1</f>
        <v>287.60241841678067</v>
      </c>
      <c r="J100" s="795">
        <f>J102/$L$1</f>
        <v>359.1834647782905</v>
      </c>
      <c r="K100" s="795">
        <f>K102/$L$1</f>
        <v>389.03020464509865</v>
      </c>
      <c r="L100" s="795">
        <f>L102/$L$1</f>
        <v>422.77555507266754</v>
      </c>
      <c r="M100" s="796">
        <v>422.77555507266754</v>
      </c>
      <c r="N100" s="796">
        <v>422.77555507266754</v>
      </c>
      <c r="O100" s="796">
        <v>422.77555507266754</v>
      </c>
      <c r="P100" s="796">
        <v>422.77555507266754</v>
      </c>
      <c r="Q100" s="796">
        <v>422.77555507266754</v>
      </c>
      <c r="R100" s="2212">
        <v>465</v>
      </c>
      <c r="S100" s="2212">
        <v>512</v>
      </c>
      <c r="T100" s="2212">
        <v>563</v>
      </c>
      <c r="U100" s="874">
        <v>563</v>
      </c>
      <c r="V100" s="874">
        <v>563</v>
      </c>
      <c r="W100" s="874">
        <v>563</v>
      </c>
      <c r="X100" s="2213">
        <v>563</v>
      </c>
      <c r="Y100" s="874">
        <v>563</v>
      </c>
      <c r="Z100" s="874">
        <v>563</v>
      </c>
      <c r="AA100" s="874"/>
      <c r="AB100" s="874"/>
      <c r="AC100" s="874"/>
      <c r="AD100" s="2214" t="s">
        <v>285</v>
      </c>
    </row>
    <row r="101" spans="1:30">
      <c r="A101" s="2215"/>
      <c r="B101" s="805"/>
      <c r="C101" s="805"/>
      <c r="D101" s="805"/>
      <c r="E101" s="805"/>
      <c r="F101" s="806"/>
      <c r="G101" s="807"/>
      <c r="H101" s="808"/>
      <c r="I101" s="867"/>
      <c r="J101" s="867"/>
      <c r="K101" s="878" t="s">
        <v>25</v>
      </c>
      <c r="L101" s="868"/>
      <c r="M101" s="878"/>
      <c r="N101" s="808"/>
      <c r="O101" s="808"/>
      <c r="P101" s="808"/>
      <c r="Q101" s="808"/>
      <c r="R101" s="878" t="s">
        <v>707</v>
      </c>
      <c r="S101" s="878" t="s">
        <v>707</v>
      </c>
      <c r="T101" s="881"/>
      <c r="U101" s="812"/>
      <c r="V101" s="812"/>
      <c r="W101" s="812"/>
      <c r="X101" s="2216"/>
      <c r="Y101" s="812"/>
      <c r="Z101" s="2216"/>
      <c r="AA101" s="2216"/>
      <c r="AB101" s="2216"/>
      <c r="AC101" s="2216"/>
      <c r="AD101" s="2217"/>
    </row>
    <row r="102" spans="1:30" s="565" customFormat="1" ht="13.2">
      <c r="A102" s="2218" t="s">
        <v>710</v>
      </c>
      <c r="B102" s="817"/>
      <c r="C102" s="817"/>
      <c r="D102" s="817"/>
      <c r="E102" s="817"/>
      <c r="F102" s="818"/>
      <c r="G102" s="819"/>
      <c r="H102" s="817"/>
      <c r="I102" s="2219">
        <v>4500</v>
      </c>
      <c r="J102" s="2219">
        <v>5620</v>
      </c>
      <c r="K102" s="2219">
        <v>6087</v>
      </c>
      <c r="L102" s="2219">
        <v>6615</v>
      </c>
      <c r="M102" s="2220"/>
      <c r="N102" s="2220"/>
      <c r="O102" s="2220"/>
      <c r="P102" s="2220"/>
      <c r="Q102" s="2220"/>
      <c r="R102" s="817"/>
      <c r="S102" s="817"/>
      <c r="T102" s="817"/>
      <c r="U102" s="817"/>
      <c r="V102" s="817"/>
      <c r="W102" s="817"/>
      <c r="X102" s="2221"/>
      <c r="Y102" s="2222"/>
      <c r="Z102" s="817"/>
      <c r="AA102" s="817"/>
      <c r="AB102" s="817"/>
      <c r="AC102" s="817"/>
      <c r="AD102" s="2223" t="s">
        <v>711</v>
      </c>
    </row>
    <row r="103" spans="1:30">
      <c r="A103" s="2224"/>
      <c r="B103" s="2225"/>
      <c r="C103" s="2225"/>
      <c r="D103" s="2225"/>
      <c r="E103" s="2225"/>
      <c r="F103" s="825"/>
      <c r="G103" s="2226"/>
      <c r="H103" s="2225"/>
      <c r="I103" s="2226"/>
      <c r="J103" s="2226"/>
      <c r="K103" s="825" t="s">
        <v>25</v>
      </c>
      <c r="L103" s="2227"/>
      <c r="M103" s="825"/>
      <c r="N103" s="2228"/>
      <c r="O103" s="2228"/>
      <c r="P103" s="2225"/>
      <c r="Q103" s="2225"/>
      <c r="R103" s="2225"/>
      <c r="S103" s="2225"/>
      <c r="T103" s="2225"/>
      <c r="U103" s="2225"/>
      <c r="V103" s="2229"/>
      <c r="W103" s="2229"/>
      <c r="X103" s="2230"/>
      <c r="Y103" s="2229"/>
      <c r="Z103" s="2225"/>
      <c r="AA103" s="2225"/>
      <c r="AB103" s="2225"/>
      <c r="AC103" s="2225"/>
      <c r="AD103" s="2231"/>
    </row>
    <row r="104" spans="1:30">
      <c r="A104" s="4674" t="s">
        <v>712</v>
      </c>
      <c r="B104" s="2232"/>
      <c r="C104" s="2232"/>
      <c r="D104" s="2232"/>
      <c r="E104" s="2232"/>
      <c r="F104" s="2233"/>
      <c r="G104" s="2234"/>
      <c r="H104" s="2232"/>
      <c r="I104" s="2234"/>
      <c r="J104" s="2234"/>
      <c r="K104" s="2233"/>
      <c r="L104" s="2235"/>
      <c r="M104" s="2233"/>
      <c r="N104" s="2236"/>
      <c r="O104" s="2236"/>
      <c r="P104" s="2237">
        <f>P96</f>
        <v>422.77555507266754</v>
      </c>
      <c r="Q104" s="2237">
        <f t="shared" ref="Q104:V104" si="17">Q96</f>
        <v>422.77555507266754</v>
      </c>
      <c r="R104" s="2238">
        <f t="shared" si="17"/>
        <v>465</v>
      </c>
      <c r="S104" s="2238">
        <f t="shared" si="17"/>
        <v>512</v>
      </c>
      <c r="T104" s="2238">
        <f t="shared" si="17"/>
        <v>563</v>
      </c>
      <c r="U104" s="2239">
        <f t="shared" si="17"/>
        <v>563</v>
      </c>
      <c r="V104" s="2239">
        <f t="shared" si="17"/>
        <v>563</v>
      </c>
      <c r="W104" s="2239">
        <f>W96</f>
        <v>563</v>
      </c>
      <c r="X104" s="2240">
        <v>563</v>
      </c>
      <c r="Y104" s="2239">
        <v>563</v>
      </c>
      <c r="Z104" s="2239">
        <v>563</v>
      </c>
      <c r="AA104" s="2239"/>
      <c r="AB104" s="2239"/>
      <c r="AC104" s="2239"/>
      <c r="AD104" s="4687" t="s">
        <v>713</v>
      </c>
    </row>
    <row r="105" spans="1:30" s="565" customFormat="1" ht="15.75" customHeight="1">
      <c r="A105" s="4686"/>
      <c r="B105" s="2206"/>
      <c r="C105" s="2206"/>
      <c r="D105" s="2206"/>
      <c r="E105" s="2206"/>
      <c r="F105" s="785"/>
      <c r="G105" s="2205"/>
      <c r="H105" s="2206"/>
      <c r="I105" s="2205"/>
      <c r="J105" s="2205"/>
      <c r="K105" s="785"/>
      <c r="L105" s="2207"/>
      <c r="M105" s="785"/>
      <c r="N105" s="2208"/>
      <c r="O105" s="2208"/>
      <c r="P105" s="2241"/>
      <c r="Q105" s="2241"/>
      <c r="R105" s="907" t="s">
        <v>707</v>
      </c>
      <c r="S105" s="907" t="s">
        <v>707</v>
      </c>
      <c r="T105" s="2241"/>
      <c r="U105" s="2206"/>
      <c r="V105" s="2206"/>
      <c r="W105" s="2206"/>
      <c r="X105" s="2209"/>
      <c r="Y105" s="2206"/>
      <c r="Z105" s="2209"/>
      <c r="AA105" s="2209"/>
      <c r="AB105" s="2209"/>
      <c r="AC105" s="2209"/>
      <c r="AD105" s="4688"/>
    </row>
    <row r="106" spans="1:30" s="565" customFormat="1" ht="27.6">
      <c r="A106" s="2211" t="s">
        <v>297</v>
      </c>
      <c r="B106" s="2242"/>
      <c r="C106" s="793"/>
      <c r="D106" s="793"/>
      <c r="E106" s="793"/>
      <c r="F106" s="794"/>
      <c r="G106" s="795"/>
      <c r="H106" s="796"/>
      <c r="I106" s="795">
        <f>I108/$L$1</f>
        <v>245.4207303823195</v>
      </c>
      <c r="J106" s="795">
        <f>J108/$L$1</f>
        <v>330.1036646939271</v>
      </c>
      <c r="K106" s="795">
        <f>K108/$L$1</f>
        <v>369.98453338105406</v>
      </c>
      <c r="L106" s="795">
        <f>L108/$L$1</f>
        <v>392.92881520585945</v>
      </c>
      <c r="M106" s="798">
        <v>392.92</v>
      </c>
      <c r="N106" s="798">
        <v>392.92</v>
      </c>
      <c r="O106" s="798">
        <v>392.92</v>
      </c>
      <c r="P106" s="798">
        <v>392.92</v>
      </c>
      <c r="Q106" s="798">
        <v>392.92</v>
      </c>
      <c r="R106" s="2212">
        <v>448</v>
      </c>
      <c r="S106" s="2212">
        <v>493</v>
      </c>
      <c r="T106" s="874">
        <v>493</v>
      </c>
      <c r="U106" s="874">
        <v>493</v>
      </c>
      <c r="V106" s="1151" t="s">
        <v>714</v>
      </c>
      <c r="W106" s="1151">
        <v>372</v>
      </c>
      <c r="X106" s="2243">
        <v>372</v>
      </c>
      <c r="Y106" s="1151">
        <v>372</v>
      </c>
      <c r="Z106" s="2244" t="s">
        <v>715</v>
      </c>
      <c r="AA106" s="2244"/>
      <c r="AB106" s="2244"/>
      <c r="AC106" s="2244"/>
      <c r="AD106" s="2214" t="s">
        <v>298</v>
      </c>
    </row>
    <row r="107" spans="1:30" ht="15.75" customHeight="1">
      <c r="A107" s="2245"/>
      <c r="B107" s="2246"/>
      <c r="C107" s="2247"/>
      <c r="D107" s="2247"/>
      <c r="E107" s="2247"/>
      <c r="F107" s="2248"/>
      <c r="G107" s="2249"/>
      <c r="H107" s="2250"/>
      <c r="I107" s="2251"/>
      <c r="J107" s="2251"/>
      <c r="K107" s="878" t="s">
        <v>25</v>
      </c>
      <c r="L107" s="2252"/>
      <c r="M107" s="2252"/>
      <c r="N107" s="2252"/>
      <c r="O107" s="2252"/>
      <c r="P107" s="2250"/>
      <c r="Q107" s="2250"/>
      <c r="R107" s="2253"/>
      <c r="S107" s="878" t="s">
        <v>707</v>
      </c>
      <c r="T107" s="2253"/>
      <c r="U107" s="2254"/>
      <c r="V107" s="878" t="s">
        <v>716</v>
      </c>
      <c r="W107" s="878"/>
      <c r="X107" s="2255"/>
      <c r="Y107" s="878"/>
      <c r="Z107" s="2255"/>
      <c r="AA107" s="2255"/>
      <c r="AB107" s="2255"/>
      <c r="AC107" s="2255"/>
      <c r="AD107" s="2256"/>
    </row>
    <row r="108" spans="1:30" s="565" customFormat="1" ht="13.2">
      <c r="A108" s="2218" t="s">
        <v>717</v>
      </c>
      <c r="B108" s="2257"/>
      <c r="C108" s="817"/>
      <c r="D108" s="817"/>
      <c r="E108" s="817"/>
      <c r="F108" s="818"/>
      <c r="G108" s="819"/>
      <c r="H108" s="820"/>
      <c r="I108" s="2219">
        <v>3840</v>
      </c>
      <c r="J108" s="2219">
        <v>5165</v>
      </c>
      <c r="K108" s="2219">
        <v>5789</v>
      </c>
      <c r="L108" s="2219">
        <v>6148</v>
      </c>
      <c r="M108" s="2219"/>
      <c r="N108" s="820"/>
      <c r="O108" s="820"/>
      <c r="P108" s="820"/>
      <c r="Q108" s="820"/>
      <c r="R108" s="820"/>
      <c r="S108" s="820"/>
      <c r="T108" s="820"/>
      <c r="U108" s="885"/>
      <c r="V108" s="2258"/>
      <c r="W108" s="885"/>
      <c r="X108" s="2259"/>
      <c r="Y108" s="885"/>
      <c r="Z108" s="2259"/>
      <c r="AA108" s="2259"/>
      <c r="AB108" s="2259"/>
      <c r="AC108" s="2259"/>
      <c r="AD108" s="2223" t="s">
        <v>718</v>
      </c>
    </row>
    <row r="109" spans="1:30">
      <c r="A109" s="2224"/>
      <c r="B109" s="2260"/>
      <c r="C109" s="2225"/>
      <c r="D109" s="2225"/>
      <c r="E109" s="2225"/>
      <c r="F109" s="2228"/>
      <c r="G109" s="2226"/>
      <c r="H109" s="2227"/>
      <c r="I109" s="2226"/>
      <c r="J109" s="2226"/>
      <c r="K109" s="825" t="s">
        <v>25</v>
      </c>
      <c r="L109" s="2227"/>
      <c r="M109" s="2227"/>
      <c r="N109" s="2227"/>
      <c r="O109" s="2227"/>
      <c r="P109" s="2227"/>
      <c r="Q109" s="2227"/>
      <c r="R109" s="2227"/>
      <c r="S109" s="2227"/>
      <c r="T109" s="2227"/>
      <c r="U109" s="2261"/>
      <c r="V109" s="2262"/>
      <c r="W109" s="2261"/>
      <c r="X109" s="2263"/>
      <c r="Y109" s="2261"/>
      <c r="Z109" s="2263"/>
      <c r="AA109" s="2263"/>
      <c r="AB109" s="2263"/>
      <c r="AC109" s="2263"/>
      <c r="AD109" s="2231"/>
    </row>
    <row r="110" spans="1:30">
      <c r="A110" s="2145" t="s">
        <v>302</v>
      </c>
      <c r="B110" s="2264"/>
      <c r="C110" s="900"/>
      <c r="D110" s="900"/>
      <c r="E110" s="900"/>
      <c r="F110" s="764"/>
      <c r="G110" s="163"/>
      <c r="H110" s="164"/>
      <c r="I110" s="2265">
        <f>I111/$L$1</f>
        <v>302.30209758030497</v>
      </c>
      <c r="J110" s="2265">
        <f>J111/$L$1</f>
        <v>330.1036646939271</v>
      </c>
      <c r="K110" s="2266">
        <f>K111/$L$1</f>
        <v>330.1036646939271</v>
      </c>
      <c r="L110" s="2266">
        <f>L111/$L$1</f>
        <v>330.1036646939271</v>
      </c>
      <c r="M110" s="2266">
        <v>330.1</v>
      </c>
      <c r="N110" s="2266">
        <v>330.1</v>
      </c>
      <c r="O110" s="2266">
        <v>330.1</v>
      </c>
      <c r="P110" s="2266">
        <v>330.1</v>
      </c>
      <c r="Q110" s="2266">
        <v>330.1</v>
      </c>
      <c r="R110" s="2266">
        <v>330.1</v>
      </c>
      <c r="S110" s="2266">
        <v>330.1</v>
      </c>
      <c r="T110" s="2266">
        <v>330.1</v>
      </c>
      <c r="U110" s="2266">
        <v>330.1</v>
      </c>
      <c r="V110" s="2266">
        <v>330.1</v>
      </c>
      <c r="W110" s="2266">
        <v>330.1</v>
      </c>
      <c r="X110" s="2267">
        <v>330.1</v>
      </c>
      <c r="Y110" s="2266">
        <v>330.1</v>
      </c>
      <c r="Z110" s="2267">
        <v>330.1</v>
      </c>
      <c r="AA110" s="2267"/>
      <c r="AB110" s="2267"/>
      <c r="AC110" s="2267"/>
      <c r="AD110" s="2188" t="s">
        <v>303</v>
      </c>
    </row>
    <row r="111" spans="1:30">
      <c r="A111" s="2198" t="s">
        <v>719</v>
      </c>
      <c r="B111" s="778"/>
      <c r="C111" s="233"/>
      <c r="D111" s="233"/>
      <c r="E111" s="233"/>
      <c r="F111" s="779"/>
      <c r="G111" s="234"/>
      <c r="H111" s="235"/>
      <c r="I111" s="2199">
        <v>4730</v>
      </c>
      <c r="J111" s="2199">
        <v>5165</v>
      </c>
      <c r="K111" s="2268">
        <f>J111</f>
        <v>5165</v>
      </c>
      <c r="L111" s="2268">
        <v>5165</v>
      </c>
      <c r="M111" s="2199"/>
      <c r="N111" s="235"/>
      <c r="O111" s="235"/>
      <c r="P111" s="853"/>
      <c r="Q111" s="853"/>
      <c r="R111" s="853"/>
      <c r="S111" s="853"/>
      <c r="T111" s="853"/>
      <c r="U111" s="854"/>
      <c r="V111" s="2269"/>
      <c r="W111" s="2269"/>
      <c r="X111" s="2270"/>
      <c r="Y111" s="2269"/>
      <c r="Z111" s="854"/>
      <c r="AA111" s="854"/>
      <c r="AB111" s="854"/>
      <c r="AC111" s="854"/>
      <c r="AD111" s="2271" t="s">
        <v>720</v>
      </c>
    </row>
    <row r="112" spans="1:30" s="565" customFormat="1">
      <c r="A112" s="2272" t="s">
        <v>306</v>
      </c>
      <c r="B112" s="2273"/>
      <c r="C112" s="934"/>
      <c r="D112" s="934"/>
      <c r="E112" s="935"/>
      <c r="F112" s="936"/>
      <c r="G112" s="937"/>
      <c r="H112" s="938"/>
      <c r="I112" s="795">
        <f>I114/$L$1</f>
        <v>100.02172996050261</v>
      </c>
      <c r="J112" s="795">
        <f>J114/$L$1</f>
        <v>125.26683113264224</v>
      </c>
      <c r="K112" s="796">
        <f>K114/$L$1</f>
        <v>125.26683113264224</v>
      </c>
      <c r="L112" s="796">
        <f>L114/$L$1</f>
        <v>125.26683113264224</v>
      </c>
      <c r="M112" s="938">
        <v>125.26</v>
      </c>
      <c r="N112" s="938">
        <v>125.26</v>
      </c>
      <c r="O112" s="938">
        <v>125.26</v>
      </c>
      <c r="P112" s="938">
        <v>125.26</v>
      </c>
      <c r="Q112" s="938">
        <v>125.26</v>
      </c>
      <c r="R112" s="938">
        <v>125.26</v>
      </c>
      <c r="S112" s="939">
        <v>193</v>
      </c>
      <c r="T112" s="940">
        <v>193</v>
      </c>
      <c r="U112" s="940">
        <v>193</v>
      </c>
      <c r="V112" s="940">
        <v>193</v>
      </c>
      <c r="W112" s="940">
        <v>193</v>
      </c>
      <c r="X112" s="2274">
        <v>193</v>
      </c>
      <c r="Y112" s="940">
        <v>193</v>
      </c>
      <c r="Z112" s="2274">
        <v>193</v>
      </c>
      <c r="AA112" s="2274"/>
      <c r="AB112" s="2274"/>
      <c r="AC112" s="2274"/>
      <c r="AD112" s="2275" t="s">
        <v>307</v>
      </c>
    </row>
    <row r="113" spans="1:30">
      <c r="A113" s="2276"/>
      <c r="B113" s="2277"/>
      <c r="C113" s="2278"/>
      <c r="D113" s="2278"/>
      <c r="E113" s="2279"/>
      <c r="F113" s="2280"/>
      <c r="G113" s="2281"/>
      <c r="H113" s="2282"/>
      <c r="I113" s="2283"/>
      <c r="J113" s="2283"/>
      <c r="K113" s="2284"/>
      <c r="L113" s="2284"/>
      <c r="M113" s="2282"/>
      <c r="N113" s="2282"/>
      <c r="O113" s="2282"/>
      <c r="P113" s="2282"/>
      <c r="Q113" s="2282"/>
      <c r="R113" s="2282"/>
      <c r="S113" s="878" t="s">
        <v>25</v>
      </c>
      <c r="T113" s="2282"/>
      <c r="U113" s="2285"/>
      <c r="V113" s="2286"/>
      <c r="W113" s="2286"/>
      <c r="X113" s="2287"/>
      <c r="Y113" s="2286"/>
      <c r="Z113" s="2287"/>
      <c r="AA113" s="2287"/>
      <c r="AB113" s="2287"/>
      <c r="AC113" s="2287"/>
      <c r="AD113" s="2288"/>
    </row>
    <row r="114" spans="1:30" s="565" customFormat="1" ht="12" customHeight="1">
      <c r="A114" s="2289" t="s">
        <v>721</v>
      </c>
      <c r="B114" s="2290"/>
      <c r="C114" s="952"/>
      <c r="D114" s="952"/>
      <c r="E114" s="953"/>
      <c r="F114" s="818"/>
      <c r="G114" s="954"/>
      <c r="H114" s="955"/>
      <c r="I114" s="2219">
        <v>1565</v>
      </c>
      <c r="J114" s="2219">
        <v>1960</v>
      </c>
      <c r="K114" s="2291">
        <v>1960</v>
      </c>
      <c r="L114" s="2291">
        <v>1960</v>
      </c>
      <c r="M114" s="955"/>
      <c r="N114" s="955"/>
      <c r="O114" s="955"/>
      <c r="P114" s="955"/>
      <c r="Q114" s="955"/>
      <c r="R114" s="955"/>
      <c r="S114" s="955"/>
      <c r="T114" s="955"/>
      <c r="U114" s="955"/>
      <c r="V114" s="955"/>
      <c r="W114" s="955"/>
      <c r="X114" s="2292"/>
      <c r="Y114" s="955"/>
      <c r="Z114" s="2292"/>
      <c r="AA114" s="2292"/>
      <c r="AB114" s="2292"/>
      <c r="AC114" s="2292"/>
      <c r="AD114" s="2293" t="s">
        <v>722</v>
      </c>
    </row>
    <row r="115" spans="1:30">
      <c r="A115" s="2294"/>
      <c r="B115" s="2295"/>
      <c r="C115" s="2296"/>
      <c r="D115" s="2296"/>
      <c r="E115" s="2297"/>
      <c r="F115" s="2298"/>
      <c r="G115" s="2299"/>
      <c r="H115" s="2300"/>
      <c r="I115" s="2301"/>
      <c r="J115" s="2301"/>
      <c r="K115" s="2302"/>
      <c r="L115" s="2302"/>
      <c r="M115" s="2300"/>
      <c r="N115" s="2300"/>
      <c r="O115" s="2300"/>
      <c r="P115" s="2300"/>
      <c r="Q115" s="2300"/>
      <c r="R115" s="2300"/>
      <c r="S115" s="878"/>
      <c r="T115" s="2300"/>
      <c r="U115" s="2300"/>
      <c r="V115" s="2300"/>
      <c r="W115" s="2300"/>
      <c r="X115" s="2303"/>
      <c r="Y115" s="2300"/>
      <c r="Z115" s="2303"/>
      <c r="AA115" s="2303"/>
      <c r="AB115" s="2303"/>
      <c r="AC115" s="2303"/>
      <c r="AD115" s="2304"/>
    </row>
    <row r="116" spans="1:30" ht="30" customHeight="1">
      <c r="A116" s="2305" t="s">
        <v>310</v>
      </c>
      <c r="B116" s="965"/>
      <c r="C116" s="966"/>
      <c r="D116" s="966"/>
      <c r="E116" s="967"/>
      <c r="F116" s="2306"/>
      <c r="G116" s="2307"/>
      <c r="H116" s="2308"/>
      <c r="I116" s="2309"/>
      <c r="J116" s="2309"/>
      <c r="K116" s="2309"/>
      <c r="L116" s="2309"/>
      <c r="M116" s="2309"/>
      <c r="N116" s="2309"/>
      <c r="O116" s="2309"/>
      <c r="P116" s="2309"/>
      <c r="Q116" s="2309"/>
      <c r="R116" s="2309"/>
      <c r="S116" s="2309">
        <v>55.15</v>
      </c>
      <c r="T116" s="2309">
        <v>69.94</v>
      </c>
      <c r="U116" s="2309">
        <v>86.17</v>
      </c>
      <c r="V116" s="2310" t="s">
        <v>723</v>
      </c>
      <c r="W116" s="2311">
        <v>55</v>
      </c>
      <c r="X116" s="2311">
        <v>55</v>
      </c>
      <c r="Y116" s="2311">
        <v>55</v>
      </c>
      <c r="Z116" s="2312" t="s">
        <v>724</v>
      </c>
      <c r="AA116" s="2312"/>
      <c r="AB116" s="2312"/>
      <c r="AC116" s="2312"/>
      <c r="AD116" s="2313" t="s">
        <v>311</v>
      </c>
    </row>
    <row r="117" spans="1:30">
      <c r="A117" s="2108" t="s">
        <v>312</v>
      </c>
      <c r="B117" s="2314"/>
      <c r="C117" s="996"/>
      <c r="D117" s="996"/>
      <c r="E117" s="997"/>
      <c r="F117" s="764"/>
      <c r="G117" s="163"/>
      <c r="H117" s="164"/>
      <c r="I117" s="901">
        <f>I118/$L$1</f>
        <v>15.019237406209657</v>
      </c>
      <c r="J117" s="902">
        <f>J118/$L$1</f>
        <v>15.019237406209657</v>
      </c>
      <c r="K117" s="902">
        <f>K118/$L$1</f>
        <v>15.019237406209657</v>
      </c>
      <c r="L117" s="902">
        <f>L118/$L$1</f>
        <v>15.019237406209657</v>
      </c>
      <c r="M117" s="902">
        <v>15.01</v>
      </c>
      <c r="N117" s="902">
        <v>15.01</v>
      </c>
      <c r="O117" s="902">
        <v>15.01</v>
      </c>
      <c r="P117" s="902">
        <v>15.01</v>
      </c>
      <c r="Q117" s="902">
        <v>15.01</v>
      </c>
      <c r="R117" s="835">
        <v>58</v>
      </c>
      <c r="S117" s="836">
        <v>58</v>
      </c>
      <c r="T117" s="836">
        <v>58</v>
      </c>
      <c r="U117" s="836">
        <v>58</v>
      </c>
      <c r="V117" s="836">
        <v>58</v>
      </c>
      <c r="W117" s="836">
        <v>58</v>
      </c>
      <c r="X117" s="2315">
        <v>58</v>
      </c>
      <c r="Y117" s="836">
        <v>58</v>
      </c>
      <c r="Z117" s="2315">
        <v>58</v>
      </c>
      <c r="AA117" s="2315"/>
      <c r="AB117" s="2315"/>
      <c r="AC117" s="2315"/>
      <c r="AD117" s="2188" t="s">
        <v>313</v>
      </c>
    </row>
    <row r="118" spans="1:30">
      <c r="A118" s="2316" t="s">
        <v>725</v>
      </c>
      <c r="B118" s="2317"/>
      <c r="C118" s="848"/>
      <c r="D118" s="848"/>
      <c r="E118" s="233"/>
      <c r="F118" s="779"/>
      <c r="G118" s="234"/>
      <c r="H118" s="235"/>
      <c r="I118" s="234">
        <v>235</v>
      </c>
      <c r="J118" s="235">
        <v>235</v>
      </c>
      <c r="K118" s="235">
        <v>235</v>
      </c>
      <c r="L118" s="235">
        <v>235</v>
      </c>
      <c r="M118" s="235"/>
      <c r="N118" s="235"/>
      <c r="O118" s="235"/>
      <c r="P118" s="235"/>
      <c r="Q118" s="235"/>
      <c r="R118" s="853"/>
      <c r="S118" s="853"/>
      <c r="T118" s="853"/>
      <c r="U118" s="854"/>
      <c r="V118" s="854"/>
      <c r="W118" s="854"/>
      <c r="X118" s="2270"/>
      <c r="Y118" s="854"/>
      <c r="Z118" s="2270"/>
      <c r="AA118" s="2270"/>
      <c r="AB118" s="2270"/>
      <c r="AC118" s="2270"/>
      <c r="AD118" s="2202" t="s">
        <v>726</v>
      </c>
    </row>
    <row r="119" spans="1:30" ht="27.6">
      <c r="A119" s="4678" t="s">
        <v>727</v>
      </c>
      <c r="B119" s="2319"/>
      <c r="C119" s="975"/>
      <c r="D119" s="975"/>
      <c r="E119" s="976"/>
      <c r="F119" s="976"/>
      <c r="G119" s="795"/>
      <c r="H119" s="796"/>
      <c r="I119" s="795"/>
      <c r="J119" s="796"/>
      <c r="K119" s="796"/>
      <c r="L119" s="794"/>
      <c r="M119" s="796"/>
      <c r="N119" s="796"/>
      <c r="O119" s="796"/>
      <c r="P119" s="798">
        <v>110.95</v>
      </c>
      <c r="Q119" s="798">
        <v>110.95</v>
      </c>
      <c r="R119" s="2212">
        <v>448</v>
      </c>
      <c r="S119" s="2212">
        <v>493</v>
      </c>
      <c r="T119" s="874">
        <v>493</v>
      </c>
      <c r="U119" s="874">
        <v>493</v>
      </c>
      <c r="V119" s="1151" t="s">
        <v>714</v>
      </c>
      <c r="W119" s="1151">
        <v>372</v>
      </c>
      <c r="X119" s="2243">
        <v>372</v>
      </c>
      <c r="Y119" s="1151">
        <v>372</v>
      </c>
      <c r="Z119" s="2244" t="s">
        <v>728</v>
      </c>
      <c r="AA119" s="2244"/>
      <c r="AB119" s="2244"/>
      <c r="AC119" s="2244"/>
      <c r="AD119" s="4689" t="s">
        <v>729</v>
      </c>
    </row>
    <row r="120" spans="1:30">
      <c r="A120" s="4680"/>
      <c r="B120" s="2320"/>
      <c r="C120" s="981"/>
      <c r="D120" s="981"/>
      <c r="E120" s="982"/>
      <c r="F120" s="982"/>
      <c r="G120" s="807"/>
      <c r="H120" s="808"/>
      <c r="I120" s="807"/>
      <c r="J120" s="808"/>
      <c r="K120" s="808"/>
      <c r="L120" s="806"/>
      <c r="M120" s="808"/>
      <c r="N120" s="808"/>
      <c r="O120" s="808"/>
      <c r="P120" s="808"/>
      <c r="Q120" s="808"/>
      <c r="R120" s="808"/>
      <c r="S120" s="878" t="s">
        <v>707</v>
      </c>
      <c r="T120" s="808"/>
      <c r="U120" s="808"/>
      <c r="V120" s="878" t="s">
        <v>716</v>
      </c>
      <c r="W120" s="878"/>
      <c r="X120" s="2255"/>
      <c r="Y120" s="878"/>
      <c r="Z120" s="2255"/>
      <c r="AA120" s="2255"/>
      <c r="AB120" s="2255"/>
      <c r="AC120" s="2255"/>
      <c r="AD120" s="4690"/>
    </row>
    <row r="121" spans="1:30">
      <c r="A121" s="2218" t="s">
        <v>730</v>
      </c>
      <c r="B121" s="2321"/>
      <c r="C121" s="985"/>
      <c r="D121" s="985"/>
      <c r="E121" s="817"/>
      <c r="F121" s="817"/>
      <c r="G121" s="819"/>
      <c r="H121" s="820"/>
      <c r="I121" s="819"/>
      <c r="J121" s="820"/>
      <c r="K121" s="820"/>
      <c r="L121" s="818"/>
      <c r="M121" s="820"/>
      <c r="N121" s="820"/>
      <c r="O121" s="820"/>
      <c r="P121" s="986"/>
      <c r="Q121" s="986"/>
      <c r="R121" s="986"/>
      <c r="S121" s="986"/>
      <c r="T121" s="986"/>
      <c r="U121" s="987"/>
      <c r="V121" s="987"/>
      <c r="W121" s="987"/>
      <c r="X121" s="2322"/>
      <c r="Y121" s="987"/>
      <c r="Z121" s="2322"/>
      <c r="AA121" s="2322"/>
      <c r="AB121" s="2322"/>
      <c r="AC121" s="2322"/>
      <c r="AD121" s="2323" t="s">
        <v>731</v>
      </c>
    </row>
    <row r="122" spans="1:30" ht="27.6">
      <c r="A122" s="4674" t="s">
        <v>732</v>
      </c>
      <c r="B122" s="831"/>
      <c r="C122" s="831"/>
      <c r="D122" s="831"/>
      <c r="E122" s="831"/>
      <c r="F122" s="831"/>
      <c r="G122" s="831"/>
      <c r="H122" s="831"/>
      <c r="I122" s="831"/>
      <c r="J122" s="831"/>
      <c r="K122" s="831"/>
      <c r="L122" s="831"/>
      <c r="M122" s="831"/>
      <c r="N122" s="831"/>
      <c r="O122" s="831"/>
      <c r="P122" s="902">
        <v>110.95</v>
      </c>
      <c r="Q122" s="902">
        <v>110.95</v>
      </c>
      <c r="R122" s="2265">
        <v>121</v>
      </c>
      <c r="S122" s="2265">
        <v>133</v>
      </c>
      <c r="T122" s="2266">
        <v>133</v>
      </c>
      <c r="U122" s="2266">
        <v>133</v>
      </c>
      <c r="V122" s="2324" t="s">
        <v>733</v>
      </c>
      <c r="W122" s="2324">
        <v>100</v>
      </c>
      <c r="X122" s="2325" t="s">
        <v>734</v>
      </c>
      <c r="Y122" s="2326">
        <v>21</v>
      </c>
      <c r="Z122" s="2325">
        <v>21</v>
      </c>
      <c r="AA122" s="2325"/>
      <c r="AB122" s="2325"/>
      <c r="AC122" s="2325"/>
      <c r="AD122" s="4691" t="s">
        <v>735</v>
      </c>
    </row>
    <row r="123" spans="1:30" ht="21.75" customHeight="1">
      <c r="A123" s="4675"/>
      <c r="B123" s="842"/>
      <c r="C123" s="842"/>
      <c r="D123" s="842"/>
      <c r="E123" s="842"/>
      <c r="F123" s="842"/>
      <c r="G123" s="842"/>
      <c r="H123" s="842"/>
      <c r="I123" s="842"/>
      <c r="J123" s="842"/>
      <c r="K123" s="842"/>
      <c r="L123" s="842"/>
      <c r="M123" s="842"/>
      <c r="N123" s="842"/>
      <c r="O123" s="842"/>
      <c r="P123" s="842"/>
      <c r="Q123" s="773"/>
      <c r="R123" s="774"/>
      <c r="S123" s="771" t="s">
        <v>707</v>
      </c>
      <c r="T123" s="771"/>
      <c r="U123" s="2327"/>
      <c r="V123" s="907" t="s">
        <v>716</v>
      </c>
      <c r="W123" s="907"/>
      <c r="X123" s="2328"/>
      <c r="Y123" s="907"/>
      <c r="Z123" s="2328"/>
      <c r="AA123" s="2328"/>
      <c r="AB123" s="2328"/>
      <c r="AC123" s="2328"/>
      <c r="AD123" s="4692"/>
    </row>
    <row r="124" spans="1:30" ht="14.4" thickBot="1">
      <c r="A124" s="2329" t="s">
        <v>736</v>
      </c>
      <c r="B124" s="2330"/>
      <c r="C124" s="857"/>
      <c r="D124" s="857"/>
      <c r="E124" s="857"/>
      <c r="F124" s="857"/>
      <c r="G124" s="857"/>
      <c r="H124" s="857"/>
      <c r="I124" s="857"/>
      <c r="J124" s="857"/>
      <c r="K124" s="857"/>
      <c r="L124" s="860"/>
      <c r="M124" s="2331"/>
      <c r="N124" s="860"/>
      <c r="O124" s="2331"/>
      <c r="P124" s="860"/>
      <c r="Q124" s="860"/>
      <c r="R124" s="860"/>
      <c r="S124" s="1096"/>
      <c r="T124" s="860"/>
      <c r="U124" s="861"/>
      <c r="V124" s="861"/>
      <c r="W124" s="2332"/>
      <c r="X124" s="2333"/>
      <c r="Y124" s="2332"/>
      <c r="Z124" s="2333"/>
      <c r="AA124" s="2333"/>
      <c r="AB124" s="2333"/>
      <c r="AC124" s="2333"/>
      <c r="AD124" s="2334" t="s">
        <v>737</v>
      </c>
    </row>
    <row r="125" spans="1:30" ht="15.6">
      <c r="A125" s="2183" t="s">
        <v>340</v>
      </c>
      <c r="B125" s="2184"/>
      <c r="C125" s="1174"/>
      <c r="D125" s="1174"/>
      <c r="E125" s="1174"/>
      <c r="F125" s="1174"/>
      <c r="G125" s="1174"/>
      <c r="H125" s="1174"/>
      <c r="I125" s="1174"/>
      <c r="J125" s="1174"/>
      <c r="K125" s="1174"/>
      <c r="L125" s="1175"/>
      <c r="M125" s="1175"/>
      <c r="N125" s="1175"/>
      <c r="O125" s="1175"/>
      <c r="P125" s="1175"/>
      <c r="Q125" s="1175"/>
      <c r="R125" s="1175"/>
      <c r="S125" s="1175"/>
      <c r="T125" s="1175"/>
      <c r="U125" s="1176"/>
      <c r="V125" s="1176"/>
      <c r="W125" s="2335"/>
      <c r="X125" s="1176"/>
      <c r="Y125" s="2335"/>
      <c r="Z125" s="2185"/>
      <c r="AA125" s="2185"/>
      <c r="AB125" s="2185"/>
      <c r="AC125" s="2185"/>
      <c r="AD125" s="2186" t="s">
        <v>341</v>
      </c>
    </row>
    <row r="126" spans="1:30" ht="27.6">
      <c r="A126" s="2336" t="s">
        <v>738</v>
      </c>
      <c r="B126" s="2314"/>
      <c r="C126" s="996"/>
      <c r="D126" s="996"/>
      <c r="E126" s="996"/>
      <c r="F126" s="1054"/>
      <c r="G126" s="997"/>
      <c r="H126" s="163"/>
      <c r="I126" s="163">
        <f>I130/$L$1</f>
        <v>3.7068756151496172</v>
      </c>
      <c r="J126" s="163">
        <f>J130/$L$1</f>
        <v>4.0903455063719916</v>
      </c>
      <c r="K126" s="163">
        <f>K130/$L$1</f>
        <v>4.9211969373538027</v>
      </c>
      <c r="L126" s="163">
        <f>L130/$L$1</f>
        <v>5.4324901256503013</v>
      </c>
      <c r="M126" s="164">
        <v>5.43</v>
      </c>
      <c r="N126" s="163">
        <v>5.7</v>
      </c>
      <c r="O126" s="163">
        <v>6</v>
      </c>
      <c r="P126" s="163">
        <v>6.28</v>
      </c>
      <c r="Q126" s="163">
        <v>7.22</v>
      </c>
      <c r="R126" s="163">
        <v>8.3000000000000007</v>
      </c>
      <c r="S126" s="1054">
        <v>9.1300000000000008</v>
      </c>
      <c r="T126" s="163">
        <v>16.920000000000002</v>
      </c>
      <c r="U126" s="164">
        <v>16.920000000000002</v>
      </c>
      <c r="V126" s="163">
        <v>12.7</v>
      </c>
      <c r="W126" s="164">
        <v>12.7</v>
      </c>
      <c r="X126" s="164">
        <v>12.7</v>
      </c>
      <c r="Y126" s="164">
        <v>12.7</v>
      </c>
      <c r="Z126" s="2337">
        <v>13.34</v>
      </c>
      <c r="AA126" s="2337"/>
      <c r="AB126" s="2337"/>
      <c r="AC126" s="2337"/>
      <c r="AD126" s="2338" t="s">
        <v>343</v>
      </c>
    </row>
    <row r="127" spans="1:30">
      <c r="A127" s="2339"/>
      <c r="B127" s="2340"/>
      <c r="C127" s="1059"/>
      <c r="D127" s="1059"/>
      <c r="E127" s="1059"/>
      <c r="F127" s="907"/>
      <c r="G127" s="1060"/>
      <c r="H127" s="908"/>
      <c r="I127" s="909"/>
      <c r="J127" s="908"/>
      <c r="K127" s="907"/>
      <c r="L127" s="909"/>
      <c r="M127" s="909"/>
      <c r="N127" s="909"/>
      <c r="O127" s="909"/>
      <c r="P127" s="909"/>
      <c r="Q127" s="907"/>
      <c r="R127" s="907" t="s">
        <v>707</v>
      </c>
      <c r="S127" s="907" t="s">
        <v>707</v>
      </c>
      <c r="T127" s="907" t="s">
        <v>707</v>
      </c>
      <c r="U127" s="2341"/>
      <c r="V127" s="2341"/>
      <c r="W127" s="2341"/>
      <c r="X127" s="2341"/>
      <c r="Y127" s="2341"/>
      <c r="Z127" s="2342"/>
      <c r="AA127" s="2342"/>
      <c r="AB127" s="2342"/>
      <c r="AC127" s="2342"/>
      <c r="AD127" s="2343"/>
    </row>
    <row r="128" spans="1:30">
      <c r="A128" s="2339"/>
      <c r="B128" s="2340"/>
      <c r="C128" s="1059"/>
      <c r="D128" s="1059"/>
      <c r="E128" s="1059"/>
      <c r="F128" s="1062"/>
      <c r="G128" s="1060"/>
      <c r="H128" s="908"/>
      <c r="I128" s="909"/>
      <c r="J128" s="908"/>
      <c r="K128" s="1063"/>
      <c r="L128" s="909"/>
      <c r="M128" s="909"/>
      <c r="N128" s="909"/>
      <c r="O128" s="909"/>
      <c r="P128" s="909"/>
      <c r="Q128" s="1062"/>
      <c r="R128" s="1062"/>
      <c r="S128" s="1232">
        <v>15.52</v>
      </c>
      <c r="T128" s="1062"/>
      <c r="U128" s="1331">
        <v>12.7</v>
      </c>
      <c r="V128" s="1062"/>
      <c r="W128" s="1062"/>
      <c r="X128" s="1062"/>
      <c r="Y128" s="1062"/>
      <c r="Z128" s="295"/>
      <c r="AA128" s="295"/>
      <c r="AB128" s="295"/>
      <c r="AC128" s="295"/>
      <c r="AD128" s="2343"/>
    </row>
    <row r="129" spans="1:30">
      <c r="A129" s="2344"/>
      <c r="B129" s="2345"/>
      <c r="C129" s="1003"/>
      <c r="D129" s="1003"/>
      <c r="E129" s="1003"/>
      <c r="F129" s="1064"/>
      <c r="G129" s="1004"/>
      <c r="H129" s="772"/>
      <c r="I129" s="770"/>
      <c r="J129" s="772"/>
      <c r="K129" s="771"/>
      <c r="L129" s="770"/>
      <c r="M129" s="770"/>
      <c r="N129" s="770"/>
      <c r="O129" s="770"/>
      <c r="P129" s="770"/>
      <c r="Q129" s="1064"/>
      <c r="R129" s="1064"/>
      <c r="S129" s="771" t="s">
        <v>25</v>
      </c>
      <c r="T129" s="1064"/>
      <c r="U129" s="771" t="s">
        <v>25</v>
      </c>
      <c r="V129" s="1064"/>
      <c r="W129" s="1064"/>
      <c r="X129" s="1064"/>
      <c r="Y129" s="1064"/>
      <c r="Z129" s="2346"/>
      <c r="AA129" s="2346"/>
      <c r="AB129" s="2346"/>
      <c r="AC129" s="2346"/>
      <c r="AD129" s="2347"/>
    </row>
    <row r="130" spans="1:30">
      <c r="A130" s="2198" t="s">
        <v>739</v>
      </c>
      <c r="B130" s="778"/>
      <c r="C130" s="233"/>
      <c r="D130" s="233"/>
      <c r="E130" s="233"/>
      <c r="F130" s="852"/>
      <c r="G130" s="1065"/>
      <c r="H130" s="852"/>
      <c r="I130" s="2199">
        <v>58</v>
      </c>
      <c r="J130" s="2199">
        <v>64</v>
      </c>
      <c r="K130" s="2199">
        <v>77</v>
      </c>
      <c r="L130" s="2199">
        <v>85</v>
      </c>
      <c r="M130" s="2268"/>
      <c r="N130" s="1065"/>
      <c r="O130" s="1065"/>
      <c r="P130" s="853"/>
      <c r="Q130" s="853"/>
      <c r="R130" s="853"/>
      <c r="S130" s="853"/>
      <c r="T130" s="853"/>
      <c r="U130" s="855"/>
      <c r="V130" s="855"/>
      <c r="W130" s="855"/>
      <c r="X130" s="855"/>
      <c r="Y130" s="855"/>
      <c r="Z130" s="2348"/>
      <c r="AA130" s="2348"/>
      <c r="AB130" s="2348"/>
      <c r="AC130" s="2349"/>
      <c r="AD130" s="2350" t="s">
        <v>740</v>
      </c>
    </row>
    <row r="131" spans="1:30">
      <c r="A131" s="2351" t="s">
        <v>741</v>
      </c>
      <c r="B131" s="2352"/>
      <c r="C131" s="1083"/>
      <c r="D131" s="1083"/>
      <c r="E131" s="1083"/>
      <c r="F131" s="1084"/>
      <c r="G131" s="1085"/>
      <c r="H131" s="1085"/>
      <c r="I131" s="1085"/>
      <c r="J131" s="1085"/>
      <c r="K131" s="1084"/>
      <c r="L131" s="1085"/>
      <c r="M131" s="1085"/>
      <c r="N131" s="1085"/>
      <c r="O131" s="1085"/>
      <c r="P131" s="1085"/>
      <c r="Q131" s="1084"/>
      <c r="R131" s="1084"/>
      <c r="S131" s="1084"/>
      <c r="T131" s="1084"/>
      <c r="U131" s="2353"/>
      <c r="V131" s="1085"/>
      <c r="W131" s="1085"/>
      <c r="X131" s="1085"/>
      <c r="Y131" s="1085"/>
      <c r="Z131" s="2354"/>
      <c r="AA131" s="2354"/>
      <c r="AB131" s="2354"/>
      <c r="AC131" s="2354"/>
      <c r="AD131" s="2355" t="s">
        <v>742</v>
      </c>
    </row>
    <row r="132" spans="1:30">
      <c r="A132" s="2356" t="s">
        <v>743</v>
      </c>
      <c r="B132" s="2357"/>
      <c r="C132" s="175"/>
      <c r="D132" s="175"/>
      <c r="E132" s="175"/>
      <c r="F132" s="2358"/>
      <c r="G132" s="2359"/>
      <c r="H132" s="2359"/>
      <c r="I132" s="2359"/>
      <c r="J132" s="2359"/>
      <c r="K132" s="2360"/>
      <c r="L132" s="2361"/>
      <c r="M132" s="2361"/>
      <c r="N132" s="2361"/>
      <c r="O132" s="2361"/>
      <c r="P132" s="1096"/>
      <c r="Q132" s="1096"/>
      <c r="R132" s="1096"/>
      <c r="S132" s="1096"/>
      <c r="T132" s="1096"/>
      <c r="U132" s="2362"/>
      <c r="V132" s="2363"/>
      <c r="W132" s="2363"/>
      <c r="X132" s="2363"/>
      <c r="Y132" s="2363"/>
      <c r="Z132" s="2364"/>
      <c r="AA132" s="2364"/>
      <c r="AB132" s="2364"/>
      <c r="AC132" s="2364"/>
      <c r="AD132" s="2271" t="s">
        <v>744</v>
      </c>
    </row>
    <row r="133" spans="1:30" s="565" customFormat="1">
      <c r="A133" s="4678" t="s">
        <v>745</v>
      </c>
      <c r="B133" s="1102"/>
      <c r="C133" s="1102"/>
      <c r="D133" s="1102"/>
      <c r="E133" s="1102"/>
      <c r="F133" s="1102"/>
      <c r="G133" s="1102"/>
      <c r="H133" s="795"/>
      <c r="I133" s="795">
        <f>I137/$L$1</f>
        <v>1.8534378075748086</v>
      </c>
      <c r="J133" s="795">
        <f>J137/$L$1</f>
        <v>2.0451727531859958</v>
      </c>
      <c r="K133" s="795">
        <f>K137/$L$1</f>
        <v>2.4605984686769014</v>
      </c>
      <c r="L133" s="795">
        <f>L137/$L$1</f>
        <v>2.7162450628251507</v>
      </c>
      <c r="M133" s="796">
        <v>2.72</v>
      </c>
      <c r="N133" s="795">
        <v>2.85</v>
      </c>
      <c r="O133" s="795">
        <v>3</v>
      </c>
      <c r="P133" s="795">
        <v>3.14</v>
      </c>
      <c r="Q133" s="795">
        <v>3.61</v>
      </c>
      <c r="R133" s="1103">
        <v>4.1500000000000004</v>
      </c>
      <c r="S133" s="795">
        <v>4.57</v>
      </c>
      <c r="T133" s="795">
        <v>8.4600000000000009</v>
      </c>
      <c r="U133" s="796">
        <v>8.4600000000000009</v>
      </c>
      <c r="V133" s="795">
        <v>6.35</v>
      </c>
      <c r="W133" s="796">
        <v>6.35</v>
      </c>
      <c r="X133" s="796">
        <v>6.35</v>
      </c>
      <c r="Y133" s="796">
        <v>6.35</v>
      </c>
      <c r="Z133" s="2365">
        <v>6.67</v>
      </c>
      <c r="AA133" s="2365"/>
      <c r="AB133" s="2365"/>
      <c r="AC133" s="2365"/>
      <c r="AD133" s="4681" t="s">
        <v>746</v>
      </c>
    </row>
    <row r="134" spans="1:30" ht="21">
      <c r="A134" s="4679"/>
      <c r="B134" s="2366"/>
      <c r="C134" s="2366"/>
      <c r="D134" s="2366"/>
      <c r="E134" s="2366"/>
      <c r="F134" s="2366"/>
      <c r="G134" s="2366"/>
      <c r="H134" s="2283"/>
      <c r="I134" s="2284"/>
      <c r="J134" s="2284"/>
      <c r="K134" s="2367"/>
      <c r="L134" s="2284"/>
      <c r="M134" s="2284"/>
      <c r="N134" s="878" t="s">
        <v>707</v>
      </c>
      <c r="O134" s="2284"/>
      <c r="P134" s="878"/>
      <c r="Q134" s="878"/>
      <c r="R134" s="878" t="s">
        <v>707</v>
      </c>
      <c r="S134" s="878" t="s">
        <v>707</v>
      </c>
      <c r="T134" s="878" t="s">
        <v>707</v>
      </c>
      <c r="U134" s="2368"/>
      <c r="V134" s="2368"/>
      <c r="W134" s="2368"/>
      <c r="X134" s="2368"/>
      <c r="Y134" s="2368"/>
      <c r="Z134" s="2369"/>
      <c r="AA134" s="2369"/>
      <c r="AB134" s="2369"/>
      <c r="AC134" s="2369"/>
      <c r="AD134" s="4682"/>
    </row>
    <row r="135" spans="1:30">
      <c r="A135" s="4679"/>
      <c r="B135" s="1107"/>
      <c r="C135" s="1107"/>
      <c r="D135" s="1107"/>
      <c r="E135" s="1107"/>
      <c r="F135" s="1107"/>
      <c r="G135" s="1107"/>
      <c r="H135" s="867"/>
      <c r="I135" s="868"/>
      <c r="J135" s="868"/>
      <c r="K135" s="867"/>
      <c r="L135" s="868"/>
      <c r="M135" s="868"/>
      <c r="N135" s="868"/>
      <c r="O135" s="868"/>
      <c r="P135" s="2370"/>
      <c r="Q135" s="2370"/>
      <c r="R135" s="1108"/>
      <c r="S135" s="867">
        <v>7.76</v>
      </c>
      <c r="T135" s="2370"/>
      <c r="U135" s="1108">
        <v>6.35</v>
      </c>
      <c r="V135" s="2370"/>
      <c r="W135" s="2370"/>
      <c r="X135" s="2370"/>
      <c r="Y135" s="2370"/>
      <c r="Z135" s="2371"/>
      <c r="AA135" s="2371"/>
      <c r="AB135" s="2371"/>
      <c r="AC135" s="2371"/>
      <c r="AD135" s="4682"/>
    </row>
    <row r="136" spans="1:30">
      <c r="A136" s="4680"/>
      <c r="B136" s="2372"/>
      <c r="C136" s="2372"/>
      <c r="D136" s="2372"/>
      <c r="E136" s="2372"/>
      <c r="F136" s="2372"/>
      <c r="G136" s="2372"/>
      <c r="H136" s="2249"/>
      <c r="I136" s="2250"/>
      <c r="J136" s="2250"/>
      <c r="K136" s="2373"/>
      <c r="L136" s="2250"/>
      <c r="M136" s="2250"/>
      <c r="N136" s="2250"/>
      <c r="O136" s="2250"/>
      <c r="P136" s="1302"/>
      <c r="Q136" s="1302"/>
      <c r="R136" s="806"/>
      <c r="S136" s="806" t="s">
        <v>25</v>
      </c>
      <c r="T136" s="1302"/>
      <c r="U136" s="806" t="s">
        <v>25</v>
      </c>
      <c r="V136" s="1302"/>
      <c r="W136" s="1302"/>
      <c r="X136" s="1302"/>
      <c r="Y136" s="1302"/>
      <c r="Z136" s="2374"/>
      <c r="AA136" s="2374"/>
      <c r="AB136" s="2374"/>
      <c r="AC136" s="2374"/>
      <c r="AD136" s="4683"/>
    </row>
    <row r="137" spans="1:30" ht="17.399999999999999" customHeight="1">
      <c r="A137" s="2375" t="s">
        <v>747</v>
      </c>
      <c r="B137" s="2257"/>
      <c r="C137" s="817"/>
      <c r="D137" s="817"/>
      <c r="E137" s="817"/>
      <c r="F137" s="1116"/>
      <c r="G137" s="1116"/>
      <c r="H137" s="1117"/>
      <c r="I137" s="2376">
        <f>I130/2</f>
        <v>29</v>
      </c>
      <c r="J137" s="2376">
        <f>J130/2</f>
        <v>32</v>
      </c>
      <c r="K137" s="2376">
        <f>K130/2</f>
        <v>38.5</v>
      </c>
      <c r="L137" s="2376">
        <f>L130/2</f>
        <v>42.5</v>
      </c>
      <c r="M137" s="1118"/>
      <c r="N137" s="1118"/>
      <c r="O137" s="1118"/>
      <c r="P137" s="1116"/>
      <c r="Q137" s="1116"/>
      <c r="R137" s="1116"/>
      <c r="S137" s="1116"/>
      <c r="T137" s="1116"/>
      <c r="U137" s="2377"/>
      <c r="V137" s="2378"/>
      <c r="W137" s="2378"/>
      <c r="X137" s="2378"/>
      <c r="Y137" s="2378"/>
      <c r="Z137" s="2379"/>
      <c r="AA137" s="2379"/>
      <c r="AB137" s="2379"/>
      <c r="AC137" s="2377"/>
      <c r="AD137" s="2380" t="s">
        <v>748</v>
      </c>
    </row>
    <row r="138" spans="1:30" s="565" customFormat="1" ht="14.1" customHeight="1">
      <c r="A138" s="4674" t="s">
        <v>749</v>
      </c>
      <c r="B138" s="2314"/>
      <c r="C138" s="996"/>
      <c r="D138" s="996"/>
      <c r="E138" s="996"/>
      <c r="F138" s="163"/>
      <c r="G138" s="997"/>
      <c r="H138" s="997"/>
      <c r="I138" s="163">
        <f>I142/$L$1</f>
        <v>21.793872151138267</v>
      </c>
      <c r="J138" s="163">
        <f>J142/$L$1</f>
        <v>24.030779849935449</v>
      </c>
      <c r="K138" s="164">
        <f>K142/$L$1</f>
        <v>24.030779849935449</v>
      </c>
      <c r="L138" s="163">
        <f>L142/$L$1</f>
        <v>31.700177674382935</v>
      </c>
      <c r="M138" s="997">
        <v>31.7</v>
      </c>
      <c r="N138" s="163">
        <v>33.299999999999997</v>
      </c>
      <c r="O138" s="163">
        <v>34.97</v>
      </c>
      <c r="P138" s="163">
        <v>36.71</v>
      </c>
      <c r="Q138" s="163">
        <v>42.22</v>
      </c>
      <c r="R138" s="163">
        <v>48.55</v>
      </c>
      <c r="S138" s="163">
        <v>53.41</v>
      </c>
      <c r="T138" s="163">
        <v>84.41</v>
      </c>
      <c r="U138" s="796">
        <v>84.41</v>
      </c>
      <c r="V138" s="795">
        <v>63.35</v>
      </c>
      <c r="W138" s="796">
        <v>63.35</v>
      </c>
      <c r="X138" s="796">
        <v>63.35</v>
      </c>
      <c r="Y138" s="796">
        <v>63.35</v>
      </c>
      <c r="Z138" s="795">
        <v>66.52</v>
      </c>
      <c r="AA138" s="795"/>
      <c r="AB138" s="795"/>
      <c r="AC138" s="795"/>
      <c r="AD138" s="4676" t="s">
        <v>750</v>
      </c>
    </row>
    <row r="139" spans="1:30">
      <c r="A139" s="4673"/>
      <c r="B139" s="2381"/>
      <c r="C139" s="1495"/>
      <c r="D139" s="1495"/>
      <c r="E139" s="1495"/>
      <c r="F139" s="2192"/>
      <c r="G139" s="2382"/>
      <c r="H139" s="2382"/>
      <c r="I139" s="2192"/>
      <c r="J139" s="2192"/>
      <c r="K139" s="2193"/>
      <c r="L139" s="2192"/>
      <c r="M139" s="2382"/>
      <c r="N139" s="2192"/>
      <c r="O139" s="2192"/>
      <c r="P139" s="2192"/>
      <c r="Q139" s="2192"/>
      <c r="R139" s="907" t="s">
        <v>707</v>
      </c>
      <c r="S139" s="907" t="s">
        <v>707</v>
      </c>
      <c r="T139" s="907" t="s">
        <v>707</v>
      </c>
      <c r="U139" s="2341"/>
      <c r="V139" s="2341"/>
      <c r="W139" s="2341"/>
      <c r="X139" s="2341"/>
      <c r="Y139" s="2341"/>
      <c r="Z139" s="35"/>
      <c r="AA139" s="35"/>
      <c r="AB139" s="35"/>
      <c r="AC139" s="2383"/>
      <c r="AD139" s="4669"/>
    </row>
    <row r="140" spans="1:30" s="565" customFormat="1">
      <c r="A140" s="4673"/>
      <c r="B140" s="2340"/>
      <c r="C140" s="1059"/>
      <c r="D140" s="1059"/>
      <c r="E140" s="1059"/>
      <c r="F140" s="907"/>
      <c r="G140" s="1060"/>
      <c r="H140" s="1060"/>
      <c r="I140" s="1060"/>
      <c r="J140" s="1060"/>
      <c r="K140" s="2341"/>
      <c r="L140" s="907"/>
      <c r="M140" s="1060"/>
      <c r="N140" s="1060"/>
      <c r="O140" s="1060"/>
      <c r="P140" s="1060"/>
      <c r="Q140" s="907"/>
      <c r="R140" s="39"/>
      <c r="S140" s="1232">
        <v>77.44</v>
      </c>
      <c r="T140" s="907"/>
      <c r="U140" s="1232">
        <v>63.35</v>
      </c>
      <c r="V140" s="1062"/>
      <c r="W140" s="1062"/>
      <c r="X140" s="1062"/>
      <c r="Y140" s="1062"/>
      <c r="Z140" s="295"/>
      <c r="AA140" s="295"/>
      <c r="AB140" s="295"/>
      <c r="AC140" s="295"/>
      <c r="AD140" s="4669"/>
    </row>
    <row r="141" spans="1:30">
      <c r="A141" s="4684"/>
      <c r="B141" s="2384"/>
      <c r="C141" s="2385"/>
      <c r="D141" s="2385"/>
      <c r="E141" s="2385"/>
      <c r="F141" s="2386"/>
      <c r="G141" s="2387"/>
      <c r="H141" s="2387"/>
      <c r="I141" s="2387"/>
      <c r="J141" s="2387"/>
      <c r="K141" s="2388"/>
      <c r="L141" s="2386"/>
      <c r="M141" s="2387"/>
      <c r="N141" s="2387"/>
      <c r="O141" s="2387"/>
      <c r="P141" s="2387"/>
      <c r="Q141" s="2386"/>
      <c r="R141" s="2386"/>
      <c r="S141" s="2386" t="s">
        <v>751</v>
      </c>
      <c r="T141" s="2386"/>
      <c r="U141" s="771" t="s">
        <v>25</v>
      </c>
      <c r="V141" s="1238"/>
      <c r="W141" s="1238"/>
      <c r="X141" s="1226"/>
      <c r="Y141" s="1238"/>
      <c r="Z141" s="2389"/>
      <c r="AA141" s="2389"/>
      <c r="AB141" s="2389"/>
      <c r="AC141" s="2389"/>
      <c r="AD141" s="4685"/>
    </row>
    <row r="142" spans="1:30">
      <c r="A142" s="2390" t="s">
        <v>752</v>
      </c>
      <c r="B142" s="1246"/>
      <c r="C142" s="924"/>
      <c r="D142" s="924"/>
      <c r="E142" s="924"/>
      <c r="F142" s="2391"/>
      <c r="G142" s="926"/>
      <c r="H142" s="926"/>
      <c r="I142" s="2392">
        <v>341</v>
      </c>
      <c r="J142" s="2392">
        <v>376</v>
      </c>
      <c r="K142" s="2393">
        <f>J142</f>
        <v>376</v>
      </c>
      <c r="L142" s="2392">
        <v>496</v>
      </c>
      <c r="M142" s="2393"/>
      <c r="N142" s="926"/>
      <c r="O142" s="926"/>
      <c r="P142" s="926"/>
      <c r="Q142" s="927"/>
      <c r="R142" s="927"/>
      <c r="S142" s="927"/>
      <c r="T142" s="927"/>
      <c r="U142" s="929"/>
      <c r="V142" s="929"/>
      <c r="W142" s="929"/>
      <c r="X142" s="929"/>
      <c r="Y142" s="929"/>
      <c r="Z142" s="2394"/>
      <c r="AA142" s="2394"/>
      <c r="AB142" s="2394"/>
      <c r="AC142" s="2394"/>
      <c r="AD142" s="2395" t="s">
        <v>753</v>
      </c>
    </row>
    <row r="143" spans="1:30">
      <c r="A143" s="2396"/>
      <c r="B143" s="784"/>
      <c r="C143" s="787"/>
      <c r="D143" s="787"/>
      <c r="E143" s="787"/>
      <c r="F143" s="785"/>
      <c r="G143" s="788"/>
      <c r="H143" s="788"/>
      <c r="I143" s="788"/>
      <c r="J143" s="788"/>
      <c r="K143" s="785"/>
      <c r="L143" s="785"/>
      <c r="M143" s="788"/>
      <c r="N143" s="788"/>
      <c r="O143" s="788"/>
      <c r="P143" s="788"/>
      <c r="Q143" s="860"/>
      <c r="R143" s="860"/>
      <c r="S143" s="860"/>
      <c r="T143" s="860"/>
      <c r="U143" s="862"/>
      <c r="V143" s="862"/>
      <c r="W143" s="862"/>
      <c r="X143" s="862"/>
      <c r="Y143" s="862"/>
      <c r="Z143" s="2397"/>
      <c r="AA143" s="2397"/>
      <c r="AB143" s="2397"/>
      <c r="AC143" s="2397"/>
      <c r="AD143" s="2334"/>
    </row>
    <row r="144" spans="1:30">
      <c r="A144" s="4678" t="s">
        <v>754</v>
      </c>
      <c r="B144" s="2319"/>
      <c r="C144" s="975"/>
      <c r="D144" s="975"/>
      <c r="E144" s="975"/>
      <c r="F144" s="795"/>
      <c r="G144" s="976"/>
      <c r="H144" s="976"/>
      <c r="I144" s="795">
        <f>I146/$L$1</f>
        <v>66.468114478544862</v>
      </c>
      <c r="J144" s="796">
        <f>J146/$L$1</f>
        <v>66.468114478544862</v>
      </c>
      <c r="K144" s="796">
        <f>K146/$L$1</f>
        <v>66.468114478544862</v>
      </c>
      <c r="L144" s="795">
        <f>L146/$L$1</f>
        <v>73.114925926399351</v>
      </c>
      <c r="M144" s="976">
        <v>73.11</v>
      </c>
      <c r="N144" s="795">
        <v>76.8</v>
      </c>
      <c r="O144" s="795">
        <v>80.64</v>
      </c>
      <c r="P144" s="795">
        <v>84.67</v>
      </c>
      <c r="Q144" s="795">
        <v>97.37</v>
      </c>
      <c r="R144" s="795">
        <v>111.98</v>
      </c>
      <c r="S144" s="795">
        <v>123.18</v>
      </c>
      <c r="T144" s="795">
        <v>147.82</v>
      </c>
      <c r="U144" s="796">
        <v>147.82</v>
      </c>
      <c r="V144" s="796">
        <v>147.82</v>
      </c>
      <c r="W144" s="796">
        <v>147.82</v>
      </c>
      <c r="X144" s="796">
        <v>147.82</v>
      </c>
      <c r="Y144" s="796">
        <v>147.82</v>
      </c>
      <c r="Z144" s="2365">
        <v>155.21</v>
      </c>
      <c r="AA144" s="2365"/>
      <c r="AB144" s="2365"/>
      <c r="AC144" s="2365"/>
      <c r="AD144" s="4681" t="s">
        <v>755</v>
      </c>
    </row>
    <row r="145" spans="1:30">
      <c r="A145" s="4680"/>
      <c r="B145" s="2398"/>
      <c r="C145" s="2399"/>
      <c r="D145" s="2399"/>
      <c r="E145" s="2399"/>
      <c r="F145" s="2283"/>
      <c r="G145" s="2400"/>
      <c r="H145" s="2400"/>
      <c r="I145" s="2283"/>
      <c r="J145" s="2284"/>
      <c r="K145" s="2284"/>
      <c r="L145" s="2283"/>
      <c r="M145" s="2400"/>
      <c r="N145" s="2283"/>
      <c r="O145" s="2283"/>
      <c r="P145" s="2283"/>
      <c r="Q145" s="2283"/>
      <c r="R145" s="878" t="s">
        <v>707</v>
      </c>
      <c r="S145" s="878" t="s">
        <v>707</v>
      </c>
      <c r="T145" s="878" t="s">
        <v>707</v>
      </c>
      <c r="U145" s="2284"/>
      <c r="V145" s="2284"/>
      <c r="W145" s="2284"/>
      <c r="X145" s="2284"/>
      <c r="Y145" s="2284"/>
      <c r="Z145" s="2401"/>
      <c r="AA145" s="2401"/>
      <c r="AB145" s="2401"/>
      <c r="AC145" s="2401"/>
      <c r="AD145" s="4682"/>
    </row>
    <row r="146" spans="1:30">
      <c r="A146" s="2402" t="s">
        <v>752</v>
      </c>
      <c r="B146" s="2403"/>
      <c r="C146" s="2404"/>
      <c r="D146" s="2404"/>
      <c r="E146" s="2404"/>
      <c r="F146" s="2405"/>
      <c r="G146" s="2406"/>
      <c r="H146" s="2406"/>
      <c r="I146" s="2407">
        <v>1040</v>
      </c>
      <c r="J146" s="2408">
        <f>I146</f>
        <v>1040</v>
      </c>
      <c r="K146" s="2408">
        <f>J146</f>
        <v>1040</v>
      </c>
      <c r="L146" s="2407">
        <v>1144</v>
      </c>
      <c r="M146" s="2407"/>
      <c r="N146" s="2406"/>
      <c r="O146" s="2406"/>
      <c r="P146" s="2406"/>
      <c r="Q146" s="2409"/>
      <c r="R146" s="2409"/>
      <c r="S146" s="2409"/>
      <c r="T146" s="2409"/>
      <c r="U146" s="2410"/>
      <c r="V146" s="2410"/>
      <c r="W146" s="2410"/>
      <c r="X146" s="2410"/>
      <c r="Y146" s="2410"/>
      <c r="Z146" s="2411"/>
      <c r="AA146" s="2411"/>
      <c r="AB146" s="2411"/>
      <c r="AC146" s="2411"/>
      <c r="AD146" s="2412" t="s">
        <v>753</v>
      </c>
    </row>
    <row r="147" spans="1:30">
      <c r="A147" s="4674" t="s">
        <v>756</v>
      </c>
      <c r="B147" s="2314"/>
      <c r="C147" s="996"/>
      <c r="D147" s="996"/>
      <c r="E147" s="996"/>
      <c r="F147" s="163"/>
      <c r="G147" s="997"/>
      <c r="H147" s="997"/>
      <c r="I147" s="997">
        <f>I151/$L$1</f>
        <v>107.37156954226478</v>
      </c>
      <c r="J147" s="163">
        <f>J151/$L$1</f>
        <v>118.3643730906395</v>
      </c>
      <c r="K147" s="164">
        <f>K151/$L$1</f>
        <v>142.01168304935257</v>
      </c>
      <c r="L147" s="163">
        <f>L151/$L$1</f>
        <v>156.20006902458042</v>
      </c>
      <c r="M147" s="1158">
        <v>156.19999999999999</v>
      </c>
      <c r="N147" s="163">
        <v>164</v>
      </c>
      <c r="O147" s="163">
        <v>172.2</v>
      </c>
      <c r="P147" s="163">
        <v>180.81</v>
      </c>
      <c r="Q147" s="163">
        <v>207.93</v>
      </c>
      <c r="R147" s="163">
        <v>239.12</v>
      </c>
      <c r="S147" s="163">
        <v>263.02999999999997</v>
      </c>
      <c r="T147" s="163">
        <v>289.33</v>
      </c>
      <c r="U147" s="164">
        <v>289.33</v>
      </c>
      <c r="V147" s="164">
        <v>289.33</v>
      </c>
      <c r="W147" s="164">
        <v>289.33</v>
      </c>
      <c r="X147" s="164">
        <v>289.33</v>
      </c>
      <c r="Y147" s="164">
        <v>289.33</v>
      </c>
      <c r="Z147" s="2337">
        <v>303.8</v>
      </c>
      <c r="AA147" s="2337"/>
      <c r="AB147" s="2337"/>
      <c r="AC147" s="2337"/>
      <c r="AD147" s="4676" t="s">
        <v>757</v>
      </c>
    </row>
    <row r="148" spans="1:30" ht="21">
      <c r="A148" s="4673"/>
      <c r="B148" s="2340"/>
      <c r="C148" s="1059"/>
      <c r="D148" s="1059"/>
      <c r="E148" s="1059"/>
      <c r="F148" s="908"/>
      <c r="G148" s="1060"/>
      <c r="H148" s="1060"/>
      <c r="I148" s="1060"/>
      <c r="J148" s="907" t="s">
        <v>212</v>
      </c>
      <c r="K148" s="1060"/>
      <c r="L148" s="1060"/>
      <c r="M148" s="1060"/>
      <c r="N148" s="1060"/>
      <c r="O148" s="1060"/>
      <c r="P148" s="909"/>
      <c r="Q148" s="1331"/>
      <c r="R148" s="907" t="s">
        <v>707</v>
      </c>
      <c r="S148" s="907" t="s">
        <v>707</v>
      </c>
      <c r="T148" s="907" t="s">
        <v>707</v>
      </c>
      <c r="U148" s="2413"/>
      <c r="V148" s="2413"/>
      <c r="W148" s="2413"/>
      <c r="X148" s="2413"/>
      <c r="Y148" s="2413"/>
      <c r="Z148" s="2414"/>
      <c r="AA148" s="2414"/>
      <c r="AB148" s="2414"/>
      <c r="AC148" s="2414"/>
      <c r="AD148" s="4669"/>
    </row>
    <row r="149" spans="1:30">
      <c r="A149" s="4673"/>
      <c r="B149" s="2340"/>
      <c r="C149" s="1059"/>
      <c r="D149" s="1059"/>
      <c r="E149" s="1059"/>
      <c r="F149" s="908"/>
      <c r="G149" s="1060"/>
      <c r="H149" s="1060"/>
      <c r="I149" s="1060"/>
      <c r="J149" s="908">
        <f>J153/$L$1</f>
        <v>142.01168304935257</v>
      </c>
      <c r="K149" s="1060"/>
      <c r="L149" s="1060"/>
      <c r="M149" s="1060"/>
      <c r="N149" s="1060"/>
      <c r="O149" s="1060"/>
      <c r="P149" s="909"/>
      <c r="Q149" s="1331"/>
      <c r="R149" s="1331"/>
      <c r="S149" s="1331"/>
      <c r="T149" s="1331"/>
      <c r="U149" s="2413"/>
      <c r="V149" s="2413"/>
      <c r="W149" s="2413"/>
      <c r="X149" s="2413"/>
      <c r="Y149" s="2413"/>
      <c r="Z149" s="2414"/>
      <c r="AA149" s="2414"/>
      <c r="AB149" s="2414"/>
      <c r="AC149" s="2414"/>
      <c r="AD149" s="4669"/>
    </row>
    <row r="150" spans="1:30">
      <c r="A150" s="4675"/>
      <c r="B150" s="2345"/>
      <c r="C150" s="1003"/>
      <c r="D150" s="1003"/>
      <c r="E150" s="1003"/>
      <c r="F150" s="771"/>
      <c r="G150" s="1004"/>
      <c r="H150" s="1004"/>
      <c r="I150" s="1004"/>
      <c r="J150" s="2386" t="s">
        <v>751</v>
      </c>
      <c r="K150" s="1004"/>
      <c r="L150" s="1004"/>
      <c r="M150" s="1004"/>
      <c r="N150" s="1004"/>
      <c r="O150" s="1004"/>
      <c r="P150" s="770"/>
      <c r="Q150" s="771"/>
      <c r="R150" s="771"/>
      <c r="S150" s="771"/>
      <c r="T150" s="771"/>
      <c r="U150" s="2415"/>
      <c r="V150" s="2415"/>
      <c r="W150" s="2415"/>
      <c r="X150" s="2415"/>
      <c r="Y150" s="2415"/>
      <c r="Z150" s="2416"/>
      <c r="AA150" s="2416"/>
      <c r="AB150" s="2416"/>
      <c r="AC150" s="2416"/>
      <c r="AD150" s="4677"/>
    </row>
    <row r="151" spans="1:30">
      <c r="A151" s="2198" t="s">
        <v>758</v>
      </c>
      <c r="B151" s="778"/>
      <c r="C151" s="233"/>
      <c r="D151" s="233"/>
      <c r="E151" s="233"/>
      <c r="F151" s="1131"/>
      <c r="G151" s="778"/>
      <c r="H151" s="778"/>
      <c r="I151" s="2392">
        <v>1680</v>
      </c>
      <c r="J151" s="2392">
        <v>1852</v>
      </c>
      <c r="K151" s="2393">
        <v>2222</v>
      </c>
      <c r="L151" s="2392">
        <v>2444</v>
      </c>
      <c r="M151" s="2392"/>
      <c r="N151" s="778"/>
      <c r="O151" s="778"/>
      <c r="P151" s="853"/>
      <c r="Q151" s="853"/>
      <c r="R151" s="853"/>
      <c r="S151" s="853"/>
      <c r="T151" s="853"/>
      <c r="U151" s="855"/>
      <c r="V151" s="855"/>
      <c r="W151" s="855"/>
      <c r="X151" s="855"/>
      <c r="Y151" s="855"/>
      <c r="Z151" s="2348"/>
      <c r="AA151" s="2348"/>
      <c r="AB151" s="2348"/>
      <c r="AC151" s="2348"/>
      <c r="AD151" s="2202" t="s">
        <v>759</v>
      </c>
    </row>
    <row r="152" spans="1:30" ht="21">
      <c r="A152" s="2390"/>
      <c r="B152" s="1246"/>
      <c r="C152" s="924"/>
      <c r="D152" s="924"/>
      <c r="E152" s="924"/>
      <c r="F152" s="2391"/>
      <c r="G152" s="1246"/>
      <c r="H152" s="1246"/>
      <c r="I152" s="2392"/>
      <c r="J152" s="907" t="s">
        <v>212</v>
      </c>
      <c r="K152" s="2393"/>
      <c r="L152" s="2392"/>
      <c r="M152" s="2392"/>
      <c r="N152" s="1246"/>
      <c r="O152" s="1246"/>
      <c r="P152" s="927"/>
      <c r="Q152" s="927"/>
      <c r="R152" s="927"/>
      <c r="S152" s="927"/>
      <c r="T152" s="927"/>
      <c r="U152" s="929"/>
      <c r="V152" s="929"/>
      <c r="W152" s="929"/>
      <c r="X152" s="929"/>
      <c r="Y152" s="929"/>
      <c r="Z152" s="2394"/>
      <c r="AA152" s="2394"/>
      <c r="AB152" s="2394"/>
      <c r="AC152" s="2394"/>
      <c r="AD152" s="2395"/>
    </row>
    <row r="153" spans="1:30">
      <c r="A153" s="2390"/>
      <c r="B153" s="1246"/>
      <c r="C153" s="924"/>
      <c r="D153" s="924"/>
      <c r="E153" s="924"/>
      <c r="F153" s="2391"/>
      <c r="G153" s="1246"/>
      <c r="H153" s="1246"/>
      <c r="I153" s="2392"/>
      <c r="J153" s="2392">
        <v>2222</v>
      </c>
      <c r="K153" s="2393"/>
      <c r="L153" s="2392"/>
      <c r="M153" s="2392"/>
      <c r="N153" s="1246"/>
      <c r="O153" s="1246"/>
      <c r="P153" s="927"/>
      <c r="Q153" s="927"/>
      <c r="R153" s="927"/>
      <c r="S153" s="927"/>
      <c r="T153" s="927"/>
      <c r="U153" s="929"/>
      <c r="V153" s="929"/>
      <c r="W153" s="929"/>
      <c r="X153" s="929"/>
      <c r="Y153" s="929"/>
      <c r="Z153" s="2394"/>
      <c r="AA153" s="2394"/>
      <c r="AB153" s="2394"/>
      <c r="AC153" s="2394"/>
      <c r="AD153" s="2395"/>
    </row>
    <row r="154" spans="1:30">
      <c r="A154" s="2396"/>
      <c r="B154" s="784"/>
      <c r="C154" s="787"/>
      <c r="D154" s="787"/>
      <c r="E154" s="787"/>
      <c r="F154" s="785"/>
      <c r="G154" s="784"/>
      <c r="H154" s="784"/>
      <c r="I154" s="784"/>
      <c r="J154" s="2386" t="s">
        <v>751</v>
      </c>
      <c r="K154" s="784"/>
      <c r="L154" s="784"/>
      <c r="M154" s="784"/>
      <c r="N154" s="784"/>
      <c r="O154" s="784"/>
      <c r="P154" s="860"/>
      <c r="Q154" s="860"/>
      <c r="R154" s="860"/>
      <c r="S154" s="860"/>
      <c r="T154" s="860"/>
      <c r="U154" s="862"/>
      <c r="V154" s="862"/>
      <c r="W154" s="862"/>
      <c r="X154" s="862"/>
      <c r="Y154" s="862"/>
      <c r="Z154" s="2397"/>
      <c r="AA154" s="2397"/>
      <c r="AB154" s="2397"/>
      <c r="AC154" s="2397"/>
      <c r="AD154" s="2334"/>
    </row>
    <row r="155" spans="1:30">
      <c r="A155" s="4678" t="s">
        <v>390</v>
      </c>
      <c r="B155" s="2319"/>
      <c r="C155" s="975"/>
      <c r="D155" s="975"/>
      <c r="E155" s="975"/>
      <c r="F155" s="795"/>
      <c r="G155" s="976"/>
      <c r="H155" s="795"/>
      <c r="I155" s="2417">
        <f>I159/$L$1</f>
        <v>1073.7156954226477</v>
      </c>
      <c r="J155" s="2418">
        <f>J159/$L$1</f>
        <v>1291.0153004486599</v>
      </c>
      <c r="K155" s="2417">
        <f>K159/$L$1</f>
        <v>1418.9664208198587</v>
      </c>
      <c r="L155" s="2418">
        <f>L159/$L$1</f>
        <v>1418.9664208198587</v>
      </c>
      <c r="M155" s="2418">
        <v>1418.97</v>
      </c>
      <c r="N155" s="2419">
        <v>1490</v>
      </c>
      <c r="O155" s="2419">
        <v>1565</v>
      </c>
      <c r="P155" s="2419">
        <v>1643</v>
      </c>
      <c r="Q155" s="2419">
        <v>1889</v>
      </c>
      <c r="R155" s="2419">
        <v>2172</v>
      </c>
      <c r="S155" s="2419">
        <v>2389</v>
      </c>
      <c r="T155" s="2419">
        <v>2508</v>
      </c>
      <c r="U155" s="978">
        <v>2508</v>
      </c>
      <c r="V155" s="977">
        <v>1881</v>
      </c>
      <c r="W155" s="978">
        <v>1881</v>
      </c>
      <c r="X155" s="978">
        <v>1881</v>
      </c>
      <c r="Y155" s="978">
        <v>1881</v>
      </c>
      <c r="Z155" s="2420">
        <v>1975</v>
      </c>
      <c r="AA155" s="2420"/>
      <c r="AB155" s="2420"/>
      <c r="AC155" s="2420"/>
      <c r="AD155" s="4681" t="s">
        <v>391</v>
      </c>
    </row>
    <row r="156" spans="1:30">
      <c r="A156" s="4679"/>
      <c r="B156" s="2421"/>
      <c r="C156" s="1167"/>
      <c r="D156" s="1167"/>
      <c r="E156" s="1167"/>
      <c r="F156" s="878"/>
      <c r="G156" s="1168"/>
      <c r="H156" s="867"/>
      <c r="I156" s="878" t="s">
        <v>212</v>
      </c>
      <c r="J156" s="868"/>
      <c r="K156" s="2367"/>
      <c r="L156" s="868"/>
      <c r="M156" s="878"/>
      <c r="N156" s="868"/>
      <c r="O156" s="868"/>
      <c r="P156" s="868"/>
      <c r="Q156" s="878"/>
      <c r="R156" s="878" t="s">
        <v>707</v>
      </c>
      <c r="S156" s="878" t="s">
        <v>707</v>
      </c>
      <c r="T156" s="878" t="s">
        <v>707</v>
      </c>
      <c r="U156" s="2422"/>
      <c r="V156" s="2422"/>
      <c r="W156" s="2422"/>
      <c r="X156" s="2422"/>
      <c r="Y156" s="2422"/>
      <c r="Z156" s="2423"/>
      <c r="AA156" s="2423"/>
      <c r="AB156" s="2423"/>
      <c r="AC156" s="2423"/>
      <c r="AD156" s="4682"/>
    </row>
    <row r="157" spans="1:30">
      <c r="A157" s="4679"/>
      <c r="B157" s="2421"/>
      <c r="C157" s="1167"/>
      <c r="D157" s="1167"/>
      <c r="E157" s="1167"/>
      <c r="F157" s="2424"/>
      <c r="G157" s="1168"/>
      <c r="H157" s="867"/>
      <c r="I157" s="875">
        <f>I161/L1</f>
        <v>1291.0153004486599</v>
      </c>
      <c r="J157" s="868"/>
      <c r="K157" s="867"/>
      <c r="L157" s="868"/>
      <c r="M157" s="2370"/>
      <c r="N157" s="868"/>
      <c r="O157" s="868"/>
      <c r="P157" s="868"/>
      <c r="Q157" s="2370"/>
      <c r="R157" s="2370"/>
      <c r="S157" s="2370"/>
      <c r="T157" s="2370"/>
      <c r="U157" s="2425">
        <v>1881</v>
      </c>
      <c r="V157" s="1013"/>
      <c r="W157" s="1013"/>
      <c r="X157" s="1013"/>
      <c r="Y157" s="1013"/>
      <c r="Z157" s="2426"/>
      <c r="AA157" s="2426"/>
      <c r="AB157" s="2426"/>
      <c r="AC157" s="2426"/>
      <c r="AD157" s="4682"/>
    </row>
    <row r="158" spans="1:30">
      <c r="A158" s="4680"/>
      <c r="B158" s="2320"/>
      <c r="C158" s="981"/>
      <c r="D158" s="981"/>
      <c r="E158" s="981"/>
      <c r="F158" s="2427"/>
      <c r="G158" s="982"/>
      <c r="H158" s="807"/>
      <c r="I158" s="806" t="s">
        <v>25</v>
      </c>
      <c r="J158" s="808"/>
      <c r="K158" s="2373"/>
      <c r="L158" s="808"/>
      <c r="M158" s="2427"/>
      <c r="N158" s="808"/>
      <c r="O158" s="808"/>
      <c r="P158" s="808"/>
      <c r="Q158" s="2427"/>
      <c r="R158" s="2427"/>
      <c r="S158" s="2427"/>
      <c r="T158" s="2427"/>
      <c r="U158" s="806" t="s">
        <v>25</v>
      </c>
      <c r="V158" s="1302"/>
      <c r="W158" s="1302"/>
      <c r="X158" s="1302"/>
      <c r="Y158" s="1302"/>
      <c r="Z158" s="2374"/>
      <c r="AA158" s="2374"/>
      <c r="AB158" s="2374"/>
      <c r="AC158" s="2374"/>
      <c r="AD158" s="4683"/>
    </row>
    <row r="159" spans="1:30">
      <c r="A159" s="2218" t="s">
        <v>760</v>
      </c>
      <c r="B159" s="2257"/>
      <c r="C159" s="817"/>
      <c r="D159" s="817"/>
      <c r="E159" s="817"/>
      <c r="F159" s="819"/>
      <c r="G159" s="820"/>
      <c r="H159" s="819"/>
      <c r="I159" s="2428">
        <v>16800</v>
      </c>
      <c r="J159" s="2429">
        <v>20200</v>
      </c>
      <c r="K159" s="2428">
        <v>22202</v>
      </c>
      <c r="L159" s="2429">
        <f>K159</f>
        <v>22202</v>
      </c>
      <c r="M159" s="2429"/>
      <c r="N159" s="820"/>
      <c r="O159" s="820"/>
      <c r="P159" s="986"/>
      <c r="Q159" s="986"/>
      <c r="R159" s="986"/>
      <c r="S159" s="986"/>
      <c r="T159" s="986"/>
      <c r="U159" s="987"/>
      <c r="V159" s="987"/>
      <c r="W159" s="987"/>
      <c r="X159" s="987"/>
      <c r="Y159" s="987"/>
      <c r="Z159" s="2322"/>
      <c r="AA159" s="2322"/>
      <c r="AB159" s="2322"/>
      <c r="AC159" s="2322"/>
      <c r="AD159" s="2223" t="s">
        <v>761</v>
      </c>
    </row>
    <row r="160" spans="1:30">
      <c r="A160" s="2430"/>
      <c r="B160" s="1157"/>
      <c r="C160" s="889"/>
      <c r="D160" s="889"/>
      <c r="E160" s="889"/>
      <c r="F160" s="878"/>
      <c r="G160" s="891"/>
      <c r="H160" s="890"/>
      <c r="I160" s="878" t="s">
        <v>212</v>
      </c>
      <c r="J160" s="891"/>
      <c r="K160" s="878"/>
      <c r="L160" s="891"/>
      <c r="M160" s="878"/>
      <c r="N160" s="891"/>
      <c r="O160" s="891"/>
      <c r="P160" s="1145"/>
      <c r="Q160" s="1145"/>
      <c r="R160" s="1145"/>
      <c r="S160" s="1145"/>
      <c r="T160" s="1145"/>
      <c r="U160" s="1146"/>
      <c r="V160" s="1146"/>
      <c r="W160" s="1146"/>
      <c r="X160" s="1146"/>
      <c r="Y160" s="1146"/>
      <c r="Z160" s="2431"/>
      <c r="AA160" s="2431"/>
      <c r="AB160" s="2431"/>
      <c r="AC160" s="2431"/>
      <c r="AD160" s="2432"/>
    </row>
    <row r="161" spans="1:30">
      <c r="A161" s="2430"/>
      <c r="B161" s="1157"/>
      <c r="C161" s="889"/>
      <c r="D161" s="889"/>
      <c r="E161" s="889"/>
      <c r="F161" s="1122"/>
      <c r="G161" s="891"/>
      <c r="H161" s="890"/>
      <c r="I161" s="2428">
        <v>20200</v>
      </c>
      <c r="J161" s="891"/>
      <c r="K161" s="890"/>
      <c r="L161" s="891"/>
      <c r="M161" s="2370"/>
      <c r="N161" s="891"/>
      <c r="O161" s="891"/>
      <c r="P161" s="1145"/>
      <c r="Q161" s="1145"/>
      <c r="R161" s="1145"/>
      <c r="S161" s="1145"/>
      <c r="T161" s="1145"/>
      <c r="U161" s="1146"/>
      <c r="V161" s="1146"/>
      <c r="W161" s="1146"/>
      <c r="X161" s="1146"/>
      <c r="Y161" s="1146"/>
      <c r="Z161" s="2431"/>
      <c r="AA161" s="2431"/>
      <c r="AB161" s="2431"/>
      <c r="AC161" s="2431"/>
      <c r="AD161" s="2432"/>
    </row>
    <row r="162" spans="1:30" ht="14.4" thickBot="1">
      <c r="A162" s="2433"/>
      <c r="B162" s="2434"/>
      <c r="C162" s="2435"/>
      <c r="D162" s="2435"/>
      <c r="E162" s="2435"/>
      <c r="F162" s="2436"/>
      <c r="G162" s="2437"/>
      <c r="H162" s="2438"/>
      <c r="I162" s="806" t="s">
        <v>25</v>
      </c>
      <c r="J162" s="2437"/>
      <c r="K162" s="1171"/>
      <c r="L162" s="2437"/>
      <c r="M162" s="2439"/>
      <c r="N162" s="2437"/>
      <c r="O162" s="2437"/>
      <c r="P162" s="2440"/>
      <c r="Q162" s="2440"/>
      <c r="R162" s="2440"/>
      <c r="S162" s="2440"/>
      <c r="T162" s="2440"/>
      <c r="U162" s="2441"/>
      <c r="V162" s="2441"/>
      <c r="W162" s="2441"/>
      <c r="X162" s="2441"/>
      <c r="Y162" s="2441"/>
      <c r="Z162" s="2442"/>
      <c r="AA162" s="2442"/>
      <c r="AB162" s="2442"/>
      <c r="AC162" s="2442"/>
      <c r="AD162" s="2443"/>
    </row>
    <row r="163" spans="1:30" ht="15.6">
      <c r="A163" s="2183" t="s">
        <v>396</v>
      </c>
      <c r="B163" s="2184"/>
      <c r="C163" s="1174"/>
      <c r="D163" s="1174"/>
      <c r="E163" s="1174"/>
      <c r="F163" s="1174"/>
      <c r="G163" s="1174"/>
      <c r="H163" s="1174"/>
      <c r="I163" s="1174"/>
      <c r="J163" s="1174"/>
      <c r="K163" s="1174"/>
      <c r="L163" s="1175"/>
      <c r="M163" s="1175"/>
      <c r="N163" s="1175"/>
      <c r="O163" s="1175"/>
      <c r="P163" s="1175"/>
      <c r="Q163" s="1175"/>
      <c r="R163" s="1175"/>
      <c r="S163" s="1175"/>
      <c r="T163" s="1175"/>
      <c r="U163" s="1176"/>
      <c r="V163" s="1176"/>
      <c r="W163" s="2335"/>
      <c r="X163" s="1176"/>
      <c r="Y163" s="2335"/>
      <c r="Z163" s="2185"/>
      <c r="AA163" s="2185"/>
      <c r="AB163" s="2185"/>
      <c r="AC163" s="2185"/>
      <c r="AD163" s="2186" t="s">
        <v>397</v>
      </c>
    </row>
    <row r="164" spans="1:30">
      <c r="A164" s="2444" t="s">
        <v>398</v>
      </c>
      <c r="B164" s="2445"/>
      <c r="C164" s="219"/>
      <c r="D164" s="219"/>
      <c r="E164" s="219"/>
      <c r="F164" s="1180"/>
      <c r="G164" s="220"/>
      <c r="H164" s="165"/>
      <c r="I164" s="220"/>
      <c r="J164" s="220"/>
      <c r="K164" s="220"/>
      <c r="L164" s="165"/>
      <c r="M164" s="165"/>
      <c r="N164" s="165"/>
      <c r="O164" s="165"/>
      <c r="P164" s="1181"/>
      <c r="Q164" s="1181"/>
      <c r="R164" s="1181"/>
      <c r="S164" s="1181"/>
      <c r="T164" s="1181"/>
      <c r="U164" s="1182"/>
      <c r="V164" s="1182"/>
      <c r="W164" s="2446"/>
      <c r="X164" s="1182"/>
      <c r="Y164" s="2446"/>
      <c r="Z164" s="1182"/>
      <c r="AA164" s="1182"/>
      <c r="AB164" s="1182"/>
      <c r="AC164" s="1182"/>
      <c r="AD164" s="2447" t="s">
        <v>399</v>
      </c>
    </row>
    <row r="165" spans="1:30">
      <c r="A165" s="2448" t="s">
        <v>410</v>
      </c>
      <c r="B165" s="1212"/>
      <c r="C165" s="1212"/>
      <c r="D165" s="1212"/>
      <c r="E165" s="1188"/>
      <c r="F165" s="1213"/>
      <c r="G165" s="1213"/>
      <c r="H165" s="1213">
        <f>H167/$L$1</f>
        <v>23.008193473342452</v>
      </c>
      <c r="I165" s="1213">
        <f>I167/$L$1</f>
        <v>25.884217657510259</v>
      </c>
      <c r="J165" s="1213">
        <f>J167/$L$1</f>
        <v>31.955824268531185</v>
      </c>
      <c r="K165" s="1215">
        <f>K167/$L$1</f>
        <v>31.955824268531185</v>
      </c>
      <c r="L165" s="1213">
        <f>L167/$L$1</f>
        <v>33.553615481957742</v>
      </c>
      <c r="M165" s="1213">
        <v>38.35</v>
      </c>
      <c r="N165" s="1213">
        <v>42.18</v>
      </c>
      <c r="O165" s="1213">
        <v>45</v>
      </c>
      <c r="P165" s="1213">
        <v>46.5</v>
      </c>
      <c r="Q165" s="1215">
        <v>46.5</v>
      </c>
      <c r="R165" s="1213">
        <v>58</v>
      </c>
      <c r="S165" s="1213">
        <v>63.5</v>
      </c>
      <c r="T165" s="1213">
        <v>69.5</v>
      </c>
      <c r="U165" s="1213">
        <v>77.5</v>
      </c>
      <c r="V165" s="1213">
        <v>81.95</v>
      </c>
      <c r="W165" s="2449">
        <v>86.5</v>
      </c>
      <c r="X165" s="1213">
        <v>91.3</v>
      </c>
      <c r="Y165" s="2449">
        <v>96.3</v>
      </c>
      <c r="Z165" s="1213">
        <v>100.5</v>
      </c>
      <c r="AA165" s="1213"/>
      <c r="AB165" s="1213"/>
      <c r="AC165" s="1213"/>
      <c r="AD165" s="2450" t="s">
        <v>417</v>
      </c>
    </row>
    <row r="166" spans="1:30" ht="21">
      <c r="A166" s="2451"/>
      <c r="B166" s="1223"/>
      <c r="C166" s="1223"/>
      <c r="D166" s="1223"/>
      <c r="E166" s="1224"/>
      <c r="F166" s="1225"/>
      <c r="G166" s="1225"/>
      <c r="H166" s="1225"/>
      <c r="I166" s="771" t="s">
        <v>25</v>
      </c>
      <c r="J166" s="771" t="s">
        <v>25</v>
      </c>
      <c r="K166" s="1227"/>
      <c r="L166" s="1228"/>
      <c r="M166" s="1229"/>
      <c r="N166" s="909"/>
      <c r="O166" s="909"/>
      <c r="P166" s="907" t="s">
        <v>707</v>
      </c>
      <c r="Q166" s="1229"/>
      <c r="R166" s="1229"/>
      <c r="S166" s="1229"/>
      <c r="T166" s="1229"/>
      <c r="U166" s="1229"/>
      <c r="V166" s="2452"/>
      <c r="W166" s="2453"/>
      <c r="X166" s="2452"/>
      <c r="Y166" s="2453"/>
      <c r="Z166" s="2452"/>
      <c r="AA166" s="2452"/>
      <c r="AB166" s="2452"/>
      <c r="AC166" s="2452"/>
      <c r="AD166" s="2454"/>
    </row>
    <row r="167" spans="1:30">
      <c r="A167" s="2198" t="s">
        <v>762</v>
      </c>
      <c r="B167" s="778"/>
      <c r="C167" s="778"/>
      <c r="D167" s="778"/>
      <c r="E167" s="1242"/>
      <c r="F167" s="849"/>
      <c r="G167" s="849"/>
      <c r="H167" s="235">
        <v>360</v>
      </c>
      <c r="I167" s="234">
        <v>405</v>
      </c>
      <c r="J167" s="234">
        <v>500</v>
      </c>
      <c r="K167" s="235">
        <v>500</v>
      </c>
      <c r="L167" s="234">
        <v>525</v>
      </c>
      <c r="M167" s="851"/>
      <c r="N167" s="1242"/>
      <c r="O167" s="1242"/>
      <c r="P167" s="4361"/>
      <c r="Q167" s="4300"/>
      <c r="R167" s="4300"/>
      <c r="S167" s="4300"/>
      <c r="T167" s="4300"/>
      <c r="U167" s="4300"/>
      <c r="V167" s="4300"/>
      <c r="W167" s="2455"/>
      <c r="X167" s="1244"/>
      <c r="Y167" s="2455"/>
      <c r="Z167" s="1244"/>
      <c r="AA167" s="1244"/>
      <c r="AB167" s="1244"/>
      <c r="AC167" s="1244"/>
      <c r="AD167" s="2202" t="s">
        <v>763</v>
      </c>
    </row>
    <row r="168" spans="1:30" ht="21">
      <c r="A168" s="2390"/>
      <c r="B168" s="1246"/>
      <c r="C168" s="1246"/>
      <c r="D168" s="1246"/>
      <c r="E168" s="1247"/>
      <c r="F168" s="1248"/>
      <c r="G168" s="1248"/>
      <c r="H168" s="1256"/>
      <c r="I168" s="771" t="s">
        <v>25</v>
      </c>
      <c r="J168" s="771" t="s">
        <v>25</v>
      </c>
      <c r="K168" s="1256"/>
      <c r="L168" s="1257"/>
      <c r="M168" s="2456"/>
      <c r="N168" s="1247"/>
      <c r="O168" s="1247"/>
      <c r="P168" s="4362"/>
      <c r="Q168" s="4301"/>
      <c r="R168" s="4301"/>
      <c r="S168" s="4301"/>
      <c r="T168" s="4301"/>
      <c r="U168" s="4301"/>
      <c r="V168" s="4301"/>
      <c r="W168" s="2457"/>
      <c r="X168" s="1250"/>
      <c r="Y168" s="2457"/>
      <c r="Z168" s="1250"/>
      <c r="AA168" s="1250"/>
      <c r="AB168" s="1250"/>
      <c r="AC168" s="1250"/>
      <c r="AD168" s="2395"/>
    </row>
    <row r="169" spans="1:30">
      <c r="A169" s="4666" t="s">
        <v>421</v>
      </c>
      <c r="B169" s="1212"/>
      <c r="C169" s="1212"/>
      <c r="D169" s="1212"/>
      <c r="E169" s="1260"/>
      <c r="F169" s="1261"/>
      <c r="G169" s="1261"/>
      <c r="H169" s="2458">
        <v>0.28000000000000003</v>
      </c>
      <c r="I169" s="2459">
        <v>0.28999999999999998</v>
      </c>
      <c r="J169" s="2460">
        <v>0.31</v>
      </c>
      <c r="K169" s="2460">
        <v>0.33</v>
      </c>
      <c r="L169" s="2461">
        <v>0.33</v>
      </c>
      <c r="M169" s="2461">
        <v>0.33</v>
      </c>
      <c r="N169" s="2461">
        <v>0.33</v>
      </c>
      <c r="O169" s="2461">
        <v>0.33</v>
      </c>
      <c r="P169" s="2460">
        <v>0.34</v>
      </c>
      <c r="Q169" s="2461">
        <v>0.34</v>
      </c>
      <c r="R169" s="2460">
        <v>0.3</v>
      </c>
      <c r="S169" s="2461">
        <v>0.3</v>
      </c>
      <c r="T169" s="2461">
        <v>0.3</v>
      </c>
      <c r="U169" s="2461">
        <v>0.3</v>
      </c>
      <c r="V169" s="2461">
        <v>0.3</v>
      </c>
      <c r="W169" s="2461">
        <v>0.3</v>
      </c>
      <c r="X169" s="2461">
        <v>0.3</v>
      </c>
      <c r="Y169" s="2462">
        <v>0.3</v>
      </c>
      <c r="Z169" s="2461">
        <v>0.3</v>
      </c>
      <c r="AA169" s="2461"/>
      <c r="AB169" s="2461"/>
      <c r="AC169" s="2461"/>
      <c r="AD169" s="4668" t="s">
        <v>422</v>
      </c>
    </row>
    <row r="170" spans="1:30" ht="21">
      <c r="A170" s="4667"/>
      <c r="B170" s="1223"/>
      <c r="C170" s="1223"/>
      <c r="D170" s="1223"/>
      <c r="E170" s="1269"/>
      <c r="F170" s="1270"/>
      <c r="G170" s="1270"/>
      <c r="H170" s="1270"/>
      <c r="I170" s="771" t="s">
        <v>25</v>
      </c>
      <c r="J170" s="771" t="s">
        <v>25</v>
      </c>
      <c r="K170" s="1271"/>
      <c r="L170" s="1272"/>
      <c r="M170" s="1226"/>
      <c r="N170" s="1272"/>
      <c r="O170" s="1272"/>
      <c r="P170" s="1226"/>
      <c r="Q170" s="1272"/>
      <c r="R170" s="1272"/>
      <c r="S170" s="1226"/>
      <c r="T170" s="1273"/>
      <c r="U170" s="1273"/>
      <c r="V170" s="1274"/>
      <c r="W170" s="2464"/>
      <c r="X170" s="1274"/>
      <c r="Y170" s="2464"/>
      <c r="Z170" s="1274"/>
      <c r="AA170" s="1274"/>
      <c r="AB170" s="1274"/>
      <c r="AC170" s="1274"/>
      <c r="AD170" s="4669"/>
    </row>
    <row r="171" spans="1:30">
      <c r="A171" s="2448" t="s">
        <v>423</v>
      </c>
      <c r="B171" s="1212" t="s">
        <v>18</v>
      </c>
      <c r="C171" s="1212" t="s">
        <v>18</v>
      </c>
      <c r="D171" s="1212" t="s">
        <v>18</v>
      </c>
      <c r="E171" s="1212" t="s">
        <v>18</v>
      </c>
      <c r="F171" s="1212" t="s">
        <v>18</v>
      </c>
      <c r="G171" s="1212" t="s">
        <v>18</v>
      </c>
      <c r="H171" s="1212" t="s">
        <v>18</v>
      </c>
      <c r="I171" s="1212" t="s">
        <v>18</v>
      </c>
      <c r="J171" s="1212" t="s">
        <v>18</v>
      </c>
      <c r="K171" s="1212" t="s">
        <v>18</v>
      </c>
      <c r="L171" s="1219">
        <v>64</v>
      </c>
      <c r="M171" s="1219">
        <v>73</v>
      </c>
      <c r="N171" s="1219">
        <v>80</v>
      </c>
      <c r="O171" s="1219">
        <v>84.8</v>
      </c>
      <c r="P171" s="1219">
        <v>90</v>
      </c>
      <c r="Q171" s="2465">
        <v>90</v>
      </c>
      <c r="R171" s="1219">
        <v>97.2</v>
      </c>
      <c r="S171" s="1213">
        <v>104.98</v>
      </c>
      <c r="T171" s="1213">
        <v>113.38</v>
      </c>
      <c r="U171" s="1213">
        <v>124.72</v>
      </c>
      <c r="V171" s="1213">
        <v>138.65</v>
      </c>
      <c r="W171" s="2449">
        <v>145.6</v>
      </c>
      <c r="X171" s="1213">
        <v>152.85</v>
      </c>
      <c r="Y171" s="2449">
        <v>160.5</v>
      </c>
      <c r="Z171" s="1213">
        <v>169.1</v>
      </c>
      <c r="AA171" s="1213"/>
      <c r="AB171" s="1213"/>
      <c r="AC171" s="1213"/>
      <c r="AD171" s="2466" t="s">
        <v>430</v>
      </c>
    </row>
    <row r="172" spans="1:30">
      <c r="A172" s="2467" t="s">
        <v>764</v>
      </c>
      <c r="B172" s="1343"/>
      <c r="C172" s="796"/>
      <c r="D172" s="796"/>
      <c r="E172" s="796"/>
      <c r="F172" s="796"/>
      <c r="G172" s="796"/>
      <c r="H172" s="796">
        <f>H173/$L$1</f>
        <v>63.911648537062369</v>
      </c>
      <c r="I172" s="796">
        <f>I173/$L$1</f>
        <v>63.911648537062369</v>
      </c>
      <c r="J172" s="796">
        <f>J173/$L$1</f>
        <v>63.911648537062369</v>
      </c>
      <c r="K172" s="795">
        <f>K173/$L$1</f>
        <v>191.7349456111871</v>
      </c>
      <c r="L172" s="796">
        <v>191.72999999999996</v>
      </c>
      <c r="M172" s="796">
        <v>191.73</v>
      </c>
      <c r="N172" s="2212">
        <v>211</v>
      </c>
      <c r="O172" s="874">
        <v>211</v>
      </c>
      <c r="P172" s="874">
        <v>211</v>
      </c>
      <c r="Q172" s="874">
        <v>211</v>
      </c>
      <c r="R172" s="874">
        <v>211</v>
      </c>
      <c r="S172" s="874">
        <v>211</v>
      </c>
      <c r="T172" s="2468">
        <v>151</v>
      </c>
      <c r="U172" s="2469">
        <v>151</v>
      </c>
      <c r="V172" s="2469">
        <v>151</v>
      </c>
      <c r="W172" s="2469">
        <v>151</v>
      </c>
      <c r="X172" s="874">
        <v>151</v>
      </c>
      <c r="Y172" s="2470">
        <v>151</v>
      </c>
      <c r="Z172" s="874">
        <v>151</v>
      </c>
      <c r="AA172" s="874"/>
      <c r="AB172" s="874"/>
      <c r="AC172" s="874"/>
      <c r="AD172" s="2471" t="s">
        <v>765</v>
      </c>
    </row>
    <row r="173" spans="1:30">
      <c r="A173" s="2472" t="s">
        <v>766</v>
      </c>
      <c r="B173" s="2473"/>
      <c r="C173" s="2474"/>
      <c r="D173" s="2474"/>
      <c r="E173" s="2474"/>
      <c r="F173" s="2474"/>
      <c r="G173" s="2474"/>
      <c r="H173" s="2475">
        <v>1000</v>
      </c>
      <c r="I173" s="2475">
        <v>1000</v>
      </c>
      <c r="J173" s="2475">
        <v>1000</v>
      </c>
      <c r="K173" s="2476">
        <v>3000</v>
      </c>
      <c r="L173" s="2474"/>
      <c r="M173" s="2477"/>
      <c r="N173" s="2478"/>
      <c r="O173" s="2478"/>
      <c r="P173" s="2478"/>
      <c r="Q173" s="2478"/>
      <c r="R173" s="2478"/>
      <c r="S173" s="2478"/>
      <c r="T173" s="2479" t="s">
        <v>767</v>
      </c>
      <c r="U173" s="2480" t="s">
        <v>767</v>
      </c>
      <c r="V173" s="2480" t="s">
        <v>767</v>
      </c>
      <c r="W173" s="2480" t="s">
        <v>767</v>
      </c>
      <c r="X173" s="2481">
        <v>0.1</v>
      </c>
      <c r="Y173" s="2482">
        <v>0.1</v>
      </c>
      <c r="Z173" s="2481">
        <v>0.1</v>
      </c>
      <c r="AA173" s="2481"/>
      <c r="AB173" s="2481"/>
      <c r="AC173" s="2481"/>
      <c r="AD173" s="2483" t="s">
        <v>768</v>
      </c>
    </row>
    <row r="174" spans="1:30">
      <c r="A174" s="2484" t="s">
        <v>769</v>
      </c>
      <c r="B174" s="2485" t="s">
        <v>18</v>
      </c>
      <c r="C174" s="2485" t="s">
        <v>18</v>
      </c>
      <c r="D174" s="2485" t="s">
        <v>18</v>
      </c>
      <c r="E174" s="2485" t="s">
        <v>18</v>
      </c>
      <c r="F174" s="2485" t="s">
        <v>18</v>
      </c>
      <c r="G174" s="2485" t="s">
        <v>18</v>
      </c>
      <c r="H174" s="2485" t="s">
        <v>18</v>
      </c>
      <c r="I174" s="2485" t="s">
        <v>18</v>
      </c>
      <c r="J174" s="2485" t="s">
        <v>18</v>
      </c>
      <c r="K174" s="2485" t="s">
        <v>18</v>
      </c>
      <c r="L174" s="2485" t="s">
        <v>18</v>
      </c>
      <c r="M174" s="2485" t="s">
        <v>18</v>
      </c>
      <c r="N174" s="2485" t="s">
        <v>18</v>
      </c>
      <c r="O174" s="2485" t="s">
        <v>18</v>
      </c>
      <c r="P174" s="2485" t="s">
        <v>18</v>
      </c>
      <c r="Q174" s="2485" t="s">
        <v>18</v>
      </c>
      <c r="R174" s="2485" t="s">
        <v>18</v>
      </c>
      <c r="S174" s="2485" t="s">
        <v>18</v>
      </c>
      <c r="T174" s="2486">
        <v>211</v>
      </c>
      <c r="U174" s="2487">
        <v>211</v>
      </c>
      <c r="V174" s="2487">
        <v>211</v>
      </c>
      <c r="W174" s="2487">
        <v>211</v>
      </c>
      <c r="X174" s="2487">
        <v>211</v>
      </c>
      <c r="Y174" s="2488">
        <v>211</v>
      </c>
      <c r="Z174" s="2486">
        <v>222</v>
      </c>
      <c r="AA174" s="2486"/>
      <c r="AB174" s="2486"/>
      <c r="AC174" s="2486"/>
      <c r="AD174" s="2489"/>
    </row>
    <row r="175" spans="1:30">
      <c r="A175" s="2490" t="s">
        <v>770</v>
      </c>
      <c r="B175" s="2491"/>
      <c r="C175" s="2492"/>
      <c r="D175" s="2492"/>
      <c r="E175" s="2492"/>
      <c r="F175" s="2492"/>
      <c r="G175" s="2492"/>
      <c r="H175" s="2492">
        <f>H176/$L$1</f>
        <v>159.77912134265591</v>
      </c>
      <c r="I175" s="2492">
        <f>I176/$L$1</f>
        <v>159.77912134265591</v>
      </c>
      <c r="J175" s="2492">
        <f>J176/$L$1</f>
        <v>159.77912134265591</v>
      </c>
      <c r="K175" s="2493">
        <f>K176/$L$1</f>
        <v>191.7349456111871</v>
      </c>
      <c r="L175" s="2492">
        <v>191.72999999999996</v>
      </c>
      <c r="M175" s="2492">
        <v>191.73</v>
      </c>
      <c r="N175" s="220">
        <v>211</v>
      </c>
      <c r="O175" s="165">
        <v>211</v>
      </c>
      <c r="P175" s="165">
        <v>211</v>
      </c>
      <c r="Q175" s="165">
        <v>211</v>
      </c>
      <c r="R175" s="165">
        <v>211</v>
      </c>
      <c r="S175" s="165">
        <v>211</v>
      </c>
      <c r="T175" s="220">
        <v>151</v>
      </c>
      <c r="U175" s="165">
        <v>151</v>
      </c>
      <c r="V175" s="165">
        <v>151</v>
      </c>
      <c r="W175" s="165">
        <v>151</v>
      </c>
      <c r="X175" s="165">
        <v>151</v>
      </c>
      <c r="Y175" s="2494">
        <v>151</v>
      </c>
      <c r="Z175" s="165">
        <v>151</v>
      </c>
      <c r="AA175" s="165"/>
      <c r="AB175" s="165"/>
      <c r="AC175" s="165"/>
      <c r="AD175" s="2495" t="s">
        <v>771</v>
      </c>
    </row>
    <row r="176" spans="1:30">
      <c r="A176" s="2496" t="s">
        <v>772</v>
      </c>
      <c r="B176" s="2497"/>
      <c r="C176" s="2498"/>
      <c r="D176" s="2498"/>
      <c r="E176" s="2498"/>
      <c r="F176" s="2498"/>
      <c r="G176" s="2498"/>
      <c r="H176" s="2499">
        <v>2500</v>
      </c>
      <c r="I176" s="2499">
        <v>2500</v>
      </c>
      <c r="J176" s="2499">
        <v>2500</v>
      </c>
      <c r="K176" s="2500">
        <v>3000</v>
      </c>
      <c r="L176" s="2498"/>
      <c r="M176" s="2501"/>
      <c r="N176" s="2502"/>
      <c r="O176" s="2502"/>
      <c r="P176" s="2502"/>
      <c r="Q176" s="2502"/>
      <c r="R176" s="2502"/>
      <c r="S176" s="2502"/>
      <c r="T176" s="2503" t="s">
        <v>767</v>
      </c>
      <c r="U176" s="2504" t="s">
        <v>767</v>
      </c>
      <c r="V176" s="2504" t="s">
        <v>767</v>
      </c>
      <c r="W176" s="2504" t="s">
        <v>767</v>
      </c>
      <c r="X176" s="2505">
        <v>0.1</v>
      </c>
      <c r="Y176" s="2506">
        <v>0.1</v>
      </c>
      <c r="Z176" s="2505">
        <v>0.1</v>
      </c>
      <c r="AA176" s="2505"/>
      <c r="AB176" s="2505"/>
      <c r="AC176" s="2505"/>
      <c r="AD176" s="2507" t="s">
        <v>773</v>
      </c>
    </row>
    <row r="177" spans="1:30">
      <c r="A177" s="2508" t="s">
        <v>769</v>
      </c>
      <c r="B177" s="2509" t="s">
        <v>18</v>
      </c>
      <c r="C177" s="2509" t="s">
        <v>18</v>
      </c>
      <c r="D177" s="2509" t="s">
        <v>18</v>
      </c>
      <c r="E177" s="2509" t="s">
        <v>18</v>
      </c>
      <c r="F177" s="2509" t="s">
        <v>18</v>
      </c>
      <c r="G177" s="2509" t="s">
        <v>18</v>
      </c>
      <c r="H177" s="2509" t="s">
        <v>18</v>
      </c>
      <c r="I177" s="2509" t="s">
        <v>18</v>
      </c>
      <c r="J177" s="2509" t="s">
        <v>18</v>
      </c>
      <c r="K177" s="2509" t="s">
        <v>18</v>
      </c>
      <c r="L177" s="2509" t="s">
        <v>18</v>
      </c>
      <c r="M177" s="2509" t="s">
        <v>18</v>
      </c>
      <c r="N177" s="2509" t="s">
        <v>18</v>
      </c>
      <c r="O177" s="2509" t="s">
        <v>18</v>
      </c>
      <c r="P177" s="2509" t="s">
        <v>18</v>
      </c>
      <c r="Q177" s="2509" t="s">
        <v>18</v>
      </c>
      <c r="R177" s="2509" t="s">
        <v>18</v>
      </c>
      <c r="S177" s="2509" t="s">
        <v>18</v>
      </c>
      <c r="T177" s="2510">
        <v>211</v>
      </c>
      <c r="U177" s="2511">
        <v>211</v>
      </c>
      <c r="V177" s="2511">
        <v>211</v>
      </c>
      <c r="W177" s="2511">
        <v>211</v>
      </c>
      <c r="X177" s="2511">
        <v>211</v>
      </c>
      <c r="Y177" s="2512">
        <v>211</v>
      </c>
      <c r="Z177" s="2513">
        <v>222</v>
      </c>
      <c r="AA177" s="2513"/>
      <c r="AB177" s="2513"/>
      <c r="AC177" s="2513"/>
      <c r="AD177" s="2466" t="s">
        <v>430</v>
      </c>
    </row>
    <row r="178" spans="1:30">
      <c r="A178" s="2467" t="s">
        <v>774</v>
      </c>
      <c r="B178" s="1343"/>
      <c r="C178" s="976"/>
      <c r="D178" s="1344"/>
      <c r="E178" s="1292"/>
      <c r="F178" s="1292"/>
      <c r="G178" s="796"/>
      <c r="H178" s="796">
        <f>H180/$L$1</f>
        <v>20.451727531859959</v>
      </c>
      <c r="I178" s="795">
        <f>I180/$L$1</f>
        <v>23.008193473342452</v>
      </c>
      <c r="J178" s="795">
        <f>J180/$L$1</f>
        <v>25.564659414824948</v>
      </c>
      <c r="K178" s="795">
        <f>K180/$L$1</f>
        <v>29.079800084363377</v>
      </c>
      <c r="L178" s="795">
        <f>L180/$L$1</f>
        <v>55.794869172855449</v>
      </c>
      <c r="M178" s="796">
        <v>55.79</v>
      </c>
      <c r="N178" s="796">
        <v>55.79</v>
      </c>
      <c r="O178" s="977">
        <v>61</v>
      </c>
      <c r="P178" s="978">
        <v>61</v>
      </c>
      <c r="Q178" s="978">
        <v>61</v>
      </c>
      <c r="R178" s="977">
        <v>65.88</v>
      </c>
      <c r="S178" s="795">
        <v>71.150000000000006</v>
      </c>
      <c r="T178" s="795">
        <v>76.84</v>
      </c>
      <c r="U178" s="795">
        <v>82.99</v>
      </c>
      <c r="V178" s="795">
        <v>89.63</v>
      </c>
      <c r="W178" s="2514">
        <v>97.1</v>
      </c>
      <c r="X178" s="2515">
        <v>101.9</v>
      </c>
      <c r="Y178" s="2514">
        <v>107</v>
      </c>
      <c r="Z178" s="2514">
        <v>112.4</v>
      </c>
      <c r="AA178" s="2514"/>
      <c r="AB178" s="2514"/>
      <c r="AC178" s="2514"/>
      <c r="AD178" s="2471" t="s">
        <v>775</v>
      </c>
    </row>
    <row r="179" spans="1:30" ht="21">
      <c r="A179" s="2516"/>
      <c r="B179" s="1423"/>
      <c r="C179" s="1168"/>
      <c r="D179" s="1296"/>
      <c r="E179" s="1296"/>
      <c r="F179" s="1296"/>
      <c r="G179" s="2517"/>
      <c r="H179" s="868"/>
      <c r="I179" s="806" t="s">
        <v>25</v>
      </c>
      <c r="J179" s="806" t="s">
        <v>25</v>
      </c>
      <c r="K179" s="806" t="s">
        <v>25</v>
      </c>
      <c r="L179" s="868"/>
      <c r="M179" s="1296"/>
      <c r="N179" s="868"/>
      <c r="O179" s="868"/>
      <c r="P179" s="875"/>
      <c r="Q179" s="868"/>
      <c r="R179" s="867"/>
      <c r="S179" s="867"/>
      <c r="T179" s="867"/>
      <c r="U179" s="867"/>
      <c r="V179" s="867"/>
      <c r="W179" s="2514"/>
      <c r="X179" s="2515"/>
      <c r="Y179" s="2514"/>
      <c r="Z179" s="2515"/>
      <c r="AA179" s="2515"/>
      <c r="AB179" s="2515"/>
      <c r="AC179" s="2515"/>
      <c r="AD179" s="2518"/>
    </row>
    <row r="180" spans="1:30">
      <c r="A180" s="2218" t="s">
        <v>776</v>
      </c>
      <c r="B180" s="4670"/>
      <c r="C180" s="1304"/>
      <c r="D180" s="2519"/>
      <c r="E180" s="1305"/>
      <c r="F180" s="1305"/>
      <c r="G180" s="2520"/>
      <c r="H180" s="820">
        <v>320</v>
      </c>
      <c r="I180" s="819">
        <v>360</v>
      </c>
      <c r="J180" s="819">
        <v>400</v>
      </c>
      <c r="K180" s="819">
        <v>455</v>
      </c>
      <c r="L180" s="819">
        <v>873</v>
      </c>
      <c r="M180" s="1305"/>
      <c r="N180" s="1306"/>
      <c r="O180" s="1306"/>
      <c r="P180" s="1306"/>
      <c r="Q180" s="1306"/>
      <c r="R180" s="1306"/>
      <c r="S180" s="1306"/>
      <c r="T180" s="1306"/>
      <c r="U180" s="1306"/>
      <c r="V180" s="1306"/>
      <c r="W180" s="2521"/>
      <c r="X180" s="2522"/>
      <c r="Y180" s="2521"/>
      <c r="Z180" s="2522"/>
      <c r="AA180" s="2522"/>
      <c r="AB180" s="2522"/>
      <c r="AC180" s="2522"/>
      <c r="AD180" s="2523" t="s">
        <v>777</v>
      </c>
    </row>
    <row r="181" spans="1:30" ht="18" customHeight="1">
      <c r="A181" s="2430"/>
      <c r="B181" s="4671"/>
      <c r="C181" s="1308"/>
      <c r="D181" s="1296"/>
      <c r="E181" s="1296"/>
      <c r="F181" s="1296"/>
      <c r="G181" s="1309"/>
      <c r="H181" s="1309"/>
      <c r="I181" s="878" t="s">
        <v>25</v>
      </c>
      <c r="J181" s="878" t="s">
        <v>25</v>
      </c>
      <c r="K181" s="878" t="s">
        <v>25</v>
      </c>
      <c r="L181" s="1309"/>
      <c r="M181" s="1296"/>
      <c r="N181" s="1309"/>
      <c r="O181" s="1309"/>
      <c r="P181" s="1309"/>
      <c r="Q181" s="1309"/>
      <c r="R181" s="1309"/>
      <c r="S181" s="1309"/>
      <c r="T181" s="1309"/>
      <c r="U181" s="1309"/>
      <c r="V181" s="1309"/>
      <c r="W181" s="2524"/>
      <c r="X181" s="2525"/>
      <c r="Y181" s="2524"/>
      <c r="Z181" s="2525"/>
      <c r="AA181" s="2525"/>
      <c r="AB181" s="2525"/>
      <c r="AC181" s="2525"/>
      <c r="AD181" s="2526"/>
    </row>
    <row r="182" spans="1:30" ht="26.4">
      <c r="A182" s="2527" t="s">
        <v>778</v>
      </c>
      <c r="B182" s="2528" t="s">
        <v>18</v>
      </c>
      <c r="C182" s="2528" t="s">
        <v>18</v>
      </c>
      <c r="D182" s="2528" t="s">
        <v>18</v>
      </c>
      <c r="E182" s="2528" t="s">
        <v>18</v>
      </c>
      <c r="F182" s="2528" t="s">
        <v>18</v>
      </c>
      <c r="G182" s="2528" t="s">
        <v>18</v>
      </c>
      <c r="H182" s="2528" t="s">
        <v>18</v>
      </c>
      <c r="I182" s="2528" t="s">
        <v>18</v>
      </c>
      <c r="J182" s="2528" t="s">
        <v>18</v>
      </c>
      <c r="K182" s="2528" t="s">
        <v>18</v>
      </c>
      <c r="L182" s="2528" t="s">
        <v>18</v>
      </c>
      <c r="M182" s="2528" t="s">
        <v>18</v>
      </c>
      <c r="N182" s="2528" t="s">
        <v>18</v>
      </c>
      <c r="O182" s="2528" t="s">
        <v>18</v>
      </c>
      <c r="P182" s="2528" t="s">
        <v>18</v>
      </c>
      <c r="Q182" s="2528" t="s">
        <v>18</v>
      </c>
      <c r="R182" s="2529">
        <v>65.900000000000006</v>
      </c>
      <c r="S182" s="2530">
        <v>71.150000000000006</v>
      </c>
      <c r="T182" s="2530">
        <v>76.84</v>
      </c>
      <c r="U182" s="2530">
        <v>82.99</v>
      </c>
      <c r="V182" s="2530">
        <v>89.63</v>
      </c>
      <c r="W182" s="2531">
        <v>97.1</v>
      </c>
      <c r="X182" s="2530">
        <v>101.9</v>
      </c>
      <c r="Y182" s="2531">
        <v>107</v>
      </c>
      <c r="Z182" s="2530">
        <v>112.4</v>
      </c>
      <c r="AA182" s="2530"/>
      <c r="AB182" s="2530"/>
      <c r="AC182" s="2530"/>
      <c r="AD182" s="2532" t="s">
        <v>779</v>
      </c>
    </row>
    <row r="183" spans="1:30" ht="55.8" thickBot="1">
      <c r="A183" s="2533" t="s">
        <v>780</v>
      </c>
      <c r="B183" s="2534" t="s">
        <v>18</v>
      </c>
      <c r="C183" s="2534" t="s">
        <v>18</v>
      </c>
      <c r="D183" s="2534" t="s">
        <v>18</v>
      </c>
      <c r="E183" s="2534" t="s">
        <v>18</v>
      </c>
      <c r="F183" s="2534" t="s">
        <v>18</v>
      </c>
      <c r="G183" s="2534" t="s">
        <v>18</v>
      </c>
      <c r="H183" s="2534" t="s">
        <v>18</v>
      </c>
      <c r="I183" s="2534" t="s">
        <v>18</v>
      </c>
      <c r="J183" s="2534" t="s">
        <v>18</v>
      </c>
      <c r="K183" s="2534" t="s">
        <v>18</v>
      </c>
      <c r="L183" s="2534" t="s">
        <v>18</v>
      </c>
      <c r="M183" s="2534" t="s">
        <v>18</v>
      </c>
      <c r="N183" s="2534" t="s">
        <v>18</v>
      </c>
      <c r="O183" s="2534" t="s">
        <v>18</v>
      </c>
      <c r="P183" s="2534" t="s">
        <v>18</v>
      </c>
      <c r="Q183" s="2534" t="s">
        <v>18</v>
      </c>
      <c r="R183" s="2535" t="s">
        <v>18</v>
      </c>
      <c r="S183" s="2535" t="s">
        <v>18</v>
      </c>
      <c r="T183" s="2536">
        <v>0.2</v>
      </c>
      <c r="U183" s="2537">
        <v>0.2</v>
      </c>
      <c r="V183" s="2537">
        <v>0.2</v>
      </c>
      <c r="W183" s="2538" t="s">
        <v>781</v>
      </c>
      <c r="X183" s="2538" t="s">
        <v>782</v>
      </c>
      <c r="Y183" s="2539">
        <v>0.2</v>
      </c>
      <c r="Z183" s="2540">
        <v>0.21</v>
      </c>
      <c r="AA183" s="2540"/>
      <c r="AB183" s="2540"/>
      <c r="AC183" s="2540"/>
      <c r="AD183" s="2541" t="s">
        <v>783</v>
      </c>
    </row>
    <row r="184" spans="1:30" ht="15.6">
      <c r="A184" s="2183" t="s">
        <v>460</v>
      </c>
      <c r="B184" s="2184"/>
      <c r="C184" s="1174"/>
      <c r="D184" s="1174"/>
      <c r="E184" s="1174"/>
      <c r="F184" s="1174"/>
      <c r="G184" s="1174"/>
      <c r="H184" s="1174"/>
      <c r="I184" s="1174"/>
      <c r="J184" s="1174"/>
      <c r="K184" s="1174"/>
      <c r="L184" s="1175"/>
      <c r="M184" s="1175"/>
      <c r="N184" s="1175"/>
      <c r="O184" s="1175"/>
      <c r="P184" s="1175"/>
      <c r="Q184" s="1175"/>
      <c r="R184" s="1175"/>
      <c r="S184" s="1175"/>
      <c r="T184" s="1175"/>
      <c r="U184" s="1176"/>
      <c r="V184" s="1176"/>
      <c r="W184" s="2335"/>
      <c r="X184" s="1176"/>
      <c r="Y184" s="2335"/>
      <c r="Z184" s="2185"/>
      <c r="AA184" s="2185"/>
      <c r="AB184" s="2185"/>
      <c r="AC184" s="2185"/>
      <c r="AD184" s="2186" t="s">
        <v>461</v>
      </c>
    </row>
    <row r="185" spans="1:30">
      <c r="A185" s="2490" t="s">
        <v>462</v>
      </c>
      <c r="B185" s="2491"/>
      <c r="C185" s="2542"/>
      <c r="D185" s="2542"/>
      <c r="E185" s="2542"/>
      <c r="F185" s="2543"/>
      <c r="G185" s="2544"/>
      <c r="H185" s="2545"/>
      <c r="I185" s="2544"/>
      <c r="J185" s="2544"/>
      <c r="K185" s="2544"/>
      <c r="L185" s="2545"/>
      <c r="M185" s="2545"/>
      <c r="N185" s="2545"/>
      <c r="O185" s="2545"/>
      <c r="P185" s="2546"/>
      <c r="Q185" s="2546"/>
      <c r="R185" s="2546"/>
      <c r="S185" s="2546"/>
      <c r="T185" s="2546"/>
      <c r="U185" s="2547"/>
      <c r="V185" s="2548"/>
      <c r="W185" s="2548"/>
      <c r="X185" s="2547"/>
      <c r="Y185" s="2548"/>
      <c r="Z185" s="2547"/>
      <c r="AA185" s="2547"/>
      <c r="AB185" s="2547"/>
      <c r="AC185" s="2547"/>
      <c r="AD185" s="2447" t="s">
        <v>463</v>
      </c>
    </row>
    <row r="186" spans="1:30" ht="25.8">
      <c r="A186" s="2549" t="s">
        <v>784</v>
      </c>
      <c r="B186" s="1212"/>
      <c r="C186" s="1212"/>
      <c r="D186" s="1212"/>
      <c r="E186" s="1212"/>
      <c r="F186" s="1212"/>
      <c r="G186" s="1212"/>
      <c r="H186" s="1212"/>
      <c r="I186" s="1212"/>
      <c r="J186" s="1212"/>
      <c r="K186" s="1212"/>
      <c r="L186" s="1282"/>
      <c r="M186" s="1387"/>
      <c r="N186" s="1216"/>
      <c r="O186" s="1216"/>
      <c r="P186" s="1388"/>
      <c r="Q186" s="1388"/>
      <c r="R186" s="1388"/>
      <c r="S186" s="1213">
        <v>47.32</v>
      </c>
      <c r="T186" s="1215">
        <v>47.32</v>
      </c>
      <c r="U186" s="1215">
        <v>47.32</v>
      </c>
      <c r="V186" s="2550" t="s">
        <v>785</v>
      </c>
      <c r="W186" s="1215">
        <v>40</v>
      </c>
      <c r="X186" s="1215">
        <v>40</v>
      </c>
      <c r="Y186" s="2551">
        <v>40</v>
      </c>
      <c r="Z186" s="1213" t="s">
        <v>786</v>
      </c>
      <c r="AA186" s="1213"/>
      <c r="AB186" s="1213"/>
      <c r="AC186" s="1213"/>
      <c r="AD186" s="2463" t="s">
        <v>787</v>
      </c>
    </row>
    <row r="187" spans="1:30" ht="27.6">
      <c r="A187" s="4672" t="s">
        <v>788</v>
      </c>
      <c r="B187" s="1212" t="s">
        <v>18</v>
      </c>
      <c r="C187" s="1212" t="s">
        <v>18</v>
      </c>
      <c r="D187" s="1212" t="s">
        <v>18</v>
      </c>
      <c r="E187" s="1212" t="s">
        <v>18</v>
      </c>
      <c r="F187" s="1212" t="s">
        <v>18</v>
      </c>
      <c r="G187" s="1212" t="s">
        <v>18</v>
      </c>
      <c r="H187" s="1212" t="s">
        <v>18</v>
      </c>
      <c r="I187" s="1212" t="s">
        <v>18</v>
      </c>
      <c r="J187" s="1213">
        <f>J189/$L$1</f>
        <v>10.034128820318791</v>
      </c>
      <c r="K187" s="1213">
        <f>K189/$L$1</f>
        <v>23.455575013101889</v>
      </c>
      <c r="L187" s="1215">
        <f>L189/$L$1</f>
        <v>23.455575013101889</v>
      </c>
      <c r="M187" s="1215">
        <v>23.45</v>
      </c>
      <c r="N187" s="1215">
        <v>23.45</v>
      </c>
      <c r="O187" s="1215">
        <v>23.45</v>
      </c>
      <c r="P187" s="1215">
        <v>23.45</v>
      </c>
      <c r="Q187" s="1215">
        <v>23.45</v>
      </c>
      <c r="R187" s="1213">
        <v>33.770000000000003</v>
      </c>
      <c r="S187" s="1213">
        <v>40.520000000000003</v>
      </c>
      <c r="T187" s="1213">
        <v>50.65</v>
      </c>
      <c r="U187" s="1213">
        <v>63.31</v>
      </c>
      <c r="V187" s="1213" t="s">
        <v>789</v>
      </c>
      <c r="W187" s="1215">
        <v>40</v>
      </c>
      <c r="X187" s="1215">
        <v>40</v>
      </c>
      <c r="Y187" s="2551">
        <v>40</v>
      </c>
      <c r="Z187" s="1213" t="s">
        <v>790</v>
      </c>
      <c r="AA187" s="1213"/>
      <c r="AB187" s="1213"/>
      <c r="AC187" s="1213"/>
      <c r="AD187" s="4668" t="s">
        <v>791</v>
      </c>
    </row>
    <row r="188" spans="1:30">
      <c r="A188" s="4673"/>
      <c r="B188" s="1223"/>
      <c r="C188" s="1223"/>
      <c r="D188" s="1223"/>
      <c r="E188" s="1223"/>
      <c r="F188" s="1223"/>
      <c r="G188" s="1223"/>
      <c r="H188" s="1223"/>
      <c r="I188" s="1223"/>
      <c r="J188" s="1223"/>
      <c r="K188" s="771" t="s">
        <v>25</v>
      </c>
      <c r="L188" s="1226"/>
      <c r="M188" s="1226"/>
      <c r="N188" s="909"/>
      <c r="O188" s="909"/>
      <c r="P188" s="1394"/>
      <c r="Q188" s="1394"/>
      <c r="R188" s="771" t="s">
        <v>707</v>
      </c>
      <c r="S188" s="1395"/>
      <c r="T188" s="1394"/>
      <c r="U188" s="1396"/>
      <c r="V188" s="2552" t="s">
        <v>716</v>
      </c>
      <c r="W188" s="2552"/>
      <c r="X188" s="1495"/>
      <c r="Y188" s="2552"/>
      <c r="Z188" s="1495"/>
      <c r="AA188" s="1495"/>
      <c r="AB188" s="1495"/>
      <c r="AC188" s="1495"/>
      <c r="AD188" s="4669"/>
    </row>
    <row r="189" spans="1:30" ht="15.6">
      <c r="A189" s="2198" t="s">
        <v>792</v>
      </c>
      <c r="B189" s="778" t="s">
        <v>18</v>
      </c>
      <c r="C189" s="778" t="s">
        <v>18</v>
      </c>
      <c r="D189" s="778" t="s">
        <v>18</v>
      </c>
      <c r="E189" s="778" t="s">
        <v>18</v>
      </c>
      <c r="F189" s="778" t="s">
        <v>18</v>
      </c>
      <c r="G189" s="778" t="s">
        <v>18</v>
      </c>
      <c r="H189" s="778" t="s">
        <v>18</v>
      </c>
      <c r="I189" s="778" t="s">
        <v>18</v>
      </c>
      <c r="J189" s="234">
        <v>157</v>
      </c>
      <c r="K189" s="234">
        <v>367</v>
      </c>
      <c r="L189" s="235">
        <v>367</v>
      </c>
      <c r="M189" s="235"/>
      <c r="N189" s="2553"/>
      <c r="O189" s="235"/>
      <c r="P189" s="853"/>
      <c r="Q189" s="853"/>
      <c r="R189" s="853"/>
      <c r="S189" s="2554"/>
      <c r="T189" s="853"/>
      <c r="U189" s="854"/>
      <c r="V189" s="2269"/>
      <c r="W189" s="2269"/>
      <c r="X189" s="854"/>
      <c r="Y189" s="2269"/>
      <c r="Z189" s="854"/>
      <c r="AA189" s="854"/>
      <c r="AB189" s="854"/>
      <c r="AC189" s="854"/>
      <c r="AD189" s="2202" t="s">
        <v>793</v>
      </c>
    </row>
    <row r="190" spans="1:30">
      <c r="A190" s="2555"/>
      <c r="B190" s="2556"/>
      <c r="C190" s="2556"/>
      <c r="D190" s="2556"/>
      <c r="E190" s="2556"/>
      <c r="F190" s="2556"/>
      <c r="G190" s="2556"/>
      <c r="H190" s="2556"/>
      <c r="I190" s="2556"/>
      <c r="J190" s="2557"/>
      <c r="K190" s="2558" t="s">
        <v>25</v>
      </c>
      <c r="L190" s="2557"/>
      <c r="M190" s="2557"/>
      <c r="N190" s="2559"/>
      <c r="O190" s="2560"/>
      <c r="P190" s="2561"/>
      <c r="Q190" s="2561"/>
      <c r="R190" s="2561"/>
      <c r="S190" s="2562"/>
      <c r="T190" s="2561"/>
      <c r="U190" s="2563"/>
      <c r="V190" s="2563"/>
      <c r="W190" s="2564"/>
      <c r="X190" s="2563"/>
      <c r="Y190" s="2564"/>
      <c r="Z190" s="2563"/>
      <c r="AA190" s="2563"/>
      <c r="AB190" s="2563"/>
      <c r="AC190" s="2563"/>
      <c r="AD190" s="2565"/>
    </row>
    <row r="191" spans="1:30" ht="27.6">
      <c r="A191" s="2566" t="s">
        <v>794</v>
      </c>
      <c r="B191" s="784"/>
      <c r="C191" s="784"/>
      <c r="D191" s="784"/>
      <c r="E191" s="784"/>
      <c r="F191" s="784"/>
      <c r="G191" s="784"/>
      <c r="H191" s="784"/>
      <c r="I191" s="784"/>
      <c r="J191" s="786"/>
      <c r="K191" s="785"/>
      <c r="L191" s="786"/>
      <c r="M191" s="786"/>
      <c r="N191" s="2567"/>
      <c r="O191" s="788"/>
      <c r="P191" s="860"/>
      <c r="Q191" s="860"/>
      <c r="R191" s="860"/>
      <c r="S191" s="2568"/>
      <c r="T191" s="787" t="s">
        <v>18</v>
      </c>
      <c r="U191" s="1213">
        <v>11.3</v>
      </c>
      <c r="V191" s="2569">
        <v>11.263</v>
      </c>
      <c r="W191" s="2569">
        <v>11.263</v>
      </c>
      <c r="X191" s="2569">
        <v>11.263</v>
      </c>
      <c r="Y191" s="2570">
        <v>11.263</v>
      </c>
      <c r="Z191" s="2569">
        <v>11.3</v>
      </c>
      <c r="AA191" s="2569"/>
      <c r="AB191" s="2569"/>
      <c r="AC191" s="2569"/>
      <c r="AD191" s="2571" t="s">
        <v>795</v>
      </c>
    </row>
    <row r="192" spans="1:30" ht="27.6">
      <c r="A192" s="4658" t="s">
        <v>796</v>
      </c>
      <c r="B192" s="1343" t="s">
        <v>18</v>
      </c>
      <c r="C192" s="1343" t="s">
        <v>18</v>
      </c>
      <c r="D192" s="1343" t="s">
        <v>18</v>
      </c>
      <c r="E192" s="1343" t="s">
        <v>18</v>
      </c>
      <c r="F192" s="1343" t="s">
        <v>18</v>
      </c>
      <c r="G192" s="1343" t="s">
        <v>18</v>
      </c>
      <c r="H192" s="1343" t="s">
        <v>18</v>
      </c>
      <c r="I192" s="1343" t="s">
        <v>18</v>
      </c>
      <c r="J192" s="1343" t="s">
        <v>18</v>
      </c>
      <c r="K192" s="1343" t="s">
        <v>18</v>
      </c>
      <c r="L192" s="2572">
        <v>0.3</v>
      </c>
      <c r="M192" s="2573">
        <v>0.3</v>
      </c>
      <c r="N192" s="2573">
        <v>0.3</v>
      </c>
      <c r="O192" s="2573">
        <v>0.3</v>
      </c>
      <c r="P192" s="2573">
        <v>0.3</v>
      </c>
      <c r="Q192" s="2573">
        <v>0.3</v>
      </c>
      <c r="R192" s="2572">
        <v>0.93</v>
      </c>
      <c r="S192" s="2573">
        <v>0.93</v>
      </c>
      <c r="T192" s="2573">
        <v>0.93</v>
      </c>
      <c r="U192" s="2573">
        <v>0.93</v>
      </c>
      <c r="V192" s="2573">
        <v>0.93</v>
      </c>
      <c r="W192" s="2573">
        <v>0.93</v>
      </c>
      <c r="X192" s="2573">
        <v>0.93</v>
      </c>
      <c r="Y192" s="2574">
        <v>0.93</v>
      </c>
      <c r="Z192" s="2573">
        <v>0.93</v>
      </c>
      <c r="AA192" s="2573"/>
      <c r="AB192" s="2573"/>
      <c r="AC192" s="2573"/>
      <c r="AD192" s="2575" t="s">
        <v>797</v>
      </c>
    </row>
    <row r="193" spans="1:30" s="565" customFormat="1" ht="18.75" customHeight="1">
      <c r="A193" s="4659"/>
      <c r="B193" s="2576"/>
      <c r="C193" s="2576"/>
      <c r="D193" s="2576"/>
      <c r="E193" s="2576"/>
      <c r="F193" s="2576"/>
      <c r="G193" s="2576"/>
      <c r="H193" s="2576"/>
      <c r="I193" s="2576"/>
      <c r="J193" s="2576"/>
      <c r="K193" s="2576"/>
      <c r="L193" s="2577"/>
      <c r="M193" s="2578"/>
      <c r="N193" s="2578"/>
      <c r="O193" s="2578"/>
      <c r="P193" s="2578"/>
      <c r="Q193" s="2578"/>
      <c r="R193" s="2579" t="s">
        <v>707</v>
      </c>
      <c r="S193" s="2578"/>
      <c r="T193" s="2580"/>
      <c r="U193" s="2581"/>
      <c r="V193" s="2582"/>
      <c r="W193" s="2582"/>
      <c r="X193" s="2581"/>
      <c r="Y193" s="2582"/>
      <c r="Z193" s="2581"/>
      <c r="AA193" s="2581"/>
      <c r="AB193" s="2581"/>
      <c r="AC193" s="2581"/>
      <c r="AD193" s="2231"/>
    </row>
    <row r="194" spans="1:30" ht="28.2">
      <c r="A194" s="2583" t="s">
        <v>798</v>
      </c>
      <c r="B194" s="1369" t="s">
        <v>18</v>
      </c>
      <c r="C194" s="1369" t="s">
        <v>18</v>
      </c>
      <c r="D194" s="1369" t="s">
        <v>18</v>
      </c>
      <c r="E194" s="1369" t="s">
        <v>18</v>
      </c>
      <c r="F194" s="1369" t="s">
        <v>18</v>
      </c>
      <c r="G194" s="1369" t="s">
        <v>18</v>
      </c>
      <c r="H194" s="1369" t="s">
        <v>18</v>
      </c>
      <c r="I194" s="1369" t="s">
        <v>18</v>
      </c>
      <c r="J194" s="1544">
        <f>J196/$L$1</f>
        <v>3.8346989122237423</v>
      </c>
      <c r="K194" s="1543">
        <f>K196/$L$1</f>
        <v>3.8346989122237423</v>
      </c>
      <c r="L194" s="1544">
        <f>L196/$L$1</f>
        <v>4.4738153975943655</v>
      </c>
      <c r="M194" s="2584">
        <v>4.47</v>
      </c>
      <c r="N194" s="2584">
        <v>4.47</v>
      </c>
      <c r="O194" s="2584">
        <v>4.47</v>
      </c>
      <c r="P194" s="2584">
        <v>4.47</v>
      </c>
      <c r="Q194" s="2584">
        <v>4.47</v>
      </c>
      <c r="R194" s="2584">
        <v>4.47</v>
      </c>
      <c r="S194" s="2584">
        <v>4.47</v>
      </c>
      <c r="T194" s="2584">
        <v>4.47</v>
      </c>
      <c r="U194" s="2584">
        <v>4.47</v>
      </c>
      <c r="V194" s="2584" t="s">
        <v>799</v>
      </c>
      <c r="W194" s="2584">
        <v>1</v>
      </c>
      <c r="X194" s="2584">
        <v>1</v>
      </c>
      <c r="Y194" s="2585">
        <v>1</v>
      </c>
      <c r="Z194" s="1544" t="s">
        <v>800</v>
      </c>
      <c r="AA194" s="1544"/>
      <c r="AB194" s="1544"/>
      <c r="AC194" s="1544"/>
      <c r="AD194" s="2586" t="s">
        <v>801</v>
      </c>
    </row>
    <row r="195" spans="1:30" ht="17.25" customHeight="1">
      <c r="A195" s="2451"/>
      <c r="B195" s="1223"/>
      <c r="C195" s="1454"/>
      <c r="D195" s="1454"/>
      <c r="E195" s="1454"/>
      <c r="F195" s="2587"/>
      <c r="G195" s="2587"/>
      <c r="H195" s="2587"/>
      <c r="I195" s="2587"/>
      <c r="J195" s="2588"/>
      <c r="K195" s="35"/>
      <c r="L195" s="771" t="s">
        <v>346</v>
      </c>
      <c r="M195" s="1453"/>
      <c r="N195" s="1453"/>
      <c r="O195" s="1453"/>
      <c r="P195" s="2589"/>
      <c r="Q195" s="2589"/>
      <c r="R195" s="2589"/>
      <c r="S195" s="2589"/>
      <c r="T195" s="2589"/>
      <c r="U195" s="1396"/>
      <c r="V195" s="2552" t="s">
        <v>716</v>
      </c>
      <c r="W195" s="2552"/>
      <c r="X195" s="1495"/>
      <c r="Y195" s="2552"/>
      <c r="Z195" s="1495"/>
      <c r="AA195" s="1495"/>
      <c r="AB195" s="1495"/>
      <c r="AC195" s="1495"/>
      <c r="AD195" s="2590"/>
    </row>
    <row r="196" spans="1:30" ht="26.4">
      <c r="A196" s="2198" t="s">
        <v>802</v>
      </c>
      <c r="B196" s="778" t="s">
        <v>18</v>
      </c>
      <c r="C196" s="778" t="s">
        <v>18</v>
      </c>
      <c r="D196" s="778" t="s">
        <v>18</v>
      </c>
      <c r="E196" s="778" t="s">
        <v>18</v>
      </c>
      <c r="F196" s="778" t="s">
        <v>18</v>
      </c>
      <c r="G196" s="778" t="s">
        <v>18</v>
      </c>
      <c r="H196" s="778" t="s">
        <v>18</v>
      </c>
      <c r="I196" s="778" t="s">
        <v>18</v>
      </c>
      <c r="J196" s="234">
        <v>60</v>
      </c>
      <c r="K196" s="235">
        <f>J196</f>
        <v>60</v>
      </c>
      <c r="L196" s="234">
        <v>70</v>
      </c>
      <c r="M196" s="2591"/>
      <c r="N196" s="851"/>
      <c r="O196" s="851"/>
      <c r="P196" s="853"/>
      <c r="Q196" s="853"/>
      <c r="R196" s="853"/>
      <c r="S196" s="853"/>
      <c r="T196" s="853"/>
      <c r="U196" s="854"/>
      <c r="V196" s="2269"/>
      <c r="W196" s="2269"/>
      <c r="X196" s="854"/>
      <c r="Y196" s="2269"/>
      <c r="Z196" s="854"/>
      <c r="AA196" s="854"/>
      <c r="AB196" s="854"/>
      <c r="AC196" s="854"/>
      <c r="AD196" s="2202" t="s">
        <v>803</v>
      </c>
    </row>
    <row r="197" spans="1:30" ht="21">
      <c r="A197" s="2390"/>
      <c r="B197" s="1246"/>
      <c r="C197" s="924"/>
      <c r="D197" s="924"/>
      <c r="E197" s="924"/>
      <c r="F197" s="2592"/>
      <c r="G197" s="2592"/>
      <c r="H197" s="2592"/>
      <c r="I197" s="2593"/>
      <c r="J197" s="2594"/>
      <c r="K197" s="2594"/>
      <c r="L197" s="2386" t="s">
        <v>346</v>
      </c>
      <c r="M197" s="2595"/>
      <c r="N197" s="2595"/>
      <c r="O197" s="2595"/>
      <c r="P197" s="2596"/>
      <c r="Q197" s="2596"/>
      <c r="R197" s="2596"/>
      <c r="S197" s="2596"/>
      <c r="T197" s="2596"/>
      <c r="U197" s="2597"/>
      <c r="V197" s="2598"/>
      <c r="W197" s="2598"/>
      <c r="X197" s="2597"/>
      <c r="Y197" s="2598"/>
      <c r="Z197" s="2597"/>
      <c r="AA197" s="2597"/>
      <c r="AB197" s="2597"/>
      <c r="AC197" s="2597"/>
      <c r="AD197" s="2599"/>
    </row>
    <row r="198" spans="1:30" s="2608" customFormat="1" ht="27.6">
      <c r="A198" s="2600" t="s">
        <v>804</v>
      </c>
      <c r="B198" s="2601"/>
      <c r="C198" s="2602"/>
      <c r="D198" s="2602"/>
      <c r="E198" s="2602"/>
      <c r="F198" s="2603"/>
      <c r="G198" s="2603"/>
      <c r="H198" s="2603"/>
      <c r="I198" s="789"/>
      <c r="J198" s="2604"/>
      <c r="K198" s="2604"/>
      <c r="L198" s="785"/>
      <c r="M198" s="788"/>
      <c r="N198" s="788"/>
      <c r="O198" s="788"/>
      <c r="P198" s="860"/>
      <c r="Q198" s="860"/>
      <c r="R198" s="860"/>
      <c r="S198" s="860"/>
      <c r="T198" s="860"/>
      <c r="U198" s="2605"/>
      <c r="V198" s="2605">
        <v>0.5</v>
      </c>
      <c r="W198" s="2606">
        <v>0.5</v>
      </c>
      <c r="X198" s="2606">
        <v>0.5</v>
      </c>
      <c r="Y198" s="2607">
        <v>0.5</v>
      </c>
      <c r="Z198" s="2606">
        <v>0.5</v>
      </c>
      <c r="AA198" s="2606"/>
      <c r="AB198" s="2606"/>
      <c r="AC198" s="2606"/>
      <c r="AD198" s="2334" t="s">
        <v>805</v>
      </c>
    </row>
    <row r="199" spans="1:30" ht="14.4" thickBot="1">
      <c r="A199" s="2609"/>
      <c r="B199" s="2610"/>
      <c r="C199" s="2611"/>
      <c r="D199" s="2611"/>
      <c r="E199" s="2611"/>
      <c r="F199" s="2612"/>
      <c r="G199" s="2612"/>
      <c r="H199" s="2612"/>
      <c r="I199" s="2612"/>
      <c r="L199" s="2613"/>
      <c r="M199" s="2614"/>
      <c r="N199" s="2614"/>
      <c r="O199" s="2614"/>
      <c r="P199" s="2615"/>
      <c r="Q199" s="2615"/>
      <c r="R199" s="2615"/>
      <c r="S199" s="2615"/>
      <c r="T199" s="2615"/>
      <c r="U199" s="2616"/>
      <c r="V199" s="2616"/>
      <c r="W199" s="2616"/>
      <c r="X199" s="2333"/>
      <c r="Y199" s="2616"/>
      <c r="Z199" s="2333"/>
      <c r="AA199" s="2333"/>
      <c r="AB199" s="2333"/>
      <c r="AC199" s="2333"/>
      <c r="AD199" s="2617"/>
    </row>
    <row r="200" spans="1:30" ht="15.6">
      <c r="A200" s="2618" t="s">
        <v>806</v>
      </c>
      <c r="B200" s="2619"/>
      <c r="C200" s="2619"/>
      <c r="D200" s="2619"/>
      <c r="E200" s="2619"/>
      <c r="F200" s="2619"/>
      <c r="G200" s="2619"/>
      <c r="H200" s="2619"/>
      <c r="I200" s="2619"/>
      <c r="J200" s="2619"/>
      <c r="K200" s="2619"/>
      <c r="L200" s="2619"/>
      <c r="M200" s="2619"/>
      <c r="N200" s="2619"/>
      <c r="O200" s="2619"/>
      <c r="P200" s="2619"/>
      <c r="Q200" s="2619"/>
      <c r="R200" s="2620"/>
      <c r="S200" s="2621"/>
      <c r="T200" s="2621"/>
      <c r="U200" s="2621"/>
      <c r="V200" s="2621"/>
      <c r="W200" s="2621"/>
      <c r="X200" s="2622"/>
      <c r="Y200" s="2621"/>
      <c r="Z200" s="2622"/>
      <c r="AA200" s="2622"/>
      <c r="AB200" s="2622"/>
      <c r="AC200" s="2622"/>
      <c r="AD200" s="2623" t="s">
        <v>528</v>
      </c>
    </row>
    <row r="201" spans="1:30" ht="21.75" customHeight="1">
      <c r="A201" s="2624" t="s">
        <v>529</v>
      </c>
      <c r="B201" s="2625"/>
      <c r="C201" s="2625"/>
      <c r="D201" s="2625"/>
      <c r="E201" s="2625"/>
      <c r="F201" s="2625"/>
      <c r="G201" s="2625"/>
      <c r="H201" s="2625"/>
      <c r="I201" s="2625"/>
      <c r="J201" s="2625"/>
      <c r="K201" s="2625"/>
      <c r="L201" s="2625"/>
      <c r="M201" s="2625"/>
      <c r="N201" s="2625"/>
      <c r="O201" s="2625"/>
      <c r="P201" s="2625"/>
      <c r="Q201" s="2625"/>
      <c r="R201" s="4660"/>
      <c r="S201" s="4661"/>
      <c r="T201" s="4661"/>
      <c r="U201" s="4661"/>
      <c r="V201" s="4661"/>
      <c r="W201" s="4661"/>
      <c r="X201" s="4661"/>
      <c r="Y201" s="4662"/>
      <c r="Z201" s="2626"/>
      <c r="AA201" s="2626"/>
      <c r="AB201" s="2626"/>
      <c r="AC201" s="2626"/>
      <c r="AD201" s="2627" t="s">
        <v>530</v>
      </c>
    </row>
    <row r="202" spans="1:30" ht="29.1" customHeight="1">
      <c r="A202" s="2628" t="s">
        <v>807</v>
      </c>
      <c r="B202" s="2629"/>
      <c r="C202" s="2629"/>
      <c r="D202" s="2629"/>
      <c r="E202" s="2629"/>
      <c r="F202" s="2629"/>
      <c r="G202" s="2629"/>
      <c r="H202" s="2629"/>
      <c r="I202" s="2629"/>
      <c r="J202" s="2629"/>
      <c r="K202" s="2629"/>
      <c r="L202" s="2629"/>
      <c r="M202" s="2629"/>
      <c r="N202" s="2629"/>
      <c r="O202" s="2629"/>
      <c r="P202" s="2629"/>
      <c r="Q202" s="2629"/>
      <c r="R202" s="4663" t="s">
        <v>808</v>
      </c>
      <c r="S202" s="4664"/>
      <c r="T202" s="4664"/>
      <c r="U202" s="4664"/>
      <c r="V202" s="4664"/>
      <c r="W202" s="4664"/>
      <c r="X202" s="4664"/>
      <c r="Y202" s="4665"/>
      <c r="Z202" s="2630" t="s">
        <v>809</v>
      </c>
      <c r="AA202" s="2630"/>
      <c r="AB202" s="2630"/>
      <c r="AC202" s="2630"/>
      <c r="AD202" s="2631" t="s">
        <v>810</v>
      </c>
    </row>
    <row r="203" spans="1:30" ht="41.4" customHeight="1">
      <c r="A203" s="2632" t="s">
        <v>811</v>
      </c>
      <c r="B203" s="2633"/>
      <c r="C203" s="2633"/>
      <c r="D203" s="2633"/>
      <c r="E203" s="2633"/>
      <c r="F203" s="2633"/>
      <c r="G203" s="2633"/>
      <c r="H203" s="2633"/>
      <c r="I203" s="2633"/>
      <c r="J203" s="2633"/>
      <c r="K203" s="2633"/>
      <c r="L203" s="2633"/>
      <c r="M203" s="2633"/>
      <c r="N203" s="2633"/>
      <c r="O203" s="2633"/>
      <c r="P203" s="2633"/>
      <c r="Q203" s="2633"/>
      <c r="R203" s="4648" t="s">
        <v>812</v>
      </c>
      <c r="S203" s="4649"/>
      <c r="T203" s="4649"/>
      <c r="U203" s="4649"/>
      <c r="V203" s="4649"/>
      <c r="W203" s="4649"/>
      <c r="X203" s="4649"/>
      <c r="Y203" s="4650"/>
      <c r="Z203" s="2635" t="s">
        <v>813</v>
      </c>
      <c r="AA203" s="2635"/>
      <c r="AB203" s="2635"/>
      <c r="AC203" s="2635"/>
      <c r="AD203" s="2636" t="s">
        <v>814</v>
      </c>
    </row>
    <row r="204" spans="1:30" ht="56.25" customHeight="1">
      <c r="A204" s="2637" t="s">
        <v>815</v>
      </c>
      <c r="B204" s="2633"/>
      <c r="C204" s="2633"/>
      <c r="D204" s="2633"/>
      <c r="E204" s="2633"/>
      <c r="F204" s="2633"/>
      <c r="G204" s="2633"/>
      <c r="H204" s="2633"/>
      <c r="I204" s="2633"/>
      <c r="J204" s="2633"/>
      <c r="K204" s="2633"/>
      <c r="L204" s="2633"/>
      <c r="M204" s="2633"/>
      <c r="N204" s="2633"/>
      <c r="O204" s="2633"/>
      <c r="P204" s="2633"/>
      <c r="Q204" s="2633"/>
      <c r="R204" s="4648" t="s">
        <v>816</v>
      </c>
      <c r="S204" s="4649"/>
      <c r="T204" s="4649"/>
      <c r="U204" s="4649"/>
      <c r="V204" s="4649"/>
      <c r="W204" s="4649"/>
      <c r="X204" s="4649"/>
      <c r="Y204" s="4649"/>
      <c r="Z204" s="4650"/>
      <c r="AA204" s="2634"/>
      <c r="AB204" s="2634"/>
      <c r="AC204" s="2634"/>
      <c r="AD204" s="2638" t="s">
        <v>817</v>
      </c>
    </row>
    <row r="205" spans="1:30" ht="25.5" customHeight="1">
      <c r="A205" s="2632" t="s">
        <v>542</v>
      </c>
      <c r="B205" s="2633"/>
      <c r="C205" s="2633"/>
      <c r="D205" s="2633"/>
      <c r="E205" s="2633"/>
      <c r="F205" s="2633"/>
      <c r="G205" s="2633"/>
      <c r="H205" s="2633"/>
      <c r="I205" s="2633"/>
      <c r="J205" s="2633"/>
      <c r="K205" s="2633"/>
      <c r="L205" s="2633"/>
      <c r="M205" s="2633"/>
      <c r="N205" s="2633"/>
      <c r="O205" s="2633"/>
      <c r="P205" s="2633"/>
      <c r="Q205" s="2633"/>
      <c r="R205" s="4648" t="s">
        <v>818</v>
      </c>
      <c r="S205" s="4649"/>
      <c r="T205" s="4649"/>
      <c r="U205" s="4649"/>
      <c r="V205" s="4649"/>
      <c r="W205" s="4649"/>
      <c r="X205" s="4649"/>
      <c r="Y205" s="4650"/>
      <c r="Z205" s="2635" t="s">
        <v>813</v>
      </c>
      <c r="AA205" s="2635"/>
      <c r="AB205" s="2635"/>
      <c r="AC205" s="2635"/>
      <c r="AD205" s="2636" t="s">
        <v>819</v>
      </c>
    </row>
    <row r="206" spans="1:30" ht="26.25" customHeight="1">
      <c r="A206" s="2632" t="s">
        <v>820</v>
      </c>
      <c r="B206" s="2633"/>
      <c r="C206" s="2633"/>
      <c r="D206" s="2633"/>
      <c r="E206" s="2633"/>
      <c r="F206" s="2633"/>
      <c r="G206" s="2633"/>
      <c r="H206" s="2633"/>
      <c r="I206" s="2633"/>
      <c r="J206" s="2633"/>
      <c r="K206" s="2633"/>
      <c r="L206" s="2633"/>
      <c r="M206" s="2633"/>
      <c r="N206" s="2633"/>
      <c r="O206" s="2633"/>
      <c r="P206" s="2633"/>
      <c r="Q206" s="2633"/>
      <c r="R206" s="4648" t="s">
        <v>818</v>
      </c>
      <c r="S206" s="4649"/>
      <c r="T206" s="4649"/>
      <c r="U206" s="4649"/>
      <c r="V206" s="4649"/>
      <c r="W206" s="4649"/>
      <c r="X206" s="4649"/>
      <c r="Y206" s="4650"/>
      <c r="Z206" s="2635" t="s">
        <v>813</v>
      </c>
      <c r="AA206" s="2635"/>
      <c r="AB206" s="2635"/>
      <c r="AC206" s="2635"/>
      <c r="AD206" s="2636" t="s">
        <v>821</v>
      </c>
    </row>
    <row r="207" spans="1:30" ht="27" customHeight="1" thickBot="1">
      <c r="A207" s="2639" t="s">
        <v>822</v>
      </c>
      <c r="B207" s="2640"/>
      <c r="C207" s="2640"/>
      <c r="D207" s="2640"/>
      <c r="E207" s="2640"/>
      <c r="F207" s="2640"/>
      <c r="G207" s="2640"/>
      <c r="H207" s="2640"/>
      <c r="I207" s="2640"/>
      <c r="J207" s="2640"/>
      <c r="K207" s="2640"/>
      <c r="L207" s="2640"/>
      <c r="M207" s="2640"/>
      <c r="N207" s="2640"/>
      <c r="O207" s="2640"/>
      <c r="P207" s="2640"/>
      <c r="Q207" s="2640"/>
      <c r="R207" s="4651">
        <v>0.18</v>
      </c>
      <c r="S207" s="4652"/>
      <c r="T207" s="4652"/>
      <c r="U207" s="4652"/>
      <c r="V207" s="4652"/>
      <c r="W207" s="4652"/>
      <c r="X207" s="4652"/>
      <c r="Y207" s="4653"/>
      <c r="Z207" s="2641">
        <v>0.22</v>
      </c>
      <c r="AA207" s="2641"/>
      <c r="AB207" s="2641"/>
      <c r="AC207" s="2641"/>
      <c r="AD207" s="2642" t="s">
        <v>823</v>
      </c>
    </row>
    <row r="208" spans="1:30">
      <c r="X208" s="2383"/>
      <c r="Z208" s="2383"/>
      <c r="AA208" s="2383"/>
      <c r="AB208" s="2383"/>
      <c r="AC208" s="2383"/>
      <c r="AD208" s="2643"/>
    </row>
    <row r="209" spans="1:30" ht="18" thickBot="1">
      <c r="A209" s="8" t="s">
        <v>824</v>
      </c>
      <c r="X209" s="2383"/>
      <c r="Z209" s="2383"/>
      <c r="AA209" s="2383"/>
      <c r="AB209" s="2383"/>
      <c r="AC209" s="2383"/>
      <c r="AD209" s="2644" t="s">
        <v>825</v>
      </c>
    </row>
    <row r="210" spans="1:30" ht="16.2" thickBot="1">
      <c r="A210" s="2056" t="s">
        <v>558</v>
      </c>
      <c r="B210" s="2179"/>
      <c r="C210" s="2180"/>
      <c r="D210" s="2180"/>
      <c r="E210" s="2180"/>
      <c r="F210" s="2180"/>
      <c r="G210" s="2180"/>
      <c r="H210" s="2180"/>
      <c r="I210" s="2181"/>
      <c r="J210" s="2182"/>
      <c r="K210" s="2182"/>
      <c r="L210" s="2181"/>
      <c r="M210" s="2180"/>
      <c r="N210" s="2180"/>
      <c r="O210" s="2180"/>
      <c r="P210" s="2180"/>
      <c r="Q210" s="2180"/>
      <c r="R210" s="2180"/>
      <c r="S210" s="2180"/>
      <c r="T210" s="2180"/>
      <c r="U210" s="2168"/>
      <c r="V210" s="2168"/>
      <c r="W210" s="2645"/>
      <c r="X210" s="2168"/>
      <c r="Y210" s="2645"/>
      <c r="Z210" s="2169"/>
      <c r="AA210" s="2169"/>
      <c r="AB210" s="2169"/>
      <c r="AC210" s="2169"/>
      <c r="AD210" s="2058" t="s">
        <v>559</v>
      </c>
    </row>
    <row r="211" spans="1:30">
      <c r="A211" s="2646" t="s">
        <v>560</v>
      </c>
      <c r="B211" s="2647"/>
      <c r="C211" s="2648"/>
      <c r="D211" s="2648"/>
      <c r="E211" s="2648"/>
      <c r="F211" s="2649"/>
      <c r="G211" s="2649"/>
      <c r="H211" s="2649"/>
      <c r="I211" s="2649"/>
      <c r="J211" s="2649"/>
      <c r="K211" s="2650"/>
      <c r="L211" s="2649"/>
      <c r="M211" s="2649"/>
      <c r="N211" s="2649"/>
      <c r="O211" s="2649"/>
      <c r="P211" s="2651"/>
      <c r="Q211" s="2652">
        <v>45</v>
      </c>
      <c r="R211" s="2653">
        <v>50</v>
      </c>
      <c r="S211" s="2652">
        <v>50</v>
      </c>
      <c r="T211" s="2653">
        <v>55</v>
      </c>
      <c r="U211" s="2653">
        <v>60</v>
      </c>
      <c r="V211" s="2652">
        <v>60</v>
      </c>
      <c r="W211" s="2652">
        <v>60</v>
      </c>
      <c r="X211" s="2654">
        <v>60</v>
      </c>
      <c r="Y211" s="2653">
        <v>80</v>
      </c>
      <c r="Z211" s="2652">
        <v>80</v>
      </c>
      <c r="AA211" s="2652"/>
      <c r="AB211" s="2652"/>
      <c r="AC211" s="2652"/>
      <c r="AD211" s="2655" t="s">
        <v>561</v>
      </c>
    </row>
    <row r="212" spans="1:30">
      <c r="A212" s="2656" t="s">
        <v>562</v>
      </c>
      <c r="B212" s="1654"/>
      <c r="C212" s="2657"/>
      <c r="D212" s="2657"/>
      <c r="E212" s="2657"/>
      <c r="F212" s="2658"/>
      <c r="G212" s="2658"/>
      <c r="H212" s="2658"/>
      <c r="I212" s="2658"/>
      <c r="J212" s="318"/>
      <c r="K212" s="2659"/>
      <c r="L212" s="2660"/>
      <c r="M212" s="2660"/>
      <c r="N212" s="2660"/>
      <c r="O212" s="2660"/>
      <c r="P212" s="2661"/>
      <c r="Q212" s="2662">
        <v>45</v>
      </c>
      <c r="R212" s="2663">
        <v>50</v>
      </c>
      <c r="S212" s="2662">
        <v>50</v>
      </c>
      <c r="T212" s="2663">
        <v>55</v>
      </c>
      <c r="U212" s="2663">
        <v>60</v>
      </c>
      <c r="V212" s="2662">
        <v>60</v>
      </c>
      <c r="W212" s="2662">
        <v>60</v>
      </c>
      <c r="X212" s="2662">
        <v>60</v>
      </c>
      <c r="Y212" s="2663">
        <v>80</v>
      </c>
      <c r="Z212" s="2662">
        <v>80</v>
      </c>
      <c r="AA212" s="2662"/>
      <c r="AB212" s="2662"/>
      <c r="AC212" s="2662"/>
      <c r="AD212" s="2664" t="s">
        <v>563</v>
      </c>
    </row>
    <row r="213" spans="1:30" ht="14.4" thickBot="1">
      <c r="A213" s="2665" t="s">
        <v>826</v>
      </c>
      <c r="B213" s="2629"/>
      <c r="C213" s="2666"/>
      <c r="D213" s="2666"/>
      <c r="E213" s="2666"/>
      <c r="F213" s="2667"/>
      <c r="G213" s="2667"/>
      <c r="H213" s="2667"/>
      <c r="I213" s="2667"/>
      <c r="J213" s="755"/>
      <c r="K213" s="2668"/>
      <c r="L213" s="2669"/>
      <c r="M213" s="2669"/>
      <c r="N213" s="2669"/>
      <c r="O213" s="2669"/>
      <c r="P213" s="2670"/>
      <c r="Q213" s="2671">
        <v>100</v>
      </c>
      <c r="R213" s="2671">
        <v>100</v>
      </c>
      <c r="S213" s="2671">
        <v>100</v>
      </c>
      <c r="T213" s="2671">
        <v>100</v>
      </c>
      <c r="U213" s="2671">
        <v>100</v>
      </c>
      <c r="V213" s="2671">
        <v>100</v>
      </c>
      <c r="W213" s="2671">
        <v>100</v>
      </c>
      <c r="X213" s="2671">
        <v>100</v>
      </c>
      <c r="Y213" s="2671">
        <v>100</v>
      </c>
      <c r="Z213" s="2671">
        <v>100</v>
      </c>
      <c r="AA213" s="2671"/>
      <c r="AB213" s="2671"/>
      <c r="AC213" s="2671"/>
      <c r="AD213" s="2664" t="s">
        <v>827</v>
      </c>
    </row>
    <row r="214" spans="1:30" ht="16.2" thickBot="1">
      <c r="A214" s="2056" t="s">
        <v>828</v>
      </c>
      <c r="B214" s="2179"/>
      <c r="C214" s="2180"/>
      <c r="D214" s="2180"/>
      <c r="E214" s="2180"/>
      <c r="F214" s="2180"/>
      <c r="G214" s="2180"/>
      <c r="H214" s="2180"/>
      <c r="I214" s="2181"/>
      <c r="J214" s="2182"/>
      <c r="K214" s="2182"/>
      <c r="L214" s="2181"/>
      <c r="M214" s="2180"/>
      <c r="N214" s="2180"/>
      <c r="O214" s="2180"/>
      <c r="P214" s="2180"/>
      <c r="Q214" s="2180"/>
      <c r="R214" s="2180"/>
      <c r="S214" s="2180"/>
      <c r="T214" s="2672"/>
      <c r="U214" s="2168"/>
      <c r="V214" s="2168"/>
      <c r="W214" s="2645"/>
      <c r="X214" s="2168"/>
      <c r="Y214" s="2645"/>
      <c r="Z214" s="2169"/>
      <c r="AA214" s="2169"/>
      <c r="AB214" s="2169"/>
      <c r="AC214" s="2169"/>
      <c r="AD214" s="2058" t="s">
        <v>576</v>
      </c>
    </row>
    <row r="215" spans="1:30">
      <c r="A215" s="2673" t="s">
        <v>829</v>
      </c>
      <c r="B215" s="2674"/>
      <c r="C215" s="2674"/>
      <c r="D215" s="2674"/>
      <c r="E215" s="2674"/>
      <c r="F215" s="2674"/>
      <c r="G215" s="2674"/>
      <c r="H215" s="2674"/>
      <c r="I215" s="2674"/>
      <c r="J215" s="2674"/>
      <c r="K215" s="2674"/>
      <c r="L215" s="2674"/>
      <c r="M215" s="2674"/>
      <c r="N215" s="2674"/>
      <c r="O215" s="2674"/>
      <c r="P215" s="2674"/>
      <c r="Q215" s="2674"/>
      <c r="R215" s="2674"/>
      <c r="S215" s="2674"/>
      <c r="T215" s="2651"/>
      <c r="U215" s="2675"/>
      <c r="V215" s="2675"/>
      <c r="W215" s="2676"/>
      <c r="X215" s="2675"/>
      <c r="Y215" s="2676"/>
      <c r="Z215" s="2675"/>
      <c r="AA215" s="2675"/>
      <c r="AB215" s="2675"/>
      <c r="AC215" s="2675"/>
      <c r="AD215" s="2677" t="s">
        <v>830</v>
      </c>
    </row>
    <row r="216" spans="1:30">
      <c r="A216" s="2665" t="s">
        <v>831</v>
      </c>
      <c r="B216" s="2678"/>
      <c r="C216" s="2678"/>
      <c r="D216" s="2678"/>
      <c r="E216" s="2678"/>
      <c r="F216" s="2678"/>
      <c r="G216" s="2678" t="s">
        <v>18</v>
      </c>
      <c r="H216" s="2678" t="s">
        <v>18</v>
      </c>
      <c r="I216" s="2678" t="s">
        <v>18</v>
      </c>
      <c r="J216" s="2678" t="s">
        <v>18</v>
      </c>
      <c r="K216" s="2678" t="s">
        <v>18</v>
      </c>
      <c r="L216" s="2678" t="s">
        <v>18</v>
      </c>
      <c r="M216" s="2678" t="s">
        <v>18</v>
      </c>
      <c r="N216" s="2678" t="s">
        <v>18</v>
      </c>
      <c r="O216" s="2678" t="s">
        <v>18</v>
      </c>
      <c r="P216" s="2678" t="s">
        <v>18</v>
      </c>
      <c r="Q216" s="2678" t="s">
        <v>18</v>
      </c>
      <c r="R216" s="2678" t="s">
        <v>18</v>
      </c>
      <c r="S216" s="2678" t="s">
        <v>18</v>
      </c>
      <c r="T216" s="2679">
        <v>300</v>
      </c>
      <c r="U216" s="2680">
        <v>300</v>
      </c>
      <c r="V216" s="2680">
        <v>300</v>
      </c>
      <c r="W216" s="2680">
        <v>300</v>
      </c>
      <c r="X216" s="2680">
        <v>300</v>
      </c>
      <c r="Y216" s="2681">
        <v>650</v>
      </c>
      <c r="Z216" s="2679">
        <v>450</v>
      </c>
      <c r="AA216" s="2679"/>
      <c r="AB216" s="2679"/>
      <c r="AC216" s="2679"/>
      <c r="AD216" s="2664" t="s">
        <v>832</v>
      </c>
    </row>
    <row r="217" spans="1:30">
      <c r="A217" s="2682" t="s">
        <v>833</v>
      </c>
      <c r="B217" s="2683" t="s">
        <v>18</v>
      </c>
      <c r="C217" s="2683" t="s">
        <v>18</v>
      </c>
      <c r="D217" s="2683" t="s">
        <v>18</v>
      </c>
      <c r="E217" s="2683" t="s">
        <v>18</v>
      </c>
      <c r="F217" s="2683" t="s">
        <v>18</v>
      </c>
      <c r="G217" s="2683" t="s">
        <v>18</v>
      </c>
      <c r="H217" s="2683" t="s">
        <v>18</v>
      </c>
      <c r="I217" s="2683" t="s">
        <v>18</v>
      </c>
      <c r="J217" s="2683" t="s">
        <v>18</v>
      </c>
      <c r="K217" s="2683" t="s">
        <v>18</v>
      </c>
      <c r="L217" s="2683" t="s">
        <v>18</v>
      </c>
      <c r="M217" s="2683" t="s">
        <v>18</v>
      </c>
      <c r="N217" s="2683" t="s">
        <v>18</v>
      </c>
      <c r="O217" s="2683" t="s">
        <v>18</v>
      </c>
      <c r="P217" s="2683" t="s">
        <v>18</v>
      </c>
      <c r="Q217" s="2683" t="s">
        <v>18</v>
      </c>
      <c r="R217" s="2683" t="s">
        <v>18</v>
      </c>
      <c r="S217" s="2684">
        <v>168.74</v>
      </c>
      <c r="T217" s="2684">
        <v>400</v>
      </c>
      <c r="U217" s="2685">
        <v>400</v>
      </c>
      <c r="V217" s="2685">
        <v>400</v>
      </c>
      <c r="W217" s="2685">
        <v>400</v>
      </c>
      <c r="X217" s="2671">
        <v>400</v>
      </c>
      <c r="Y217" s="2686">
        <v>850</v>
      </c>
      <c r="Z217" s="2687">
        <v>650</v>
      </c>
      <c r="AA217" s="2687"/>
      <c r="AB217" s="2687"/>
      <c r="AC217" s="2687"/>
      <c r="AD217" s="2688" t="s">
        <v>834</v>
      </c>
    </row>
    <row r="218" spans="1:30" ht="178.5" customHeight="1">
      <c r="A218" s="2689" t="s">
        <v>835</v>
      </c>
      <c r="B218" s="2690"/>
      <c r="C218" s="2690"/>
      <c r="D218" s="2690"/>
      <c r="E218" s="2690"/>
      <c r="F218" s="2690"/>
      <c r="G218" s="2690"/>
      <c r="H218" s="2690"/>
      <c r="I218" s="2690"/>
      <c r="J218" s="2690"/>
      <c r="K218" s="2690"/>
      <c r="L218" s="2690"/>
      <c r="M218" s="2690"/>
      <c r="N218" s="2690"/>
      <c r="O218" s="2690"/>
      <c r="P218" s="2690"/>
      <c r="Q218" s="2690"/>
      <c r="R218" s="2690"/>
      <c r="S218" s="2691" t="s">
        <v>836</v>
      </c>
      <c r="T218" s="2692" t="s">
        <v>837</v>
      </c>
      <c r="U218" s="4654" t="s">
        <v>838</v>
      </c>
      <c r="V218" s="4655"/>
      <c r="W218" s="4655"/>
      <c r="X218" s="4656" t="s">
        <v>839</v>
      </c>
      <c r="Y218" s="4656"/>
      <c r="Z218" s="4656"/>
      <c r="AA218" s="2693"/>
      <c r="AB218" s="2693"/>
      <c r="AC218" s="2702"/>
      <c r="AD218" s="2694" t="s">
        <v>840</v>
      </c>
    </row>
    <row r="219" spans="1:30">
      <c r="A219" s="2339" t="s">
        <v>841</v>
      </c>
      <c r="B219" s="2690"/>
      <c r="C219" s="2690"/>
      <c r="D219" s="2690"/>
      <c r="E219" s="2690"/>
      <c r="F219" s="2690"/>
      <c r="G219" s="2690"/>
      <c r="H219" s="2690"/>
      <c r="I219" s="2690"/>
      <c r="J219" s="2690"/>
      <c r="K219" s="2690"/>
      <c r="L219" s="2690"/>
      <c r="M219" s="2690"/>
      <c r="N219" s="2690"/>
      <c r="O219" s="2690"/>
      <c r="P219" s="2690"/>
      <c r="Q219" s="2690"/>
      <c r="R219" s="2690"/>
      <c r="S219" s="2695">
        <v>45</v>
      </c>
      <c r="T219" s="2696" t="s">
        <v>18</v>
      </c>
      <c r="U219" s="2696" t="s">
        <v>18</v>
      </c>
      <c r="V219" s="2696" t="s">
        <v>18</v>
      </c>
      <c r="W219" s="2696" t="s">
        <v>18</v>
      </c>
      <c r="X219" s="2696" t="s">
        <v>18</v>
      </c>
      <c r="Y219" s="2696" t="s">
        <v>18</v>
      </c>
      <c r="Z219" s="2696" t="s">
        <v>18</v>
      </c>
      <c r="AA219" s="2696"/>
      <c r="AB219" s="2696"/>
      <c r="AC219" s="2696"/>
      <c r="AD219" s="2343" t="s">
        <v>842</v>
      </c>
    </row>
    <row r="220" spans="1:30">
      <c r="A220" s="2697" t="s">
        <v>843</v>
      </c>
      <c r="B220" s="1664"/>
      <c r="C220" s="1664"/>
      <c r="D220" s="1664"/>
      <c r="E220" s="1664"/>
      <c r="F220" s="1664"/>
      <c r="G220" s="1664"/>
      <c r="H220" s="1664"/>
      <c r="I220" s="1664"/>
      <c r="J220" s="1664"/>
      <c r="K220" s="1664"/>
      <c r="L220" s="1664"/>
      <c r="M220" s="1664"/>
      <c r="N220" s="1664"/>
      <c r="O220" s="1664"/>
      <c r="P220" s="1664"/>
      <c r="Q220" s="1664"/>
      <c r="R220" s="1664"/>
      <c r="S220" s="2698">
        <v>90</v>
      </c>
      <c r="T220" s="2696" t="s">
        <v>18</v>
      </c>
      <c r="U220" s="2696" t="s">
        <v>18</v>
      </c>
      <c r="V220" s="2696" t="s">
        <v>18</v>
      </c>
      <c r="W220" s="2696" t="s">
        <v>18</v>
      </c>
      <c r="X220" s="2696" t="s">
        <v>18</v>
      </c>
      <c r="Y220" s="2696" t="s">
        <v>18</v>
      </c>
      <c r="Z220" s="2696" t="s">
        <v>18</v>
      </c>
      <c r="AA220" s="2696"/>
      <c r="AB220" s="2696"/>
      <c r="AC220" s="2696"/>
      <c r="AD220" s="2699" t="s">
        <v>844</v>
      </c>
    </row>
    <row r="222" spans="1:30" ht="14.4">
      <c r="A222" s="2700"/>
    </row>
    <row r="223" spans="1:30" ht="15.6">
      <c r="A223" s="1669"/>
    </row>
    <row r="225" spans="1:29" ht="15.6">
      <c r="A225" s="2701"/>
      <c r="B225" s="1669"/>
    </row>
    <row r="228" spans="1:29">
      <c r="V228" s="277"/>
      <c r="W228" s="277"/>
      <c r="X228" s="277"/>
      <c r="Y228" s="277"/>
      <c r="Z228" s="277"/>
      <c r="AA228" s="277"/>
      <c r="AB228" s="277"/>
      <c r="AC228" s="277"/>
    </row>
    <row r="231" spans="1:29" ht="97.5" customHeight="1">
      <c r="B231" s="4657"/>
      <c r="C231" s="4657"/>
      <c r="D231" s="4657"/>
      <c r="E231" s="4657"/>
      <c r="F231" s="4657"/>
      <c r="G231" s="4657"/>
      <c r="H231" s="4657"/>
      <c r="I231" s="4657"/>
      <c r="J231" s="4657"/>
      <c r="K231" s="4657"/>
    </row>
  </sheetData>
  <mergeCells count="63">
    <mergeCell ref="G11:G14"/>
    <mergeCell ref="B11:B14"/>
    <mergeCell ref="C11:C14"/>
    <mergeCell ref="D11:D14"/>
    <mergeCell ref="E11:E14"/>
    <mergeCell ref="F11:F14"/>
    <mergeCell ref="H11:H14"/>
    <mergeCell ref="I11:I14"/>
    <mergeCell ref="J11:J14"/>
    <mergeCell ref="K11:K14"/>
    <mergeCell ref="L11:L14"/>
    <mergeCell ref="I35:Z35"/>
    <mergeCell ref="N11:N14"/>
    <mergeCell ref="O11:O14"/>
    <mergeCell ref="P11:P14"/>
    <mergeCell ref="Q11:Q14"/>
    <mergeCell ref="R11:R14"/>
    <mergeCell ref="S11:S14"/>
    <mergeCell ref="M11:M14"/>
    <mergeCell ref="T15:Y15"/>
    <mergeCell ref="I32:M32"/>
    <mergeCell ref="N32:Q32"/>
    <mergeCell ref="R32:Z32"/>
    <mergeCell ref="N34:Z34"/>
    <mergeCell ref="A104:A105"/>
    <mergeCell ref="AD104:AD105"/>
    <mergeCell ref="A119:A120"/>
    <mergeCell ref="AD119:AD120"/>
    <mergeCell ref="A122:A123"/>
    <mergeCell ref="AD122:AD123"/>
    <mergeCell ref="A133:A136"/>
    <mergeCell ref="AD133:AD136"/>
    <mergeCell ref="A138:A141"/>
    <mergeCell ref="AD138:AD141"/>
    <mergeCell ref="A144:A145"/>
    <mergeCell ref="AD144:AD145"/>
    <mergeCell ref="A147:A150"/>
    <mergeCell ref="AD147:AD150"/>
    <mergeCell ref="A155:A158"/>
    <mergeCell ref="AD155:AD158"/>
    <mergeCell ref="P167:P168"/>
    <mergeCell ref="Q167:Q168"/>
    <mergeCell ref="R167:R168"/>
    <mergeCell ref="S167:S168"/>
    <mergeCell ref="T167:T168"/>
    <mergeCell ref="U167:U168"/>
    <mergeCell ref="R205:Y205"/>
    <mergeCell ref="V167:V168"/>
    <mergeCell ref="A169:A170"/>
    <mergeCell ref="AD169:AD170"/>
    <mergeCell ref="B180:B181"/>
    <mergeCell ref="A187:A188"/>
    <mergeCell ref="AD187:AD188"/>
    <mergeCell ref="A192:A193"/>
    <mergeCell ref="R201:Y201"/>
    <mergeCell ref="R202:Y202"/>
    <mergeCell ref="R203:Y203"/>
    <mergeCell ref="R204:Z204"/>
    <mergeCell ref="R206:Y206"/>
    <mergeCell ref="R207:Y207"/>
    <mergeCell ref="U218:W218"/>
    <mergeCell ref="X218:Z218"/>
    <mergeCell ref="B231:K231"/>
  </mergeCells>
  <pageMargins left="0.11811023622047245" right="0.11811023622047245" top="0.15748031496062992" bottom="0.19685039370078741" header="0.31496062992125984" footer="0.31496062992125984"/>
  <pageSetup paperSize="9" scale="5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84C76-FFD2-4EC1-AC6C-373776A186C1}">
  <sheetPr>
    <tabColor rgb="FF00B050"/>
    <pageSetUpPr fitToPage="1"/>
  </sheetPr>
  <dimension ref="A1:AF273"/>
  <sheetViews>
    <sheetView zoomScale="85" zoomScaleNormal="85" workbookViewId="0">
      <pane xSplit="1" ySplit="2" topLeftCell="O3" activePane="bottomRight" state="frozen"/>
      <selection activeCell="Z62" sqref="Z62"/>
      <selection pane="topRight" activeCell="Z62" sqref="Z62"/>
      <selection pane="bottomLeft" activeCell="Z62" sqref="Z62"/>
      <selection pane="bottomRight" activeCell="AJ75" sqref="AJ75"/>
    </sheetView>
  </sheetViews>
  <sheetFormatPr defaultColWidth="9" defaultRowHeight="13.8"/>
  <cols>
    <col min="1" max="1" width="42.09765625" style="39" customWidth="1"/>
    <col min="2" max="8" width="6.09765625" style="39" hidden="1" customWidth="1"/>
    <col min="9" max="9" width="8.09765625" style="39" hidden="1" customWidth="1"/>
    <col min="10" max="11" width="7.59765625" style="39" hidden="1" customWidth="1"/>
    <col min="12" max="12" width="8.09765625" style="39" customWidth="1"/>
    <col min="13" max="14" width="8.59765625" style="39" customWidth="1"/>
    <col min="15" max="15" width="8.09765625" style="39" customWidth="1"/>
    <col min="16" max="16" width="7.59765625" style="39" customWidth="1"/>
    <col min="17" max="17" width="8.5" style="39" customWidth="1"/>
    <col min="18" max="18" width="7.09765625" style="39" customWidth="1"/>
    <col min="19" max="19" width="8.09765625" style="39" customWidth="1"/>
    <col min="20" max="20" width="8.5" style="39" customWidth="1"/>
    <col min="21" max="21" width="8.09765625" style="39" customWidth="1"/>
    <col min="22" max="22" width="10.09765625" style="39" customWidth="1"/>
    <col min="23" max="24" width="11.09765625" style="39" customWidth="1"/>
    <col min="25" max="29" width="9.8984375" style="39" customWidth="1"/>
    <col min="30" max="30" width="45.09765625" style="39" customWidth="1"/>
    <col min="31" max="31" width="9.3984375" style="39" bestFit="1" customWidth="1"/>
    <col min="32" max="16384" width="9" style="39"/>
  </cols>
  <sheetData>
    <row r="1" spans="1:30" s="1671" customFormat="1" ht="18.600000000000001" thickBot="1">
      <c r="A1" s="8" t="s">
        <v>845</v>
      </c>
      <c r="C1" s="1672"/>
      <c r="D1" s="1672"/>
      <c r="E1" s="1672"/>
      <c r="F1" s="1672"/>
      <c r="G1" s="1672"/>
      <c r="H1" s="1672"/>
      <c r="I1" s="1672"/>
      <c r="J1" s="1672"/>
      <c r="K1" s="1671">
        <f>23.6*P1</f>
        <v>81.486080000000001</v>
      </c>
      <c r="M1" s="1672"/>
      <c r="O1" s="565" t="s">
        <v>846</v>
      </c>
      <c r="P1" s="2703">
        <v>3.4527999999999999</v>
      </c>
      <c r="U1" s="1672"/>
      <c r="AD1" s="8" t="s">
        <v>847</v>
      </c>
    </row>
    <row r="2" spans="1:30" ht="14.4" thickBot="1">
      <c r="A2" s="2704"/>
      <c r="B2" s="2705">
        <v>2000</v>
      </c>
      <c r="C2" s="2705">
        <v>2001</v>
      </c>
      <c r="D2" s="2705">
        <v>2002</v>
      </c>
      <c r="E2" s="2705">
        <v>2003</v>
      </c>
      <c r="F2" s="2705">
        <v>2004</v>
      </c>
      <c r="G2" s="2705">
        <v>2005</v>
      </c>
      <c r="H2" s="2705">
        <v>2006</v>
      </c>
      <c r="I2" s="2705">
        <v>2007</v>
      </c>
      <c r="J2" s="2705">
        <v>2008</v>
      </c>
      <c r="K2" s="2705">
        <v>2009</v>
      </c>
      <c r="L2" s="2705">
        <v>2010</v>
      </c>
      <c r="M2" s="2705">
        <v>2011</v>
      </c>
      <c r="N2" s="2705">
        <v>2012</v>
      </c>
      <c r="O2" s="2705">
        <v>2013</v>
      </c>
      <c r="P2" s="2705">
        <v>2014</v>
      </c>
      <c r="Q2" s="2705">
        <v>2015</v>
      </c>
      <c r="R2" s="2705">
        <v>2016</v>
      </c>
      <c r="S2" s="2705">
        <v>2017</v>
      </c>
      <c r="T2" s="2705">
        <v>2018</v>
      </c>
      <c r="U2" s="2705">
        <v>2019</v>
      </c>
      <c r="V2" s="2705">
        <v>2020</v>
      </c>
      <c r="W2" s="2706">
        <v>2021</v>
      </c>
      <c r="X2" s="2706">
        <v>2022</v>
      </c>
      <c r="Y2" s="2706">
        <v>2023</v>
      </c>
      <c r="Z2" s="2706">
        <v>2024</v>
      </c>
      <c r="AA2" s="2706">
        <v>2025</v>
      </c>
      <c r="AB2" s="2706">
        <v>2026</v>
      </c>
      <c r="AC2" s="2706">
        <v>2027</v>
      </c>
      <c r="AD2" s="2707"/>
    </row>
    <row r="3" spans="1:30" s="4" customFormat="1" ht="15.6">
      <c r="A3" s="1680" t="s">
        <v>3</v>
      </c>
      <c r="B3" s="1681">
        <f t="shared" ref="B3:O3" si="0">B7/$P$1</f>
        <v>124.53660797034291</v>
      </c>
      <c r="C3" s="1681">
        <f t="shared" si="0"/>
        <v>124.53660797034291</v>
      </c>
      <c r="D3" s="1681">
        <f t="shared" si="0"/>
        <v>124.53660797034291</v>
      </c>
      <c r="E3" s="1682">
        <f t="shared" si="0"/>
        <v>126.56394810009269</v>
      </c>
      <c r="F3" s="1682">
        <f t="shared" si="0"/>
        <v>139.88646895273402</v>
      </c>
      <c r="G3" s="1682">
        <f t="shared" si="0"/>
        <v>152.05050973123264</v>
      </c>
      <c r="H3" s="1682">
        <f t="shared" si="0"/>
        <v>166.53151065801669</v>
      </c>
      <c r="I3" s="1682">
        <f t="shared" si="0"/>
        <v>188.25301204819277</v>
      </c>
      <c r="J3" s="1682">
        <f t="shared" si="0"/>
        <v>231.69601482854495</v>
      </c>
      <c r="K3" s="1681">
        <f t="shared" si="0"/>
        <v>231.69601482854495</v>
      </c>
      <c r="L3" s="1681">
        <f t="shared" si="0"/>
        <v>231.69601482854495</v>
      </c>
      <c r="M3" s="1681">
        <f t="shared" si="0"/>
        <v>231.69601482854495</v>
      </c>
      <c r="N3" s="1682">
        <f t="shared" si="0"/>
        <v>237.77803521779427</v>
      </c>
      <c r="O3" s="1682">
        <f t="shared" si="0"/>
        <v>289.6200185356812</v>
      </c>
      <c r="P3" s="1685">
        <v>300</v>
      </c>
      <c r="Q3" s="1867">
        <v>300</v>
      </c>
      <c r="R3" s="1685">
        <v>350</v>
      </c>
      <c r="S3" s="1684">
        <v>380</v>
      </c>
      <c r="T3" s="1685">
        <v>400</v>
      </c>
      <c r="U3" s="2708">
        <v>555</v>
      </c>
      <c r="V3" s="1686">
        <v>607</v>
      </c>
      <c r="W3" s="1686">
        <v>642</v>
      </c>
      <c r="X3" s="1687">
        <v>730</v>
      </c>
      <c r="Y3" s="2709">
        <v>840</v>
      </c>
      <c r="Z3" s="1686">
        <v>924</v>
      </c>
      <c r="AA3" s="1686"/>
      <c r="AB3" s="1686"/>
      <c r="AC3" s="1686"/>
      <c r="AD3" s="2710" t="s">
        <v>4</v>
      </c>
    </row>
    <row r="4" spans="1:30" s="565" customFormat="1" ht="10.199999999999999">
      <c r="A4" s="2711"/>
      <c r="B4" s="2712"/>
      <c r="C4" s="2712"/>
      <c r="D4" s="2712"/>
      <c r="E4" s="2713"/>
      <c r="F4" s="2713"/>
      <c r="G4" s="2713"/>
      <c r="H4" s="2713"/>
      <c r="I4" s="2713"/>
      <c r="J4" s="2713"/>
      <c r="K4" s="2712"/>
      <c r="L4" s="2712"/>
      <c r="M4" s="2712"/>
      <c r="N4" s="2713"/>
      <c r="O4" s="2713"/>
      <c r="P4" s="2714" t="s">
        <v>848</v>
      </c>
      <c r="Q4" s="2715"/>
      <c r="R4" s="2714" t="s">
        <v>212</v>
      </c>
      <c r="S4" s="2716"/>
      <c r="T4" s="2716"/>
      <c r="U4" s="2717"/>
      <c r="V4" s="2717"/>
      <c r="W4" s="2717"/>
      <c r="X4" s="2718"/>
      <c r="Y4" s="2719"/>
      <c r="Z4" s="2717"/>
      <c r="AA4" s="2717"/>
      <c r="AB4" s="2717"/>
      <c r="AC4" s="2717"/>
      <c r="AD4" s="2720"/>
    </row>
    <row r="5" spans="1:30" s="4" customFormat="1" ht="15.6">
      <c r="A5" s="2721"/>
      <c r="B5" s="2722"/>
      <c r="C5" s="2722"/>
      <c r="D5" s="2722"/>
      <c r="E5" s="2723"/>
      <c r="F5" s="2723"/>
      <c r="G5" s="2723"/>
      <c r="H5" s="2723"/>
      <c r="I5" s="2723"/>
      <c r="J5" s="2723"/>
      <c r="K5" s="2722"/>
      <c r="L5" s="2722"/>
      <c r="M5" s="2722"/>
      <c r="N5" s="2723"/>
      <c r="O5" s="2723"/>
      <c r="P5" s="2714"/>
      <c r="Q5" s="2090"/>
      <c r="R5" s="2724">
        <v>380</v>
      </c>
      <c r="S5" s="2091"/>
      <c r="T5" s="2091"/>
      <c r="U5" s="2725"/>
      <c r="V5" s="2725"/>
      <c r="W5" s="2725"/>
      <c r="X5" s="2726"/>
      <c r="Y5" s="2727"/>
      <c r="Z5" s="2725"/>
      <c r="AA5" s="2725"/>
      <c r="AB5" s="2725"/>
      <c r="AC5" s="2725"/>
      <c r="AD5" s="2728"/>
    </row>
    <row r="6" spans="1:30" s="565" customFormat="1" ht="10.199999999999999">
      <c r="A6" s="2711"/>
      <c r="B6" s="2712"/>
      <c r="C6" s="2712"/>
      <c r="D6" s="2712"/>
      <c r="E6" s="2713"/>
      <c r="F6" s="2713"/>
      <c r="G6" s="2713"/>
      <c r="H6" s="2713"/>
      <c r="I6" s="2713"/>
      <c r="J6" s="2713"/>
      <c r="K6" s="2712"/>
      <c r="L6" s="2712"/>
      <c r="M6" s="2712"/>
      <c r="N6" s="2713"/>
      <c r="O6" s="2713"/>
      <c r="P6" s="2714"/>
      <c r="Q6" s="2715"/>
      <c r="R6" s="2714" t="s">
        <v>25</v>
      </c>
      <c r="S6" s="2716"/>
      <c r="T6" s="2716"/>
      <c r="U6" s="2717"/>
      <c r="V6" s="2717"/>
      <c r="W6" s="2717"/>
      <c r="X6" s="2718"/>
      <c r="Y6" s="2719"/>
      <c r="Z6" s="2717"/>
      <c r="AA6" s="2717"/>
      <c r="AB6" s="2717"/>
      <c r="AC6" s="2717"/>
      <c r="AD6" s="2720"/>
    </row>
    <row r="7" spans="1:30" s="4" customFormat="1" ht="16.2" thickBot="1">
      <c r="A7" s="1689" t="s">
        <v>849</v>
      </c>
      <c r="B7" s="2729">
        <v>430</v>
      </c>
      <c r="C7" s="2729">
        <v>430</v>
      </c>
      <c r="D7" s="2729">
        <v>430</v>
      </c>
      <c r="E7" s="2730">
        <v>437</v>
      </c>
      <c r="F7" s="2730">
        <v>483</v>
      </c>
      <c r="G7" s="2730">
        <v>525</v>
      </c>
      <c r="H7" s="2730">
        <v>575</v>
      </c>
      <c r="I7" s="2730">
        <v>650</v>
      </c>
      <c r="J7" s="2730">
        <v>800</v>
      </c>
      <c r="K7" s="2729">
        <v>800</v>
      </c>
      <c r="L7" s="2729">
        <v>800</v>
      </c>
      <c r="M7" s="2729">
        <v>800</v>
      </c>
      <c r="N7" s="2730">
        <v>821</v>
      </c>
      <c r="O7" s="2730">
        <v>1000</v>
      </c>
      <c r="P7" s="2729"/>
      <c r="Q7" s="2729"/>
      <c r="R7" s="1695"/>
      <c r="S7" s="1695"/>
      <c r="T7" s="1695"/>
      <c r="U7" s="1696"/>
      <c r="V7" s="1696"/>
      <c r="W7" s="1696"/>
      <c r="X7" s="1697"/>
      <c r="Y7" s="2731"/>
      <c r="Z7" s="1696"/>
      <c r="AA7" s="1696"/>
      <c r="AB7" s="1696"/>
      <c r="AC7" s="1696"/>
      <c r="AD7" s="2732" t="s">
        <v>850</v>
      </c>
    </row>
    <row r="8" spans="1:30" s="4" customFormat="1" ht="16.2" thickBot="1">
      <c r="A8" s="1699" t="s">
        <v>7</v>
      </c>
      <c r="B8" s="1700"/>
      <c r="C8" s="1695"/>
      <c r="D8" s="1700"/>
      <c r="E8" s="1695"/>
      <c r="F8" s="1695"/>
      <c r="G8" s="1700"/>
      <c r="H8" s="1695"/>
      <c r="I8" s="1695"/>
      <c r="J8" s="1695"/>
      <c r="K8" s="1695"/>
      <c r="L8" s="1700"/>
      <c r="M8" s="1695"/>
      <c r="N8" s="1700"/>
      <c r="O8" s="1700"/>
      <c r="P8" s="1695"/>
      <c r="Q8" s="1695"/>
      <c r="R8" s="1695"/>
      <c r="S8" s="1695"/>
      <c r="T8" s="2091"/>
      <c r="U8" s="2091"/>
      <c r="V8" s="1695"/>
      <c r="W8" s="1695"/>
      <c r="X8" s="1701"/>
      <c r="Y8" s="2733"/>
      <c r="Z8" s="1695"/>
      <c r="AA8" s="1695"/>
      <c r="AB8" s="1695"/>
      <c r="AC8" s="1695"/>
      <c r="AD8" s="2734" t="s">
        <v>8</v>
      </c>
    </row>
    <row r="9" spans="1:30">
      <c r="A9" s="2095" t="s">
        <v>9</v>
      </c>
      <c r="B9" s="2735">
        <v>0.33</v>
      </c>
      <c r="C9" s="2735">
        <f>B9</f>
        <v>0.33</v>
      </c>
      <c r="D9" s="2735">
        <f>B9</f>
        <v>0.33</v>
      </c>
      <c r="E9" s="2735">
        <v>0.33</v>
      </c>
      <c r="F9" s="2735">
        <f>E9</f>
        <v>0.33</v>
      </c>
      <c r="G9" s="2735">
        <v>0.33</v>
      </c>
      <c r="H9" s="2736">
        <v>0.27</v>
      </c>
      <c r="I9" s="2737">
        <v>0.27</v>
      </c>
      <c r="J9" s="2736">
        <v>0.24</v>
      </c>
      <c r="K9" s="2736">
        <v>0.15</v>
      </c>
      <c r="L9" s="2738">
        <v>0.15</v>
      </c>
      <c r="M9" s="2738">
        <v>0.15</v>
      </c>
      <c r="N9" s="2738">
        <v>0.15</v>
      </c>
      <c r="O9" s="2738">
        <v>0.15</v>
      </c>
      <c r="P9" s="2738">
        <v>0.15</v>
      </c>
      <c r="Q9" s="2738">
        <v>0.15</v>
      </c>
      <c r="R9" s="2738">
        <v>0.15</v>
      </c>
      <c r="S9" s="2738">
        <v>0.15</v>
      </c>
      <c r="T9" s="2738">
        <v>0.15</v>
      </c>
      <c r="U9" s="2739"/>
      <c r="V9" s="2740"/>
      <c r="W9" s="2740"/>
      <c r="X9" s="2741"/>
      <c r="Y9" s="2742"/>
      <c r="Z9" s="2740"/>
      <c r="AA9" s="2740"/>
      <c r="AB9" s="2740"/>
      <c r="AC9" s="2740"/>
      <c r="AD9" s="2743" t="s">
        <v>10</v>
      </c>
    </row>
    <row r="10" spans="1:30">
      <c r="A10" s="2744" t="s">
        <v>851</v>
      </c>
      <c r="B10" s="2745"/>
      <c r="C10" s="2745"/>
      <c r="D10" s="2745"/>
      <c r="E10" s="2745"/>
      <c r="F10" s="2745"/>
      <c r="G10" s="2745"/>
      <c r="H10" s="2745"/>
      <c r="I10" s="2745"/>
      <c r="J10" s="2745"/>
      <c r="K10" s="2745"/>
      <c r="L10" s="2745"/>
      <c r="M10" s="2745"/>
      <c r="N10" s="2745"/>
      <c r="O10" s="2745"/>
      <c r="P10" s="2745"/>
      <c r="Q10" s="2745"/>
      <c r="R10" s="2745"/>
      <c r="S10" s="2745"/>
      <c r="T10" s="2745"/>
      <c r="U10" s="2746">
        <v>0.2</v>
      </c>
      <c r="V10" s="2747">
        <v>0.2</v>
      </c>
      <c r="W10" s="2747">
        <v>0.2</v>
      </c>
      <c r="X10" s="2748">
        <v>0.2</v>
      </c>
      <c r="Y10" s="2749">
        <v>0.2</v>
      </c>
      <c r="Z10" s="2750">
        <v>0.2</v>
      </c>
      <c r="AA10" s="2750"/>
      <c r="AB10" s="2750"/>
      <c r="AC10" s="2750"/>
      <c r="AD10" s="2751"/>
    </row>
    <row r="11" spans="1:30" ht="92.4">
      <c r="A11" s="2752" t="s">
        <v>852</v>
      </c>
      <c r="B11" s="2745"/>
      <c r="C11" s="2745"/>
      <c r="D11" s="2745"/>
      <c r="E11" s="2745"/>
      <c r="F11" s="2745"/>
      <c r="G11" s="2745"/>
      <c r="H11" s="2753" t="s">
        <v>25</v>
      </c>
      <c r="I11" s="2745"/>
      <c r="J11" s="2745"/>
      <c r="K11" s="2745"/>
      <c r="L11" s="2745"/>
      <c r="M11" s="2745"/>
      <c r="N11" s="2745"/>
      <c r="O11" s="2745"/>
      <c r="P11" s="2745"/>
      <c r="Q11" s="2745"/>
      <c r="R11" s="2745"/>
      <c r="S11" s="2745"/>
      <c r="T11" s="2745"/>
      <c r="U11" s="2754">
        <v>0.27</v>
      </c>
      <c r="V11" s="2754">
        <v>0.32</v>
      </c>
      <c r="W11" s="2755">
        <v>0.32</v>
      </c>
      <c r="X11" s="2756">
        <v>0.32</v>
      </c>
      <c r="Y11" s="2757">
        <v>0.32</v>
      </c>
      <c r="Z11" s="2758">
        <v>0.32</v>
      </c>
      <c r="AA11" s="2758"/>
      <c r="AB11" s="2758"/>
      <c r="AC11" s="2758"/>
      <c r="AD11" s="2759" t="s">
        <v>853</v>
      </c>
    </row>
    <row r="12" spans="1:30">
      <c r="A12" s="2760"/>
      <c r="B12" s="2761"/>
      <c r="C12" s="2761"/>
      <c r="D12" s="2761"/>
      <c r="E12" s="2761"/>
      <c r="F12" s="2761"/>
      <c r="G12" s="2761"/>
      <c r="H12" s="451"/>
      <c r="I12" s="451"/>
      <c r="J12" s="451"/>
      <c r="K12" s="451"/>
      <c r="L12" s="451"/>
      <c r="M12" s="451"/>
      <c r="N12" s="451"/>
      <c r="O12" s="451"/>
      <c r="P12" s="451"/>
      <c r="Q12" s="451"/>
      <c r="R12" s="451"/>
      <c r="S12" s="451"/>
      <c r="T12" s="451"/>
      <c r="U12" s="451"/>
      <c r="V12" s="2762"/>
      <c r="W12" s="2762"/>
      <c r="X12" s="2763"/>
      <c r="Y12" s="2764"/>
      <c r="Z12" s="2762"/>
      <c r="AA12" s="2762"/>
      <c r="AB12" s="2762"/>
      <c r="AC12" s="2762"/>
      <c r="AD12" s="2765"/>
    </row>
    <row r="13" spans="1:30">
      <c r="A13" s="2766" t="s">
        <v>589</v>
      </c>
      <c r="B13" s="2767">
        <v>0.15</v>
      </c>
      <c r="C13" s="2767">
        <f t="shared" ref="C13:I13" si="1">B13</f>
        <v>0.15</v>
      </c>
      <c r="D13" s="2767">
        <f t="shared" si="1"/>
        <v>0.15</v>
      </c>
      <c r="E13" s="2767">
        <f t="shared" si="1"/>
        <v>0.15</v>
      </c>
      <c r="F13" s="2767">
        <f t="shared" si="1"/>
        <v>0.15</v>
      </c>
      <c r="G13" s="2767">
        <f t="shared" si="1"/>
        <v>0.15</v>
      </c>
      <c r="H13" s="2767">
        <f t="shared" si="1"/>
        <v>0.15</v>
      </c>
      <c r="I13" s="2767">
        <f t="shared" si="1"/>
        <v>0.15</v>
      </c>
      <c r="J13" s="2767">
        <v>0.15</v>
      </c>
      <c r="K13" s="2768">
        <v>0.2</v>
      </c>
      <c r="L13" s="2767">
        <v>0.2</v>
      </c>
      <c r="M13" s="2767">
        <v>0.2</v>
      </c>
      <c r="N13" s="2767">
        <f>M13</f>
        <v>0.2</v>
      </c>
      <c r="O13" s="2767">
        <f>N13</f>
        <v>0.2</v>
      </c>
      <c r="P13" s="2769">
        <v>0.15</v>
      </c>
      <c r="Q13" s="2767">
        <v>0.15</v>
      </c>
      <c r="R13" s="2767">
        <v>0.15</v>
      </c>
      <c r="S13" s="2767">
        <v>0.15</v>
      </c>
      <c r="T13" s="2767">
        <v>0.15</v>
      </c>
      <c r="U13" s="2767">
        <v>0.15</v>
      </c>
      <c r="V13" s="2767">
        <v>0.15</v>
      </c>
      <c r="W13" s="2767">
        <v>0.15</v>
      </c>
      <c r="X13" s="2770">
        <v>0.15</v>
      </c>
      <c r="Y13" s="2771">
        <v>0.15</v>
      </c>
      <c r="Z13" s="2772">
        <v>0.15</v>
      </c>
      <c r="AA13" s="2772"/>
      <c r="AB13" s="2772"/>
      <c r="AC13" s="2772"/>
      <c r="AD13" s="2773" t="s">
        <v>590</v>
      </c>
    </row>
    <row r="14" spans="1:30" ht="16.350000000000001" customHeight="1">
      <c r="A14" s="2774" t="s">
        <v>854</v>
      </c>
      <c r="B14" s="2775"/>
      <c r="C14" s="2775"/>
      <c r="D14" s="2775"/>
      <c r="E14" s="2775"/>
      <c r="F14" s="2775"/>
      <c r="G14" s="2776"/>
      <c r="H14" s="2776"/>
      <c r="I14" s="2777" t="s">
        <v>855</v>
      </c>
      <c r="J14" s="2777" t="s">
        <v>856</v>
      </c>
      <c r="K14" s="2778">
        <v>0.15</v>
      </c>
      <c r="L14" s="2777">
        <v>0.05</v>
      </c>
      <c r="M14" s="2777">
        <v>0.05</v>
      </c>
      <c r="N14" s="2777">
        <v>0.05</v>
      </c>
      <c r="O14" s="2777">
        <v>0.05</v>
      </c>
      <c r="P14" s="2777">
        <v>0.05</v>
      </c>
      <c r="Q14" s="2777">
        <v>0.05</v>
      </c>
      <c r="R14" s="2777">
        <v>0.05</v>
      </c>
      <c r="S14" s="2779">
        <v>0.05</v>
      </c>
      <c r="T14" s="2778" t="s">
        <v>857</v>
      </c>
      <c r="U14" s="2780" t="s">
        <v>858</v>
      </c>
      <c r="V14" s="2780" t="s">
        <v>858</v>
      </c>
      <c r="W14" s="2780" t="s">
        <v>858</v>
      </c>
      <c r="X14" s="2781" t="s">
        <v>858</v>
      </c>
      <c r="Y14" s="2782" t="s">
        <v>858</v>
      </c>
      <c r="Z14" s="2781" t="s">
        <v>858</v>
      </c>
      <c r="AA14" s="2781"/>
      <c r="AB14" s="2781"/>
      <c r="AC14" s="2781"/>
      <c r="AD14" s="2783" t="s">
        <v>859</v>
      </c>
    </row>
    <row r="15" spans="1:30">
      <c r="A15" s="2108" t="s">
        <v>22</v>
      </c>
      <c r="B15" s="1056">
        <f t="shared" ref="B15:J15" si="2">B16/$P$1</f>
        <v>83.989805375347544</v>
      </c>
      <c r="C15" s="1056">
        <f t="shared" si="2"/>
        <v>83.989805375347544</v>
      </c>
      <c r="D15" s="1056">
        <f t="shared" si="2"/>
        <v>83.989805375347544</v>
      </c>
      <c r="E15" s="1056">
        <f t="shared" si="2"/>
        <v>83.989805375347544</v>
      </c>
      <c r="F15" s="1056">
        <f t="shared" si="2"/>
        <v>83.989805375347544</v>
      </c>
      <c r="G15" s="1056">
        <f t="shared" si="2"/>
        <v>83.989805375347544</v>
      </c>
      <c r="H15" s="1056">
        <f t="shared" si="2"/>
        <v>83.989805375347544</v>
      </c>
      <c r="I15" s="1054">
        <f t="shared" si="2"/>
        <v>92.678405931417984</v>
      </c>
      <c r="J15" s="1056">
        <f t="shared" si="2"/>
        <v>92.678405931417984</v>
      </c>
      <c r="K15" s="1056" t="s">
        <v>18</v>
      </c>
      <c r="L15" s="1056" t="s">
        <v>18</v>
      </c>
      <c r="M15" s="1056" t="s">
        <v>18</v>
      </c>
      <c r="N15" s="1056" t="s">
        <v>18</v>
      </c>
      <c r="O15" s="1056" t="s">
        <v>18</v>
      </c>
      <c r="P15" s="1056" t="s">
        <v>18</v>
      </c>
      <c r="Q15" s="1056" t="s">
        <v>18</v>
      </c>
      <c r="R15" s="1056" t="s">
        <v>18</v>
      </c>
      <c r="S15" s="1056" t="s">
        <v>18</v>
      </c>
      <c r="T15" s="1056" t="s">
        <v>18</v>
      </c>
      <c r="U15" s="2784"/>
      <c r="V15" s="2784"/>
      <c r="W15" s="2784"/>
      <c r="X15" s="2785"/>
      <c r="Y15" s="2786"/>
      <c r="Z15" s="2784"/>
      <c r="AA15" s="2784"/>
      <c r="AB15" s="2784"/>
      <c r="AC15" s="2784"/>
      <c r="AD15" s="2787" t="s">
        <v>23</v>
      </c>
    </row>
    <row r="16" spans="1:30" s="419" customFormat="1" ht="13.2">
      <c r="A16" s="2788" t="s">
        <v>860</v>
      </c>
      <c r="B16" s="848">
        <v>290</v>
      </c>
      <c r="C16" s="848">
        <v>290</v>
      </c>
      <c r="D16" s="848">
        <v>290</v>
      </c>
      <c r="E16" s="848">
        <v>290</v>
      </c>
      <c r="F16" s="848">
        <v>290</v>
      </c>
      <c r="G16" s="848">
        <v>290</v>
      </c>
      <c r="H16" s="848">
        <v>290</v>
      </c>
      <c r="I16" s="2789">
        <v>320</v>
      </c>
      <c r="J16" s="853">
        <v>320</v>
      </c>
      <c r="K16" s="853"/>
      <c r="L16" s="853"/>
      <c r="M16" s="853"/>
      <c r="N16" s="853"/>
      <c r="O16" s="853"/>
      <c r="P16" s="1096"/>
      <c r="Q16" s="1096"/>
      <c r="R16" s="236"/>
      <c r="S16" s="2790"/>
      <c r="T16" s="2790"/>
      <c r="U16" s="2790"/>
      <c r="V16" s="2790"/>
      <c r="W16" s="2790"/>
      <c r="X16" s="2791"/>
      <c r="Y16" s="2792"/>
      <c r="Z16" s="2790"/>
      <c r="AA16" s="2790"/>
      <c r="AB16" s="2790"/>
      <c r="AC16" s="2790"/>
      <c r="AD16" s="2793" t="s">
        <v>861</v>
      </c>
    </row>
    <row r="17" spans="1:31" s="319" customFormat="1">
      <c r="A17" s="2794" t="s">
        <v>593</v>
      </c>
      <c r="B17" s="2795" t="s">
        <v>18</v>
      </c>
      <c r="C17" s="2795" t="s">
        <v>18</v>
      </c>
      <c r="D17" s="2795" t="s">
        <v>18</v>
      </c>
      <c r="E17" s="2795" t="s">
        <v>18</v>
      </c>
      <c r="F17" s="2795" t="s">
        <v>18</v>
      </c>
      <c r="G17" s="2795" t="s">
        <v>18</v>
      </c>
      <c r="H17" s="2795" t="s">
        <v>18</v>
      </c>
      <c r="I17" s="2795" t="s">
        <v>18</v>
      </c>
      <c r="J17" s="2795" t="s">
        <v>18</v>
      </c>
      <c r="K17" s="2796"/>
      <c r="L17" s="2796"/>
      <c r="M17" s="2796"/>
      <c r="N17" s="2796"/>
      <c r="O17" s="2796"/>
      <c r="P17" s="2797"/>
      <c r="Q17" s="2798"/>
      <c r="R17" s="2799"/>
      <c r="S17" s="2800"/>
      <c r="T17" s="2800"/>
      <c r="U17" s="2800"/>
      <c r="V17" s="2800"/>
      <c r="W17" s="2800"/>
      <c r="X17" s="2801"/>
      <c r="Y17" s="2802"/>
      <c r="Z17" s="2800"/>
      <c r="AA17" s="2800"/>
      <c r="AB17" s="2800"/>
      <c r="AC17" s="2800"/>
      <c r="AD17" s="2803" t="s">
        <v>594</v>
      </c>
    </row>
    <row r="18" spans="1:31" ht="15.6">
      <c r="A18" s="1773" t="s">
        <v>32</v>
      </c>
      <c r="B18" s="4786"/>
      <c r="C18" s="4786"/>
      <c r="D18" s="4786"/>
      <c r="E18" s="4786"/>
      <c r="F18" s="4786"/>
      <c r="G18" s="4786"/>
      <c r="H18" s="4781"/>
      <c r="I18" s="4781"/>
      <c r="J18" s="4781"/>
      <c r="K18" s="1780">
        <v>0</v>
      </c>
      <c r="L18" s="1780">
        <v>0</v>
      </c>
      <c r="M18" s="1780">
        <v>0</v>
      </c>
      <c r="N18" s="1780">
        <v>0</v>
      </c>
      <c r="O18" s="1780">
        <v>0</v>
      </c>
      <c r="P18" s="1780">
        <v>0</v>
      </c>
      <c r="Q18" s="1780">
        <v>0</v>
      </c>
      <c r="R18" s="1780">
        <v>0</v>
      </c>
      <c r="S18" s="1780">
        <v>0</v>
      </c>
      <c r="T18" s="1780">
        <v>0</v>
      </c>
      <c r="U18" s="1780">
        <v>0</v>
      </c>
      <c r="V18" s="1780">
        <v>0</v>
      </c>
      <c r="W18" s="1780">
        <v>0</v>
      </c>
      <c r="X18" s="2804">
        <v>0</v>
      </c>
      <c r="Y18" s="2805">
        <v>0</v>
      </c>
      <c r="Z18" s="2805">
        <v>0</v>
      </c>
      <c r="AA18" s="2805"/>
      <c r="AB18" s="2805"/>
      <c r="AC18" s="2805"/>
      <c r="AD18" s="2806" t="s">
        <v>33</v>
      </c>
    </row>
    <row r="19" spans="1:31" ht="15.6">
      <c r="A19" s="1773" t="s">
        <v>34</v>
      </c>
      <c r="B19" s="4787"/>
      <c r="C19" s="4787"/>
      <c r="D19" s="4787"/>
      <c r="E19" s="4787"/>
      <c r="F19" s="4787"/>
      <c r="G19" s="4787"/>
      <c r="H19" s="4782"/>
      <c r="I19" s="4782"/>
      <c r="J19" s="4782"/>
      <c r="K19" s="1645">
        <f>5640/12/$P$1</f>
        <v>136.12140871177016</v>
      </c>
      <c r="L19" s="1645">
        <f>5640/12/$P$1</f>
        <v>136.12140871177016</v>
      </c>
      <c r="M19" s="1645">
        <f>5640/12/$P$1</f>
        <v>136.12140871177016</v>
      </c>
      <c r="N19" s="1645">
        <f>5640/12/$P$1</f>
        <v>136.12140871177016</v>
      </c>
      <c r="O19" s="1645">
        <f>5640/12/$P$1</f>
        <v>136.12140871177016</v>
      </c>
      <c r="P19" s="2807">
        <f>570/P1</f>
        <v>165.08341056533828</v>
      </c>
      <c r="Q19" s="169">
        <v>166</v>
      </c>
      <c r="R19" s="169">
        <v>200</v>
      </c>
      <c r="S19" s="169">
        <v>310</v>
      </c>
      <c r="T19" s="169">
        <v>380</v>
      </c>
      <c r="U19" s="169">
        <v>300</v>
      </c>
      <c r="V19" s="169">
        <v>400</v>
      </c>
      <c r="W19" s="169">
        <v>400</v>
      </c>
      <c r="X19" s="2808">
        <v>540</v>
      </c>
      <c r="Y19" s="2809">
        <v>625</v>
      </c>
      <c r="Z19" s="2810">
        <v>747</v>
      </c>
      <c r="AA19" s="2810"/>
      <c r="AB19" s="2810"/>
      <c r="AC19" s="2810"/>
      <c r="AD19" s="2806" t="s">
        <v>35</v>
      </c>
      <c r="AE19" s="2811"/>
    </row>
    <row r="20" spans="1:31" ht="15.6">
      <c r="A20" s="1773" t="s">
        <v>36</v>
      </c>
      <c r="B20" s="4787"/>
      <c r="C20" s="4787"/>
      <c r="D20" s="4787"/>
      <c r="E20" s="4787"/>
      <c r="F20" s="4787"/>
      <c r="G20" s="4787"/>
      <c r="H20" s="4782"/>
      <c r="I20" s="4782"/>
      <c r="J20" s="4782"/>
      <c r="K20" s="2812">
        <f>9600/12/$P$1</f>
        <v>231.69601482854495</v>
      </c>
      <c r="L20" s="2812">
        <f>9600/12/$P$1</f>
        <v>231.69601482854495</v>
      </c>
      <c r="M20" s="2812">
        <f>9600/12/$P$1</f>
        <v>231.69601482854495</v>
      </c>
      <c r="N20" s="2812">
        <f>9600/12/$P$1</f>
        <v>231.69601482854495</v>
      </c>
      <c r="O20" s="2812">
        <f>9600/12/$P$1</f>
        <v>231.69601482854495</v>
      </c>
      <c r="P20" s="1784">
        <f>1000/P1</f>
        <v>289.6200185356812</v>
      </c>
      <c r="Q20" s="1784">
        <v>290</v>
      </c>
      <c r="R20" s="1784">
        <v>350</v>
      </c>
      <c r="S20" s="1784">
        <v>380</v>
      </c>
      <c r="T20" s="1784">
        <v>400</v>
      </c>
      <c r="U20" s="2813">
        <v>555</v>
      </c>
      <c r="V20" s="2813">
        <v>607</v>
      </c>
      <c r="W20" s="2813">
        <v>642</v>
      </c>
      <c r="X20" s="2814">
        <v>730</v>
      </c>
      <c r="Y20" s="2815">
        <v>840</v>
      </c>
      <c r="Z20" s="2816">
        <v>924</v>
      </c>
      <c r="AA20" s="2816"/>
      <c r="AB20" s="2816"/>
      <c r="AC20" s="2816"/>
      <c r="AD20" s="2806" t="s">
        <v>37</v>
      </c>
      <c r="AE20" s="2811"/>
    </row>
    <row r="21" spans="1:31" ht="16.5" customHeight="1">
      <c r="A21" s="1773" t="s">
        <v>38</v>
      </c>
      <c r="B21" s="4787"/>
      <c r="C21" s="4787"/>
      <c r="D21" s="4787"/>
      <c r="E21" s="4787"/>
      <c r="F21" s="4787"/>
      <c r="G21" s="4787"/>
      <c r="H21" s="4782"/>
      <c r="I21" s="4782"/>
      <c r="J21" s="4782"/>
      <c r="K21" s="2812">
        <f>37800/12/$P$1</f>
        <v>912.30305838739582</v>
      </c>
      <c r="L21" s="2812">
        <f>37800/12/$P$1</f>
        <v>912.30305838739582</v>
      </c>
      <c r="M21" s="2812">
        <f>37800/12/$P$1</f>
        <v>912.30305838739582</v>
      </c>
      <c r="N21" s="2812">
        <f>37800/12/$P$1</f>
        <v>912.30305838739582</v>
      </c>
      <c r="O21" s="2812">
        <f>37800/12/$P$1</f>
        <v>912.30305838739582</v>
      </c>
      <c r="P21" s="1784">
        <f>3206/P1</f>
        <v>928.5217794253939</v>
      </c>
      <c r="Q21" s="1784">
        <v>929</v>
      </c>
      <c r="R21" s="1784">
        <v>938</v>
      </c>
      <c r="S21" s="1784">
        <v>1000</v>
      </c>
      <c r="T21" s="1784">
        <v>1160</v>
      </c>
      <c r="U21" s="2813">
        <v>2555</v>
      </c>
      <c r="V21" s="2813">
        <v>2712</v>
      </c>
      <c r="W21" s="2813">
        <v>2864</v>
      </c>
      <c r="X21" s="2814">
        <v>2864</v>
      </c>
      <c r="Y21" s="2815">
        <v>2864</v>
      </c>
      <c r="Z21" s="1784">
        <v>2864</v>
      </c>
      <c r="AA21" s="1784"/>
      <c r="AB21" s="1784"/>
      <c r="AC21" s="1784"/>
      <c r="AD21" s="2806" t="s">
        <v>39</v>
      </c>
      <c r="AE21" s="2811"/>
    </row>
    <row r="22" spans="1:31" ht="409.35" customHeight="1">
      <c r="A22" s="1786" t="s">
        <v>42</v>
      </c>
      <c r="B22" s="2817"/>
      <c r="C22" s="2817"/>
      <c r="D22" s="2817"/>
      <c r="E22" s="2817"/>
      <c r="F22" s="2817"/>
      <c r="G22" s="2817"/>
      <c r="H22" s="2818"/>
      <c r="I22" s="2818"/>
      <c r="J22" s="2818"/>
      <c r="K22" s="4783" t="s">
        <v>862</v>
      </c>
      <c r="L22" s="4783"/>
      <c r="M22" s="4783"/>
      <c r="N22" s="4783"/>
      <c r="O22" s="4783"/>
      <c r="P22" s="4783" t="s">
        <v>863</v>
      </c>
      <c r="Q22" s="4783"/>
      <c r="R22" s="4783"/>
      <c r="S22" s="4783"/>
      <c r="T22" s="4783"/>
      <c r="U22" s="1793" t="s">
        <v>864</v>
      </c>
      <c r="V22" s="1793" t="s">
        <v>865</v>
      </c>
      <c r="W22" s="1793" t="s">
        <v>866</v>
      </c>
      <c r="X22" s="2819" t="s">
        <v>867</v>
      </c>
      <c r="Y22" s="2820" t="s">
        <v>868</v>
      </c>
      <c r="Z22" s="2821" t="s">
        <v>869</v>
      </c>
      <c r="AA22" s="2821"/>
      <c r="AB22" s="2821"/>
      <c r="AC22" s="2821"/>
      <c r="AD22" s="2822" t="s">
        <v>44</v>
      </c>
    </row>
    <row r="23" spans="1:31">
      <c r="A23" s="2823" t="s">
        <v>45</v>
      </c>
      <c r="B23" s="161"/>
      <c r="C23" s="162"/>
      <c r="D23" s="162"/>
      <c r="E23" s="162"/>
      <c r="F23" s="162"/>
      <c r="G23" s="162"/>
      <c r="H23" s="163"/>
      <c r="I23" s="163"/>
      <c r="J23" s="164"/>
      <c r="K23" s="164"/>
      <c r="L23" s="1056" t="s">
        <v>18</v>
      </c>
      <c r="M23" s="1056" t="s">
        <v>18</v>
      </c>
      <c r="N23" s="1056" t="s">
        <v>18</v>
      </c>
      <c r="O23" s="1056" t="s">
        <v>18</v>
      </c>
      <c r="P23" s="1056" t="s">
        <v>18</v>
      </c>
      <c r="Q23" s="1056" t="s">
        <v>18</v>
      </c>
      <c r="R23" s="1056" t="s">
        <v>18</v>
      </c>
      <c r="S23" s="1056" t="s">
        <v>18</v>
      </c>
      <c r="T23" s="1056" t="s">
        <v>18</v>
      </c>
      <c r="U23" s="1056" t="s">
        <v>18</v>
      </c>
      <c r="V23" s="1056" t="s">
        <v>18</v>
      </c>
      <c r="W23" s="1056" t="s">
        <v>18</v>
      </c>
      <c r="X23" s="2824" t="s">
        <v>870</v>
      </c>
      <c r="Y23" s="2825" t="s">
        <v>870</v>
      </c>
      <c r="Z23" s="1056"/>
      <c r="AA23" s="1056"/>
      <c r="AB23" s="1056"/>
      <c r="AC23" s="1056"/>
      <c r="AD23" s="2826" t="s">
        <v>46</v>
      </c>
    </row>
    <row r="24" spans="1:31" ht="34.5" customHeight="1">
      <c r="A24" s="2827" t="s">
        <v>871</v>
      </c>
      <c r="B24" s="76"/>
      <c r="C24" s="76"/>
      <c r="D24" s="77"/>
      <c r="E24" s="76"/>
      <c r="F24" s="76"/>
      <c r="G24" s="76"/>
      <c r="H24" s="76"/>
      <c r="I24" s="2828" t="s">
        <v>872</v>
      </c>
      <c r="J24" s="2828" t="s">
        <v>873</v>
      </c>
      <c r="K24" s="2828" t="s">
        <v>874</v>
      </c>
      <c r="L24" s="2828" t="s">
        <v>875</v>
      </c>
      <c r="M24" s="2828" t="s">
        <v>875</v>
      </c>
      <c r="N24" s="2828" t="s">
        <v>875</v>
      </c>
      <c r="O24" s="2828" t="s">
        <v>875</v>
      </c>
      <c r="P24" s="77">
        <v>57.92</v>
      </c>
      <c r="Q24" s="78">
        <v>60</v>
      </c>
      <c r="R24" s="78">
        <v>120</v>
      </c>
      <c r="S24" s="78">
        <v>200</v>
      </c>
      <c r="T24" s="2829" t="s">
        <v>18</v>
      </c>
      <c r="U24" s="2829" t="s">
        <v>18</v>
      </c>
      <c r="V24" s="2829" t="s">
        <v>18</v>
      </c>
      <c r="W24" s="2829" t="s">
        <v>18</v>
      </c>
      <c r="X24" s="2829" t="s">
        <v>18</v>
      </c>
      <c r="Y24" s="2830" t="s">
        <v>870</v>
      </c>
      <c r="Z24" s="2829"/>
      <c r="AA24" s="2829"/>
      <c r="AB24" s="2829"/>
      <c r="AC24" s="2829"/>
      <c r="AD24" s="2831" t="s">
        <v>876</v>
      </c>
    </row>
    <row r="25" spans="1:31" ht="26.25" customHeight="1">
      <c r="A25" s="2832"/>
      <c r="B25" s="86"/>
      <c r="C25" s="86"/>
      <c r="D25" s="2833"/>
      <c r="E25" s="86"/>
      <c r="F25" s="86"/>
      <c r="G25" s="86"/>
      <c r="H25" s="86"/>
      <c r="I25" s="2834" t="s">
        <v>877</v>
      </c>
      <c r="J25" s="2834" t="s">
        <v>877</v>
      </c>
      <c r="K25" s="2834" t="s">
        <v>878</v>
      </c>
      <c r="L25" s="2834" t="s">
        <v>879</v>
      </c>
      <c r="M25" s="2834" t="s">
        <v>879</v>
      </c>
      <c r="N25" s="2834" t="s">
        <v>879</v>
      </c>
      <c r="O25" s="2835" t="s">
        <v>879</v>
      </c>
      <c r="P25" s="87"/>
      <c r="Q25" s="89"/>
      <c r="R25" s="89"/>
      <c r="S25" s="89"/>
      <c r="T25" s="2836"/>
      <c r="U25" s="198"/>
      <c r="V25" s="198"/>
      <c r="W25" s="198"/>
      <c r="X25" s="2837"/>
      <c r="Y25" s="2838"/>
      <c r="Z25" s="198"/>
      <c r="AA25" s="198"/>
      <c r="AB25" s="198"/>
      <c r="AC25" s="198"/>
      <c r="AD25" s="2839"/>
    </row>
    <row r="26" spans="1:31" ht="28.5" customHeight="1">
      <c r="A26" s="2840" t="s">
        <v>880</v>
      </c>
      <c r="B26" s="2841"/>
      <c r="C26" s="2841"/>
      <c r="D26" s="2841"/>
      <c r="E26" s="2841"/>
      <c r="F26" s="2841"/>
      <c r="G26" s="2841"/>
      <c r="H26" s="2841"/>
      <c r="I26" s="2841"/>
      <c r="J26" s="2841"/>
      <c r="K26" s="2841"/>
      <c r="L26" s="2841"/>
      <c r="M26" s="2841"/>
      <c r="N26" s="2841"/>
      <c r="O26" s="2841"/>
      <c r="P26" s="2841"/>
      <c r="Q26" s="2841"/>
      <c r="R26" s="2841"/>
      <c r="S26" s="2841"/>
      <c r="T26" s="2841"/>
      <c r="U26" s="2841"/>
      <c r="V26" s="2842"/>
      <c r="W26" s="2843"/>
      <c r="X26" s="2844"/>
      <c r="Y26" s="2845"/>
      <c r="Z26" s="2843"/>
      <c r="AA26" s="2843"/>
      <c r="AB26" s="2843"/>
      <c r="AC26" s="2843"/>
      <c r="AD26" s="2846" t="s">
        <v>881</v>
      </c>
    </row>
    <row r="27" spans="1:31" ht="17.25" customHeight="1">
      <c r="A27" s="2847" t="s">
        <v>882</v>
      </c>
      <c r="B27" s="2848"/>
      <c r="C27" s="2848"/>
      <c r="D27" s="2848"/>
      <c r="E27" s="2848"/>
      <c r="F27" s="2848"/>
      <c r="G27" s="2848"/>
      <c r="H27" s="2849"/>
      <c r="I27" s="2849">
        <v>121.64</v>
      </c>
      <c r="J27" s="2849">
        <v>121.64</v>
      </c>
      <c r="K27" s="2849">
        <v>173.77</v>
      </c>
      <c r="L27" s="2849">
        <v>173.77</v>
      </c>
      <c r="M27" s="2849">
        <v>173.77</v>
      </c>
      <c r="N27" s="2849">
        <v>173.77</v>
      </c>
      <c r="O27" s="2849">
        <v>173.77</v>
      </c>
      <c r="P27" s="2849">
        <v>173.77</v>
      </c>
      <c r="Q27" s="2849">
        <v>175</v>
      </c>
      <c r="R27" s="2849">
        <v>210</v>
      </c>
      <c r="S27" s="2849">
        <v>320</v>
      </c>
      <c r="T27" s="2849">
        <v>390</v>
      </c>
      <c r="U27" s="2849">
        <v>308</v>
      </c>
      <c r="V27" s="2850">
        <v>600</v>
      </c>
      <c r="W27" s="2851">
        <v>600</v>
      </c>
      <c r="X27" s="2852">
        <v>810</v>
      </c>
      <c r="Y27" s="2853">
        <v>935</v>
      </c>
      <c r="Z27" s="2850">
        <v>1057</v>
      </c>
      <c r="AA27" s="2850"/>
      <c r="AB27" s="2850"/>
      <c r="AC27" s="2850"/>
      <c r="AD27" s="2854" t="s">
        <v>883</v>
      </c>
    </row>
    <row r="28" spans="1:31" ht="17.25" customHeight="1">
      <c r="A28" s="2855" t="s">
        <v>884</v>
      </c>
      <c r="B28" s="2856"/>
      <c r="C28" s="2856"/>
      <c r="D28" s="2856"/>
      <c r="E28" s="2856"/>
      <c r="F28" s="2856"/>
      <c r="G28" s="2856"/>
      <c r="H28" s="2857"/>
      <c r="I28" s="2857">
        <v>137.57</v>
      </c>
      <c r="J28" s="2857">
        <v>137.57</v>
      </c>
      <c r="K28" s="2857">
        <v>231.7</v>
      </c>
      <c r="L28" s="2857">
        <v>231.7</v>
      </c>
      <c r="M28" s="2857">
        <v>231.7</v>
      </c>
      <c r="N28" s="2857">
        <v>231.7</v>
      </c>
      <c r="O28" s="2857">
        <v>231.7</v>
      </c>
      <c r="P28" s="2857">
        <v>231.7</v>
      </c>
      <c r="Q28" s="2857">
        <v>235</v>
      </c>
      <c r="R28" s="2857">
        <v>270</v>
      </c>
      <c r="S28" s="2857">
        <v>380</v>
      </c>
      <c r="T28" s="2857">
        <v>450</v>
      </c>
      <c r="U28" s="2857">
        <v>353</v>
      </c>
      <c r="V28" s="2858">
        <v>645</v>
      </c>
      <c r="W28" s="2859">
        <v>645</v>
      </c>
      <c r="X28" s="2860">
        <v>870</v>
      </c>
      <c r="Y28" s="2861">
        <v>1005</v>
      </c>
      <c r="Z28" s="2858">
        <v>1127</v>
      </c>
      <c r="AA28" s="2858"/>
      <c r="AB28" s="2858"/>
      <c r="AC28" s="2858"/>
      <c r="AD28" s="2862" t="s">
        <v>885</v>
      </c>
    </row>
    <row r="29" spans="1:31" ht="27.6">
      <c r="A29" s="2863" t="s">
        <v>886</v>
      </c>
      <c r="B29" s="2864"/>
      <c r="C29" s="2864"/>
      <c r="D29" s="2864"/>
      <c r="E29" s="2864"/>
      <c r="F29" s="2864"/>
      <c r="G29" s="2864"/>
      <c r="H29" s="2865"/>
      <c r="I29" s="2866"/>
      <c r="J29" s="2866"/>
      <c r="K29" s="2866"/>
      <c r="L29" s="2866"/>
      <c r="M29" s="2867"/>
      <c r="N29" s="2866"/>
      <c r="O29" s="2866"/>
      <c r="P29" s="2867"/>
      <c r="Q29" s="2867"/>
      <c r="R29" s="2867"/>
      <c r="S29" s="2867"/>
      <c r="T29" s="2868"/>
      <c r="U29" s="2868"/>
      <c r="V29" s="2868"/>
      <c r="W29" s="2868"/>
      <c r="X29" s="2869"/>
      <c r="Y29" s="2870"/>
      <c r="Z29" s="2868"/>
      <c r="AA29" s="2868"/>
      <c r="AB29" s="2868"/>
      <c r="AC29" s="2868"/>
      <c r="AD29" s="2871" t="s">
        <v>887</v>
      </c>
    </row>
    <row r="30" spans="1:31" ht="42.6">
      <c r="A30" s="2872" t="s">
        <v>888</v>
      </c>
      <c r="B30" s="2873">
        <f t="shared" ref="B30:P30" si="3">B31/$P$1</f>
        <v>124.53660797034291</v>
      </c>
      <c r="C30" s="2873">
        <f t="shared" si="3"/>
        <v>124.53660797034291</v>
      </c>
      <c r="D30" s="2873">
        <f t="shared" si="3"/>
        <v>124.53660797034291</v>
      </c>
      <c r="E30" s="2873">
        <f t="shared" si="3"/>
        <v>124.53660797034291</v>
      </c>
      <c r="F30" s="2873">
        <f t="shared" si="3"/>
        <v>124.53660797034291</v>
      </c>
      <c r="G30" s="2873">
        <f t="shared" si="3"/>
        <v>124.53660797034291</v>
      </c>
      <c r="H30" s="2873">
        <f t="shared" si="3"/>
        <v>124.53660797034291</v>
      </c>
      <c r="I30" s="2874">
        <f t="shared" si="3"/>
        <v>137.56950880444856</v>
      </c>
      <c r="J30" s="2875">
        <f t="shared" si="3"/>
        <v>137.56950880444856</v>
      </c>
      <c r="K30" s="2874">
        <f t="shared" si="3"/>
        <v>231.69601482854495</v>
      </c>
      <c r="L30" s="2875">
        <f t="shared" si="3"/>
        <v>231.69601482854495</v>
      </c>
      <c r="M30" s="2875">
        <f t="shared" si="3"/>
        <v>231.69601482854495</v>
      </c>
      <c r="N30" s="2875">
        <f t="shared" si="3"/>
        <v>231.69601482854495</v>
      </c>
      <c r="O30" s="2875">
        <f t="shared" si="3"/>
        <v>231.69601482854495</v>
      </c>
      <c r="P30" s="2875">
        <f t="shared" si="3"/>
        <v>231.69601482854495</v>
      </c>
      <c r="Q30" s="2876">
        <v>235</v>
      </c>
      <c r="R30" s="2876">
        <v>270</v>
      </c>
      <c r="S30" s="2876">
        <v>380</v>
      </c>
      <c r="T30" s="2876">
        <v>450</v>
      </c>
      <c r="U30" s="2876">
        <v>353</v>
      </c>
      <c r="V30" s="2876">
        <v>645</v>
      </c>
      <c r="W30" s="2877">
        <v>645</v>
      </c>
      <c r="X30" s="2878">
        <v>870</v>
      </c>
      <c r="Y30" s="2879">
        <v>1005</v>
      </c>
      <c r="Z30" s="2876">
        <v>1127</v>
      </c>
      <c r="AA30" s="2876"/>
      <c r="AB30" s="2876"/>
      <c r="AC30" s="2876"/>
      <c r="AD30" s="2880" t="s">
        <v>889</v>
      </c>
    </row>
    <row r="31" spans="1:31" s="31" customFormat="1" ht="13.2">
      <c r="A31" s="2881" t="s">
        <v>890</v>
      </c>
      <c r="B31" s="2882">
        <v>430</v>
      </c>
      <c r="C31" s="2882">
        <v>430</v>
      </c>
      <c r="D31" s="2882">
        <v>430</v>
      </c>
      <c r="E31" s="2882">
        <v>430</v>
      </c>
      <c r="F31" s="2882">
        <v>430</v>
      </c>
      <c r="G31" s="2882">
        <v>430</v>
      </c>
      <c r="H31" s="2882">
        <v>430</v>
      </c>
      <c r="I31" s="2883">
        <v>475</v>
      </c>
      <c r="J31" s="2884">
        <v>475</v>
      </c>
      <c r="K31" s="2883">
        <v>800</v>
      </c>
      <c r="L31" s="2884">
        <v>800</v>
      </c>
      <c r="M31" s="2884">
        <v>800</v>
      </c>
      <c r="N31" s="2884">
        <v>800</v>
      </c>
      <c r="O31" s="2884">
        <v>800</v>
      </c>
      <c r="P31" s="2884">
        <v>800</v>
      </c>
      <c r="Q31" s="2885"/>
      <c r="R31" s="2886"/>
      <c r="S31" s="2886"/>
      <c r="T31" s="2887"/>
      <c r="U31" s="2887"/>
      <c r="V31" s="2887"/>
      <c r="W31" s="2887"/>
      <c r="X31" s="2888"/>
      <c r="Y31" s="2889"/>
      <c r="Z31" s="2887"/>
      <c r="AA31" s="2887"/>
      <c r="AB31" s="2887"/>
      <c r="AC31" s="2887"/>
      <c r="AD31" s="2890" t="s">
        <v>891</v>
      </c>
    </row>
    <row r="32" spans="1:31" ht="43.2">
      <c r="A32" s="2872" t="s">
        <v>892</v>
      </c>
      <c r="B32" s="2873">
        <f t="shared" ref="B32:P32" si="4">B33/$P$1</f>
        <v>110.05560704355885</v>
      </c>
      <c r="C32" s="2873">
        <f t="shared" si="4"/>
        <v>110.05560704355885</v>
      </c>
      <c r="D32" s="2873">
        <f t="shared" si="4"/>
        <v>110.05560704355885</v>
      </c>
      <c r="E32" s="2873">
        <f t="shared" si="4"/>
        <v>110.05560704355885</v>
      </c>
      <c r="F32" s="2873">
        <f t="shared" si="4"/>
        <v>110.05560704355885</v>
      </c>
      <c r="G32" s="2873">
        <f t="shared" si="4"/>
        <v>110.05560704355885</v>
      </c>
      <c r="H32" s="2873">
        <f t="shared" si="4"/>
        <v>110.05560704355885</v>
      </c>
      <c r="I32" s="2874">
        <f t="shared" si="4"/>
        <v>121.64040778498611</v>
      </c>
      <c r="J32" s="2875">
        <f t="shared" si="4"/>
        <v>121.64040778498611</v>
      </c>
      <c r="K32" s="2874">
        <f t="shared" si="4"/>
        <v>173.77201112140872</v>
      </c>
      <c r="L32" s="2875">
        <f t="shared" si="4"/>
        <v>173.77201112140872</v>
      </c>
      <c r="M32" s="2875">
        <f t="shared" si="4"/>
        <v>173.77201112140872</v>
      </c>
      <c r="N32" s="2875">
        <f t="shared" si="4"/>
        <v>173.77201112140872</v>
      </c>
      <c r="O32" s="2875">
        <f t="shared" si="4"/>
        <v>173.77201112140872</v>
      </c>
      <c r="P32" s="2875">
        <f t="shared" si="4"/>
        <v>173.77201112140872</v>
      </c>
      <c r="Q32" s="2876">
        <v>175</v>
      </c>
      <c r="R32" s="2876">
        <v>210</v>
      </c>
      <c r="S32" s="2876">
        <v>320</v>
      </c>
      <c r="T32" s="2876">
        <v>390</v>
      </c>
      <c r="U32" s="2876">
        <v>308</v>
      </c>
      <c r="V32" s="2876">
        <v>600</v>
      </c>
      <c r="W32" s="2877">
        <v>600</v>
      </c>
      <c r="X32" s="2878">
        <v>810</v>
      </c>
      <c r="Y32" s="2879">
        <v>935</v>
      </c>
      <c r="Z32" s="2876">
        <v>1057</v>
      </c>
      <c r="AA32" s="2876"/>
      <c r="AB32" s="2876"/>
      <c r="AC32" s="2876"/>
      <c r="AD32" s="2891" t="s">
        <v>893</v>
      </c>
    </row>
    <row r="33" spans="1:30" s="31" customFormat="1" ht="13.2">
      <c r="A33" s="2881" t="s">
        <v>890</v>
      </c>
      <c r="B33" s="2882">
        <v>380</v>
      </c>
      <c r="C33" s="2882">
        <v>380</v>
      </c>
      <c r="D33" s="2882">
        <v>380</v>
      </c>
      <c r="E33" s="2882">
        <v>380</v>
      </c>
      <c r="F33" s="2882">
        <v>380</v>
      </c>
      <c r="G33" s="2882">
        <v>380</v>
      </c>
      <c r="H33" s="2882">
        <v>380</v>
      </c>
      <c r="I33" s="2883">
        <v>420</v>
      </c>
      <c r="J33" s="2884">
        <v>420</v>
      </c>
      <c r="K33" s="2883">
        <v>600</v>
      </c>
      <c r="L33" s="2884">
        <v>600</v>
      </c>
      <c r="M33" s="2884">
        <v>600</v>
      </c>
      <c r="N33" s="2884">
        <v>600</v>
      </c>
      <c r="O33" s="2884">
        <v>600</v>
      </c>
      <c r="P33" s="2884">
        <v>600</v>
      </c>
      <c r="Q33" s="2886"/>
      <c r="R33" s="2886"/>
      <c r="S33" s="2886"/>
      <c r="T33" s="2887"/>
      <c r="U33" s="2887"/>
      <c r="V33" s="2887"/>
      <c r="W33" s="2887"/>
      <c r="X33" s="2888"/>
      <c r="Y33" s="2889"/>
      <c r="Z33" s="2887"/>
      <c r="AA33" s="2887"/>
      <c r="AB33" s="2887"/>
      <c r="AC33" s="2887"/>
      <c r="AD33" s="2890" t="s">
        <v>894</v>
      </c>
    </row>
    <row r="34" spans="1:30" ht="83.4">
      <c r="A34" s="2872" t="s">
        <v>895</v>
      </c>
      <c r="B34" s="2873">
        <f t="shared" ref="B34:J34" si="5">B35/$P$1</f>
        <v>95.574606116774788</v>
      </c>
      <c r="C34" s="2873">
        <f t="shared" si="5"/>
        <v>95.574606116774788</v>
      </c>
      <c r="D34" s="2873">
        <f t="shared" si="5"/>
        <v>95.574606116774788</v>
      </c>
      <c r="E34" s="2873">
        <f t="shared" si="5"/>
        <v>95.574606116774788</v>
      </c>
      <c r="F34" s="2873">
        <f t="shared" si="5"/>
        <v>95.574606116774788</v>
      </c>
      <c r="G34" s="2873">
        <f t="shared" si="5"/>
        <v>95.574606116774788</v>
      </c>
      <c r="H34" s="2873">
        <f t="shared" si="5"/>
        <v>95.574606116774788</v>
      </c>
      <c r="I34" s="2874">
        <f t="shared" si="5"/>
        <v>105.71130676552363</v>
      </c>
      <c r="J34" s="2875">
        <f t="shared" si="5"/>
        <v>105.71130676552363</v>
      </c>
      <c r="K34" s="2892"/>
      <c r="L34" s="2892"/>
      <c r="M34" s="2893"/>
      <c r="N34" s="2892"/>
      <c r="O34" s="2892"/>
      <c r="P34" s="2893"/>
      <c r="Q34" s="2893"/>
      <c r="R34" s="2893"/>
      <c r="S34" s="2893"/>
      <c r="T34" s="2894"/>
      <c r="U34" s="2894"/>
      <c r="V34" s="2894"/>
      <c r="W34" s="2894"/>
      <c r="X34" s="2895"/>
      <c r="Y34" s="2896"/>
      <c r="Z34" s="2894"/>
      <c r="AA34" s="2894"/>
      <c r="AB34" s="2894"/>
      <c r="AC34" s="2894"/>
      <c r="AD34" s="2891" t="s">
        <v>896</v>
      </c>
    </row>
    <row r="35" spans="1:30" s="31" customFormat="1" ht="13.2">
      <c r="A35" s="2897" t="s">
        <v>897</v>
      </c>
      <c r="B35" s="2898">
        <v>330</v>
      </c>
      <c r="C35" s="2898">
        <v>330</v>
      </c>
      <c r="D35" s="2898">
        <v>330</v>
      </c>
      <c r="E35" s="2898">
        <v>330</v>
      </c>
      <c r="F35" s="2898">
        <v>330</v>
      </c>
      <c r="G35" s="2898">
        <v>330</v>
      </c>
      <c r="H35" s="2898">
        <v>330</v>
      </c>
      <c r="I35" s="2899">
        <v>365</v>
      </c>
      <c r="J35" s="2900">
        <v>365</v>
      </c>
      <c r="K35" s="2900"/>
      <c r="L35" s="2900"/>
      <c r="M35" s="2900"/>
      <c r="N35" s="2900"/>
      <c r="O35" s="2900"/>
      <c r="P35" s="2901"/>
      <c r="Q35" s="2901"/>
      <c r="R35" s="2901"/>
      <c r="S35" s="2902"/>
      <c r="T35" s="2903"/>
      <c r="U35" s="2903"/>
      <c r="V35" s="2903"/>
      <c r="W35" s="2903"/>
      <c r="X35" s="2904"/>
      <c r="Y35" s="2905"/>
      <c r="Z35" s="2903"/>
      <c r="AA35" s="2903"/>
      <c r="AB35" s="2903"/>
      <c r="AC35" s="2903"/>
      <c r="AD35" s="2906" t="s">
        <v>898</v>
      </c>
    </row>
    <row r="36" spans="1:30" s="31" customFormat="1">
      <c r="A36" s="2907" t="s">
        <v>609</v>
      </c>
      <c r="B36" s="2908"/>
      <c r="C36" s="2908"/>
      <c r="D36" s="2908"/>
      <c r="E36" s="2908"/>
      <c r="F36" s="2908"/>
      <c r="G36" s="2908"/>
      <c r="H36" s="2909"/>
      <c r="I36" s="2910"/>
      <c r="J36" s="2911"/>
      <c r="K36" s="2911"/>
      <c r="L36" s="2911"/>
      <c r="M36" s="2912"/>
      <c r="N36" s="2912"/>
      <c r="O36" s="2912"/>
      <c r="P36" s="2912"/>
      <c r="Q36" s="2912"/>
      <c r="R36" s="2912"/>
      <c r="S36" s="2912"/>
      <c r="T36" s="2912"/>
      <c r="U36" s="2913"/>
      <c r="V36" s="2913"/>
      <c r="W36" s="2913"/>
      <c r="X36" s="2914"/>
      <c r="Y36" s="2915"/>
      <c r="Z36" s="2913"/>
      <c r="AA36" s="2913"/>
      <c r="AB36" s="2913"/>
      <c r="AC36" s="2913"/>
      <c r="AD36" s="2907" t="s">
        <v>610</v>
      </c>
    </row>
    <row r="37" spans="1:30" s="31" customFormat="1">
      <c r="A37" s="2916" t="s">
        <v>899</v>
      </c>
      <c r="B37" s="2917">
        <v>0.25</v>
      </c>
      <c r="C37" s="2917">
        <v>0.25</v>
      </c>
      <c r="D37" s="2917">
        <v>0.25</v>
      </c>
      <c r="E37" s="2917">
        <v>0.25</v>
      </c>
      <c r="F37" s="2917">
        <v>0.25</v>
      </c>
      <c r="G37" s="2917">
        <v>0.25</v>
      </c>
      <c r="H37" s="2917">
        <v>0.25</v>
      </c>
      <c r="I37" s="2917">
        <v>0.25</v>
      </c>
      <c r="J37" s="2917">
        <v>0.25</v>
      </c>
      <c r="K37" s="2917">
        <v>0.25</v>
      </c>
      <c r="L37" s="2917">
        <v>0.25</v>
      </c>
      <c r="M37" s="2917">
        <v>0.25</v>
      </c>
      <c r="N37" s="2917">
        <v>0.25</v>
      </c>
      <c r="O37" s="2917">
        <v>0.25</v>
      </c>
      <c r="P37" s="2917">
        <v>0.25</v>
      </c>
      <c r="Q37" s="2917">
        <v>0.25</v>
      </c>
      <c r="R37" s="2917">
        <v>0.25</v>
      </c>
      <c r="S37" s="2918">
        <v>0.25</v>
      </c>
      <c r="T37" s="2918">
        <v>0.25</v>
      </c>
      <c r="U37" s="2918">
        <v>0.25</v>
      </c>
      <c r="V37" s="2918">
        <v>0.25</v>
      </c>
      <c r="W37" s="2918">
        <v>0.25</v>
      </c>
      <c r="X37" s="2919">
        <v>0.25</v>
      </c>
      <c r="Y37" s="2919">
        <v>0.25</v>
      </c>
      <c r="Z37" s="2920">
        <v>0.25</v>
      </c>
      <c r="AA37" s="2920"/>
      <c r="AB37" s="2920"/>
      <c r="AC37" s="2920"/>
      <c r="AD37" s="2921" t="s">
        <v>900</v>
      </c>
    </row>
    <row r="38" spans="1:30" s="31" customFormat="1" ht="46.5" customHeight="1">
      <c r="A38" s="2922" t="s">
        <v>901</v>
      </c>
      <c r="B38" s="2923">
        <v>0.25</v>
      </c>
      <c r="C38" s="2923">
        <v>0.25</v>
      </c>
      <c r="D38" s="2923">
        <v>0.25</v>
      </c>
      <c r="E38" s="2923">
        <v>0.25</v>
      </c>
      <c r="F38" s="2923">
        <v>0.25</v>
      </c>
      <c r="G38" s="2923">
        <v>0.25</v>
      </c>
      <c r="H38" s="2923">
        <v>0.25</v>
      </c>
      <c r="I38" s="2923">
        <v>0.25</v>
      </c>
      <c r="J38" s="2923">
        <v>0.25</v>
      </c>
      <c r="K38" s="2923">
        <v>0.25</v>
      </c>
      <c r="L38" s="2923">
        <v>0.25</v>
      </c>
      <c r="M38" s="2923">
        <v>0.25</v>
      </c>
      <c r="N38" s="2923">
        <v>0.25</v>
      </c>
      <c r="O38" s="2923">
        <v>0.25</v>
      </c>
      <c r="P38" s="2923">
        <v>0.25</v>
      </c>
      <c r="Q38" s="2923">
        <v>0.25</v>
      </c>
      <c r="R38" s="2923">
        <v>0.25</v>
      </c>
      <c r="S38" s="4784" t="s">
        <v>902</v>
      </c>
      <c r="T38" s="4784"/>
      <c r="U38" s="4759" t="s">
        <v>903</v>
      </c>
      <c r="V38" s="4760"/>
      <c r="W38" s="4760"/>
      <c r="X38" s="4760"/>
      <c r="Y38" s="4760"/>
      <c r="Z38" s="4761"/>
      <c r="AA38" s="2924"/>
      <c r="AB38" s="2924"/>
      <c r="AC38" s="2924"/>
      <c r="AD38" s="2921" t="s">
        <v>904</v>
      </c>
    </row>
    <row r="39" spans="1:30" s="31" customFormat="1" ht="36" customHeight="1">
      <c r="A39" s="2925" t="s">
        <v>905</v>
      </c>
      <c r="B39" s="2923">
        <v>0.25</v>
      </c>
      <c r="C39" s="2923">
        <v>0.25</v>
      </c>
      <c r="D39" s="2923">
        <v>0.25</v>
      </c>
      <c r="E39" s="2923">
        <v>0.25</v>
      </c>
      <c r="F39" s="2923">
        <v>0.25</v>
      </c>
      <c r="G39" s="2923">
        <v>0.25</v>
      </c>
      <c r="H39" s="2923">
        <v>0.25</v>
      </c>
      <c r="I39" s="2923">
        <v>0.25</v>
      </c>
      <c r="J39" s="2923">
        <v>0.25</v>
      </c>
      <c r="K39" s="2923">
        <v>0.25</v>
      </c>
      <c r="L39" s="2923">
        <v>0.25</v>
      </c>
      <c r="M39" s="2923">
        <v>0.25</v>
      </c>
      <c r="N39" s="2923">
        <v>0.25</v>
      </c>
      <c r="O39" s="2923">
        <v>0.25</v>
      </c>
      <c r="P39" s="2923">
        <v>0.25</v>
      </c>
      <c r="Q39" s="2923">
        <v>0.25</v>
      </c>
      <c r="R39" s="2923">
        <v>0.25</v>
      </c>
      <c r="S39" s="4785"/>
      <c r="T39" s="4785"/>
      <c r="U39" s="4762"/>
      <c r="V39" s="4763"/>
      <c r="W39" s="4763"/>
      <c r="X39" s="4763"/>
      <c r="Y39" s="4763"/>
      <c r="Z39" s="4764"/>
      <c r="AA39" s="2926"/>
      <c r="AB39" s="2926"/>
      <c r="AC39" s="2926"/>
      <c r="AD39" s="2921" t="s">
        <v>906</v>
      </c>
    </row>
    <row r="40" spans="1:30" s="31" customFormat="1" ht="45" customHeight="1">
      <c r="A40" s="2925" t="s">
        <v>907</v>
      </c>
      <c r="B40" s="2923" t="s">
        <v>18</v>
      </c>
      <c r="C40" s="2923" t="s">
        <v>18</v>
      </c>
      <c r="D40" s="2923" t="s">
        <v>18</v>
      </c>
      <c r="E40" s="2923" t="s">
        <v>18</v>
      </c>
      <c r="F40" s="2923" t="s">
        <v>18</v>
      </c>
      <c r="G40" s="2923" t="s">
        <v>18</v>
      </c>
      <c r="H40" s="2923" t="s">
        <v>18</v>
      </c>
      <c r="I40" s="2923" t="s">
        <v>18</v>
      </c>
      <c r="J40" s="2923" t="s">
        <v>18</v>
      </c>
      <c r="K40" s="2923" t="s">
        <v>18</v>
      </c>
      <c r="L40" s="2923" t="s">
        <v>18</v>
      </c>
      <c r="M40" s="2923" t="s">
        <v>18</v>
      </c>
      <c r="N40" s="2923" t="s">
        <v>18</v>
      </c>
      <c r="O40" s="2923" t="s">
        <v>18</v>
      </c>
      <c r="P40" s="2923" t="s">
        <v>18</v>
      </c>
      <c r="Q40" s="2923" t="s">
        <v>18</v>
      </c>
      <c r="R40" s="2923" t="s">
        <v>18</v>
      </c>
      <c r="S40" s="2923" t="s">
        <v>18</v>
      </c>
      <c r="T40" s="2923" t="s">
        <v>18</v>
      </c>
      <c r="U40" s="4762"/>
      <c r="V40" s="4763"/>
      <c r="W40" s="4763"/>
      <c r="X40" s="4763"/>
      <c r="Y40" s="4763"/>
      <c r="Z40" s="4764"/>
      <c r="AA40" s="2926"/>
      <c r="AB40" s="2926"/>
      <c r="AC40" s="2926"/>
      <c r="AD40" s="2921" t="s">
        <v>908</v>
      </c>
    </row>
    <row r="41" spans="1:30" s="31" customFormat="1" ht="45" customHeight="1">
      <c r="A41" s="2925" t="s">
        <v>909</v>
      </c>
      <c r="B41" s="2923" t="s">
        <v>18</v>
      </c>
      <c r="C41" s="2923" t="s">
        <v>18</v>
      </c>
      <c r="D41" s="2923" t="s">
        <v>18</v>
      </c>
      <c r="E41" s="2923" t="s">
        <v>18</v>
      </c>
      <c r="F41" s="2923" t="s">
        <v>18</v>
      </c>
      <c r="G41" s="2923" t="s">
        <v>18</v>
      </c>
      <c r="H41" s="2923" t="s">
        <v>18</v>
      </c>
      <c r="I41" s="2923" t="s">
        <v>18</v>
      </c>
      <c r="J41" s="2923" t="s">
        <v>18</v>
      </c>
      <c r="K41" s="2923" t="s">
        <v>18</v>
      </c>
      <c r="L41" s="2923" t="s">
        <v>18</v>
      </c>
      <c r="M41" s="2923" t="s">
        <v>18</v>
      </c>
      <c r="N41" s="2923" t="s">
        <v>18</v>
      </c>
      <c r="O41" s="2923" t="s">
        <v>18</v>
      </c>
      <c r="P41" s="2923" t="s">
        <v>18</v>
      </c>
      <c r="Q41" s="2923" t="s">
        <v>18</v>
      </c>
      <c r="R41" s="2923" t="s">
        <v>18</v>
      </c>
      <c r="S41" s="2923" t="s">
        <v>18</v>
      </c>
      <c r="T41" s="2923" t="s">
        <v>18</v>
      </c>
      <c r="U41" s="4765" t="s">
        <v>910</v>
      </c>
      <c r="V41" s="4766"/>
      <c r="W41" s="4767"/>
      <c r="X41" s="2927" t="s">
        <v>18</v>
      </c>
      <c r="Y41" s="2928" t="s">
        <v>18</v>
      </c>
      <c r="Z41" s="2929" t="s">
        <v>18</v>
      </c>
      <c r="AA41" s="2929"/>
      <c r="AB41" s="2929"/>
      <c r="AC41" s="2929"/>
      <c r="AD41" s="2921" t="s">
        <v>911</v>
      </c>
    </row>
    <row r="42" spans="1:30" s="31" customFormat="1" ht="42" thickBot="1">
      <c r="A42" s="2930" t="s">
        <v>912</v>
      </c>
      <c r="B42" s="2931" t="s">
        <v>622</v>
      </c>
      <c r="C42" s="2931" t="s">
        <v>622</v>
      </c>
      <c r="D42" s="2931" t="s">
        <v>622</v>
      </c>
      <c r="E42" s="2931" t="s">
        <v>622</v>
      </c>
      <c r="F42" s="2931" t="s">
        <v>622</v>
      </c>
      <c r="G42" s="2931" t="s">
        <v>622</v>
      </c>
      <c r="H42" s="2931" t="s">
        <v>622</v>
      </c>
      <c r="I42" s="2932">
        <v>0.25</v>
      </c>
      <c r="J42" s="2932">
        <v>0.25</v>
      </c>
      <c r="K42" s="2931" t="s">
        <v>18</v>
      </c>
      <c r="L42" s="2931" t="s">
        <v>18</v>
      </c>
      <c r="M42" s="2931" t="s">
        <v>18</v>
      </c>
      <c r="N42" s="2931" t="s">
        <v>18</v>
      </c>
      <c r="O42" s="2931" t="s">
        <v>18</v>
      </c>
      <c r="P42" s="2931" t="s">
        <v>18</v>
      </c>
      <c r="Q42" s="2931" t="s">
        <v>18</v>
      </c>
      <c r="R42" s="2931" t="s">
        <v>18</v>
      </c>
      <c r="S42" s="2933" t="s">
        <v>18</v>
      </c>
      <c r="T42" s="2933" t="s">
        <v>18</v>
      </c>
      <c r="U42" s="4768"/>
      <c r="V42" s="4769"/>
      <c r="W42" s="4770"/>
      <c r="X42" s="2934" t="s">
        <v>18</v>
      </c>
      <c r="Y42" s="2928" t="s">
        <v>18</v>
      </c>
      <c r="Z42" s="2929" t="s">
        <v>18</v>
      </c>
      <c r="AA42" s="2929"/>
      <c r="AB42" s="2929"/>
      <c r="AC42" s="2929"/>
      <c r="AD42" s="2921" t="s">
        <v>913</v>
      </c>
    </row>
    <row r="43" spans="1:30" s="4" customFormat="1" ht="31.8" thickBot="1">
      <c r="A43" s="2935" t="s">
        <v>93</v>
      </c>
      <c r="B43" s="304"/>
      <c r="C43" s="303"/>
      <c r="D43" s="304"/>
      <c r="E43" s="303"/>
      <c r="F43" s="303"/>
      <c r="G43" s="304"/>
      <c r="H43" s="303"/>
      <c r="I43" s="303"/>
      <c r="J43" s="303"/>
      <c r="K43" s="303"/>
      <c r="L43" s="303"/>
      <c r="M43" s="303"/>
      <c r="N43" s="303"/>
      <c r="O43" s="303"/>
      <c r="P43" s="303"/>
      <c r="Q43" s="303"/>
      <c r="R43" s="303"/>
      <c r="S43" s="303"/>
      <c r="T43" s="1868"/>
      <c r="U43" s="1868"/>
      <c r="V43" s="2936"/>
      <c r="W43" s="2937"/>
      <c r="X43" s="1868"/>
      <c r="Y43" s="2938"/>
      <c r="Z43" s="2939"/>
      <c r="AA43" s="1868"/>
      <c r="AB43" s="1868"/>
      <c r="AC43" s="2939"/>
      <c r="AD43" s="2940" t="s">
        <v>914</v>
      </c>
    </row>
    <row r="44" spans="1:30" s="4" customFormat="1" ht="15.6">
      <c r="A44" s="2059" t="s">
        <v>915</v>
      </c>
      <c r="B44" s="2941">
        <f t="shared" ref="B44:W44" si="6">B49+B45</f>
        <v>0.34200000000000008</v>
      </c>
      <c r="C44" s="2941">
        <f t="shared" si="6"/>
        <v>0.34200000000000008</v>
      </c>
      <c r="D44" s="2941">
        <f t="shared" si="6"/>
        <v>0.34200000000000008</v>
      </c>
      <c r="E44" s="2941">
        <f t="shared" si="6"/>
        <v>0.34200000000000008</v>
      </c>
      <c r="F44" s="2941">
        <f t="shared" si="6"/>
        <v>0.34200000000000008</v>
      </c>
      <c r="G44" s="2941">
        <f t="shared" si="6"/>
        <v>0.34200000000000008</v>
      </c>
      <c r="H44" s="2941">
        <f t="shared" si="6"/>
        <v>0.34200000000000008</v>
      </c>
      <c r="I44" s="2941">
        <f t="shared" si="6"/>
        <v>0.34200000000000008</v>
      </c>
      <c r="J44" s="2941">
        <f t="shared" si="6"/>
        <v>0.34100000000000003</v>
      </c>
      <c r="K44" s="2942">
        <f t="shared" si="6"/>
        <v>0.40100000000000002</v>
      </c>
      <c r="L44" s="2941">
        <f t="shared" si="6"/>
        <v>0.40100000000000002</v>
      </c>
      <c r="M44" s="2941">
        <f t="shared" si="6"/>
        <v>0.40100000000000002</v>
      </c>
      <c r="N44" s="2941">
        <f t="shared" si="6"/>
        <v>0.40200000000000002</v>
      </c>
      <c r="O44" s="2941">
        <f t="shared" si="6"/>
        <v>0.40200000000000002</v>
      </c>
      <c r="P44" s="2941">
        <f t="shared" si="6"/>
        <v>0.40200000000000002</v>
      </c>
      <c r="Q44" s="2941">
        <f t="shared" si="6"/>
        <v>0.40200000000000002</v>
      </c>
      <c r="R44" s="2941">
        <f t="shared" si="6"/>
        <v>0.40200000000000002</v>
      </c>
      <c r="S44" s="2941">
        <f t="shared" si="6"/>
        <v>0.40200000000000002</v>
      </c>
      <c r="T44" s="2941">
        <f t="shared" si="6"/>
        <v>0.40200000000000002</v>
      </c>
      <c r="U44" s="2942">
        <f t="shared" si="6"/>
        <v>0.21290000000000001</v>
      </c>
      <c r="V44" s="2943">
        <f t="shared" si="6"/>
        <v>0.21290000000000001</v>
      </c>
      <c r="W44" s="2944">
        <f t="shared" si="6"/>
        <v>0.21290000000000001</v>
      </c>
      <c r="X44" s="2944">
        <v>0.21290000000000001</v>
      </c>
      <c r="Y44" s="2945">
        <v>0.21290000000000001</v>
      </c>
      <c r="Z44" s="2946">
        <v>0.21290000000000001</v>
      </c>
      <c r="AA44" s="2941"/>
      <c r="AB44" s="2941"/>
      <c r="AC44" s="2946"/>
      <c r="AD44" s="2947" t="s">
        <v>916</v>
      </c>
    </row>
    <row r="45" spans="1:30" s="4" customFormat="1" ht="15.6">
      <c r="A45" s="1710" t="s">
        <v>917</v>
      </c>
      <c r="B45" s="2948">
        <f t="shared" ref="B45:W45" si="7">B46+B47</f>
        <v>2E-3</v>
      </c>
      <c r="C45" s="2948">
        <f t="shared" si="7"/>
        <v>2E-3</v>
      </c>
      <c r="D45" s="2948">
        <f t="shared" si="7"/>
        <v>2E-3</v>
      </c>
      <c r="E45" s="2948">
        <f t="shared" si="7"/>
        <v>2E-3</v>
      </c>
      <c r="F45" s="2948">
        <f t="shared" si="7"/>
        <v>2E-3</v>
      </c>
      <c r="G45" s="2948">
        <f t="shared" si="7"/>
        <v>2E-3</v>
      </c>
      <c r="H45" s="2948">
        <f t="shared" si="7"/>
        <v>2E-3</v>
      </c>
      <c r="I45" s="2948">
        <f t="shared" si="7"/>
        <v>2E-3</v>
      </c>
      <c r="J45" s="2948">
        <f t="shared" si="7"/>
        <v>1E-3</v>
      </c>
      <c r="K45" s="2948">
        <f t="shared" si="7"/>
        <v>1E-3</v>
      </c>
      <c r="L45" s="2948">
        <f t="shared" si="7"/>
        <v>1E-3</v>
      </c>
      <c r="M45" s="2948">
        <f t="shared" si="7"/>
        <v>1E-3</v>
      </c>
      <c r="N45" s="2948">
        <f t="shared" si="7"/>
        <v>2E-3</v>
      </c>
      <c r="O45" s="2948">
        <f t="shared" si="7"/>
        <v>2E-3</v>
      </c>
      <c r="P45" s="2948">
        <f t="shared" si="7"/>
        <v>2E-3</v>
      </c>
      <c r="Q45" s="2948">
        <f t="shared" si="7"/>
        <v>2E-3</v>
      </c>
      <c r="R45" s="2948">
        <f t="shared" si="7"/>
        <v>2E-3</v>
      </c>
      <c r="S45" s="2949">
        <f t="shared" si="7"/>
        <v>7.0000000000000001E-3</v>
      </c>
      <c r="T45" s="2948">
        <f t="shared" si="7"/>
        <v>7.0000000000000001E-3</v>
      </c>
      <c r="U45" s="2949">
        <f t="shared" si="7"/>
        <v>3.2000000000000002E-3</v>
      </c>
      <c r="V45" s="2950">
        <f t="shared" si="7"/>
        <v>3.2000000000000002E-3</v>
      </c>
      <c r="W45" s="2951">
        <f t="shared" si="7"/>
        <v>3.2000000000000002E-3</v>
      </c>
      <c r="X45" s="2951">
        <v>3.2000000000000002E-3</v>
      </c>
      <c r="Y45" s="2952">
        <v>3.2000000000000002E-3</v>
      </c>
      <c r="Z45" s="2953">
        <v>3.2000000000000002E-3</v>
      </c>
      <c r="AA45" s="2948"/>
      <c r="AB45" s="2948"/>
      <c r="AC45" s="2953"/>
      <c r="AD45" s="2954" t="s">
        <v>918</v>
      </c>
    </row>
    <row r="46" spans="1:30" s="419" customFormat="1">
      <c r="A46" s="2955" t="s">
        <v>919</v>
      </c>
      <c r="B46" s="2956">
        <v>2E-3</v>
      </c>
      <c r="C46" s="2956">
        <v>2E-3</v>
      </c>
      <c r="D46" s="2956">
        <v>2E-3</v>
      </c>
      <c r="E46" s="2956">
        <v>2E-3</v>
      </c>
      <c r="F46" s="2956">
        <v>2E-3</v>
      </c>
      <c r="G46" s="2956">
        <v>2E-3</v>
      </c>
      <c r="H46" s="2956">
        <v>2E-3</v>
      </c>
      <c r="I46" s="2956">
        <v>2E-3</v>
      </c>
      <c r="J46" s="2957">
        <v>1E-3</v>
      </c>
      <c r="K46" s="2956">
        <v>1E-3</v>
      </c>
      <c r="L46" s="2956">
        <v>1E-3</v>
      </c>
      <c r="M46" s="2956">
        <v>1E-3</v>
      </c>
      <c r="N46" s="2958">
        <v>2E-3</v>
      </c>
      <c r="O46" s="2959">
        <v>2E-3</v>
      </c>
      <c r="P46" s="2959">
        <v>2E-3</v>
      </c>
      <c r="Q46" s="2959">
        <v>2E-3</v>
      </c>
      <c r="R46" s="2959">
        <v>2E-3</v>
      </c>
      <c r="S46" s="2960">
        <v>2E-3</v>
      </c>
      <c r="T46" s="2960">
        <v>2E-3</v>
      </c>
      <c r="U46" s="2961">
        <v>1.6000000000000001E-3</v>
      </c>
      <c r="V46" s="2962">
        <v>1.6000000000000001E-3</v>
      </c>
      <c r="W46" s="2960">
        <v>1.6000000000000001E-3</v>
      </c>
      <c r="X46" s="2960">
        <v>1.6000000000000001E-3</v>
      </c>
      <c r="Y46" s="2963">
        <v>1.6000000000000001E-3</v>
      </c>
      <c r="Z46" s="2964">
        <v>1.6000000000000001E-3</v>
      </c>
      <c r="AA46" s="2960"/>
      <c r="AB46" s="2960"/>
      <c r="AC46" s="2964"/>
      <c r="AD46" s="2965" t="s">
        <v>920</v>
      </c>
    </row>
    <row r="47" spans="1:30" s="4" customFormat="1" ht="15.6">
      <c r="A47" s="1985" t="s">
        <v>921</v>
      </c>
      <c r="B47" s="2966"/>
      <c r="C47" s="2966"/>
      <c r="D47" s="2966"/>
      <c r="E47" s="2966"/>
      <c r="F47" s="2966"/>
      <c r="G47" s="2966"/>
      <c r="H47" s="2967"/>
      <c r="I47" s="2966"/>
      <c r="J47" s="2966"/>
      <c r="K47" s="2966"/>
      <c r="L47" s="2966"/>
      <c r="M47" s="2966"/>
      <c r="N47" s="2966"/>
      <c r="O47" s="2966"/>
      <c r="P47" s="2966"/>
      <c r="Q47" s="2966"/>
      <c r="R47" s="2966"/>
      <c r="S47" s="2968">
        <v>5.0000000000000001E-3</v>
      </c>
      <c r="T47" s="2969">
        <v>5.0000000000000001E-3</v>
      </c>
      <c r="U47" s="2970">
        <v>1.6000000000000001E-3</v>
      </c>
      <c r="V47" s="2971">
        <v>1.6000000000000001E-3</v>
      </c>
      <c r="W47" s="2972">
        <v>1.6000000000000001E-3</v>
      </c>
      <c r="X47" s="2972">
        <v>1.6000000000000001E-3</v>
      </c>
      <c r="Y47" s="2973">
        <v>1.6000000000000001E-3</v>
      </c>
      <c r="Z47" s="2974">
        <v>1.6000000000000001E-3</v>
      </c>
      <c r="AA47" s="2972"/>
      <c r="AB47" s="2972"/>
      <c r="AC47" s="2974"/>
      <c r="AD47" s="2975" t="s">
        <v>922</v>
      </c>
    </row>
    <row r="48" spans="1:30" s="565" customFormat="1" ht="11.25" customHeight="1">
      <c r="A48" s="2976"/>
      <c r="B48" s="2977"/>
      <c r="C48" s="2977"/>
      <c r="D48" s="2977"/>
      <c r="E48" s="2977"/>
      <c r="F48" s="2977"/>
      <c r="G48" s="2977"/>
      <c r="H48" s="2978"/>
      <c r="I48" s="2977"/>
      <c r="J48" s="2977"/>
      <c r="K48" s="2977"/>
      <c r="L48" s="2977"/>
      <c r="M48" s="2977"/>
      <c r="N48" s="2977"/>
      <c r="O48" s="2977"/>
      <c r="P48" s="2977"/>
      <c r="Q48" s="2977"/>
      <c r="R48" s="2977"/>
      <c r="S48" s="2979" t="s">
        <v>25</v>
      </c>
      <c r="T48" s="2980"/>
      <c r="U48" s="2981"/>
      <c r="V48" s="2982"/>
      <c r="W48" s="2983"/>
      <c r="X48" s="2984"/>
      <c r="Y48" s="2985"/>
      <c r="Z48" s="2986"/>
      <c r="AA48" s="2987"/>
      <c r="AB48" s="2987"/>
      <c r="AC48" s="2986"/>
      <c r="AD48" s="2988"/>
    </row>
    <row r="49" spans="1:31">
      <c r="A49" s="2989" t="s">
        <v>626</v>
      </c>
      <c r="B49" s="2990">
        <f t="shared" ref="B49:W49" si="8">B51+B64</f>
        <v>0.34000000000000008</v>
      </c>
      <c r="C49" s="2990">
        <f t="shared" si="8"/>
        <v>0.34000000000000008</v>
      </c>
      <c r="D49" s="2990">
        <f t="shared" si="8"/>
        <v>0.34000000000000008</v>
      </c>
      <c r="E49" s="2990">
        <f t="shared" si="8"/>
        <v>0.34000000000000008</v>
      </c>
      <c r="F49" s="2990">
        <f t="shared" si="8"/>
        <v>0.34000000000000008</v>
      </c>
      <c r="G49" s="2990">
        <f t="shared" si="8"/>
        <v>0.34000000000000008</v>
      </c>
      <c r="H49" s="2990">
        <f t="shared" si="8"/>
        <v>0.34000000000000008</v>
      </c>
      <c r="I49" s="2990">
        <f t="shared" si="8"/>
        <v>0.34000000000000008</v>
      </c>
      <c r="J49" s="2990">
        <f t="shared" si="8"/>
        <v>0.34</v>
      </c>
      <c r="K49" s="2990">
        <f t="shared" si="8"/>
        <v>0.4</v>
      </c>
      <c r="L49" s="2990">
        <f t="shared" si="8"/>
        <v>0.4</v>
      </c>
      <c r="M49" s="2990">
        <f t="shared" si="8"/>
        <v>0.4</v>
      </c>
      <c r="N49" s="2990">
        <f t="shared" si="8"/>
        <v>0.4</v>
      </c>
      <c r="O49" s="2990">
        <f t="shared" si="8"/>
        <v>0.4</v>
      </c>
      <c r="P49" s="2990">
        <f t="shared" si="8"/>
        <v>0.4</v>
      </c>
      <c r="Q49" s="2990">
        <f t="shared" si="8"/>
        <v>0.4</v>
      </c>
      <c r="R49" s="2990">
        <f t="shared" si="8"/>
        <v>0.4</v>
      </c>
      <c r="S49" s="2990">
        <f t="shared" si="8"/>
        <v>0.39500000000000002</v>
      </c>
      <c r="T49" s="2990">
        <f t="shared" si="8"/>
        <v>0.39500000000000002</v>
      </c>
      <c r="U49" s="2991">
        <f t="shared" si="8"/>
        <v>0.2097</v>
      </c>
      <c r="V49" s="2992">
        <f t="shared" si="8"/>
        <v>0.2097</v>
      </c>
      <c r="W49" s="2993">
        <f t="shared" si="8"/>
        <v>0.2097</v>
      </c>
      <c r="X49" s="2993">
        <v>0.2097</v>
      </c>
      <c r="Y49" s="2994">
        <v>0.2097</v>
      </c>
      <c r="Z49" s="2995">
        <v>0.2097</v>
      </c>
      <c r="AA49" s="2993"/>
      <c r="AB49" s="2993"/>
      <c r="AC49" s="2995"/>
      <c r="AD49" s="2996" t="s">
        <v>923</v>
      </c>
    </row>
    <row r="50" spans="1:31" s="565" customFormat="1" ht="10.199999999999999">
      <c r="A50" s="2102"/>
      <c r="B50" s="2997"/>
      <c r="C50" s="2997"/>
      <c r="D50" s="2997"/>
      <c r="E50" s="2997"/>
      <c r="F50" s="2997"/>
      <c r="G50" s="2997"/>
      <c r="H50" s="2997"/>
      <c r="I50" s="2997"/>
      <c r="J50" s="2997"/>
      <c r="K50" s="2997"/>
      <c r="L50" s="2997"/>
      <c r="M50" s="2997"/>
      <c r="N50" s="2997"/>
      <c r="O50" s="2997"/>
      <c r="P50" s="2997"/>
      <c r="Q50" s="2997"/>
      <c r="R50" s="2997"/>
      <c r="S50" s="2998" t="s">
        <v>25</v>
      </c>
      <c r="T50" s="2997"/>
      <c r="U50" s="2999"/>
      <c r="V50" s="3000"/>
      <c r="W50" s="3001"/>
      <c r="X50" s="3001"/>
      <c r="Y50" s="3002"/>
      <c r="Z50" s="3003"/>
      <c r="AA50" s="3001"/>
      <c r="AB50" s="3001"/>
      <c r="AC50" s="3003"/>
      <c r="AD50" s="3004"/>
    </row>
    <row r="51" spans="1:31" s="319" customFormat="1">
      <c r="A51" s="2108" t="s">
        <v>633</v>
      </c>
      <c r="B51" s="3005">
        <f t="shared" ref="B51:W51" si="9">SUM(B53:B59)</f>
        <v>0.31000000000000005</v>
      </c>
      <c r="C51" s="3005">
        <f t="shared" si="9"/>
        <v>0.31000000000000005</v>
      </c>
      <c r="D51" s="3005">
        <f t="shared" si="9"/>
        <v>0.31000000000000005</v>
      </c>
      <c r="E51" s="3005">
        <f t="shared" si="9"/>
        <v>0.31000000000000005</v>
      </c>
      <c r="F51" s="3005">
        <f t="shared" si="9"/>
        <v>0.31000000000000005</v>
      </c>
      <c r="G51" s="3005">
        <f t="shared" si="9"/>
        <v>0.31000000000000005</v>
      </c>
      <c r="H51" s="3005">
        <f t="shared" si="9"/>
        <v>0.31000000000000005</v>
      </c>
      <c r="I51" s="3005">
        <f t="shared" si="9"/>
        <v>0.31000000000000005</v>
      </c>
      <c r="J51" s="3005">
        <f t="shared" si="9"/>
        <v>0.31</v>
      </c>
      <c r="K51" s="3005">
        <f t="shared" si="9"/>
        <v>0.31000000000000005</v>
      </c>
      <c r="L51" s="3005">
        <f t="shared" si="9"/>
        <v>0.31000000000000005</v>
      </c>
      <c r="M51" s="3005">
        <f t="shared" si="9"/>
        <v>0.31000000000000005</v>
      </c>
      <c r="N51" s="3006">
        <f t="shared" si="9"/>
        <v>0.31000000000000005</v>
      </c>
      <c r="O51" s="3006">
        <f t="shared" si="9"/>
        <v>0.31000000000000005</v>
      </c>
      <c r="P51" s="3006">
        <f t="shared" si="9"/>
        <v>0.31000000000000005</v>
      </c>
      <c r="Q51" s="3006">
        <f t="shared" si="9"/>
        <v>0.31000000000000005</v>
      </c>
      <c r="R51" s="3006">
        <f t="shared" si="9"/>
        <v>0.31000000000000005</v>
      </c>
      <c r="S51" s="3006">
        <f t="shared" si="9"/>
        <v>0.30500000000000005</v>
      </c>
      <c r="T51" s="3006">
        <f t="shared" si="9"/>
        <v>0.30500000000000005</v>
      </c>
      <c r="U51" s="3007">
        <f t="shared" si="9"/>
        <v>1.4700000000000001E-2</v>
      </c>
      <c r="V51" s="3008">
        <f t="shared" si="9"/>
        <v>1.4700000000000001E-2</v>
      </c>
      <c r="W51" s="3009">
        <f t="shared" si="9"/>
        <v>1.4700000000000001E-2</v>
      </c>
      <c r="X51" s="3010">
        <v>1.4700000000000001E-2</v>
      </c>
      <c r="Y51" s="3011">
        <v>1.4700000000000001E-2</v>
      </c>
      <c r="Z51" s="3012">
        <v>1.47E-2</v>
      </c>
      <c r="AA51" s="3010"/>
      <c r="AB51" s="3010"/>
      <c r="AC51" s="3012"/>
      <c r="AD51" s="3013" t="s">
        <v>634</v>
      </c>
    </row>
    <row r="52" spans="1:31" s="319" customFormat="1">
      <c r="A52" s="3014"/>
      <c r="B52" s="1988"/>
      <c r="C52" s="1988"/>
      <c r="D52" s="1988"/>
      <c r="E52" s="1988"/>
      <c r="F52" s="1988"/>
      <c r="G52" s="1988"/>
      <c r="H52" s="1988"/>
      <c r="I52" s="1988"/>
      <c r="J52" s="1988"/>
      <c r="K52" s="1988"/>
      <c r="L52" s="1988"/>
      <c r="M52" s="1988"/>
      <c r="N52" s="1988"/>
      <c r="O52" s="1988"/>
      <c r="P52" s="1988"/>
      <c r="Q52" s="1988"/>
      <c r="R52" s="1988"/>
      <c r="S52" s="2979" t="s">
        <v>25</v>
      </c>
      <c r="T52" s="1988"/>
      <c r="U52" s="3015"/>
      <c r="V52" s="3016"/>
      <c r="W52" s="3017"/>
      <c r="X52" s="3018"/>
      <c r="Y52" s="3019"/>
      <c r="Z52" s="3020"/>
      <c r="AA52" s="3021"/>
      <c r="AB52" s="3021"/>
      <c r="AC52" s="3020"/>
      <c r="AD52" s="3022"/>
    </row>
    <row r="53" spans="1:31" s="319" customFormat="1">
      <c r="A53" s="1944" t="s">
        <v>924</v>
      </c>
      <c r="B53" s="3023">
        <v>0.23699999999999999</v>
      </c>
      <c r="C53" s="3023">
        <v>0.23699999999999999</v>
      </c>
      <c r="D53" s="3023">
        <v>0.23699999999999999</v>
      </c>
      <c r="E53" s="3023">
        <v>0.23699999999999999</v>
      </c>
      <c r="F53" s="3023">
        <v>0.23699999999999999</v>
      </c>
      <c r="G53" s="3023">
        <v>0.23699999999999999</v>
      </c>
      <c r="H53" s="3023">
        <v>0.23699999999999999</v>
      </c>
      <c r="I53" s="3023">
        <v>0.23699999999999999</v>
      </c>
      <c r="J53" s="3024">
        <v>0.23849999999999999</v>
      </c>
      <c r="K53" s="3025">
        <v>0.23300000000000001</v>
      </c>
      <c r="L53" s="3023">
        <v>0.23300000000000001</v>
      </c>
      <c r="M53" s="3023">
        <v>0.23300000000000001</v>
      </c>
      <c r="N53" s="3023">
        <v>0.23300000000000001</v>
      </c>
      <c r="O53" s="3023">
        <v>0.23300000000000001</v>
      </c>
      <c r="P53" s="3023">
        <v>0.23300000000000001</v>
      </c>
      <c r="Q53" s="3023">
        <v>0.23300000000000001</v>
      </c>
      <c r="R53" s="3023">
        <v>0.23300000000000001</v>
      </c>
      <c r="S53" s="3026">
        <v>0.223</v>
      </c>
      <c r="T53" s="2011">
        <v>0.223</v>
      </c>
      <c r="U53" s="3027" t="s">
        <v>18</v>
      </c>
      <c r="V53" s="3028"/>
      <c r="W53" s="3029" t="s">
        <v>18</v>
      </c>
      <c r="X53" s="3029"/>
      <c r="Y53" s="3030"/>
      <c r="Z53" s="3031"/>
      <c r="AA53" s="3032"/>
      <c r="AB53" s="3032"/>
      <c r="AC53" s="3031"/>
      <c r="AD53" s="3033" t="s">
        <v>925</v>
      </c>
    </row>
    <row r="54" spans="1:31" s="319" customFormat="1">
      <c r="A54" s="3034"/>
      <c r="B54" s="3035"/>
      <c r="C54" s="3035"/>
      <c r="D54" s="3035"/>
      <c r="E54" s="3035"/>
      <c r="F54" s="3035"/>
      <c r="G54" s="3035"/>
      <c r="H54" s="3035"/>
      <c r="I54" s="3035"/>
      <c r="J54" s="3036"/>
      <c r="K54" s="3037"/>
      <c r="L54" s="3035"/>
      <c r="M54" s="3035"/>
      <c r="N54" s="3035"/>
      <c r="O54" s="3035"/>
      <c r="P54" s="3035"/>
      <c r="Q54" s="3035"/>
      <c r="R54" s="3035"/>
      <c r="S54" s="2998" t="s">
        <v>25</v>
      </c>
      <c r="T54" s="3038"/>
      <c r="U54" s="3039"/>
      <c r="V54" s="3040"/>
      <c r="W54" s="3041"/>
      <c r="X54" s="3041"/>
      <c r="Y54" s="3042"/>
      <c r="Z54" s="3043"/>
      <c r="AA54" s="3044"/>
      <c r="AB54" s="3044"/>
      <c r="AC54" s="3043"/>
      <c r="AD54" s="3045"/>
    </row>
    <row r="55" spans="1:31" s="319" customFormat="1">
      <c r="A55" s="1944" t="s">
        <v>926</v>
      </c>
      <c r="B55" s="1945">
        <v>2.8000000000000001E-2</v>
      </c>
      <c r="C55" s="1945">
        <v>2.8000000000000001E-2</v>
      </c>
      <c r="D55" s="1945">
        <v>2.8000000000000001E-2</v>
      </c>
      <c r="E55" s="1945">
        <v>2.8000000000000001E-2</v>
      </c>
      <c r="F55" s="1945">
        <v>2.8000000000000001E-2</v>
      </c>
      <c r="G55" s="1945">
        <v>2.8000000000000001E-2</v>
      </c>
      <c r="H55" s="1945">
        <v>2.8000000000000001E-2</v>
      </c>
      <c r="I55" s="1945">
        <v>2.8000000000000001E-2</v>
      </c>
      <c r="J55" s="3046">
        <v>2.9000000000000001E-2</v>
      </c>
      <c r="K55" s="3046">
        <v>3.4000000000000002E-2</v>
      </c>
      <c r="L55" s="3047">
        <v>3.4000000000000002E-2</v>
      </c>
      <c r="M55" s="3047">
        <v>3.4000000000000002E-2</v>
      </c>
      <c r="N55" s="3047">
        <v>3.4000000000000002E-2</v>
      </c>
      <c r="O55" s="3047">
        <v>3.4000000000000002E-2</v>
      </c>
      <c r="P55" s="3047">
        <v>3.4000000000000002E-2</v>
      </c>
      <c r="Q55" s="3047">
        <v>3.4000000000000002E-2</v>
      </c>
      <c r="R55" s="3047">
        <v>3.4000000000000002E-2</v>
      </c>
      <c r="S55" s="3048">
        <v>3.4000000000000002E-2</v>
      </c>
      <c r="T55" s="3046">
        <v>3.5999999999999997E-2</v>
      </c>
      <c r="U55" s="3027" t="s">
        <v>18</v>
      </c>
      <c r="V55" s="3049"/>
      <c r="W55" s="3050" t="s">
        <v>18</v>
      </c>
      <c r="X55" s="3050"/>
      <c r="Y55" s="3051"/>
      <c r="Z55" s="3052"/>
      <c r="AA55" s="3053"/>
      <c r="AB55" s="3053"/>
      <c r="AC55" s="3052"/>
      <c r="AD55" s="3033" t="s">
        <v>927</v>
      </c>
    </row>
    <row r="56" spans="1:31" s="319" customFormat="1">
      <c r="A56" s="1944" t="s">
        <v>928</v>
      </c>
      <c r="B56" s="1945">
        <v>0.03</v>
      </c>
      <c r="C56" s="1945">
        <v>0.03</v>
      </c>
      <c r="D56" s="1945">
        <v>0.03</v>
      </c>
      <c r="E56" s="1945">
        <v>0.03</v>
      </c>
      <c r="F56" s="1945">
        <v>0.03</v>
      </c>
      <c r="G56" s="1945">
        <v>0.03</v>
      </c>
      <c r="H56" s="1945">
        <v>0.03</v>
      </c>
      <c r="I56" s="1945">
        <v>0.03</v>
      </c>
      <c r="J56" s="1945">
        <v>0.03</v>
      </c>
      <c r="K56" s="1945">
        <v>0.03</v>
      </c>
      <c r="L56" s="1945">
        <v>0.03</v>
      </c>
      <c r="M56" s="1945">
        <v>0.03</v>
      </c>
      <c r="N56" s="1945">
        <v>0.03</v>
      </c>
      <c r="O56" s="1945">
        <v>0.03</v>
      </c>
      <c r="P56" s="1945">
        <v>0.03</v>
      </c>
      <c r="Q56" s="1945">
        <v>0.03</v>
      </c>
      <c r="R56" s="1945">
        <v>0.03</v>
      </c>
      <c r="S56" s="1945">
        <v>0.03</v>
      </c>
      <c r="T56" s="1945">
        <v>0.03</v>
      </c>
      <c r="U56" s="3027" t="s">
        <v>18</v>
      </c>
      <c r="V56" s="3028"/>
      <c r="W56" s="3029" t="s">
        <v>18</v>
      </c>
      <c r="X56" s="3029"/>
      <c r="Y56" s="3030"/>
      <c r="Z56" s="3031"/>
      <c r="AA56" s="3032"/>
      <c r="AB56" s="3032"/>
      <c r="AC56" s="3031"/>
      <c r="AD56" s="3033" t="s">
        <v>929</v>
      </c>
    </row>
    <row r="57" spans="1:31" s="319" customFormat="1">
      <c r="A57" s="1948" t="s">
        <v>930</v>
      </c>
      <c r="B57" s="3054">
        <v>1.2E-2</v>
      </c>
      <c r="C57" s="3054">
        <v>1.2E-2</v>
      </c>
      <c r="D57" s="3054">
        <v>1.2E-2</v>
      </c>
      <c r="E57" s="3054">
        <v>1.2E-2</v>
      </c>
      <c r="F57" s="3054">
        <v>1.2E-2</v>
      </c>
      <c r="G57" s="3054">
        <v>1.2E-2</v>
      </c>
      <c r="H57" s="3054">
        <v>1.2E-2</v>
      </c>
      <c r="I57" s="3054">
        <v>1.2E-2</v>
      </c>
      <c r="J57" s="3055">
        <v>9.4999999999999998E-3</v>
      </c>
      <c r="K57" s="1954">
        <v>0.01</v>
      </c>
      <c r="L57" s="3056">
        <v>1.0999999999999999E-2</v>
      </c>
      <c r="M57" s="3057">
        <v>1.0999999999999999E-2</v>
      </c>
      <c r="N57" s="3057">
        <v>1.0999999999999999E-2</v>
      </c>
      <c r="O57" s="3057">
        <v>1.0999999999999999E-2</v>
      </c>
      <c r="P57" s="3057">
        <v>1.0999999999999999E-2</v>
      </c>
      <c r="Q57" s="3057">
        <v>1.0999999999999999E-2</v>
      </c>
      <c r="R57" s="3057">
        <v>1.0999999999999999E-2</v>
      </c>
      <c r="S57" s="3056">
        <v>1.6E-2</v>
      </c>
      <c r="T57" s="1952">
        <v>1.4E-2</v>
      </c>
      <c r="U57" s="3058">
        <v>1.3100000000000001E-2</v>
      </c>
      <c r="V57" s="3059">
        <v>1.3100000000000001E-2</v>
      </c>
      <c r="W57" s="3060">
        <v>1.3100000000000001E-2</v>
      </c>
      <c r="X57" s="3060">
        <v>1.3100000000000001E-2</v>
      </c>
      <c r="Y57" s="3061">
        <v>1.3100000000000001E-2</v>
      </c>
      <c r="Z57" s="3062">
        <v>1.3100000000000001E-2</v>
      </c>
      <c r="AA57" s="3060"/>
      <c r="AB57" s="3060"/>
      <c r="AC57" s="3062"/>
      <c r="AD57" s="3063" t="s">
        <v>931</v>
      </c>
    </row>
    <row r="58" spans="1:31" s="319" customFormat="1" ht="14.4">
      <c r="A58" s="3064"/>
      <c r="B58" s="3065"/>
      <c r="C58" s="3065"/>
      <c r="D58" s="3065"/>
      <c r="E58" s="3065"/>
      <c r="F58" s="3065"/>
      <c r="G58" s="3065"/>
      <c r="H58" s="3065"/>
      <c r="I58" s="3065"/>
      <c r="J58" s="3066"/>
      <c r="K58" s="3067"/>
      <c r="L58" s="3068"/>
      <c r="M58" s="3069"/>
      <c r="N58" s="3069"/>
      <c r="O58" s="3069"/>
      <c r="P58" s="3069"/>
      <c r="Q58" s="3069"/>
      <c r="R58" s="3069"/>
      <c r="S58" s="2998" t="s">
        <v>25</v>
      </c>
      <c r="T58" s="3068"/>
      <c r="U58" s="3070"/>
      <c r="V58" s="3040"/>
      <c r="W58" s="3041"/>
      <c r="X58" s="3041"/>
      <c r="Y58" s="3042"/>
      <c r="Z58" s="3043"/>
      <c r="AA58" s="3044"/>
      <c r="AB58" s="3044"/>
      <c r="AC58" s="3043"/>
      <c r="AD58" s="3071"/>
    </row>
    <row r="59" spans="1:31" s="419" customFormat="1" ht="13.2">
      <c r="A59" s="3072" t="s">
        <v>932</v>
      </c>
      <c r="B59" s="3073">
        <v>3.0000000000000001E-3</v>
      </c>
      <c r="C59" s="3073">
        <v>3.0000000000000001E-3</v>
      </c>
      <c r="D59" s="3073">
        <v>3.0000000000000001E-3</v>
      </c>
      <c r="E59" s="3073">
        <v>3.0000000000000001E-3</v>
      </c>
      <c r="F59" s="3073">
        <v>3.0000000000000001E-3</v>
      </c>
      <c r="G59" s="3073">
        <v>3.0000000000000001E-3</v>
      </c>
      <c r="H59" s="3073">
        <v>3.0000000000000001E-3</v>
      </c>
      <c r="I59" s="3073">
        <v>3.0000000000000001E-3</v>
      </c>
      <c r="J59" s="3074">
        <v>3.0000000000000001E-3</v>
      </c>
      <c r="K59" s="3074">
        <v>3.0000000000000001E-3</v>
      </c>
      <c r="L59" s="3075">
        <v>2E-3</v>
      </c>
      <c r="M59" s="3076">
        <v>2E-3</v>
      </c>
      <c r="N59" s="3076">
        <v>2E-3</v>
      </c>
      <c r="O59" s="3076">
        <v>2E-3</v>
      </c>
      <c r="P59" s="3076">
        <v>2E-3</v>
      </c>
      <c r="Q59" s="3076">
        <v>2E-3</v>
      </c>
      <c r="R59" s="3076">
        <v>2E-3</v>
      </c>
      <c r="S59" s="3077">
        <v>2E-3</v>
      </c>
      <c r="T59" s="3077">
        <v>2E-3</v>
      </c>
      <c r="U59" s="3078">
        <v>1.6000000000000001E-3</v>
      </c>
      <c r="V59" s="3079">
        <v>1.6000000000000001E-3</v>
      </c>
      <c r="W59" s="3077">
        <v>1.6000000000000001E-3</v>
      </c>
      <c r="X59" s="3077">
        <v>1.6000000000000001E-3</v>
      </c>
      <c r="Y59" s="3080">
        <v>1.6000000000000001E-3</v>
      </c>
      <c r="Z59" s="3081">
        <v>1.6000000000000001E-3</v>
      </c>
      <c r="AA59" s="3077"/>
      <c r="AB59" s="3077"/>
      <c r="AC59" s="3081"/>
      <c r="AD59" s="3082" t="s">
        <v>933</v>
      </c>
    </row>
    <row r="60" spans="1:31" s="3094" customFormat="1" ht="12">
      <c r="A60" s="3083" t="s">
        <v>934</v>
      </c>
      <c r="B60" s="3084"/>
      <c r="C60" s="3085"/>
      <c r="D60" s="3085"/>
      <c r="E60" s="3085"/>
      <c r="F60" s="3085"/>
      <c r="G60" s="3085"/>
      <c r="H60" s="3085"/>
      <c r="I60" s="3086">
        <v>0.01</v>
      </c>
      <c r="J60" s="3086">
        <v>0.01</v>
      </c>
      <c r="K60" s="3086">
        <v>0.01</v>
      </c>
      <c r="L60" s="3087">
        <v>8.9999999999999993E-3</v>
      </c>
      <c r="M60" s="3088">
        <v>8.9999999999999993E-3</v>
      </c>
      <c r="N60" s="3087">
        <v>1.8E-3</v>
      </c>
      <c r="O60" s="3088">
        <v>1.8E-3</v>
      </c>
      <c r="P60" s="3088">
        <v>1.8E-3</v>
      </c>
      <c r="Q60" s="3088">
        <v>1.8E-3</v>
      </c>
      <c r="R60" s="3088">
        <v>1.8E-3</v>
      </c>
      <c r="S60" s="3088">
        <v>1.8E-3</v>
      </c>
      <c r="T60" s="3088">
        <v>1.8E-3</v>
      </c>
      <c r="U60" s="3089">
        <v>1.4E-3</v>
      </c>
      <c r="V60" s="3090">
        <v>1.4E-3</v>
      </c>
      <c r="W60" s="3088">
        <v>1.4E-3</v>
      </c>
      <c r="X60" s="3088">
        <v>1.4E-3</v>
      </c>
      <c r="Y60" s="3091">
        <v>1.4E-3</v>
      </c>
      <c r="Z60" s="3092">
        <v>1.4E-3</v>
      </c>
      <c r="AA60" s="3088"/>
      <c r="AB60" s="3088"/>
      <c r="AC60" s="3092"/>
      <c r="AD60" s="3093" t="s">
        <v>935</v>
      </c>
    </row>
    <row r="61" spans="1:31" s="3094" customFormat="1" ht="12">
      <c r="A61" s="3083" t="s">
        <v>936</v>
      </c>
      <c r="B61" s="3084"/>
      <c r="C61" s="3085"/>
      <c r="D61" s="3085"/>
      <c r="E61" s="3085"/>
      <c r="F61" s="3085"/>
      <c r="G61" s="3085"/>
      <c r="H61" s="3085"/>
      <c r="I61" s="3086">
        <v>4.4000000000000003E-3</v>
      </c>
      <c r="J61" s="3095">
        <v>4.1000000000000003E-3</v>
      </c>
      <c r="K61" s="3095">
        <v>4.0000000000000001E-3</v>
      </c>
      <c r="L61" s="3087">
        <v>3.3E-3</v>
      </c>
      <c r="M61" s="3089">
        <v>3.8E-3</v>
      </c>
      <c r="N61" s="3089">
        <v>4.1999999999999997E-3</v>
      </c>
      <c r="O61" s="3088">
        <v>4.1999999999999997E-3</v>
      </c>
      <c r="P61" s="3087">
        <v>3.7000000000000002E-3</v>
      </c>
      <c r="Q61" s="3088">
        <v>3.7000000000000002E-3</v>
      </c>
      <c r="R61" s="3088">
        <v>3.7000000000000002E-3</v>
      </c>
      <c r="S61" s="3089">
        <v>3.8999999999999998E-3</v>
      </c>
      <c r="T61" s="3096">
        <v>4.3E-3</v>
      </c>
      <c r="U61" s="3089">
        <v>3.5999999999999999E-3</v>
      </c>
      <c r="V61" s="3090">
        <v>4.0000000000000001E-3</v>
      </c>
      <c r="W61" s="3088">
        <v>4.7000000000000002E-3</v>
      </c>
      <c r="X61" s="3088">
        <v>4.7000000000000002E-3</v>
      </c>
      <c r="Y61" s="3097">
        <v>5.4000000000000003E-3</v>
      </c>
      <c r="Z61" s="3098">
        <v>4.5999999999999999E-3</v>
      </c>
      <c r="AA61" s="3089"/>
      <c r="AB61" s="3089"/>
      <c r="AC61" s="3098"/>
      <c r="AD61" s="3093" t="s">
        <v>937</v>
      </c>
    </row>
    <row r="62" spans="1:31" s="3094" customFormat="1" ht="12">
      <c r="A62" s="3083" t="s">
        <v>938</v>
      </c>
      <c r="B62" s="3085"/>
      <c r="C62" s="3085"/>
      <c r="D62" s="3085"/>
      <c r="E62" s="3085"/>
      <c r="F62" s="3085"/>
      <c r="G62" s="3085"/>
      <c r="H62" s="3085"/>
      <c r="I62" s="3086">
        <v>2.8E-3</v>
      </c>
      <c r="J62" s="3086">
        <v>2.8E-3</v>
      </c>
      <c r="K62" s="3086">
        <v>2.8E-3</v>
      </c>
      <c r="L62" s="3087">
        <v>1.8E-3</v>
      </c>
      <c r="M62" s="3088">
        <v>1.8E-3</v>
      </c>
      <c r="N62" s="3089">
        <v>8.9999999999999993E-3</v>
      </c>
      <c r="O62" s="3088">
        <v>8.9999999999999993E-3</v>
      </c>
      <c r="P62" s="3088">
        <v>8.9999999999999993E-3</v>
      </c>
      <c r="Q62" s="3088">
        <v>8.9999999999999993E-3</v>
      </c>
      <c r="R62" s="3088">
        <v>8.9999999999999993E-3</v>
      </c>
      <c r="S62" s="3088">
        <v>8.9999999999999993E-3</v>
      </c>
      <c r="T62" s="3088">
        <v>8.9999999999999993E-3</v>
      </c>
      <c r="U62" s="3089">
        <v>7.0000000000000001E-3</v>
      </c>
      <c r="V62" s="3090">
        <v>7.0000000000000001E-3</v>
      </c>
      <c r="W62" s="3088">
        <v>7.0000000000000001E-3</v>
      </c>
      <c r="X62" s="3088">
        <v>7.0000000000000001E-3</v>
      </c>
      <c r="Y62" s="3091">
        <v>7.0000000000000001E-3</v>
      </c>
      <c r="Z62" s="3092">
        <v>7.0000000000000001E-3</v>
      </c>
      <c r="AA62" s="3088"/>
      <c r="AB62" s="3088"/>
      <c r="AC62" s="3092"/>
      <c r="AD62" s="3093" t="s">
        <v>939</v>
      </c>
    </row>
    <row r="63" spans="1:31" s="3094" customFormat="1" ht="12">
      <c r="A63" s="3083" t="s">
        <v>940</v>
      </c>
      <c r="B63" s="3085" t="s">
        <v>18</v>
      </c>
      <c r="C63" s="3085" t="s">
        <v>18</v>
      </c>
      <c r="D63" s="3085" t="s">
        <v>18</v>
      </c>
      <c r="E63" s="3085" t="s">
        <v>18</v>
      </c>
      <c r="F63" s="3085" t="s">
        <v>18</v>
      </c>
      <c r="G63" s="3085" t="s">
        <v>18</v>
      </c>
      <c r="H63" s="3085" t="s">
        <v>18</v>
      </c>
      <c r="I63" s="3085" t="s">
        <v>18</v>
      </c>
      <c r="J63" s="3085" t="s">
        <v>18</v>
      </c>
      <c r="K63" s="3085" t="s">
        <v>18</v>
      </c>
      <c r="L63" s="3085" t="s">
        <v>18</v>
      </c>
      <c r="M63" s="3085" t="s">
        <v>18</v>
      </c>
      <c r="N63" s="3099">
        <v>1.7999999999999999E-2</v>
      </c>
      <c r="O63" s="3100">
        <v>1.7999999999999999E-2</v>
      </c>
      <c r="P63" s="3100">
        <v>1.7999999999999999E-2</v>
      </c>
      <c r="Q63" s="3100">
        <v>1.7999999999999999E-2</v>
      </c>
      <c r="R63" s="3100">
        <v>1.7999999999999999E-2</v>
      </c>
      <c r="S63" s="3100">
        <v>1.7999999999999999E-2</v>
      </c>
      <c r="T63" s="3100">
        <v>1.7999999999999999E-2</v>
      </c>
      <c r="U63" s="3089">
        <v>1.4E-2</v>
      </c>
      <c r="V63" s="3090">
        <v>1.4E-2</v>
      </c>
      <c r="W63" s="3088">
        <v>1.4E-2</v>
      </c>
      <c r="X63" s="3088">
        <v>1.4E-2</v>
      </c>
      <c r="Y63" s="3091">
        <v>1.4E-2</v>
      </c>
      <c r="Z63" s="3092">
        <v>1.4E-2</v>
      </c>
      <c r="AA63" s="3088"/>
      <c r="AB63" s="3088"/>
      <c r="AC63" s="3092"/>
      <c r="AD63" s="3093" t="s">
        <v>941</v>
      </c>
    </row>
    <row r="64" spans="1:31" s="319" customFormat="1">
      <c r="A64" s="3101" t="s">
        <v>643</v>
      </c>
      <c r="B64" s="3102">
        <f t="shared" ref="B64:W64" si="10">SUM(B65:B67)</f>
        <v>3.0000000000000002E-2</v>
      </c>
      <c r="C64" s="3102">
        <f t="shared" si="10"/>
        <v>3.0000000000000002E-2</v>
      </c>
      <c r="D64" s="3102">
        <f t="shared" si="10"/>
        <v>3.0000000000000002E-2</v>
      </c>
      <c r="E64" s="3102">
        <f t="shared" si="10"/>
        <v>3.0000000000000002E-2</v>
      </c>
      <c r="F64" s="3102">
        <f t="shared" si="10"/>
        <v>3.0000000000000002E-2</v>
      </c>
      <c r="G64" s="3102">
        <f t="shared" si="10"/>
        <v>3.0000000000000002E-2</v>
      </c>
      <c r="H64" s="3102">
        <f t="shared" si="10"/>
        <v>3.0000000000000002E-2</v>
      </c>
      <c r="I64" s="3102">
        <f t="shared" si="10"/>
        <v>3.0000000000000002E-2</v>
      </c>
      <c r="J64" s="3102">
        <f t="shared" si="10"/>
        <v>3.0000000000000002E-2</v>
      </c>
      <c r="K64" s="3102">
        <f t="shared" si="10"/>
        <v>0.09</v>
      </c>
      <c r="L64" s="3102">
        <f t="shared" si="10"/>
        <v>0.09</v>
      </c>
      <c r="M64" s="3102">
        <f t="shared" si="10"/>
        <v>0.09</v>
      </c>
      <c r="N64" s="3102">
        <f t="shared" si="10"/>
        <v>0.09</v>
      </c>
      <c r="O64" s="3102">
        <f t="shared" si="10"/>
        <v>0.09</v>
      </c>
      <c r="P64" s="3102">
        <f t="shared" si="10"/>
        <v>0.09</v>
      </c>
      <c r="Q64" s="3102">
        <f t="shared" si="10"/>
        <v>0.09</v>
      </c>
      <c r="R64" s="3102">
        <f t="shared" si="10"/>
        <v>0.09</v>
      </c>
      <c r="S64" s="3102">
        <f t="shared" si="10"/>
        <v>0.09</v>
      </c>
      <c r="T64" s="3102">
        <f t="shared" si="10"/>
        <v>0.09</v>
      </c>
      <c r="U64" s="3103">
        <f t="shared" si="10"/>
        <v>0.19500000000000001</v>
      </c>
      <c r="V64" s="3104">
        <f t="shared" si="10"/>
        <v>0.19500000000000001</v>
      </c>
      <c r="W64" s="3105">
        <f t="shared" si="10"/>
        <v>0.19500000000000001</v>
      </c>
      <c r="X64" s="3106">
        <v>0.19500000000000001</v>
      </c>
      <c r="Y64" s="3107">
        <v>0.19500000000000001</v>
      </c>
      <c r="Z64" s="3108">
        <v>0.19500000000000001</v>
      </c>
      <c r="AA64" s="3106"/>
      <c r="AB64" s="3106"/>
      <c r="AC64" s="3108"/>
      <c r="AD64" s="3109" t="s">
        <v>644</v>
      </c>
      <c r="AE64" s="3110"/>
    </row>
    <row r="65" spans="1:32" s="419" customFormat="1" ht="13.2">
      <c r="A65" s="3111" t="s">
        <v>924</v>
      </c>
      <c r="B65" s="3112">
        <v>2.5000000000000001E-2</v>
      </c>
      <c r="C65" s="3112">
        <v>2.5000000000000001E-2</v>
      </c>
      <c r="D65" s="3112">
        <v>2.5000000000000001E-2</v>
      </c>
      <c r="E65" s="3112">
        <v>2.5000000000000001E-2</v>
      </c>
      <c r="F65" s="3112">
        <v>2.5000000000000001E-2</v>
      </c>
      <c r="G65" s="3112">
        <v>2.5000000000000001E-2</v>
      </c>
      <c r="H65" s="3112">
        <v>2.5000000000000001E-2</v>
      </c>
      <c r="I65" s="3112">
        <v>2.5000000000000001E-2</v>
      </c>
      <c r="J65" s="3112">
        <v>2.5000000000000001E-2</v>
      </c>
      <c r="K65" s="3113">
        <v>0.03</v>
      </c>
      <c r="L65" s="3114">
        <v>0.03</v>
      </c>
      <c r="M65" s="3114">
        <v>0.03</v>
      </c>
      <c r="N65" s="3114">
        <v>0.03</v>
      </c>
      <c r="O65" s="3114">
        <v>0.03</v>
      </c>
      <c r="P65" s="3114">
        <v>0.03</v>
      </c>
      <c r="Q65" s="3114">
        <v>0.03</v>
      </c>
      <c r="R65" s="3114">
        <v>0.03</v>
      </c>
      <c r="S65" s="3114">
        <v>0.03</v>
      </c>
      <c r="T65" s="3114">
        <v>0.03</v>
      </c>
      <c r="U65" s="3078">
        <v>8.72E-2</v>
      </c>
      <c r="V65" s="3079">
        <v>8.72E-2</v>
      </c>
      <c r="W65" s="3077">
        <v>8.72E-2</v>
      </c>
      <c r="X65" s="3077">
        <v>8.72E-2</v>
      </c>
      <c r="Y65" s="3080">
        <v>8.72E-2</v>
      </c>
      <c r="Z65" s="3081">
        <v>8.72E-2</v>
      </c>
      <c r="AA65" s="3077"/>
      <c r="AB65" s="3077"/>
      <c r="AC65" s="3081"/>
      <c r="AD65" s="3115" t="s">
        <v>942</v>
      </c>
      <c r="AE65" s="3116"/>
    </row>
    <row r="66" spans="1:32" s="419" customFormat="1" ht="13.2">
      <c r="A66" s="3111" t="s">
        <v>926</v>
      </c>
      <c r="B66" s="3073">
        <v>5.0000000000000001E-3</v>
      </c>
      <c r="C66" s="3073">
        <v>5.0000000000000001E-3</v>
      </c>
      <c r="D66" s="3073">
        <v>5.0000000000000001E-3</v>
      </c>
      <c r="E66" s="3073">
        <v>5.0000000000000001E-3</v>
      </c>
      <c r="F66" s="3073">
        <v>5.0000000000000001E-3</v>
      </c>
      <c r="G66" s="3073">
        <v>5.0000000000000001E-3</v>
      </c>
      <c r="H66" s="3073">
        <v>5.0000000000000001E-3</v>
      </c>
      <c r="I66" s="3073">
        <v>5.0000000000000001E-3</v>
      </c>
      <c r="J66" s="3073">
        <v>5.0000000000000001E-3</v>
      </c>
      <c r="K66" s="3117" t="s">
        <v>18</v>
      </c>
      <c r="L66" s="3118" t="s">
        <v>18</v>
      </c>
      <c r="M66" s="3118" t="s">
        <v>18</v>
      </c>
      <c r="N66" s="3118" t="s">
        <v>18</v>
      </c>
      <c r="O66" s="3118" t="s">
        <v>18</v>
      </c>
      <c r="P66" s="3118" t="s">
        <v>18</v>
      </c>
      <c r="Q66" s="3118" t="s">
        <v>18</v>
      </c>
      <c r="R66" s="3118" t="s">
        <v>18</v>
      </c>
      <c r="S66" s="3118" t="s">
        <v>18</v>
      </c>
      <c r="T66" s="3118" t="s">
        <v>18</v>
      </c>
      <c r="U66" s="3078">
        <f>2.09%+1.71%</f>
        <v>3.7999999999999999E-2</v>
      </c>
      <c r="V66" s="3079">
        <f>2.09%+1.71%</f>
        <v>3.7999999999999999E-2</v>
      </c>
      <c r="W66" s="3077">
        <f>2.09%+1.71%</f>
        <v>3.7999999999999999E-2</v>
      </c>
      <c r="X66" s="3077">
        <v>3.8000000000000006E-2</v>
      </c>
      <c r="Y66" s="3080">
        <v>3.8000000000000006E-2</v>
      </c>
      <c r="Z66" s="3081">
        <v>3.7999999999999999E-2</v>
      </c>
      <c r="AA66" s="3077"/>
      <c r="AB66" s="3077"/>
      <c r="AC66" s="3081"/>
      <c r="AD66" s="3119" t="s">
        <v>943</v>
      </c>
    </row>
    <row r="67" spans="1:32" s="419" customFormat="1" ht="13.2">
      <c r="A67" s="1944" t="s">
        <v>928</v>
      </c>
      <c r="B67" s="3054"/>
      <c r="C67" s="3120"/>
      <c r="D67" s="1950"/>
      <c r="E67" s="1951"/>
      <c r="F67" s="1951"/>
      <c r="G67" s="1951"/>
      <c r="H67" s="1993"/>
      <c r="I67" s="1951"/>
      <c r="J67" s="1951"/>
      <c r="K67" s="1954">
        <v>0.06</v>
      </c>
      <c r="L67" s="1951">
        <v>0.06</v>
      </c>
      <c r="M67" s="1951">
        <v>0.06</v>
      </c>
      <c r="N67" s="1951">
        <v>0.06</v>
      </c>
      <c r="O67" s="1951">
        <v>0.06</v>
      </c>
      <c r="P67" s="1951">
        <v>0.06</v>
      </c>
      <c r="Q67" s="1951">
        <v>0.06</v>
      </c>
      <c r="R67" s="1951">
        <v>0.06</v>
      </c>
      <c r="S67" s="1951">
        <v>0.06</v>
      </c>
      <c r="T67" s="1951">
        <v>0.06</v>
      </c>
      <c r="U67" s="3121">
        <v>6.9800000000000001E-2</v>
      </c>
      <c r="V67" s="3122">
        <v>6.9800000000000001E-2</v>
      </c>
      <c r="W67" s="3123">
        <v>6.9800000000000001E-2</v>
      </c>
      <c r="X67" s="3123">
        <v>6.9800000000000001E-2</v>
      </c>
      <c r="Y67" s="3124">
        <v>6.9800000000000001E-2</v>
      </c>
      <c r="Z67" s="3125">
        <v>6.9800000000000001E-2</v>
      </c>
      <c r="AA67" s="3126"/>
      <c r="AB67" s="3126"/>
      <c r="AC67" s="3125"/>
      <c r="AD67" s="3127" t="s">
        <v>944</v>
      </c>
    </row>
    <row r="68" spans="1:32" s="419" customFormat="1" ht="46.8">
      <c r="A68" s="3128" t="s">
        <v>945</v>
      </c>
      <c r="B68" s="3129"/>
      <c r="C68" s="3130"/>
      <c r="D68" s="3130"/>
      <c r="E68" s="3130"/>
      <c r="F68" s="3131">
        <v>2.5</v>
      </c>
      <c r="G68" s="3131">
        <v>3.5</v>
      </c>
      <c r="H68" s="3132">
        <v>4.5</v>
      </c>
      <c r="I68" s="3131">
        <v>5.5</v>
      </c>
      <c r="J68" s="3131">
        <v>5.5</v>
      </c>
      <c r="K68" s="3133">
        <v>2</v>
      </c>
      <c r="L68" s="3134">
        <v>2</v>
      </c>
      <c r="M68" s="3135">
        <v>2</v>
      </c>
      <c r="N68" s="3136">
        <v>1.5</v>
      </c>
      <c r="O68" s="3136">
        <v>2.5</v>
      </c>
      <c r="P68" s="3133" t="s">
        <v>946</v>
      </c>
      <c r="Q68" s="3135" t="s">
        <v>946</v>
      </c>
      <c r="R68" s="3133" t="s">
        <v>947</v>
      </c>
      <c r="S68" s="3135" t="s">
        <v>947</v>
      </c>
      <c r="T68" s="3135" t="s">
        <v>947</v>
      </c>
      <c r="U68" s="3137" t="s">
        <v>948</v>
      </c>
      <c r="V68" s="3137" t="s">
        <v>949</v>
      </c>
      <c r="W68" s="3137" t="s">
        <v>950</v>
      </c>
      <c r="X68" s="3137" t="s">
        <v>951</v>
      </c>
      <c r="Y68" s="3137" t="s">
        <v>952</v>
      </c>
      <c r="Z68" s="3138" t="s">
        <v>952</v>
      </c>
      <c r="AA68" s="3138"/>
      <c r="AB68" s="3138"/>
      <c r="AC68" s="3138"/>
      <c r="AD68" s="3139" t="s">
        <v>953</v>
      </c>
    </row>
    <row r="69" spans="1:32" s="419" customFormat="1">
      <c r="A69" s="3140" t="s">
        <v>129</v>
      </c>
      <c r="B69" s="3141"/>
      <c r="C69" s="3142"/>
      <c r="D69" s="3142"/>
      <c r="E69" s="3143"/>
      <c r="F69" s="3143"/>
      <c r="G69" s="3143"/>
      <c r="H69" s="3144"/>
      <c r="I69" s="3145">
        <v>0.15</v>
      </c>
      <c r="J69" s="3146">
        <v>0.15</v>
      </c>
      <c r="K69" s="3147">
        <v>0.19</v>
      </c>
      <c r="L69" s="3147">
        <v>0.28999999999999998</v>
      </c>
      <c r="M69" s="3148">
        <v>0.375</v>
      </c>
      <c r="N69" s="3149">
        <v>0.375</v>
      </c>
      <c r="O69" s="3149">
        <v>0.375</v>
      </c>
      <c r="P69" s="3149">
        <v>0.375</v>
      </c>
      <c r="Q69" s="3149">
        <v>0.375</v>
      </c>
      <c r="R69" s="3149">
        <v>0.375</v>
      </c>
      <c r="S69" s="3148">
        <v>0.377</v>
      </c>
      <c r="T69" s="3148">
        <v>0.379</v>
      </c>
      <c r="U69" s="3148">
        <v>0.19500000000000001</v>
      </c>
      <c r="V69" s="3150">
        <v>0.19500000000000001</v>
      </c>
      <c r="W69" s="3151">
        <v>0.19500000000000001</v>
      </c>
      <c r="X69" s="3151">
        <v>0.19500000000000001</v>
      </c>
      <c r="Y69" s="3152">
        <v>0.19500000000000001</v>
      </c>
      <c r="Z69" s="3153">
        <v>0.19500000000000001</v>
      </c>
      <c r="AA69" s="3153"/>
      <c r="AB69" s="3153"/>
      <c r="AC69" s="3153"/>
      <c r="AD69" s="3154" t="s">
        <v>954</v>
      </c>
    </row>
    <row r="70" spans="1:32" s="419" customFormat="1" ht="39" customHeight="1">
      <c r="A70" s="3155" t="s">
        <v>955</v>
      </c>
      <c r="B70" s="3156"/>
      <c r="C70" s="3157"/>
      <c r="D70" s="3157"/>
      <c r="E70" s="3158"/>
      <c r="F70" s="3158"/>
      <c r="G70" s="3158"/>
      <c r="H70" s="3159"/>
      <c r="I70" s="4771" t="s">
        <v>956</v>
      </c>
      <c r="J70" s="4772"/>
      <c r="K70" s="4773" t="s">
        <v>957</v>
      </c>
      <c r="L70" s="4771"/>
      <c r="M70" s="4771"/>
      <c r="N70" s="4771"/>
      <c r="O70" s="4771"/>
      <c r="P70" s="4771"/>
      <c r="Q70" s="4771"/>
      <c r="R70" s="4771"/>
      <c r="S70" s="4771"/>
      <c r="T70" s="4772"/>
      <c r="U70" s="4774" t="s">
        <v>958</v>
      </c>
      <c r="V70" s="4775"/>
      <c r="W70" s="4775"/>
      <c r="X70" s="4775"/>
      <c r="Y70" s="4776"/>
      <c r="Z70" s="3160"/>
      <c r="AA70" s="3160"/>
      <c r="AB70" s="3160"/>
      <c r="AC70" s="3160"/>
      <c r="AD70" s="3161" t="s">
        <v>959</v>
      </c>
      <c r="AE70" s="3116"/>
    </row>
    <row r="71" spans="1:32" ht="18" customHeight="1">
      <c r="A71" s="3128" t="s">
        <v>140</v>
      </c>
      <c r="B71" s="3129"/>
      <c r="C71" s="3130"/>
      <c r="D71" s="3130"/>
      <c r="E71" s="3162"/>
      <c r="F71" s="3162"/>
      <c r="G71" s="3162"/>
      <c r="H71" s="3163"/>
      <c r="I71" s="3164">
        <f>I3*12/50</f>
        <v>45.180722891566262</v>
      </c>
      <c r="J71" s="3164">
        <f>J3*12/50</f>
        <v>55.607043558850783</v>
      </c>
      <c r="K71" s="3164">
        <f t="shared" ref="K71:T71" si="11">K3*12</f>
        <v>2780.3521779425391</v>
      </c>
      <c r="L71" s="3165">
        <f t="shared" si="11"/>
        <v>2780.3521779425391</v>
      </c>
      <c r="M71" s="3165">
        <f t="shared" si="11"/>
        <v>2780.3521779425391</v>
      </c>
      <c r="N71" s="3164">
        <f t="shared" si="11"/>
        <v>2853.3364226135313</v>
      </c>
      <c r="O71" s="3164">
        <f t="shared" si="11"/>
        <v>3475.4402224281744</v>
      </c>
      <c r="P71" s="3164">
        <f t="shared" si="11"/>
        <v>3600</v>
      </c>
      <c r="Q71" s="3165">
        <f t="shared" si="11"/>
        <v>3600</v>
      </c>
      <c r="R71" s="3164">
        <f t="shared" si="11"/>
        <v>4200</v>
      </c>
      <c r="S71" s="3164">
        <f t="shared" si="11"/>
        <v>4560</v>
      </c>
      <c r="T71" s="3164">
        <f t="shared" si="11"/>
        <v>4800</v>
      </c>
      <c r="U71" s="3164">
        <f>U3*12</f>
        <v>6660</v>
      </c>
      <c r="V71" s="3166">
        <f>V3*12</f>
        <v>7284</v>
      </c>
      <c r="W71" s="3164">
        <f>W3*12</f>
        <v>7704</v>
      </c>
      <c r="X71" s="3164">
        <v>8760</v>
      </c>
      <c r="Y71" s="3167">
        <v>10080</v>
      </c>
      <c r="Z71" s="3168">
        <v>11088</v>
      </c>
      <c r="AA71" s="3168"/>
      <c r="AB71" s="3168"/>
      <c r="AC71" s="3168"/>
      <c r="AD71" s="3154" t="s">
        <v>141</v>
      </c>
      <c r="AE71" s="3169"/>
    </row>
    <row r="72" spans="1:32">
      <c r="A72" s="3170" t="s">
        <v>657</v>
      </c>
      <c r="B72" s="3171"/>
      <c r="C72" s="3172"/>
      <c r="D72" s="3172"/>
      <c r="E72" s="3172"/>
      <c r="F72" s="3172"/>
      <c r="G72" s="3172"/>
      <c r="H72" s="3173"/>
      <c r="I72" s="3173" t="s">
        <v>18</v>
      </c>
      <c r="J72" s="2018" t="s">
        <v>18</v>
      </c>
      <c r="K72" s="2018" t="s">
        <v>18</v>
      </c>
      <c r="L72" s="2018" t="s">
        <v>18</v>
      </c>
      <c r="M72" s="2018" t="s">
        <v>18</v>
      </c>
      <c r="N72" s="2018" t="s">
        <v>18</v>
      </c>
      <c r="O72" s="2018" t="s">
        <v>18</v>
      </c>
      <c r="P72" s="2018" t="s">
        <v>18</v>
      </c>
      <c r="Q72" s="2018" t="s">
        <v>18</v>
      </c>
      <c r="R72" s="2018" t="s">
        <v>18</v>
      </c>
      <c r="S72" s="2018" t="s">
        <v>18</v>
      </c>
      <c r="T72" s="2018" t="s">
        <v>18</v>
      </c>
      <c r="U72" s="3174">
        <v>136344</v>
      </c>
      <c r="V72" s="3175">
        <v>104278</v>
      </c>
      <c r="W72" s="3175">
        <v>81162</v>
      </c>
      <c r="X72" s="3176">
        <v>90246</v>
      </c>
      <c r="Y72" s="3176">
        <v>101094</v>
      </c>
      <c r="Z72" s="3177">
        <v>114162</v>
      </c>
      <c r="AA72" s="3177"/>
      <c r="AB72" s="3177"/>
      <c r="AC72" s="3177"/>
      <c r="AD72" s="3178" t="s">
        <v>960</v>
      </c>
      <c r="AE72" s="1393"/>
      <c r="AF72" s="3179"/>
    </row>
    <row r="73" spans="1:32" ht="42" customHeight="1" thickBot="1">
      <c r="A73" s="3180" t="s">
        <v>961</v>
      </c>
      <c r="B73" s="3181"/>
      <c r="C73" s="3182"/>
      <c r="D73" s="3182"/>
      <c r="E73" s="3182"/>
      <c r="F73" s="3182"/>
      <c r="G73" s="3182"/>
      <c r="H73" s="3183"/>
      <c r="I73" s="3184" t="s">
        <v>18</v>
      </c>
      <c r="J73" s="3184" t="s">
        <v>18</v>
      </c>
      <c r="K73" s="3185">
        <v>20685.82</v>
      </c>
      <c r="L73" s="3185">
        <v>16265.06</v>
      </c>
      <c r="M73" s="3185">
        <v>16265.06</v>
      </c>
      <c r="N73" s="3185">
        <v>20685.82</v>
      </c>
      <c r="O73" s="3185">
        <v>20685.82</v>
      </c>
      <c r="P73" s="3185">
        <v>20685.82</v>
      </c>
      <c r="Q73" s="3185">
        <v>20688</v>
      </c>
      <c r="R73" s="3185">
        <v>21360</v>
      </c>
      <c r="S73" s="3185">
        <v>20753.599999999999</v>
      </c>
      <c r="T73" s="3185">
        <v>22643.599999999999</v>
      </c>
      <c r="U73" s="3185">
        <v>48856.6</v>
      </c>
      <c r="V73" s="3186">
        <v>53380.2</v>
      </c>
      <c r="W73" s="3186">
        <f>43*1352.7</f>
        <v>58166.1</v>
      </c>
      <c r="X73" s="3185">
        <v>64676.299999999996</v>
      </c>
      <c r="Y73" s="3185">
        <v>72450.7</v>
      </c>
      <c r="Z73" s="3187">
        <v>81816.100000000006</v>
      </c>
      <c r="AA73" s="3187"/>
      <c r="AB73" s="3187"/>
      <c r="AC73" s="3187"/>
      <c r="AD73" s="3188" t="s">
        <v>962</v>
      </c>
    </row>
    <row r="74" spans="1:32" ht="21.6" customHeight="1" thickBot="1">
      <c r="A74" s="2056" t="s">
        <v>963</v>
      </c>
      <c r="B74" s="304"/>
      <c r="C74" s="303"/>
      <c r="D74" s="304"/>
      <c r="E74" s="303"/>
      <c r="F74" s="303"/>
      <c r="G74" s="304"/>
      <c r="H74" s="304"/>
      <c r="I74" s="303"/>
      <c r="J74" s="303"/>
      <c r="K74" s="303"/>
      <c r="L74" s="303"/>
      <c r="M74" s="303"/>
      <c r="N74" s="303"/>
      <c r="O74" s="303"/>
      <c r="P74" s="303"/>
      <c r="Q74" s="303"/>
      <c r="R74" s="303"/>
      <c r="S74" s="303"/>
      <c r="T74" s="1868"/>
      <c r="U74" s="303"/>
      <c r="V74" s="3189"/>
      <c r="W74" s="3190"/>
      <c r="X74" s="3190"/>
      <c r="Y74" s="3191">
        <v>0.6</v>
      </c>
      <c r="Z74" s="3192">
        <v>0.6</v>
      </c>
      <c r="AA74" s="3192">
        <v>0.6</v>
      </c>
      <c r="AB74" s="304" t="s">
        <v>18</v>
      </c>
      <c r="AC74" s="3193" t="s">
        <v>18</v>
      </c>
      <c r="AD74" s="3194" t="s">
        <v>178</v>
      </c>
    </row>
    <row r="75" spans="1:32" s="4" customFormat="1" ht="16.2" thickBot="1">
      <c r="A75" s="3195" t="s">
        <v>964</v>
      </c>
      <c r="B75" s="2090"/>
      <c r="C75" s="2091"/>
      <c r="D75" s="2090"/>
      <c r="E75" s="2091"/>
      <c r="F75" s="2091"/>
      <c r="G75" s="2090"/>
      <c r="H75" s="2090"/>
      <c r="I75" s="2091"/>
      <c r="J75" s="2091"/>
      <c r="K75" s="2091"/>
      <c r="L75" s="2091"/>
      <c r="M75" s="2091"/>
      <c r="N75" s="2091"/>
      <c r="O75" s="2091"/>
      <c r="P75" s="2091"/>
      <c r="Q75" s="2091"/>
      <c r="R75" s="2091"/>
      <c r="S75" s="2091"/>
      <c r="T75" s="2092"/>
      <c r="U75" s="2091"/>
      <c r="V75" s="3196"/>
      <c r="W75" s="2093"/>
      <c r="X75" s="2093"/>
      <c r="Y75" s="2093"/>
      <c r="Z75" s="3197"/>
      <c r="AA75" s="3197"/>
      <c r="AB75" s="3197"/>
      <c r="AC75" s="3197"/>
      <c r="AD75" s="3198" t="s">
        <v>180</v>
      </c>
    </row>
    <row r="76" spans="1:32" s="4" customFormat="1" ht="15.6">
      <c r="A76" s="2059" t="s">
        <v>9</v>
      </c>
      <c r="B76" s="2060">
        <v>0.28999999999999998</v>
      </c>
      <c r="C76" s="2060">
        <f>B76</f>
        <v>0.28999999999999998</v>
      </c>
      <c r="D76" s="2060">
        <f>C76</f>
        <v>0.28999999999999998</v>
      </c>
      <c r="E76" s="2060">
        <f>D76</f>
        <v>0.28999999999999998</v>
      </c>
      <c r="F76" s="2060">
        <f>E76</f>
        <v>0.28999999999999998</v>
      </c>
      <c r="G76" s="2060">
        <f>F76</f>
        <v>0.28999999999999998</v>
      </c>
      <c r="H76" s="2061">
        <v>0.15</v>
      </c>
      <c r="I76" s="2060">
        <v>0.15</v>
      </c>
      <c r="J76" s="2060">
        <v>0.15</v>
      </c>
      <c r="K76" s="3199">
        <v>0.2</v>
      </c>
      <c r="L76" s="2060">
        <v>0.15</v>
      </c>
      <c r="M76" s="2060">
        <v>0.15</v>
      </c>
      <c r="N76" s="2060">
        <v>0.15</v>
      </c>
      <c r="O76" s="2060">
        <f>N76</f>
        <v>0.15</v>
      </c>
      <c r="P76" s="2060">
        <v>0.15</v>
      </c>
      <c r="Q76" s="2060">
        <v>0.15</v>
      </c>
      <c r="R76" s="2060">
        <v>0.15</v>
      </c>
      <c r="S76" s="2060">
        <v>0.15</v>
      </c>
      <c r="T76" s="2060">
        <v>0.15</v>
      </c>
      <c r="U76" s="2060">
        <v>0.15</v>
      </c>
      <c r="V76" s="2060">
        <v>0.15</v>
      </c>
      <c r="W76" s="2060">
        <v>0.15</v>
      </c>
      <c r="X76" s="2062">
        <v>0.15</v>
      </c>
      <c r="Y76" s="2062">
        <v>0.15</v>
      </c>
      <c r="Z76" s="3200">
        <v>0.15</v>
      </c>
      <c r="AA76" s="3200"/>
      <c r="AB76" s="3200"/>
      <c r="AC76" s="3201"/>
      <c r="AD76" s="3202" t="s">
        <v>181</v>
      </c>
    </row>
    <row r="77" spans="1:32" s="4" customFormat="1" ht="15.6">
      <c r="A77" s="1879" t="s">
        <v>965</v>
      </c>
      <c r="B77" s="3203" t="s">
        <v>18</v>
      </c>
      <c r="C77" s="3203" t="s">
        <v>18</v>
      </c>
      <c r="D77" s="3203" t="s">
        <v>18</v>
      </c>
      <c r="E77" s="3203" t="s">
        <v>18</v>
      </c>
      <c r="F77" s="3203" t="s">
        <v>18</v>
      </c>
      <c r="G77" s="3203" t="s">
        <v>18</v>
      </c>
      <c r="H77" s="3203" t="s">
        <v>18</v>
      </c>
      <c r="I77" s="3204">
        <v>0.13</v>
      </c>
      <c r="J77" s="3205">
        <v>0.13</v>
      </c>
      <c r="K77" s="3205">
        <v>0.13</v>
      </c>
      <c r="L77" s="3206">
        <v>0.05</v>
      </c>
      <c r="M77" s="3203">
        <v>0.05</v>
      </c>
      <c r="N77" s="3203">
        <v>0.05</v>
      </c>
      <c r="O77" s="3203">
        <v>0.05</v>
      </c>
      <c r="P77" s="3203">
        <v>0.05</v>
      </c>
      <c r="Q77" s="3203">
        <v>0.05</v>
      </c>
      <c r="R77" s="3203">
        <v>0.05</v>
      </c>
      <c r="S77" s="3203">
        <v>0.05</v>
      </c>
      <c r="T77" s="3203">
        <v>0.05</v>
      </c>
      <c r="U77" s="3203">
        <v>0.05</v>
      </c>
      <c r="V77" s="3203">
        <v>0.05</v>
      </c>
      <c r="W77" s="3203">
        <v>0.05</v>
      </c>
      <c r="X77" s="3207">
        <v>0.05</v>
      </c>
      <c r="Y77" s="3207">
        <v>0.05</v>
      </c>
      <c r="Z77" s="3205">
        <v>0.05</v>
      </c>
      <c r="AA77" s="3205"/>
      <c r="AB77" s="3205"/>
      <c r="AC77" s="3208"/>
      <c r="AD77" s="3209" t="s">
        <v>966</v>
      </c>
    </row>
    <row r="78" spans="1:32" s="4" customFormat="1" ht="12.75" customHeight="1">
      <c r="A78" s="3210" t="s">
        <v>967</v>
      </c>
      <c r="B78" s="3211"/>
      <c r="C78" s="3211"/>
      <c r="D78" s="3211"/>
      <c r="E78" s="3211"/>
      <c r="F78" s="3211"/>
      <c r="G78" s="3211"/>
      <c r="H78" s="3211"/>
      <c r="I78" s="3212">
        <f t="shared" ref="I78:P78" si="12">I79/$P$1</f>
        <v>144810.00926784059</v>
      </c>
      <c r="J78" s="3212">
        <f t="shared" si="12"/>
        <v>144810.00926784059</v>
      </c>
      <c r="K78" s="3213">
        <f t="shared" si="12"/>
        <v>289620.01853568119</v>
      </c>
      <c r="L78" s="3214">
        <f t="shared" si="12"/>
        <v>289620.01853568119</v>
      </c>
      <c r="M78" s="3214">
        <f t="shared" si="12"/>
        <v>289620.01853568119</v>
      </c>
      <c r="N78" s="3214">
        <f t="shared" si="12"/>
        <v>289620.01853568119</v>
      </c>
      <c r="O78" s="3214">
        <f t="shared" si="12"/>
        <v>289620.01853568119</v>
      </c>
      <c r="P78" s="3214">
        <f t="shared" si="12"/>
        <v>289620.01853568119</v>
      </c>
      <c r="Q78" s="3213">
        <v>300000</v>
      </c>
      <c r="R78" s="3212">
        <v>300000</v>
      </c>
      <c r="S78" s="3212">
        <v>300000</v>
      </c>
      <c r="T78" s="3212">
        <v>300000</v>
      </c>
      <c r="U78" s="3212">
        <v>300000</v>
      </c>
      <c r="V78" s="3212">
        <v>300000</v>
      </c>
      <c r="W78" s="3212">
        <v>300000</v>
      </c>
      <c r="X78" s="3215">
        <v>300000</v>
      </c>
      <c r="Y78" s="3215">
        <v>300000</v>
      </c>
      <c r="Z78" s="3214">
        <v>300000</v>
      </c>
      <c r="AA78" s="3214"/>
      <c r="AB78" s="3214"/>
      <c r="AC78" s="3216"/>
      <c r="AD78" s="3217" t="s">
        <v>968</v>
      </c>
    </row>
    <row r="79" spans="1:32" s="419" customFormat="1" ht="27.75" customHeight="1">
      <c r="A79" s="3218" t="s">
        <v>969</v>
      </c>
      <c r="B79" s="3219"/>
      <c r="C79" s="3219"/>
      <c r="D79" s="3219"/>
      <c r="E79" s="3219"/>
      <c r="F79" s="3219"/>
      <c r="G79" s="3219"/>
      <c r="H79" s="3219"/>
      <c r="I79" s="3220">
        <v>500000</v>
      </c>
      <c r="J79" s="3220">
        <v>500000</v>
      </c>
      <c r="K79" s="3221">
        <v>1000000</v>
      </c>
      <c r="L79" s="3222">
        <v>1000000</v>
      </c>
      <c r="M79" s="3222">
        <v>1000000</v>
      </c>
      <c r="N79" s="3222">
        <v>1000000</v>
      </c>
      <c r="O79" s="3222">
        <v>1000000</v>
      </c>
      <c r="P79" s="3222">
        <v>1000000</v>
      </c>
      <c r="Q79" s="3223"/>
      <c r="R79" s="3223"/>
      <c r="S79" s="3223"/>
      <c r="T79" s="3224"/>
      <c r="U79" s="1963"/>
      <c r="V79" s="416"/>
      <c r="W79" s="3225"/>
      <c r="X79" s="3225"/>
      <c r="Y79" s="3225"/>
      <c r="Z79" s="3226"/>
      <c r="AA79" s="3226"/>
      <c r="AB79" s="3226"/>
      <c r="AC79" s="3227"/>
      <c r="AD79" s="3228" t="s">
        <v>970</v>
      </c>
    </row>
    <row r="80" spans="1:32" s="419" customFormat="1" ht="24.75" customHeight="1">
      <c r="A80" s="3229" t="s">
        <v>971</v>
      </c>
      <c r="B80" s="3230"/>
      <c r="C80" s="3230"/>
      <c r="D80" s="3230"/>
      <c r="E80" s="3230"/>
      <c r="F80" s="3230"/>
      <c r="G80" s="3230"/>
      <c r="H80" s="3230"/>
      <c r="I80" s="3231"/>
      <c r="J80" s="3231"/>
      <c r="K80" s="3232"/>
      <c r="L80" s="3233"/>
      <c r="M80" s="3233"/>
      <c r="N80" s="3233"/>
      <c r="O80" s="3233"/>
      <c r="P80" s="3233"/>
      <c r="Q80" s="3234"/>
      <c r="R80" s="3234"/>
      <c r="S80" s="3234"/>
      <c r="T80" s="3235"/>
      <c r="U80" s="3236"/>
      <c r="V80" s="3237"/>
      <c r="W80" s="3238"/>
      <c r="X80" s="3239"/>
      <c r="Y80" s="3238"/>
      <c r="Z80" s="3240"/>
      <c r="AA80" s="3240"/>
      <c r="AB80" s="3240"/>
      <c r="AC80" s="3240"/>
      <c r="AD80" s="3241" t="s">
        <v>972</v>
      </c>
    </row>
    <row r="81" spans="1:30" s="419" customFormat="1" ht="17.25" customHeight="1">
      <c r="A81" s="3242" t="s">
        <v>973</v>
      </c>
      <c r="B81" s="3243"/>
      <c r="C81" s="3243"/>
      <c r="D81" s="3243"/>
      <c r="E81" s="3243"/>
      <c r="F81" s="3243"/>
      <c r="G81" s="3243"/>
      <c r="H81" s="3243"/>
      <c r="I81" s="3244"/>
      <c r="J81" s="3244"/>
      <c r="K81" s="3245"/>
      <c r="L81" s="3246"/>
      <c r="M81" s="3246"/>
      <c r="N81" s="3246"/>
      <c r="O81" s="3246"/>
      <c r="P81" s="3246"/>
      <c r="Q81" s="3247"/>
      <c r="R81" s="3247"/>
      <c r="S81" s="3247"/>
      <c r="T81" s="3248"/>
      <c r="U81" s="3249"/>
      <c r="V81" s="3249"/>
      <c r="W81" s="4777" t="s">
        <v>974</v>
      </c>
      <c r="X81" s="4779" t="s">
        <v>974</v>
      </c>
      <c r="Y81" s="4780" t="s">
        <v>974</v>
      </c>
      <c r="Z81" s="4757" t="s">
        <v>974</v>
      </c>
      <c r="AA81" s="4757"/>
      <c r="AB81" s="4757"/>
      <c r="AC81" s="4757"/>
      <c r="AD81" s="3241" t="s">
        <v>975</v>
      </c>
    </row>
    <row r="82" spans="1:30" s="419" customFormat="1" ht="38.4" customHeight="1">
      <c r="A82" s="3250" t="s">
        <v>976</v>
      </c>
      <c r="B82" s="3251"/>
      <c r="C82" s="3251"/>
      <c r="D82" s="3251"/>
      <c r="E82" s="3251"/>
      <c r="F82" s="3251"/>
      <c r="G82" s="3251"/>
      <c r="H82" s="3251"/>
      <c r="I82" s="3252"/>
      <c r="J82" s="3252"/>
      <c r="K82" s="3253"/>
      <c r="L82" s="3254"/>
      <c r="M82" s="3254"/>
      <c r="N82" s="3254"/>
      <c r="O82" s="3254"/>
      <c r="P82" s="3254"/>
      <c r="Q82" s="3255"/>
      <c r="R82" s="3255"/>
      <c r="S82" s="3255"/>
      <c r="T82" s="3256"/>
      <c r="U82" s="3257"/>
      <c r="V82" s="3257"/>
      <c r="W82" s="4778"/>
      <c r="X82" s="4779"/>
      <c r="Y82" s="4780"/>
      <c r="Z82" s="4758"/>
      <c r="AA82" s="4758"/>
      <c r="AB82" s="4758"/>
      <c r="AC82" s="4758"/>
      <c r="AD82" s="3258" t="s">
        <v>977</v>
      </c>
    </row>
    <row r="83" spans="1:30" s="419" customFormat="1" ht="26.85" customHeight="1">
      <c r="A83" s="3259" t="s">
        <v>978</v>
      </c>
      <c r="B83" s="3260"/>
      <c r="C83" s="3260"/>
      <c r="D83" s="3260"/>
      <c r="E83" s="3260"/>
      <c r="F83" s="3260"/>
      <c r="G83" s="3260"/>
      <c r="H83" s="3260"/>
      <c r="I83" s="3261"/>
      <c r="J83" s="3261"/>
      <c r="K83" s="3262"/>
      <c r="L83" s="3263"/>
      <c r="M83" s="3263"/>
      <c r="N83" s="3263"/>
      <c r="O83" s="3263"/>
      <c r="P83" s="3263"/>
      <c r="Q83" s="3264"/>
      <c r="R83" s="3264"/>
      <c r="S83" s="3264"/>
      <c r="T83" s="3265"/>
      <c r="U83" s="3266"/>
      <c r="V83" s="3266"/>
      <c r="W83" s="3267" t="s">
        <v>979</v>
      </c>
      <c r="X83" s="3268" t="s">
        <v>979</v>
      </c>
      <c r="Y83" s="3268" t="s">
        <v>979</v>
      </c>
      <c r="Z83" s="3268" t="s">
        <v>979</v>
      </c>
      <c r="AA83" s="3268"/>
      <c r="AB83" s="3268"/>
      <c r="AC83" s="3268"/>
      <c r="AD83" s="3269" t="s">
        <v>980</v>
      </c>
    </row>
    <row r="84" spans="1:30" s="419" customFormat="1" ht="30" customHeight="1">
      <c r="A84" s="3270" t="s">
        <v>981</v>
      </c>
      <c r="B84" s="3271"/>
      <c r="C84" s="3271"/>
      <c r="D84" s="3271"/>
      <c r="E84" s="3271"/>
      <c r="F84" s="3271"/>
      <c r="G84" s="3271"/>
      <c r="H84" s="3271"/>
      <c r="I84" s="3272"/>
      <c r="J84" s="3272"/>
      <c r="K84" s="3273"/>
      <c r="L84" s="3274"/>
      <c r="M84" s="3274"/>
      <c r="N84" s="3274"/>
      <c r="O84" s="3274"/>
      <c r="P84" s="3274"/>
      <c r="Q84" s="3275"/>
      <c r="R84" s="3275"/>
      <c r="S84" s="3275"/>
      <c r="T84" s="3276"/>
      <c r="U84" s="1923"/>
      <c r="V84" s="1923"/>
      <c r="W84" s="3277">
        <v>0.75</v>
      </c>
      <c r="X84" s="3278">
        <v>0.75</v>
      </c>
      <c r="Y84" s="3278">
        <v>0.75</v>
      </c>
      <c r="Z84" s="3279">
        <v>0.75</v>
      </c>
      <c r="AA84" s="3279"/>
      <c r="AB84" s="3279"/>
      <c r="AC84" s="3279"/>
      <c r="AD84" s="3241" t="s">
        <v>982</v>
      </c>
    </row>
    <row r="85" spans="1:30" s="4" customFormat="1" ht="16.2" thickBot="1">
      <c r="A85" s="3280" t="s">
        <v>983</v>
      </c>
      <c r="B85" s="3281"/>
      <c r="C85" s="3282"/>
      <c r="D85" s="3281"/>
      <c r="E85" s="3282"/>
      <c r="F85" s="3282"/>
      <c r="G85" s="3281"/>
      <c r="H85" s="3282"/>
      <c r="I85" s="3282"/>
      <c r="J85" s="3282"/>
      <c r="K85" s="3282"/>
      <c r="L85" s="3282"/>
      <c r="M85" s="3282"/>
      <c r="N85" s="3282"/>
      <c r="O85" s="3282"/>
      <c r="P85" s="3282"/>
      <c r="Q85" s="3282"/>
      <c r="R85" s="3282"/>
      <c r="S85" s="3282"/>
      <c r="T85" s="3283"/>
      <c r="U85" s="3282"/>
      <c r="V85" s="3281"/>
      <c r="W85" s="3281"/>
      <c r="X85" s="3284"/>
      <c r="Y85" s="3285"/>
      <c r="Z85" s="3285"/>
      <c r="AA85" s="3285"/>
      <c r="AB85" s="3285"/>
      <c r="AC85" s="3285"/>
      <c r="AD85" s="3286" t="s">
        <v>195</v>
      </c>
    </row>
    <row r="86" spans="1:30">
      <c r="A86" s="2095" t="s">
        <v>9</v>
      </c>
      <c r="B86" s="2096">
        <v>0.18</v>
      </c>
      <c r="C86" s="2096">
        <v>0.18</v>
      </c>
      <c r="D86" s="2096">
        <v>0.18</v>
      </c>
      <c r="E86" s="2096">
        <v>0.18</v>
      </c>
      <c r="F86" s="2096">
        <v>0.18</v>
      </c>
      <c r="G86" s="2096">
        <v>0.18</v>
      </c>
      <c r="H86" s="2096">
        <v>0.18</v>
      </c>
      <c r="I86" s="2096">
        <v>0.18</v>
      </c>
      <c r="J86" s="2096">
        <v>0.18</v>
      </c>
      <c r="K86" s="2098">
        <v>0.19</v>
      </c>
      <c r="L86" s="2096">
        <v>0.21</v>
      </c>
      <c r="M86" s="2096">
        <v>0.21</v>
      </c>
      <c r="N86" s="2096">
        <f>M86</f>
        <v>0.21</v>
      </c>
      <c r="O86" s="2096">
        <f>N86</f>
        <v>0.21</v>
      </c>
      <c r="P86" s="2096">
        <v>0.21</v>
      </c>
      <c r="Q86" s="2096">
        <v>0.21</v>
      </c>
      <c r="R86" s="2096">
        <v>0.21</v>
      </c>
      <c r="S86" s="2096">
        <v>0.21</v>
      </c>
      <c r="T86" s="2096">
        <v>0.21</v>
      </c>
      <c r="U86" s="2096">
        <v>0.21</v>
      </c>
      <c r="V86" s="2096">
        <v>0.21</v>
      </c>
      <c r="W86" s="2096">
        <v>0.21</v>
      </c>
      <c r="X86" s="3287">
        <v>0.21</v>
      </c>
      <c r="Y86" s="3288">
        <v>0.21</v>
      </c>
      <c r="Z86" s="2096">
        <v>0.21</v>
      </c>
      <c r="AA86" s="2096"/>
      <c r="AB86" s="2096"/>
      <c r="AC86" s="2096"/>
      <c r="AD86" s="3289" t="s">
        <v>181</v>
      </c>
    </row>
    <row r="87" spans="1:30" s="565" customFormat="1" ht="10.199999999999999">
      <c r="A87" s="1885"/>
      <c r="B87" s="3290"/>
      <c r="C87" s="3290"/>
      <c r="D87" s="3290"/>
      <c r="E87" s="3290"/>
      <c r="F87" s="3290"/>
      <c r="G87" s="3290"/>
      <c r="H87" s="3290"/>
      <c r="I87" s="3290"/>
      <c r="J87" s="3290"/>
      <c r="K87" s="3291" t="s">
        <v>212</v>
      </c>
      <c r="L87" s="3290"/>
      <c r="M87" s="3290"/>
      <c r="N87" s="3290"/>
      <c r="O87" s="3290"/>
      <c r="P87" s="3290"/>
      <c r="Q87" s="3290"/>
      <c r="R87" s="3292"/>
      <c r="S87" s="3292"/>
      <c r="T87" s="3292"/>
      <c r="U87" s="1890"/>
      <c r="V87" s="1890"/>
      <c r="W87" s="1890"/>
      <c r="X87" s="3293"/>
      <c r="Y87" s="3294"/>
      <c r="Z87" s="1890"/>
      <c r="AA87" s="1890"/>
      <c r="AB87" s="1890"/>
      <c r="AC87" s="1890"/>
      <c r="AD87" s="3295"/>
    </row>
    <row r="88" spans="1:30">
      <c r="A88" s="1894"/>
      <c r="B88" s="3296"/>
      <c r="C88" s="3296"/>
      <c r="D88" s="3296"/>
      <c r="E88" s="3296"/>
      <c r="F88" s="3296"/>
      <c r="G88" s="3296"/>
      <c r="H88" s="3296"/>
      <c r="I88" s="3296"/>
      <c r="J88" s="3296"/>
      <c r="K88" s="552">
        <v>0.21</v>
      </c>
      <c r="L88" s="3296"/>
      <c r="M88" s="3296"/>
      <c r="N88" s="3296"/>
      <c r="O88" s="3296"/>
      <c r="P88" s="3296"/>
      <c r="Q88" s="3296"/>
      <c r="R88" s="554"/>
      <c r="S88" s="554"/>
      <c r="T88" s="554"/>
      <c r="U88" s="1898"/>
      <c r="V88" s="1898"/>
      <c r="W88" s="1898"/>
      <c r="X88" s="3297"/>
      <c r="Y88" s="3298"/>
      <c r="Z88" s="1898"/>
      <c r="AA88" s="1898"/>
      <c r="AB88" s="1898"/>
      <c r="AC88" s="1898"/>
      <c r="AD88" s="3299"/>
    </row>
    <row r="89" spans="1:30" s="565" customFormat="1" ht="10.199999999999999">
      <c r="A89" s="2102"/>
      <c r="B89" s="2103"/>
      <c r="C89" s="2103"/>
      <c r="D89" s="2103"/>
      <c r="E89" s="2103"/>
      <c r="F89" s="2103"/>
      <c r="G89" s="2104"/>
      <c r="H89" s="2104"/>
      <c r="I89" s="2104"/>
      <c r="J89" s="2104"/>
      <c r="K89" s="3300" t="s">
        <v>192</v>
      </c>
      <c r="L89" s="2103"/>
      <c r="M89" s="2103"/>
      <c r="N89" s="2103"/>
      <c r="O89" s="2103"/>
      <c r="P89" s="2103"/>
      <c r="Q89" s="2104"/>
      <c r="R89" s="2103"/>
      <c r="S89" s="2103"/>
      <c r="T89" s="2103"/>
      <c r="U89" s="2105"/>
      <c r="V89" s="2105"/>
      <c r="W89" s="2105"/>
      <c r="X89" s="2106"/>
      <c r="Y89" s="3301"/>
      <c r="Z89" s="2105"/>
      <c r="AA89" s="2105"/>
      <c r="AB89" s="2105"/>
      <c r="AC89" s="2105"/>
      <c r="AD89" s="3004"/>
    </row>
    <row r="90" spans="1:30">
      <c r="A90" s="2108" t="s">
        <v>673</v>
      </c>
      <c r="B90" s="2109"/>
      <c r="C90" s="2109"/>
      <c r="D90" s="3302" t="s">
        <v>984</v>
      </c>
      <c r="E90" s="3302" t="s">
        <v>984</v>
      </c>
      <c r="F90" s="3302" t="s">
        <v>984</v>
      </c>
      <c r="G90" s="3302" t="s">
        <v>984</v>
      </c>
      <c r="H90" s="3302" t="s">
        <v>984</v>
      </c>
      <c r="I90" s="3302" t="s">
        <v>984</v>
      </c>
      <c r="J90" s="3302" t="s">
        <v>984</v>
      </c>
      <c r="K90" s="3302" t="s">
        <v>984</v>
      </c>
      <c r="L90" s="3302" t="s">
        <v>984</v>
      </c>
      <c r="M90" s="3302" t="s">
        <v>984</v>
      </c>
      <c r="N90" s="3302" t="s">
        <v>984</v>
      </c>
      <c r="O90" s="3302" t="s">
        <v>984</v>
      </c>
      <c r="P90" s="3302" t="s">
        <v>984</v>
      </c>
      <c r="Q90" s="3302" t="s">
        <v>984</v>
      </c>
      <c r="R90" s="3302" t="s">
        <v>984</v>
      </c>
      <c r="S90" s="3302" t="s">
        <v>984</v>
      </c>
      <c r="U90" s="3302" t="s">
        <v>984</v>
      </c>
      <c r="V90" s="3302" t="s">
        <v>984</v>
      </c>
      <c r="W90" s="3302" t="s">
        <v>985</v>
      </c>
      <c r="X90" s="3303" t="s">
        <v>986</v>
      </c>
      <c r="Y90" s="3304" t="s">
        <v>984</v>
      </c>
      <c r="Z90" s="3305" t="s">
        <v>984</v>
      </c>
      <c r="AA90" s="3305"/>
      <c r="AB90" s="3305"/>
      <c r="AC90" s="3305"/>
      <c r="AD90" s="3306" t="s">
        <v>675</v>
      </c>
    </row>
    <row r="91" spans="1:30">
      <c r="A91" s="2118" t="s">
        <v>987</v>
      </c>
      <c r="B91" s="2119"/>
      <c r="C91" s="2119"/>
      <c r="D91" s="2119">
        <v>0.05</v>
      </c>
      <c r="E91" s="2119">
        <v>0.05</v>
      </c>
      <c r="F91" s="2119">
        <v>0.05</v>
      </c>
      <c r="G91" s="2119">
        <v>0.05</v>
      </c>
      <c r="H91" s="2119">
        <v>0.05</v>
      </c>
      <c r="I91" s="2119">
        <v>0.05</v>
      </c>
      <c r="J91" s="2119">
        <v>0.05</v>
      </c>
      <c r="K91" s="2119">
        <v>0.05</v>
      </c>
      <c r="L91" s="2119">
        <v>0.05</v>
      </c>
      <c r="M91" s="2119">
        <v>0.05</v>
      </c>
      <c r="N91" s="2119">
        <v>0.05</v>
      </c>
      <c r="O91" s="2119">
        <v>0.05</v>
      </c>
      <c r="P91" s="2119">
        <v>0.05</v>
      </c>
      <c r="Q91" s="2119">
        <v>0.05</v>
      </c>
      <c r="R91" s="2119">
        <v>0.05</v>
      </c>
      <c r="S91" s="2119">
        <v>0.05</v>
      </c>
      <c r="T91" s="2119">
        <v>0.05</v>
      </c>
      <c r="U91" s="2119">
        <v>0.05</v>
      </c>
      <c r="V91" s="2119">
        <v>0.05</v>
      </c>
      <c r="W91" s="2119">
        <v>0.05</v>
      </c>
      <c r="X91" s="3307">
        <v>0.05</v>
      </c>
      <c r="Y91" s="3308">
        <v>0.05</v>
      </c>
      <c r="Z91" s="3309">
        <v>0.05</v>
      </c>
      <c r="AA91" s="3309"/>
      <c r="AB91" s="3309"/>
      <c r="AC91" s="3309"/>
      <c r="AD91" s="3310" t="s">
        <v>988</v>
      </c>
    </row>
    <row r="92" spans="1:30" ht="27.6">
      <c r="A92" s="2124" t="s">
        <v>678</v>
      </c>
      <c r="B92" s="2119"/>
      <c r="C92" s="2119"/>
      <c r="D92" s="646" t="s">
        <v>18</v>
      </c>
      <c r="E92" s="646" t="s">
        <v>18</v>
      </c>
      <c r="F92" s="646" t="s">
        <v>18</v>
      </c>
      <c r="G92" s="646" t="s">
        <v>18</v>
      </c>
      <c r="H92" s="646" t="s">
        <v>18</v>
      </c>
      <c r="I92" s="646" t="s">
        <v>18</v>
      </c>
      <c r="J92" s="646" t="s">
        <v>18</v>
      </c>
      <c r="K92" s="646" t="s">
        <v>18</v>
      </c>
      <c r="L92" s="646" t="s">
        <v>18</v>
      </c>
      <c r="M92" s="646" t="s">
        <v>18</v>
      </c>
      <c r="N92" s="646" t="s">
        <v>18</v>
      </c>
      <c r="O92" s="3311">
        <v>0.05</v>
      </c>
      <c r="P92" s="646">
        <v>0.05</v>
      </c>
      <c r="Q92" s="646">
        <v>0.05</v>
      </c>
      <c r="R92" s="646">
        <v>0.05</v>
      </c>
      <c r="S92" s="646">
        <v>0.05</v>
      </c>
      <c r="T92" s="646">
        <v>0.05</v>
      </c>
      <c r="U92" s="646">
        <v>0.05</v>
      </c>
      <c r="V92" s="646">
        <v>0.05</v>
      </c>
      <c r="W92" s="646">
        <v>0.05</v>
      </c>
      <c r="X92" s="3312">
        <v>0.05</v>
      </c>
      <c r="Y92" s="3313">
        <v>0.05</v>
      </c>
      <c r="Z92" s="648">
        <v>0.05</v>
      </c>
      <c r="AA92" s="648"/>
      <c r="AB92" s="648"/>
      <c r="AC92" s="648"/>
      <c r="AD92" s="3314" t="s">
        <v>679</v>
      </c>
    </row>
    <row r="93" spans="1:30" ht="41.4">
      <c r="A93" s="2130" t="s">
        <v>989</v>
      </c>
      <c r="B93" s="2119"/>
      <c r="C93" s="2119"/>
      <c r="D93" s="646" t="s">
        <v>18</v>
      </c>
      <c r="E93" s="646" t="s">
        <v>18</v>
      </c>
      <c r="F93" s="646" t="s">
        <v>18</v>
      </c>
      <c r="G93" s="646" t="s">
        <v>18</v>
      </c>
      <c r="H93" s="646" t="s">
        <v>18</v>
      </c>
      <c r="I93" s="646" t="s">
        <v>18</v>
      </c>
      <c r="J93" s="646" t="s">
        <v>18</v>
      </c>
      <c r="K93" s="646" t="s">
        <v>18</v>
      </c>
      <c r="L93" s="646" t="s">
        <v>18</v>
      </c>
      <c r="M93" s="646" t="s">
        <v>18</v>
      </c>
      <c r="N93" s="646" t="s">
        <v>18</v>
      </c>
      <c r="O93" s="646" t="s">
        <v>18</v>
      </c>
      <c r="P93" s="646" t="s">
        <v>18</v>
      </c>
      <c r="Q93" s="646" t="s">
        <v>18</v>
      </c>
      <c r="R93" s="646" t="s">
        <v>18</v>
      </c>
      <c r="S93" s="3311">
        <v>0.05</v>
      </c>
      <c r="T93" s="646">
        <v>0.05</v>
      </c>
      <c r="U93" s="646">
        <v>0.05</v>
      </c>
      <c r="V93" s="646">
        <v>0.05</v>
      </c>
      <c r="W93" s="646">
        <v>0.05</v>
      </c>
      <c r="X93" s="3312">
        <v>0.05</v>
      </c>
      <c r="Y93" s="3313">
        <v>0.05</v>
      </c>
      <c r="Z93" s="648">
        <v>0.05</v>
      </c>
      <c r="AA93" s="648"/>
      <c r="AB93" s="648"/>
      <c r="AC93" s="648"/>
      <c r="AD93" s="3314" t="s">
        <v>990</v>
      </c>
    </row>
    <row r="94" spans="1:30" ht="15" customHeight="1">
      <c r="A94" s="2130" t="s">
        <v>991</v>
      </c>
      <c r="B94" s="2119"/>
      <c r="C94" s="2119"/>
      <c r="D94" s="2119">
        <v>0.05</v>
      </c>
      <c r="E94" s="2119">
        <v>0.05</v>
      </c>
      <c r="F94" s="2119">
        <v>0.05</v>
      </c>
      <c r="G94" s="2119">
        <v>0.05</v>
      </c>
      <c r="H94" s="2119">
        <v>0.05</v>
      </c>
      <c r="I94" s="2119">
        <v>0.05</v>
      </c>
      <c r="J94" s="2119">
        <v>0.05</v>
      </c>
      <c r="K94" s="3315">
        <v>0.09</v>
      </c>
      <c r="L94" s="2119">
        <v>0.09</v>
      </c>
      <c r="M94" s="2119">
        <v>0.09</v>
      </c>
      <c r="N94" s="2119">
        <v>0.09</v>
      </c>
      <c r="O94" s="646">
        <v>0.09</v>
      </c>
      <c r="P94" s="646">
        <v>0.09</v>
      </c>
      <c r="Q94" s="646">
        <v>0.09</v>
      </c>
      <c r="R94" s="646">
        <v>0.09</v>
      </c>
      <c r="S94" s="646">
        <v>0.09</v>
      </c>
      <c r="T94" s="646">
        <v>0.09</v>
      </c>
      <c r="U94" s="646">
        <v>0.09</v>
      </c>
      <c r="V94" s="646">
        <v>0.09</v>
      </c>
      <c r="W94" s="646">
        <v>0.09</v>
      </c>
      <c r="X94" s="3312">
        <v>0.09</v>
      </c>
      <c r="Y94" s="3313">
        <v>0.09</v>
      </c>
      <c r="Z94" s="648">
        <v>0.09</v>
      </c>
      <c r="AA94" s="648"/>
      <c r="AB94" s="648"/>
      <c r="AC94" s="648"/>
      <c r="AD94" s="3316" t="s">
        <v>992</v>
      </c>
    </row>
    <row r="95" spans="1:30" ht="33.6" customHeight="1">
      <c r="A95" s="2130" t="s">
        <v>993</v>
      </c>
      <c r="B95" s="2119"/>
      <c r="C95" s="2119"/>
      <c r="D95" s="2119"/>
      <c r="E95" s="2119"/>
      <c r="F95" s="2119"/>
      <c r="G95" s="2119"/>
      <c r="H95" s="2119"/>
      <c r="I95" s="2119"/>
      <c r="J95" s="2119"/>
      <c r="K95" s="3315"/>
      <c r="L95" s="646"/>
      <c r="M95" s="646"/>
      <c r="N95" s="646"/>
      <c r="O95" s="646"/>
      <c r="P95" s="646"/>
      <c r="Q95" s="646"/>
      <c r="R95" s="646"/>
      <c r="S95" s="646"/>
      <c r="T95" s="646"/>
      <c r="U95" s="646"/>
      <c r="V95" s="646"/>
      <c r="W95" s="646"/>
      <c r="X95" s="3312"/>
      <c r="Y95" s="3317">
        <v>0.09</v>
      </c>
      <c r="Z95" s="648">
        <v>0.09</v>
      </c>
      <c r="AA95" s="648"/>
      <c r="AB95" s="648"/>
      <c r="AC95" s="648"/>
      <c r="AD95" s="3316" t="s">
        <v>994</v>
      </c>
    </row>
    <row r="96" spans="1:30" ht="47.25" customHeight="1">
      <c r="A96" s="2130" t="s">
        <v>995</v>
      </c>
      <c r="B96" s="2119"/>
      <c r="C96" s="2119"/>
      <c r="D96" s="646">
        <v>0.05</v>
      </c>
      <c r="E96" s="646">
        <v>0.05</v>
      </c>
      <c r="F96" s="646">
        <v>0.05</v>
      </c>
      <c r="G96" s="646">
        <v>0.05</v>
      </c>
      <c r="H96" s="646">
        <v>0.05</v>
      </c>
      <c r="I96" s="646">
        <v>0.05</v>
      </c>
      <c r="J96" s="646">
        <v>0.05</v>
      </c>
      <c r="K96" s="3318" t="s">
        <v>996</v>
      </c>
      <c r="L96" s="3319">
        <v>0.21</v>
      </c>
      <c r="M96" s="3319">
        <v>0.21</v>
      </c>
      <c r="N96" s="3319">
        <v>0.21</v>
      </c>
      <c r="O96" s="3311">
        <v>0.09</v>
      </c>
      <c r="P96" s="646">
        <v>0.09</v>
      </c>
      <c r="Q96" s="646">
        <v>0.09</v>
      </c>
      <c r="R96" s="646">
        <v>0.09</v>
      </c>
      <c r="S96" s="646">
        <v>0.09</v>
      </c>
      <c r="T96" s="646">
        <v>0.09</v>
      </c>
      <c r="U96" s="3320">
        <v>0.05</v>
      </c>
      <c r="V96" s="648">
        <v>0.05</v>
      </c>
      <c r="W96" s="648">
        <v>0.05</v>
      </c>
      <c r="X96" s="3321">
        <v>0.05</v>
      </c>
      <c r="Y96" s="3322">
        <v>0.05</v>
      </c>
      <c r="Z96" s="648">
        <v>0.05</v>
      </c>
      <c r="AA96" s="648"/>
      <c r="AB96" s="648"/>
      <c r="AC96" s="648"/>
      <c r="AD96" s="3323" t="s">
        <v>997</v>
      </c>
    </row>
    <row r="97" spans="1:30" ht="57" customHeight="1">
      <c r="A97" s="2130" t="s">
        <v>998</v>
      </c>
      <c r="B97" s="2119"/>
      <c r="C97" s="2119"/>
      <c r="D97" s="646"/>
      <c r="E97" s="646"/>
      <c r="F97" s="646"/>
      <c r="G97" s="646"/>
      <c r="H97" s="646"/>
      <c r="I97" s="646"/>
      <c r="J97" s="646"/>
      <c r="K97" s="3318"/>
      <c r="L97" s="3319"/>
      <c r="M97" s="3319"/>
      <c r="N97" s="3319"/>
      <c r="O97" s="3311"/>
      <c r="P97" s="646" t="s">
        <v>18</v>
      </c>
      <c r="Q97" s="646" t="s">
        <v>18</v>
      </c>
      <c r="R97" s="646" t="s">
        <v>18</v>
      </c>
      <c r="S97" s="646" t="s">
        <v>18</v>
      </c>
      <c r="T97" s="646" t="s">
        <v>18</v>
      </c>
      <c r="U97" s="646" t="s">
        <v>18</v>
      </c>
      <c r="V97" s="646" t="s">
        <v>18</v>
      </c>
      <c r="W97" s="3320">
        <v>0.05</v>
      </c>
      <c r="X97" s="3324">
        <v>0.05</v>
      </c>
      <c r="Y97" s="3325">
        <v>0.05</v>
      </c>
      <c r="Z97" s="3326">
        <v>0.05</v>
      </c>
      <c r="AA97" s="3326"/>
      <c r="AB97" s="3326"/>
      <c r="AC97" s="3326"/>
      <c r="AD97" s="3323" t="s">
        <v>999</v>
      </c>
    </row>
    <row r="98" spans="1:30">
      <c r="A98" s="2118" t="s">
        <v>223</v>
      </c>
      <c r="B98" s="2119"/>
      <c r="C98" s="2119"/>
      <c r="D98" s="2119">
        <v>0.05</v>
      </c>
      <c r="E98" s="2119">
        <v>0.05</v>
      </c>
      <c r="F98" s="2119">
        <v>0.05</v>
      </c>
      <c r="G98" s="2119">
        <v>0.05</v>
      </c>
      <c r="H98" s="2119">
        <v>0.05</v>
      </c>
      <c r="I98" s="2119">
        <v>0.05</v>
      </c>
      <c r="J98" s="2119">
        <v>0.05</v>
      </c>
      <c r="K98" s="2140" t="s">
        <v>996</v>
      </c>
      <c r="L98" s="3319">
        <v>0.21</v>
      </c>
      <c r="M98" s="3311">
        <v>0.09</v>
      </c>
      <c r="N98" s="3318">
        <v>0.21</v>
      </c>
      <c r="O98" s="3319">
        <v>0.21</v>
      </c>
      <c r="P98" s="3319">
        <v>0.21</v>
      </c>
      <c r="Q98" s="3311">
        <v>0.09</v>
      </c>
      <c r="R98" s="648">
        <v>0.09</v>
      </c>
      <c r="S98" s="648">
        <v>0.09</v>
      </c>
      <c r="T98" s="648">
        <v>0.09</v>
      </c>
      <c r="U98" s="648">
        <v>0.09</v>
      </c>
      <c r="V98" s="648">
        <v>0.09</v>
      </c>
      <c r="W98" s="648">
        <v>0.09</v>
      </c>
      <c r="X98" s="3321">
        <v>0.09</v>
      </c>
      <c r="Y98" s="3322">
        <v>0.09</v>
      </c>
      <c r="Z98" s="648">
        <v>0.09</v>
      </c>
      <c r="AA98" s="648"/>
      <c r="AB98" s="648"/>
      <c r="AC98" s="648"/>
      <c r="AD98" s="3310" t="s">
        <v>1000</v>
      </c>
    </row>
    <row r="99" spans="1:30">
      <c r="A99" s="1910" t="s">
        <v>1001</v>
      </c>
      <c r="B99" s="3327"/>
      <c r="C99" s="3327"/>
      <c r="D99" s="3327">
        <v>0.05</v>
      </c>
      <c r="E99" s="3327">
        <v>0.05</v>
      </c>
      <c r="F99" s="3327">
        <v>0.05</v>
      </c>
      <c r="G99" s="3327">
        <v>0.05</v>
      </c>
      <c r="H99" s="3327">
        <v>0.05</v>
      </c>
      <c r="I99" s="3327">
        <v>0.05</v>
      </c>
      <c r="J99" s="3327">
        <v>0.05</v>
      </c>
      <c r="K99" s="3328" t="s">
        <v>984</v>
      </c>
      <c r="L99" s="650">
        <v>0.09</v>
      </c>
      <c r="M99" s="650">
        <v>0.09</v>
      </c>
      <c r="N99" s="650">
        <v>0.09</v>
      </c>
      <c r="O99" s="650">
        <v>0.09</v>
      </c>
      <c r="P99" s="650">
        <v>0.09</v>
      </c>
      <c r="Q99" s="650">
        <v>0.09</v>
      </c>
      <c r="R99" s="650">
        <v>0.09</v>
      </c>
      <c r="S99" s="650">
        <v>0.09</v>
      </c>
      <c r="T99" s="650">
        <v>0.09</v>
      </c>
      <c r="U99" s="650">
        <v>0.09</v>
      </c>
      <c r="V99" s="650">
        <v>0.09</v>
      </c>
      <c r="W99" s="650">
        <v>0.09</v>
      </c>
      <c r="X99" s="3329">
        <v>0.09</v>
      </c>
      <c r="Y99" s="3330">
        <v>0.09</v>
      </c>
      <c r="Z99" s="650">
        <v>0.09</v>
      </c>
      <c r="AA99" s="650"/>
      <c r="AB99" s="650"/>
      <c r="AC99" s="650"/>
      <c r="AD99" s="3331" t="s">
        <v>1002</v>
      </c>
    </row>
    <row r="100" spans="1:30" s="565" customFormat="1" ht="10.199999999999999">
      <c r="A100" s="3332"/>
      <c r="B100" s="3333"/>
      <c r="C100" s="3333"/>
      <c r="D100" s="3333"/>
      <c r="E100" s="3333"/>
      <c r="F100" s="3333"/>
      <c r="G100" s="3333"/>
      <c r="H100" s="3333"/>
      <c r="I100" s="3333"/>
      <c r="J100" s="3333"/>
      <c r="K100" s="3334"/>
      <c r="L100" s="3335"/>
      <c r="M100" s="3335"/>
      <c r="N100" s="3335"/>
      <c r="O100" s="3335"/>
      <c r="P100" s="3335"/>
      <c r="Q100" s="3335"/>
      <c r="R100" s="3335"/>
      <c r="S100" s="3335" t="s">
        <v>1003</v>
      </c>
      <c r="T100" s="3336"/>
      <c r="U100" s="3336"/>
      <c r="V100" s="3336"/>
      <c r="W100" s="3336"/>
      <c r="X100" s="3337"/>
      <c r="Y100" s="3338"/>
      <c r="Z100" s="3339"/>
      <c r="AA100" s="3339"/>
      <c r="AB100" s="3339"/>
      <c r="AC100" s="3339"/>
      <c r="AD100" s="3340"/>
    </row>
    <row r="101" spans="1:30">
      <c r="A101" s="3341"/>
      <c r="B101" s="3342"/>
      <c r="C101" s="3342"/>
      <c r="D101" s="3342"/>
      <c r="E101" s="3342"/>
      <c r="F101" s="3342"/>
      <c r="G101" s="3342"/>
      <c r="H101" s="3342"/>
      <c r="I101" s="3342"/>
      <c r="J101" s="3342"/>
      <c r="K101" s="3343"/>
      <c r="L101" s="601"/>
      <c r="M101" s="601"/>
      <c r="N101" s="601"/>
      <c r="O101" s="601"/>
      <c r="P101" s="601"/>
      <c r="Q101" s="601"/>
      <c r="R101" s="601"/>
      <c r="S101" s="3344">
        <v>0.21</v>
      </c>
      <c r="T101" s="3345"/>
      <c r="U101" s="3345"/>
      <c r="V101" s="3345"/>
      <c r="W101" s="3345"/>
      <c r="X101" s="3346"/>
      <c r="Y101" s="616"/>
      <c r="Z101" s="3347"/>
      <c r="AA101" s="3347"/>
      <c r="AB101" s="3347"/>
      <c r="AC101" s="3347"/>
      <c r="AD101" s="3348"/>
    </row>
    <row r="102" spans="1:30" s="565" customFormat="1" ht="10.199999999999999">
      <c r="A102" s="3332"/>
      <c r="B102" s="3333"/>
      <c r="C102" s="3333"/>
      <c r="D102" s="3333"/>
      <c r="E102" s="3333"/>
      <c r="F102" s="3333"/>
      <c r="G102" s="3333"/>
      <c r="H102" s="3333"/>
      <c r="I102" s="3333"/>
      <c r="J102" s="3333"/>
      <c r="K102" s="3334"/>
      <c r="L102" s="3335"/>
      <c r="M102" s="3335"/>
      <c r="N102" s="3335"/>
      <c r="O102" s="3335"/>
      <c r="P102" s="3335"/>
      <c r="Q102" s="3335"/>
      <c r="R102" s="3335"/>
      <c r="S102" s="3335" t="s">
        <v>1004</v>
      </c>
      <c r="T102" s="3335"/>
      <c r="U102" s="3336"/>
      <c r="V102" s="3336"/>
      <c r="W102" s="3336"/>
      <c r="X102" s="3337"/>
      <c r="Y102" s="3338"/>
      <c r="Z102" s="3339"/>
      <c r="AA102" s="3339"/>
      <c r="AB102" s="3339"/>
      <c r="AC102" s="3339"/>
      <c r="AD102" s="3340"/>
    </row>
    <row r="103" spans="1:30">
      <c r="A103" s="3341"/>
      <c r="B103" s="3342"/>
      <c r="C103" s="3342"/>
      <c r="D103" s="3342"/>
      <c r="E103" s="3342"/>
      <c r="F103" s="3342"/>
      <c r="G103" s="3342"/>
      <c r="H103" s="3342"/>
      <c r="I103" s="3342"/>
      <c r="J103" s="3342"/>
      <c r="K103" s="3343"/>
      <c r="L103" s="601"/>
      <c r="M103" s="601"/>
      <c r="N103" s="601"/>
      <c r="O103" s="601"/>
      <c r="P103" s="601"/>
      <c r="Q103" s="601"/>
      <c r="R103" s="601"/>
      <c r="S103" s="3349">
        <v>0.09</v>
      </c>
      <c r="T103" s="601"/>
      <c r="U103" s="3345"/>
      <c r="V103" s="3345"/>
      <c r="W103" s="3345"/>
      <c r="X103" s="3346"/>
      <c r="Y103" s="616"/>
      <c r="Z103" s="3347"/>
      <c r="AA103" s="3347"/>
      <c r="AB103" s="3347"/>
      <c r="AC103" s="3347"/>
      <c r="AD103" s="3348"/>
    </row>
    <row r="104" spans="1:30" s="565" customFormat="1" ht="10.199999999999999">
      <c r="A104" s="2114"/>
      <c r="B104" s="3350"/>
      <c r="C104" s="3350"/>
      <c r="D104" s="3350"/>
      <c r="E104" s="3350"/>
      <c r="F104" s="3350"/>
      <c r="G104" s="3350"/>
      <c r="H104" s="3350"/>
      <c r="I104" s="3350"/>
      <c r="J104" s="3350"/>
      <c r="K104" s="3351"/>
      <c r="L104" s="3352"/>
      <c r="M104" s="3352"/>
      <c r="N104" s="3352"/>
      <c r="O104" s="3352"/>
      <c r="P104" s="3352"/>
      <c r="Q104" s="3352"/>
      <c r="R104" s="3352"/>
      <c r="S104" s="3352" t="s">
        <v>848</v>
      </c>
      <c r="T104" s="3352"/>
      <c r="U104" s="3353"/>
      <c r="V104" s="3353"/>
      <c r="W104" s="3353"/>
      <c r="X104" s="3354"/>
      <c r="Y104" s="3355"/>
      <c r="Z104" s="3356"/>
      <c r="AA104" s="3356"/>
      <c r="AB104" s="3356"/>
      <c r="AC104" s="3356"/>
      <c r="AD104" s="3357"/>
    </row>
    <row r="105" spans="1:30">
      <c r="A105" s="2118" t="s">
        <v>1005</v>
      </c>
      <c r="B105" s="2119"/>
      <c r="C105" s="2119"/>
      <c r="D105" s="2119">
        <v>0.05</v>
      </c>
      <c r="E105" s="2119">
        <v>0.05</v>
      </c>
      <c r="F105" s="2119">
        <v>0.05</v>
      </c>
      <c r="G105" s="2119">
        <v>0.05</v>
      </c>
      <c r="H105" s="2119">
        <v>0.05</v>
      </c>
      <c r="I105" s="2119">
        <v>0.05</v>
      </c>
      <c r="J105" s="2119">
        <v>0.05</v>
      </c>
      <c r="K105" s="2140" t="s">
        <v>996</v>
      </c>
      <c r="L105" s="3319">
        <v>0.21</v>
      </c>
      <c r="M105" s="3319">
        <v>0.21</v>
      </c>
      <c r="N105" s="3319">
        <v>0.21</v>
      </c>
      <c r="O105" s="3311">
        <v>0.09</v>
      </c>
      <c r="P105" s="648">
        <v>0.09</v>
      </c>
      <c r="Q105" s="648">
        <v>0.09</v>
      </c>
      <c r="R105" s="648">
        <v>0.09</v>
      </c>
      <c r="S105" s="648">
        <v>0.09</v>
      </c>
      <c r="T105" s="648">
        <v>0.09</v>
      </c>
      <c r="U105" s="648">
        <v>0.09</v>
      </c>
      <c r="V105" s="648">
        <v>0.09</v>
      </c>
      <c r="W105" s="648">
        <v>0.09</v>
      </c>
      <c r="X105" s="3321">
        <v>0.09</v>
      </c>
      <c r="Y105" s="3322">
        <v>0.09</v>
      </c>
      <c r="Z105" s="648">
        <v>0.09</v>
      </c>
      <c r="AA105" s="648"/>
      <c r="AB105" s="648"/>
      <c r="AC105" s="648"/>
      <c r="AD105" s="3310" t="s">
        <v>1006</v>
      </c>
    </row>
    <row r="106" spans="1:30" ht="27.6">
      <c r="A106" s="3358" t="s">
        <v>1007</v>
      </c>
      <c r="B106" s="2119"/>
      <c r="C106" s="2119"/>
      <c r="D106" s="2119"/>
      <c r="E106" s="2119"/>
      <c r="F106" s="2119"/>
      <c r="G106" s="2119"/>
      <c r="H106" s="2119"/>
      <c r="I106" s="2119"/>
      <c r="J106" s="2119"/>
      <c r="K106" s="2140"/>
      <c r="L106" s="3319"/>
      <c r="M106" s="3319"/>
      <c r="N106" s="3319"/>
      <c r="O106" s="3311"/>
      <c r="P106" s="648"/>
      <c r="Q106" s="648"/>
      <c r="R106" s="648"/>
      <c r="S106" s="648"/>
      <c r="T106" s="648"/>
      <c r="U106" s="3320">
        <v>0.09</v>
      </c>
      <c r="V106" s="648">
        <v>0.09</v>
      </c>
      <c r="W106" s="648">
        <v>0.09</v>
      </c>
      <c r="X106" s="3321">
        <v>0.09</v>
      </c>
      <c r="Y106" s="3322">
        <v>0.09</v>
      </c>
      <c r="Z106" s="648">
        <v>0.09</v>
      </c>
      <c r="AA106" s="648"/>
      <c r="AB106" s="648"/>
      <c r="AC106" s="648"/>
      <c r="AD106" s="3359" t="s">
        <v>1008</v>
      </c>
    </row>
    <row r="107" spans="1:30" ht="69">
      <c r="A107" s="3358" t="s">
        <v>1009</v>
      </c>
      <c r="B107" s="3327"/>
      <c r="C107" s="3327"/>
      <c r="D107" s="3327"/>
      <c r="E107" s="3327"/>
      <c r="F107" s="3327"/>
      <c r="G107" s="3327"/>
      <c r="H107" s="3327"/>
      <c r="I107" s="3327"/>
      <c r="J107" s="3327"/>
      <c r="K107" s="3360"/>
      <c r="L107" s="3361"/>
      <c r="M107" s="3361"/>
      <c r="N107" s="3361"/>
      <c r="O107" s="3362"/>
      <c r="P107" s="648"/>
      <c r="Q107" s="648"/>
      <c r="R107" s="648"/>
      <c r="S107" s="648"/>
      <c r="T107" s="648"/>
      <c r="U107" s="3320"/>
      <c r="V107" s="648"/>
      <c r="W107" s="3363" t="s">
        <v>1010</v>
      </c>
      <c r="X107" s="3364">
        <v>0.09</v>
      </c>
      <c r="Y107" s="3365" t="s">
        <v>1011</v>
      </c>
      <c r="Z107" s="3366" t="s">
        <v>18</v>
      </c>
      <c r="AA107" s="3366"/>
      <c r="AB107" s="3366"/>
      <c r="AC107" s="3366"/>
      <c r="AD107" s="3367" t="s">
        <v>1012</v>
      </c>
    </row>
    <row r="108" spans="1:30" ht="55.2">
      <c r="A108" s="3368" t="s">
        <v>1013</v>
      </c>
      <c r="B108" s="3327"/>
      <c r="C108" s="3327"/>
      <c r="D108" s="3327"/>
      <c r="E108" s="3327"/>
      <c r="F108" s="3327"/>
      <c r="G108" s="3327"/>
      <c r="H108" s="3327"/>
      <c r="I108" s="3327"/>
      <c r="J108" s="3327"/>
      <c r="K108" s="3360"/>
      <c r="L108" s="3361"/>
      <c r="M108" s="3361"/>
      <c r="N108" s="3361"/>
      <c r="O108" s="3362"/>
      <c r="P108" s="648"/>
      <c r="Q108" s="648"/>
      <c r="R108" s="648"/>
      <c r="S108" s="648"/>
      <c r="T108" s="648"/>
      <c r="U108" s="3320"/>
      <c r="V108" s="648"/>
      <c r="W108" s="3363" t="s">
        <v>1010</v>
      </c>
      <c r="X108" s="3364">
        <v>0.09</v>
      </c>
      <c r="Y108" s="3365">
        <v>0.09</v>
      </c>
      <c r="Z108" s="3369">
        <v>0.09</v>
      </c>
      <c r="AA108" s="3369"/>
      <c r="AB108" s="3369"/>
      <c r="AC108" s="3369"/>
      <c r="AD108" s="3370" t="s">
        <v>1014</v>
      </c>
    </row>
    <row r="109" spans="1:30" ht="58.35" customHeight="1">
      <c r="A109" s="3368" t="s">
        <v>1015</v>
      </c>
      <c r="B109" s="3327"/>
      <c r="C109" s="3327"/>
      <c r="D109" s="3327"/>
      <c r="E109" s="3327"/>
      <c r="F109" s="3327"/>
      <c r="G109" s="3327"/>
      <c r="H109" s="3327"/>
      <c r="I109" s="3327"/>
      <c r="J109" s="3327"/>
      <c r="K109" s="3360"/>
      <c r="L109" s="3361"/>
      <c r="M109" s="3361"/>
      <c r="N109" s="3361"/>
      <c r="O109" s="3362"/>
      <c r="P109" s="648"/>
      <c r="Q109" s="648"/>
      <c r="R109" s="648"/>
      <c r="S109" s="648"/>
      <c r="T109" s="648"/>
      <c r="U109" s="3320"/>
      <c r="V109" s="648"/>
      <c r="W109" s="3363" t="s">
        <v>1010</v>
      </c>
      <c r="X109" s="3364">
        <v>0.09</v>
      </c>
      <c r="Y109" s="3365" t="s">
        <v>1016</v>
      </c>
      <c r="Z109" s="3366" t="s">
        <v>18</v>
      </c>
      <c r="AA109" s="3366"/>
      <c r="AB109" s="3366"/>
      <c r="AC109" s="3366"/>
      <c r="AD109" s="3371" t="s">
        <v>1017</v>
      </c>
    </row>
    <row r="110" spans="1:30" ht="27.6">
      <c r="A110" s="3368" t="s">
        <v>1018</v>
      </c>
      <c r="B110" s="3327"/>
      <c r="C110" s="3327"/>
      <c r="D110" s="3327"/>
      <c r="E110" s="3327"/>
      <c r="F110" s="3327"/>
      <c r="G110" s="3327"/>
      <c r="H110" s="527"/>
      <c r="I110" s="3327"/>
      <c r="J110" s="3327"/>
      <c r="K110" s="3360"/>
      <c r="L110" s="3361"/>
      <c r="M110" s="3361"/>
      <c r="N110" s="3361"/>
      <c r="O110" s="3361"/>
      <c r="P110" s="646" t="s">
        <v>18</v>
      </c>
      <c r="Q110" s="646" t="s">
        <v>18</v>
      </c>
      <c r="R110" s="646" t="s">
        <v>18</v>
      </c>
      <c r="S110" s="646" t="s">
        <v>18</v>
      </c>
      <c r="T110" s="646" t="s">
        <v>18</v>
      </c>
      <c r="U110" s="646" t="s">
        <v>18</v>
      </c>
      <c r="V110" s="646" t="s">
        <v>18</v>
      </c>
      <c r="W110" s="3320">
        <v>0</v>
      </c>
      <c r="X110" s="3329">
        <v>0</v>
      </c>
      <c r="Y110" s="3330"/>
      <c r="Z110" s="649" t="s">
        <v>18</v>
      </c>
      <c r="AA110" s="649"/>
      <c r="AB110" s="649"/>
      <c r="AC110" s="649"/>
      <c r="AD110" s="3372" t="s">
        <v>1019</v>
      </c>
    </row>
    <row r="111" spans="1:30">
      <c r="A111" s="3373" t="s">
        <v>1020</v>
      </c>
      <c r="B111" s="3374"/>
      <c r="C111" s="3374"/>
      <c r="D111" s="3374">
        <v>0.05</v>
      </c>
      <c r="E111" s="3374">
        <v>0.05</v>
      </c>
      <c r="F111" s="3374">
        <v>0.05</v>
      </c>
      <c r="G111" s="3374">
        <v>0.05</v>
      </c>
      <c r="H111" s="3374">
        <v>0.05</v>
      </c>
      <c r="I111" s="3374">
        <v>0.05</v>
      </c>
      <c r="J111" s="3374">
        <v>0.05</v>
      </c>
      <c r="K111" s="3375" t="s">
        <v>996</v>
      </c>
      <c r="L111" s="3376">
        <v>0.21</v>
      </c>
      <c r="M111" s="3376">
        <v>0.21</v>
      </c>
      <c r="N111" s="3376">
        <v>0.21</v>
      </c>
      <c r="O111" s="3376">
        <v>0.21</v>
      </c>
      <c r="P111" s="3376">
        <v>0.21</v>
      </c>
      <c r="Q111" s="3376">
        <v>0.21</v>
      </c>
      <c r="R111" s="3376">
        <v>0.21</v>
      </c>
      <c r="S111" s="3376">
        <v>0.21</v>
      </c>
      <c r="T111" s="3376">
        <v>0.21</v>
      </c>
      <c r="U111" s="3377" t="s">
        <v>18</v>
      </c>
      <c r="V111" s="3377" t="s">
        <v>18</v>
      </c>
      <c r="W111" s="3377" t="s">
        <v>18</v>
      </c>
      <c r="X111" s="3378" t="s">
        <v>870</v>
      </c>
      <c r="Y111" s="3379"/>
      <c r="Z111" s="3380"/>
      <c r="AA111" s="3380"/>
      <c r="AB111" s="3380"/>
      <c r="AC111" s="3380"/>
      <c r="AD111" s="3381" t="s">
        <v>1021</v>
      </c>
    </row>
    <row r="112" spans="1:30">
      <c r="A112" s="3373" t="s">
        <v>1022</v>
      </c>
      <c r="B112" s="3374"/>
      <c r="C112" s="3374"/>
      <c r="D112" s="3374">
        <v>0.05</v>
      </c>
      <c r="E112" s="3374">
        <v>0.05</v>
      </c>
      <c r="F112" s="3374">
        <v>0.05</v>
      </c>
      <c r="G112" s="3374">
        <v>0.05</v>
      </c>
      <c r="H112" s="3374">
        <v>0.05</v>
      </c>
      <c r="I112" s="3374">
        <v>0.05</v>
      </c>
      <c r="J112" s="3374">
        <v>0.05</v>
      </c>
      <c r="K112" s="3375" t="s">
        <v>996</v>
      </c>
      <c r="L112" s="3376">
        <v>0.21</v>
      </c>
      <c r="M112" s="3376">
        <v>0.21</v>
      </c>
      <c r="N112" s="3376">
        <v>0.21</v>
      </c>
      <c r="O112" s="3376">
        <v>0.21</v>
      </c>
      <c r="P112" s="3376">
        <v>0.21</v>
      </c>
      <c r="Q112" s="3376">
        <v>0.21</v>
      </c>
      <c r="R112" s="3376">
        <v>0.21</v>
      </c>
      <c r="S112" s="3376">
        <v>0.21</v>
      </c>
      <c r="T112" s="3376">
        <v>0.21</v>
      </c>
      <c r="U112" s="3377" t="s">
        <v>18</v>
      </c>
      <c r="V112" s="3377" t="s">
        <v>18</v>
      </c>
      <c r="W112" s="3377" t="s">
        <v>18</v>
      </c>
      <c r="X112" s="3378" t="s">
        <v>870</v>
      </c>
      <c r="Y112" s="3379"/>
      <c r="Z112" s="3380"/>
      <c r="AA112" s="3380"/>
      <c r="AB112" s="3380"/>
      <c r="AC112" s="3380"/>
      <c r="AD112" s="3381" t="s">
        <v>1023</v>
      </c>
    </row>
    <row r="113" spans="1:30">
      <c r="A113" s="3373" t="s">
        <v>1024</v>
      </c>
      <c r="B113" s="3374"/>
      <c r="C113" s="3374"/>
      <c r="D113" s="3374">
        <v>0.05</v>
      </c>
      <c r="E113" s="3374">
        <v>0.05</v>
      </c>
      <c r="F113" s="3374">
        <v>0.05</v>
      </c>
      <c r="G113" s="3374">
        <v>0.05</v>
      </c>
      <c r="H113" s="3374">
        <v>0.05</v>
      </c>
      <c r="I113" s="3374">
        <v>0.05</v>
      </c>
      <c r="J113" s="3374">
        <v>0.05</v>
      </c>
      <c r="K113" s="3375" t="s">
        <v>996</v>
      </c>
      <c r="L113" s="3376">
        <v>0.21</v>
      </c>
      <c r="M113" s="3376">
        <v>0.21</v>
      </c>
      <c r="N113" s="3376">
        <v>0.21</v>
      </c>
      <c r="O113" s="3376">
        <v>0.21</v>
      </c>
      <c r="P113" s="3376">
        <v>0.21</v>
      </c>
      <c r="Q113" s="3376">
        <v>0.21</v>
      </c>
      <c r="R113" s="3376">
        <v>0.21</v>
      </c>
      <c r="S113" s="3376">
        <v>0.21</v>
      </c>
      <c r="T113" s="3376">
        <v>0.21</v>
      </c>
      <c r="U113" s="3377" t="s">
        <v>18</v>
      </c>
      <c r="V113" s="3377" t="s">
        <v>18</v>
      </c>
      <c r="W113" s="3377" t="s">
        <v>18</v>
      </c>
      <c r="X113" s="3378" t="s">
        <v>870</v>
      </c>
      <c r="Y113" s="3379"/>
      <c r="Z113" s="3380"/>
      <c r="AA113" s="3380"/>
      <c r="AB113" s="3380"/>
      <c r="AC113" s="3380"/>
      <c r="AD113" s="3381" t="s">
        <v>1025</v>
      </c>
    </row>
    <row r="114" spans="1:30">
      <c r="A114" s="3382" t="s">
        <v>1026</v>
      </c>
      <c r="B114" s="3383"/>
      <c r="C114" s="3383"/>
      <c r="D114" s="3383" t="s">
        <v>18</v>
      </c>
      <c r="E114" s="3383" t="s">
        <v>18</v>
      </c>
      <c r="F114" s="3384">
        <v>0.05</v>
      </c>
      <c r="G114" s="3383">
        <v>0.05</v>
      </c>
      <c r="H114" s="3383">
        <v>0.05</v>
      </c>
      <c r="I114" s="3383">
        <v>0.05</v>
      </c>
      <c r="J114" s="3383">
        <v>0.05</v>
      </c>
      <c r="K114" s="3385" t="s">
        <v>996</v>
      </c>
      <c r="L114" s="3386">
        <v>0.21</v>
      </c>
      <c r="M114" s="3386">
        <v>0.21</v>
      </c>
      <c r="N114" s="3386">
        <v>0.21</v>
      </c>
      <c r="O114" s="3386">
        <v>0.21</v>
      </c>
      <c r="P114" s="3386">
        <v>0.21</v>
      </c>
      <c r="Q114" s="3386">
        <v>0.21</v>
      </c>
      <c r="R114" s="3386">
        <v>0.21</v>
      </c>
      <c r="S114" s="3386">
        <v>0.21</v>
      </c>
      <c r="T114" s="3386">
        <v>0.21</v>
      </c>
      <c r="U114" s="3387" t="s">
        <v>18</v>
      </c>
      <c r="V114" s="3387" t="s">
        <v>18</v>
      </c>
      <c r="W114" s="3387" t="s">
        <v>18</v>
      </c>
      <c r="X114" s="3388" t="s">
        <v>870</v>
      </c>
      <c r="Y114" s="3389"/>
      <c r="Z114" s="3390"/>
      <c r="AA114" s="3390"/>
      <c r="AB114" s="3390"/>
      <c r="AC114" s="3390"/>
      <c r="AD114" s="3391" t="s">
        <v>1027</v>
      </c>
    </row>
    <row r="115" spans="1:30" s="565" customFormat="1">
      <c r="A115" s="3392"/>
      <c r="B115" s="3393"/>
      <c r="C115" s="3393"/>
      <c r="D115" s="3393"/>
      <c r="E115" s="3393"/>
      <c r="F115" s="3393" t="s">
        <v>203</v>
      </c>
      <c r="G115" s="3393"/>
      <c r="H115" s="3393"/>
      <c r="I115" s="3393"/>
      <c r="J115" s="3393"/>
      <c r="K115" s="3394"/>
      <c r="L115" s="3395"/>
      <c r="M115" s="3395"/>
      <c r="N115" s="3395"/>
      <c r="O115" s="3395"/>
      <c r="P115" s="3395"/>
      <c r="Q115" s="3395"/>
      <c r="R115" s="3395"/>
      <c r="S115" s="3395"/>
      <c r="T115" s="3395"/>
      <c r="U115" s="3396"/>
      <c r="V115" s="3396"/>
      <c r="W115" s="3396"/>
      <c r="X115" s="3397"/>
      <c r="Y115" s="3398"/>
      <c r="Z115" s="3399"/>
      <c r="AA115" s="3399"/>
      <c r="AB115" s="3399"/>
      <c r="AC115" s="3399"/>
      <c r="AD115" s="3400"/>
    </row>
    <row r="116" spans="1:30">
      <c r="A116" s="3382" t="s">
        <v>1028</v>
      </c>
      <c r="B116" s="3383"/>
      <c r="C116" s="3383"/>
      <c r="D116" s="3383" t="s">
        <v>18</v>
      </c>
      <c r="E116" s="3383" t="s">
        <v>18</v>
      </c>
      <c r="F116" s="3384">
        <v>0.05</v>
      </c>
      <c r="G116" s="3383">
        <v>0.05</v>
      </c>
      <c r="H116" s="3383">
        <v>0.05</v>
      </c>
      <c r="I116" s="3383">
        <v>0.05</v>
      </c>
      <c r="J116" s="3383">
        <v>0.05</v>
      </c>
      <c r="K116" s="3385" t="s">
        <v>996</v>
      </c>
      <c r="L116" s="3386">
        <v>0.21</v>
      </c>
      <c r="M116" s="3386">
        <v>0.21</v>
      </c>
      <c r="N116" s="3386">
        <v>0.21</v>
      </c>
      <c r="O116" s="3386">
        <v>0.21</v>
      </c>
      <c r="P116" s="3386">
        <v>0.21</v>
      </c>
      <c r="Q116" s="3386">
        <v>0.21</v>
      </c>
      <c r="R116" s="3386">
        <v>0.21</v>
      </c>
      <c r="S116" s="3386">
        <v>0.21</v>
      </c>
      <c r="T116" s="3386">
        <v>0.21</v>
      </c>
      <c r="U116" s="3387" t="s">
        <v>18</v>
      </c>
      <c r="V116" s="3387" t="s">
        <v>18</v>
      </c>
      <c r="W116" s="3387" t="s">
        <v>18</v>
      </c>
      <c r="X116" s="3401" t="s">
        <v>870</v>
      </c>
      <c r="Y116" s="3402"/>
      <c r="Z116" s="3403"/>
      <c r="AA116" s="3403"/>
      <c r="AB116" s="3403"/>
      <c r="AC116" s="3403"/>
      <c r="AD116" s="3391" t="s">
        <v>1029</v>
      </c>
    </row>
    <row r="117" spans="1:30" s="565" customFormat="1">
      <c r="A117" s="3392"/>
      <c r="B117" s="3393"/>
      <c r="C117" s="3393"/>
      <c r="D117" s="3393"/>
      <c r="E117" s="3393"/>
      <c r="F117" s="3393" t="s">
        <v>203</v>
      </c>
      <c r="G117" s="3393"/>
      <c r="H117" s="3393"/>
      <c r="I117" s="3393"/>
      <c r="J117" s="3393"/>
      <c r="K117" s="3394"/>
      <c r="L117" s="3395"/>
      <c r="M117" s="3395"/>
      <c r="N117" s="3395"/>
      <c r="O117" s="3395"/>
      <c r="P117" s="3395"/>
      <c r="Q117" s="3395"/>
      <c r="R117" s="3395"/>
      <c r="S117" s="3395"/>
      <c r="T117" s="3395"/>
      <c r="U117" s="3396"/>
      <c r="V117" s="3396"/>
      <c r="W117" s="3396"/>
      <c r="X117" s="3397"/>
      <c r="Y117" s="3398"/>
      <c r="Z117" s="3399"/>
      <c r="AA117" s="3399"/>
      <c r="AB117" s="3399"/>
      <c r="AC117" s="3399"/>
      <c r="AD117" s="3400"/>
    </row>
    <row r="118" spans="1:30">
      <c r="A118" s="3382" t="s">
        <v>1030</v>
      </c>
      <c r="B118" s="3383"/>
      <c r="C118" s="3383"/>
      <c r="D118" s="3383" t="s">
        <v>18</v>
      </c>
      <c r="E118" s="3383" t="s">
        <v>18</v>
      </c>
      <c r="F118" s="3383" t="s">
        <v>18</v>
      </c>
      <c r="G118" s="3383" t="s">
        <v>18</v>
      </c>
      <c r="H118" s="3384">
        <v>0.05</v>
      </c>
      <c r="I118" s="3383">
        <v>0.05</v>
      </c>
      <c r="J118" s="3383">
        <v>0.05</v>
      </c>
      <c r="K118" s="3385" t="s">
        <v>996</v>
      </c>
      <c r="L118" s="3386">
        <v>0.21</v>
      </c>
      <c r="M118" s="3386">
        <v>0.21</v>
      </c>
      <c r="N118" s="3386">
        <v>0.21</v>
      </c>
      <c r="O118" s="3386">
        <v>0.21</v>
      </c>
      <c r="P118" s="3386">
        <v>0.21</v>
      </c>
      <c r="Q118" s="3386">
        <v>0.21</v>
      </c>
      <c r="R118" s="3386">
        <v>0.21</v>
      </c>
      <c r="S118" s="3386">
        <v>0.21</v>
      </c>
      <c r="T118" s="3386">
        <v>0.21</v>
      </c>
      <c r="U118" s="3387" t="s">
        <v>18</v>
      </c>
      <c r="V118" s="3387" t="s">
        <v>18</v>
      </c>
      <c r="W118" s="3387" t="s">
        <v>18</v>
      </c>
      <c r="X118" s="3401" t="s">
        <v>870</v>
      </c>
      <c r="Y118" s="3402"/>
      <c r="Z118" s="3403"/>
      <c r="AA118" s="3403"/>
      <c r="AB118" s="3403"/>
      <c r="AC118" s="3403"/>
      <c r="AD118" s="3391" t="s">
        <v>1031</v>
      </c>
    </row>
    <row r="119" spans="1:30" s="565" customFormat="1">
      <c r="A119" s="3392"/>
      <c r="B119" s="3393"/>
      <c r="C119" s="3393"/>
      <c r="D119" s="3393"/>
      <c r="E119" s="3393"/>
      <c r="F119" s="3393"/>
      <c r="G119" s="3393"/>
      <c r="H119" s="3393" t="s">
        <v>214</v>
      </c>
      <c r="I119" s="3393"/>
      <c r="J119" s="3393"/>
      <c r="K119" s="3394"/>
      <c r="L119" s="3395"/>
      <c r="M119" s="3395"/>
      <c r="N119" s="3395"/>
      <c r="O119" s="3395"/>
      <c r="P119" s="3395"/>
      <c r="Q119" s="3395"/>
      <c r="R119" s="3395"/>
      <c r="S119" s="3395"/>
      <c r="T119" s="3395"/>
      <c r="U119" s="3396"/>
      <c r="V119" s="3396"/>
      <c r="W119" s="3396"/>
      <c r="X119" s="3397"/>
      <c r="Y119" s="3398"/>
      <c r="Z119" s="3399"/>
      <c r="AA119" s="3399"/>
      <c r="AB119" s="3399"/>
      <c r="AC119" s="3399"/>
      <c r="AD119" s="3400"/>
    </row>
    <row r="120" spans="1:30">
      <c r="A120" s="3382" t="s">
        <v>1032</v>
      </c>
      <c r="B120" s="3383"/>
      <c r="C120" s="3383"/>
      <c r="D120" s="3383" t="s">
        <v>18</v>
      </c>
      <c r="E120" s="3383" t="s">
        <v>18</v>
      </c>
      <c r="F120" s="3383" t="s">
        <v>18</v>
      </c>
      <c r="G120" s="3383" t="s">
        <v>18</v>
      </c>
      <c r="H120" s="3384">
        <v>0.05</v>
      </c>
      <c r="I120" s="3383">
        <v>0.05</v>
      </c>
      <c r="J120" s="3383">
        <v>0.05</v>
      </c>
      <c r="K120" s="3385" t="s">
        <v>996</v>
      </c>
      <c r="L120" s="3386">
        <v>0.21</v>
      </c>
      <c r="M120" s="3386">
        <v>0.21</v>
      </c>
      <c r="N120" s="3386">
        <v>0.21</v>
      </c>
      <c r="O120" s="3386">
        <v>0.21</v>
      </c>
      <c r="P120" s="3386">
        <v>0.21</v>
      </c>
      <c r="Q120" s="3386">
        <v>0.21</v>
      </c>
      <c r="R120" s="3386">
        <v>0.21</v>
      </c>
      <c r="S120" s="3386">
        <v>0.21</v>
      </c>
      <c r="T120" s="3386">
        <v>0.21</v>
      </c>
      <c r="U120" s="3387" t="s">
        <v>18</v>
      </c>
      <c r="V120" s="3387" t="s">
        <v>18</v>
      </c>
      <c r="W120" s="3387" t="s">
        <v>18</v>
      </c>
      <c r="X120" s="3401" t="s">
        <v>870</v>
      </c>
      <c r="Y120" s="3402"/>
      <c r="Z120" s="3403"/>
      <c r="AA120" s="3403"/>
      <c r="AB120" s="3403"/>
      <c r="AC120" s="3403"/>
      <c r="AD120" s="3391" t="s">
        <v>1033</v>
      </c>
    </row>
    <row r="121" spans="1:30" s="565" customFormat="1">
      <c r="A121" s="3392"/>
      <c r="B121" s="3393"/>
      <c r="C121" s="3393"/>
      <c r="D121" s="3393"/>
      <c r="E121" s="3393"/>
      <c r="F121" s="3393"/>
      <c r="G121" s="3393"/>
      <c r="H121" s="3393" t="s">
        <v>214</v>
      </c>
      <c r="I121" s="3393"/>
      <c r="J121" s="3393"/>
      <c r="K121" s="3394"/>
      <c r="L121" s="3395"/>
      <c r="M121" s="3395"/>
      <c r="N121" s="3395"/>
      <c r="O121" s="3395"/>
      <c r="P121" s="3395"/>
      <c r="Q121" s="3395"/>
      <c r="R121" s="3395"/>
      <c r="S121" s="3395"/>
      <c r="T121" s="3395"/>
      <c r="U121" s="3396"/>
      <c r="V121" s="3396"/>
      <c r="W121" s="3396"/>
      <c r="X121" s="3397"/>
      <c r="Y121" s="3398"/>
      <c r="Z121" s="3399"/>
      <c r="AA121" s="3399"/>
      <c r="AB121" s="3399"/>
      <c r="AC121" s="3399"/>
      <c r="AD121" s="3400"/>
    </row>
    <row r="122" spans="1:30">
      <c r="A122" s="3404" t="s">
        <v>1034</v>
      </c>
      <c r="B122" s="3405"/>
      <c r="C122" s="3405"/>
      <c r="D122" s="3405">
        <v>0.09</v>
      </c>
      <c r="E122" s="3405">
        <v>0.09</v>
      </c>
      <c r="F122" s="3405">
        <v>0.09</v>
      </c>
      <c r="G122" s="3405">
        <v>0.09</v>
      </c>
      <c r="H122" s="3405">
        <v>0.09</v>
      </c>
      <c r="I122" s="3405">
        <v>0.09</v>
      </c>
      <c r="J122" s="3405">
        <v>0.09</v>
      </c>
      <c r="K122" s="3375" t="s">
        <v>996</v>
      </c>
      <c r="L122" s="3386">
        <v>0.21</v>
      </c>
      <c r="M122" s="3386">
        <v>0.21</v>
      </c>
      <c r="N122" s="3386">
        <v>0.21</v>
      </c>
      <c r="O122" s="3386">
        <v>0.21</v>
      </c>
      <c r="P122" s="3386">
        <v>0.21</v>
      </c>
      <c r="Q122" s="3386">
        <v>0.21</v>
      </c>
      <c r="R122" s="3386">
        <v>0.21</v>
      </c>
      <c r="S122" s="3386">
        <v>0.21</v>
      </c>
      <c r="T122" s="3386">
        <v>0.21</v>
      </c>
      <c r="U122" s="3377" t="s">
        <v>18</v>
      </c>
      <c r="V122" s="3377" t="s">
        <v>18</v>
      </c>
      <c r="W122" s="3377" t="s">
        <v>18</v>
      </c>
      <c r="X122" s="3401" t="s">
        <v>870</v>
      </c>
      <c r="Y122" s="3402"/>
      <c r="Z122" s="3403"/>
      <c r="AA122" s="3403"/>
      <c r="AB122" s="3403"/>
      <c r="AC122" s="3403"/>
      <c r="AD122" s="3406" t="s">
        <v>1035</v>
      </c>
    </row>
    <row r="123" spans="1:30">
      <c r="A123" s="2145" t="s">
        <v>1036</v>
      </c>
      <c r="B123" s="2146"/>
      <c r="C123" s="2147"/>
      <c r="D123" s="2147"/>
      <c r="E123" s="2147"/>
      <c r="F123" s="2147"/>
      <c r="G123" s="2147"/>
      <c r="H123" s="2148"/>
      <c r="I123" s="2149"/>
      <c r="J123" s="2146"/>
      <c r="K123" s="2150">
        <f t="shared" ref="K123:P123" si="13">K124/$P$1</f>
        <v>28962.001853568119</v>
      </c>
      <c r="L123" s="2150">
        <f t="shared" si="13"/>
        <v>28962.001853568119</v>
      </c>
      <c r="M123" s="2150">
        <f t="shared" si="13"/>
        <v>28962.001853568119</v>
      </c>
      <c r="N123" s="2151">
        <f t="shared" si="13"/>
        <v>44891.102873030584</v>
      </c>
      <c r="O123" s="2150">
        <f t="shared" si="13"/>
        <v>44891.102873030584</v>
      </c>
      <c r="P123" s="2150">
        <f t="shared" si="13"/>
        <v>44891.102873030584</v>
      </c>
      <c r="Q123" s="2151">
        <v>45000</v>
      </c>
      <c r="R123" s="2150">
        <v>45000</v>
      </c>
      <c r="S123" s="2150">
        <v>45000</v>
      </c>
      <c r="T123" s="2150">
        <v>45000</v>
      </c>
      <c r="U123" s="2150">
        <v>45000</v>
      </c>
      <c r="V123" s="2150">
        <v>45000</v>
      </c>
      <c r="W123" s="2150">
        <v>45000</v>
      </c>
      <c r="X123" s="3407">
        <v>45000</v>
      </c>
      <c r="Y123" s="3408">
        <v>45000</v>
      </c>
      <c r="Z123" s="3409">
        <v>45000</v>
      </c>
      <c r="AA123" s="3409"/>
      <c r="AB123" s="3409"/>
      <c r="AC123" s="3409"/>
      <c r="AD123" s="3410" t="s">
        <v>1037</v>
      </c>
    </row>
    <row r="124" spans="1:30" s="31" customFormat="1" thickBot="1">
      <c r="A124" s="2154" t="s">
        <v>1038</v>
      </c>
      <c r="B124" s="2155"/>
      <c r="C124" s="2156"/>
      <c r="D124" s="2156"/>
      <c r="E124" s="2156"/>
      <c r="F124" s="2156"/>
      <c r="G124" s="2156"/>
      <c r="H124" s="2157"/>
      <c r="I124" s="2158"/>
      <c r="J124" s="2155"/>
      <c r="K124" s="2159">
        <v>100000</v>
      </c>
      <c r="L124" s="2159">
        <v>100000</v>
      </c>
      <c r="M124" s="2159">
        <v>100000</v>
      </c>
      <c r="N124" s="3411">
        <v>155000</v>
      </c>
      <c r="O124" s="2159">
        <v>155000</v>
      </c>
      <c r="P124" s="2159">
        <v>155000</v>
      </c>
      <c r="Q124" s="2160"/>
      <c r="R124" s="2160"/>
      <c r="S124" s="2160"/>
      <c r="T124" s="2160"/>
      <c r="U124" s="2160"/>
      <c r="V124" s="2161"/>
      <c r="W124" s="2161"/>
      <c r="X124" s="2162"/>
      <c r="Y124" s="3412"/>
      <c r="Z124" s="3413"/>
      <c r="AA124" s="3413"/>
      <c r="AB124" s="3413"/>
      <c r="AC124" s="3413"/>
      <c r="AD124" s="3414" t="s">
        <v>1039</v>
      </c>
    </row>
    <row r="125" spans="1:30" s="4" customFormat="1" ht="16.2" thickBot="1">
      <c r="A125" s="2056" t="s">
        <v>1040</v>
      </c>
      <c r="B125" s="2164"/>
      <c r="C125" s="2164"/>
      <c r="D125" s="2164"/>
      <c r="E125" s="2164"/>
      <c r="F125" s="2164"/>
      <c r="G125" s="2164"/>
      <c r="H125" s="2165"/>
      <c r="I125" s="2166"/>
      <c r="J125" s="2166"/>
      <c r="K125" s="2167"/>
      <c r="L125" s="2167"/>
      <c r="M125" s="2167"/>
      <c r="N125" s="2167"/>
      <c r="O125" s="2167"/>
      <c r="P125" s="2167"/>
      <c r="Q125" s="2167"/>
      <c r="R125" s="2167"/>
      <c r="S125" s="2168"/>
      <c r="T125" s="2168"/>
      <c r="U125" s="2168"/>
      <c r="V125" s="2168"/>
      <c r="W125" s="2168"/>
      <c r="X125" s="2169"/>
      <c r="Y125" s="3415"/>
      <c r="Z125" s="2168"/>
      <c r="AA125" s="2168"/>
      <c r="AB125" s="2168"/>
      <c r="AC125" s="2168"/>
      <c r="AD125" s="3194" t="s">
        <v>259</v>
      </c>
    </row>
    <row r="126" spans="1:30">
      <c r="A126" s="3416" t="s">
        <v>701</v>
      </c>
      <c r="B126" s="3417">
        <v>1.4999999999999999E-2</v>
      </c>
      <c r="C126" s="3417">
        <v>1.4999999999999999E-2</v>
      </c>
      <c r="D126" s="3417">
        <v>1.4999999999999999E-2</v>
      </c>
      <c r="E126" s="3417">
        <v>1.4999999999999999E-2</v>
      </c>
      <c r="F126" s="3417">
        <v>1.4999999999999999E-2</v>
      </c>
      <c r="G126" s="3417">
        <v>1.4999999999999999E-2</v>
      </c>
      <c r="H126" s="3417">
        <v>1.4999999999999999E-2</v>
      </c>
      <c r="I126" s="3417">
        <v>1.4999999999999999E-2</v>
      </c>
      <c r="J126" s="3417">
        <v>1.4999999999999999E-2</v>
      </c>
      <c r="K126" s="3417">
        <v>1.4999999999999999E-2</v>
      </c>
      <c r="L126" s="3418">
        <v>1.4999999999999999E-2</v>
      </c>
      <c r="M126" s="3418">
        <f>L126</f>
        <v>1.4999999999999999E-2</v>
      </c>
      <c r="N126" s="3417">
        <f>M126</f>
        <v>1.4999999999999999E-2</v>
      </c>
      <c r="O126" s="3419" t="s">
        <v>1041</v>
      </c>
      <c r="P126" s="3417" t="s">
        <v>1042</v>
      </c>
      <c r="Q126" s="3417" t="s">
        <v>1041</v>
      </c>
      <c r="R126" s="3417" t="s">
        <v>1041</v>
      </c>
      <c r="S126" s="3417" t="s">
        <v>1041</v>
      </c>
      <c r="T126" s="3417" t="s">
        <v>1041</v>
      </c>
      <c r="U126" s="3417" t="s">
        <v>1041</v>
      </c>
      <c r="V126" s="3417" t="s">
        <v>1041</v>
      </c>
      <c r="W126" s="3417" t="s">
        <v>1041</v>
      </c>
      <c r="X126" s="3417" t="s">
        <v>1041</v>
      </c>
      <c r="Y126" s="3420" t="s">
        <v>1041</v>
      </c>
      <c r="Z126" s="3421" t="s">
        <v>1041</v>
      </c>
      <c r="AA126" s="3421"/>
      <c r="AB126" s="3421"/>
      <c r="AC126" s="3421"/>
      <c r="AD126" s="3422" t="s">
        <v>704</v>
      </c>
    </row>
    <row r="127" spans="1:30" ht="41.4">
      <c r="A127" s="3423" t="s">
        <v>1043</v>
      </c>
      <c r="B127" s="3424">
        <v>0.01</v>
      </c>
      <c r="C127" s="3424">
        <v>0.01</v>
      </c>
      <c r="D127" s="3424">
        <v>0.01</v>
      </c>
      <c r="E127" s="3424">
        <v>0.01</v>
      </c>
      <c r="F127" s="3424">
        <v>0.01</v>
      </c>
      <c r="G127" s="3424">
        <v>0.01</v>
      </c>
      <c r="H127" s="3424">
        <f>G127</f>
        <v>0.01</v>
      </c>
      <c r="I127" s="3424">
        <f>H127</f>
        <v>0.01</v>
      </c>
      <c r="J127" s="3424">
        <f>I127</f>
        <v>0.01</v>
      </c>
      <c r="K127" s="3424">
        <f>J127</f>
        <v>0.01</v>
      </c>
      <c r="L127" s="3425" t="s">
        <v>1044</v>
      </c>
      <c r="M127" s="3426" t="str">
        <f>L127</f>
        <v>0,3-1%</v>
      </c>
      <c r="N127" s="3424" t="str">
        <f>M127</f>
        <v>0,3-1%</v>
      </c>
      <c r="O127" s="3424" t="str">
        <f>N127</f>
        <v>0,3-1%</v>
      </c>
      <c r="P127" s="3427" t="s">
        <v>1045</v>
      </c>
      <c r="Q127" s="3427" t="s">
        <v>1046</v>
      </c>
      <c r="R127" s="3427" t="s">
        <v>1046</v>
      </c>
      <c r="S127" s="3427" t="s">
        <v>1046</v>
      </c>
      <c r="T127" s="3427" t="s">
        <v>1046</v>
      </c>
      <c r="U127" s="3427" t="s">
        <v>1046</v>
      </c>
      <c r="V127" s="3428" t="s">
        <v>1047</v>
      </c>
      <c r="W127" s="3429" t="s">
        <v>1047</v>
      </c>
      <c r="X127" s="3429" t="s">
        <v>1047</v>
      </c>
      <c r="Y127" s="3430" t="s">
        <v>1047</v>
      </c>
      <c r="Z127" s="3429" t="s">
        <v>1047</v>
      </c>
      <c r="AA127" s="3429"/>
      <c r="AB127" s="3429"/>
      <c r="AC127" s="3429"/>
      <c r="AD127" s="3431" t="s">
        <v>1048</v>
      </c>
    </row>
    <row r="128" spans="1:30" ht="41.4">
      <c r="A128" s="3432" t="s">
        <v>1049</v>
      </c>
      <c r="B128" s="4750" t="s">
        <v>18</v>
      </c>
      <c r="C128" s="4750" t="s">
        <v>18</v>
      </c>
      <c r="D128" s="4750" t="s">
        <v>18</v>
      </c>
      <c r="E128" s="4750" t="s">
        <v>18</v>
      </c>
      <c r="F128" s="4750" t="s">
        <v>18</v>
      </c>
      <c r="G128" s="4750" t="s">
        <v>18</v>
      </c>
      <c r="H128" s="4750" t="s">
        <v>18</v>
      </c>
      <c r="I128" s="4750" t="s">
        <v>18</v>
      </c>
      <c r="J128" s="4750" t="s">
        <v>18</v>
      </c>
      <c r="K128" s="4750" t="s">
        <v>18</v>
      </c>
      <c r="L128" s="3433"/>
      <c r="M128" s="3433"/>
      <c r="N128" s="3433"/>
      <c r="O128" s="3433"/>
      <c r="P128" s="3433"/>
      <c r="Q128" s="3433"/>
      <c r="R128" s="3433"/>
      <c r="S128" s="3433"/>
      <c r="T128" s="3433"/>
      <c r="U128" s="3433"/>
      <c r="V128" s="3433"/>
      <c r="W128" s="3433"/>
      <c r="X128" s="3433"/>
      <c r="Y128" s="3434"/>
      <c r="Z128" s="3435"/>
      <c r="AA128" s="3435"/>
      <c r="AB128" s="3435"/>
      <c r="AC128" s="3435"/>
      <c r="AD128" s="3436" t="s">
        <v>1050</v>
      </c>
    </row>
    <row r="129" spans="1:30" ht="105.75" customHeight="1">
      <c r="A129" s="3437" t="s">
        <v>1051</v>
      </c>
      <c r="B129" s="4751"/>
      <c r="C129" s="4751"/>
      <c r="D129" s="4751"/>
      <c r="E129" s="4751"/>
      <c r="F129" s="4751"/>
      <c r="G129" s="4751"/>
      <c r="H129" s="4751"/>
      <c r="I129" s="4751"/>
      <c r="J129" s="4751"/>
      <c r="K129" s="4751"/>
      <c r="L129" s="3438">
        <v>0.01</v>
      </c>
      <c r="M129" s="3439">
        <v>0.01</v>
      </c>
      <c r="N129" s="3439">
        <v>0.01</v>
      </c>
      <c r="O129" s="3439">
        <v>0.01</v>
      </c>
      <c r="P129" s="3439">
        <v>0.01</v>
      </c>
      <c r="Q129" s="3440">
        <v>5.0000000000000001E-3</v>
      </c>
      <c r="R129" s="3441">
        <v>5.0000000000000001E-3</v>
      </c>
      <c r="S129" s="3441">
        <v>5.0000000000000001E-3</v>
      </c>
      <c r="T129" s="3441">
        <v>5.0000000000000001E-3</v>
      </c>
      <c r="U129" s="3441">
        <v>5.0000000000000001E-3</v>
      </c>
      <c r="V129" s="3441">
        <v>5.0000000000000001E-3</v>
      </c>
      <c r="W129" s="3441">
        <v>5.0000000000000001E-3</v>
      </c>
      <c r="X129" s="3441">
        <v>5.0000000000000001E-3</v>
      </c>
      <c r="Y129" s="3442">
        <v>5.0000000000000001E-3</v>
      </c>
      <c r="Z129" s="3441">
        <v>5.0000000000000001E-3</v>
      </c>
      <c r="AA129" s="3441"/>
      <c r="AB129" s="3441"/>
      <c r="AC129" s="3441"/>
      <c r="AD129" s="3443" t="s">
        <v>1052</v>
      </c>
    </row>
    <row r="130" spans="1:30" ht="45.75" customHeight="1">
      <c r="A130" s="3444" t="s">
        <v>1053</v>
      </c>
      <c r="B130" s="4751"/>
      <c r="C130" s="4751"/>
      <c r="D130" s="4751"/>
      <c r="E130" s="4751"/>
      <c r="F130" s="4751"/>
      <c r="G130" s="4751"/>
      <c r="H130" s="4751"/>
      <c r="I130" s="4751"/>
      <c r="J130" s="4751"/>
      <c r="K130" s="4751"/>
      <c r="L130" s="3445"/>
      <c r="M130" s="3446"/>
      <c r="N130" s="3446"/>
      <c r="O130" s="3446"/>
      <c r="P130" s="3446"/>
      <c r="Q130" s="3446"/>
      <c r="R130" s="3447"/>
      <c r="S130" s="3446"/>
      <c r="T130" s="3448">
        <v>0.01</v>
      </c>
      <c r="U130" s="3448">
        <v>0.01</v>
      </c>
      <c r="V130" s="3448">
        <v>0.01</v>
      </c>
      <c r="W130" s="3448">
        <v>0.01</v>
      </c>
      <c r="X130" s="3448">
        <v>0.01</v>
      </c>
      <c r="Y130" s="3449">
        <v>0.01</v>
      </c>
      <c r="Z130" s="3450">
        <v>0.01</v>
      </c>
      <c r="AA130" s="3450"/>
      <c r="AB130" s="3450"/>
      <c r="AC130" s="3450"/>
      <c r="AD130" s="3451" t="s">
        <v>1054</v>
      </c>
    </row>
    <row r="131" spans="1:30" ht="42" thickBot="1">
      <c r="A131" s="3452" t="s">
        <v>1055</v>
      </c>
      <c r="B131" s="4752"/>
      <c r="C131" s="4752"/>
      <c r="D131" s="4752"/>
      <c r="E131" s="4752"/>
      <c r="F131" s="4752"/>
      <c r="G131" s="4752"/>
      <c r="H131" s="4752"/>
      <c r="I131" s="4752"/>
      <c r="J131" s="4752"/>
      <c r="K131" s="4752"/>
      <c r="L131" s="3453"/>
      <c r="M131" s="3454"/>
      <c r="N131" s="3454"/>
      <c r="O131" s="3455"/>
      <c r="P131" s="3455"/>
      <c r="Q131" s="3455"/>
      <c r="R131" s="3456"/>
      <c r="S131" s="3455"/>
      <c r="T131" s="3457">
        <v>0.02</v>
      </c>
      <c r="U131" s="3457">
        <v>0.02</v>
      </c>
      <c r="V131" s="3457">
        <v>0.02</v>
      </c>
      <c r="W131" s="3457">
        <v>0.02</v>
      </c>
      <c r="X131" s="3457">
        <v>0.02</v>
      </c>
      <c r="Y131" s="3458">
        <v>0.02</v>
      </c>
      <c r="Z131" s="3459">
        <v>0.02</v>
      </c>
      <c r="AA131" s="3459"/>
      <c r="AB131" s="3459"/>
      <c r="AC131" s="3459"/>
      <c r="AD131" s="3460" t="s">
        <v>1056</v>
      </c>
    </row>
    <row r="132" spans="1:30" ht="16.2" thickBot="1">
      <c r="A132" s="2056" t="s">
        <v>1057</v>
      </c>
      <c r="B132" s="2179"/>
      <c r="C132" s="2180"/>
      <c r="D132" s="2180"/>
      <c r="E132" s="2180"/>
      <c r="F132" s="2180"/>
      <c r="G132" s="2180"/>
      <c r="H132" s="2180"/>
      <c r="I132" s="2181"/>
      <c r="J132" s="2182"/>
      <c r="K132" s="2182"/>
      <c r="L132" s="2181"/>
      <c r="M132" s="2180"/>
      <c r="N132" s="2180"/>
      <c r="O132" s="2180"/>
      <c r="P132" s="2180"/>
      <c r="Q132" s="2180"/>
      <c r="R132" s="2180"/>
      <c r="S132" s="2180"/>
      <c r="T132" s="2180"/>
      <c r="U132" s="2168"/>
      <c r="V132" s="2168"/>
      <c r="W132" s="2168"/>
      <c r="X132" s="2169"/>
      <c r="Y132" s="3415"/>
      <c r="Z132" s="2168"/>
      <c r="AA132" s="2168"/>
      <c r="AB132" s="2168"/>
      <c r="AC132" s="2168"/>
      <c r="AD132" s="3194" t="s">
        <v>274</v>
      </c>
    </row>
    <row r="133" spans="1:30" ht="15.6">
      <c r="A133" s="2183" t="s">
        <v>275</v>
      </c>
      <c r="B133" s="2184"/>
      <c r="C133" s="1174"/>
      <c r="D133" s="1174"/>
      <c r="E133" s="1174"/>
      <c r="F133" s="1174"/>
      <c r="G133" s="1174"/>
      <c r="H133" s="1174"/>
      <c r="I133" s="1174"/>
      <c r="J133" s="1174"/>
      <c r="K133" s="1174"/>
      <c r="L133" s="1175"/>
      <c r="M133" s="1175"/>
      <c r="N133" s="1175"/>
      <c r="O133" s="1175"/>
      <c r="P133" s="1175"/>
      <c r="Q133" s="1175"/>
      <c r="R133" s="1175"/>
      <c r="S133" s="1175"/>
      <c r="T133" s="1175"/>
      <c r="U133" s="1176"/>
      <c r="V133" s="1176"/>
      <c r="W133" s="1176"/>
      <c r="X133" s="2185"/>
      <c r="Y133" s="3461"/>
      <c r="Z133" s="1176"/>
      <c r="AA133" s="1176"/>
      <c r="AB133" s="1176"/>
      <c r="AC133" s="1176"/>
      <c r="AD133" s="3462" t="s">
        <v>276</v>
      </c>
    </row>
    <row r="134" spans="1:30">
      <c r="A134" s="2145" t="s">
        <v>277</v>
      </c>
      <c r="B134" s="164"/>
      <c r="C134" s="164"/>
      <c r="D134" s="164"/>
      <c r="E134" s="164"/>
      <c r="F134" s="764"/>
      <c r="G134" s="163"/>
      <c r="H134" s="164"/>
      <c r="I134" s="164">
        <f t="shared" ref="I134:P134" si="14">I135/$P$1</f>
        <v>381.71918443002784</v>
      </c>
      <c r="J134" s="163">
        <f t="shared" si="14"/>
        <v>323.21594068582021</v>
      </c>
      <c r="K134" s="163">
        <f t="shared" si="14"/>
        <v>434.4300278035218</v>
      </c>
      <c r="L134" s="164">
        <f t="shared" si="14"/>
        <v>434.4300278035218</v>
      </c>
      <c r="M134" s="164">
        <f t="shared" si="14"/>
        <v>434.4300278035218</v>
      </c>
      <c r="N134" s="164">
        <f t="shared" si="14"/>
        <v>434.4300278035218</v>
      </c>
      <c r="O134" s="164">
        <f t="shared" si="14"/>
        <v>434.4300278035218</v>
      </c>
      <c r="P134" s="164">
        <f t="shared" si="14"/>
        <v>434.4300278035218</v>
      </c>
      <c r="Q134" s="164">
        <v>434.43</v>
      </c>
      <c r="R134" s="164">
        <v>434.43</v>
      </c>
      <c r="S134" s="164">
        <v>434.43</v>
      </c>
      <c r="T134" s="164">
        <v>434.43</v>
      </c>
      <c r="U134" s="164">
        <v>434.43</v>
      </c>
      <c r="V134" s="765">
        <v>466</v>
      </c>
      <c r="W134" s="766">
        <v>466</v>
      </c>
      <c r="X134" s="2187">
        <v>466</v>
      </c>
      <c r="Y134" s="3463">
        <v>466</v>
      </c>
      <c r="Z134" s="766">
        <v>466</v>
      </c>
      <c r="AA134" s="766"/>
      <c r="AB134" s="766"/>
      <c r="AC134" s="766"/>
      <c r="AD134" s="3464" t="s">
        <v>278</v>
      </c>
    </row>
    <row r="135" spans="1:30">
      <c r="A135" s="2198" t="s">
        <v>1058</v>
      </c>
      <c r="B135" s="778"/>
      <c r="C135" s="778"/>
      <c r="D135" s="778"/>
      <c r="E135" s="778"/>
      <c r="F135" s="779"/>
      <c r="G135" s="234"/>
      <c r="H135" s="233"/>
      <c r="I135" s="3465">
        <v>1318</v>
      </c>
      <c r="J135" s="3466">
        <v>1116</v>
      </c>
      <c r="K135" s="3466">
        <v>1500</v>
      </c>
      <c r="L135" s="3465">
        <v>1500</v>
      </c>
      <c r="M135" s="3465">
        <v>1500</v>
      </c>
      <c r="N135" s="3465">
        <v>1500</v>
      </c>
      <c r="O135" s="3465">
        <v>1500</v>
      </c>
      <c r="P135" s="3465">
        <v>1500</v>
      </c>
      <c r="Q135" s="2200"/>
      <c r="R135" s="233"/>
      <c r="S135" s="233"/>
      <c r="T135" s="233"/>
      <c r="U135" s="233"/>
      <c r="V135" s="233"/>
      <c r="W135" s="233"/>
      <c r="X135" s="2201"/>
      <c r="Y135" s="3467"/>
      <c r="Z135" s="235"/>
      <c r="AA135" s="235"/>
      <c r="AB135" s="235"/>
      <c r="AC135" s="235"/>
      <c r="AD135" s="3468" t="s">
        <v>1059</v>
      </c>
    </row>
    <row r="136" spans="1:30">
      <c r="A136" s="2211" t="s">
        <v>284</v>
      </c>
      <c r="B136" s="793"/>
      <c r="C136" s="793"/>
      <c r="D136" s="793"/>
      <c r="E136" s="793"/>
      <c r="F136" s="794"/>
      <c r="G136" s="795"/>
      <c r="H136" s="796"/>
      <c r="I136" s="795"/>
      <c r="J136" s="795"/>
      <c r="K136" s="795"/>
      <c r="L136" s="795"/>
      <c r="M136" s="796"/>
      <c r="N136" s="796"/>
      <c r="O136" s="796"/>
      <c r="P136" s="796">
        <v>579.24</v>
      </c>
      <c r="Q136" s="796">
        <v>579.24</v>
      </c>
      <c r="R136" s="796">
        <v>579.24</v>
      </c>
      <c r="S136" s="796">
        <v>579.24</v>
      </c>
      <c r="T136" s="796">
        <v>579.24</v>
      </c>
      <c r="U136" s="796">
        <v>579.24</v>
      </c>
      <c r="V136" s="796">
        <v>579.24</v>
      </c>
      <c r="W136" s="796">
        <v>579.24</v>
      </c>
      <c r="X136" s="3469">
        <v>579.24</v>
      </c>
      <c r="Y136" s="3470">
        <v>579.24</v>
      </c>
      <c r="Z136" s="796">
        <v>579.24</v>
      </c>
      <c r="AA136" s="796"/>
      <c r="AB136" s="796"/>
      <c r="AC136" s="796"/>
      <c r="AD136" s="3471" t="s">
        <v>285</v>
      </c>
    </row>
    <row r="137" spans="1:30">
      <c r="A137" s="2218" t="s">
        <v>1060</v>
      </c>
      <c r="B137" s="817"/>
      <c r="C137" s="817"/>
      <c r="D137" s="817"/>
      <c r="E137" s="817"/>
      <c r="F137" s="818"/>
      <c r="G137" s="819"/>
      <c r="H137" s="817"/>
      <c r="I137" s="2219"/>
      <c r="J137" s="2219"/>
      <c r="K137" s="2219"/>
      <c r="L137" s="2219"/>
      <c r="M137" s="2220"/>
      <c r="N137" s="2220"/>
      <c r="O137" s="2220"/>
      <c r="P137" s="2220"/>
      <c r="Q137" s="2220"/>
      <c r="R137" s="817"/>
      <c r="S137" s="817"/>
      <c r="T137" s="817"/>
      <c r="U137" s="817"/>
      <c r="V137" s="817"/>
      <c r="W137" s="817"/>
      <c r="X137" s="2221"/>
      <c r="Y137" s="3472"/>
      <c r="Z137" s="819"/>
      <c r="AA137" s="819"/>
      <c r="AB137" s="819"/>
      <c r="AC137" s="819"/>
      <c r="AD137" s="3473" t="s">
        <v>1061</v>
      </c>
    </row>
    <row r="138" spans="1:30" ht="27.6">
      <c r="A138" s="3474" t="s">
        <v>712</v>
      </c>
      <c r="B138" s="3475"/>
      <c r="C138" s="3476"/>
      <c r="D138" s="3476"/>
      <c r="E138" s="3476"/>
      <c r="F138" s="3477"/>
      <c r="G138" s="1758"/>
      <c r="H138" s="3478"/>
      <c r="I138" s="3478"/>
      <c r="J138" s="1758"/>
      <c r="K138" s="1758"/>
      <c r="L138" s="3479"/>
      <c r="M138" s="1758"/>
      <c r="N138" s="3478"/>
      <c r="O138" s="3480"/>
      <c r="P138" s="3480"/>
      <c r="Q138" s="3480"/>
      <c r="R138" s="3480"/>
      <c r="S138" s="3480"/>
      <c r="T138" s="3481"/>
      <c r="U138" s="3482"/>
      <c r="V138" s="3481"/>
      <c r="W138" s="3481"/>
      <c r="X138" s="3483"/>
      <c r="Y138" s="3484"/>
      <c r="Z138" s="3481"/>
      <c r="AA138" s="3481"/>
      <c r="AB138" s="3481"/>
      <c r="AC138" s="3481"/>
      <c r="AD138" s="3485" t="s">
        <v>713</v>
      </c>
    </row>
    <row r="139" spans="1:30">
      <c r="A139" s="3486" t="s">
        <v>1062</v>
      </c>
      <c r="B139" s="3487"/>
      <c r="C139" s="3488"/>
      <c r="D139" s="3488"/>
      <c r="E139" s="3488"/>
      <c r="F139" s="3489"/>
      <c r="G139" s="3490"/>
      <c r="H139" s="3491"/>
      <c r="I139" s="3491"/>
      <c r="J139" s="3490"/>
      <c r="K139" s="3490"/>
      <c r="L139" s="3492"/>
      <c r="M139" s="3490"/>
      <c r="N139" s="3491"/>
      <c r="O139" s="3493">
        <f t="shared" ref="O139:W139" si="15">O134*15%</f>
        <v>65.164504170528261</v>
      </c>
      <c r="P139" s="3493">
        <f t="shared" si="15"/>
        <v>65.164504170528261</v>
      </c>
      <c r="Q139" s="3493">
        <f t="shared" si="15"/>
        <v>65.164500000000004</v>
      </c>
      <c r="R139" s="3493">
        <f t="shared" si="15"/>
        <v>65.164500000000004</v>
      </c>
      <c r="S139" s="3493">
        <f t="shared" si="15"/>
        <v>65.164500000000004</v>
      </c>
      <c r="T139" s="3493">
        <f t="shared" si="15"/>
        <v>65.164500000000004</v>
      </c>
      <c r="U139" s="3493">
        <f t="shared" si="15"/>
        <v>65.164500000000004</v>
      </c>
      <c r="V139" s="3493">
        <f t="shared" si="15"/>
        <v>69.899999999999991</v>
      </c>
      <c r="W139" s="3493">
        <f t="shared" si="15"/>
        <v>69.899999999999991</v>
      </c>
      <c r="X139" s="3494">
        <v>69.900000000000006</v>
      </c>
      <c r="Y139" s="3495">
        <v>69.900000000000006</v>
      </c>
      <c r="Z139" s="3496">
        <v>466</v>
      </c>
      <c r="AA139" s="3496"/>
      <c r="AB139" s="3496"/>
      <c r="AC139" s="3496"/>
      <c r="AD139" s="3497" t="s">
        <v>1063</v>
      </c>
    </row>
    <row r="140" spans="1:30">
      <c r="A140" s="3486" t="s">
        <v>1064</v>
      </c>
      <c r="B140" s="3498"/>
      <c r="C140" s="3499"/>
      <c r="D140" s="3499"/>
      <c r="E140" s="3499"/>
      <c r="F140" s="3500"/>
      <c r="G140" s="3501"/>
      <c r="H140" s="3502"/>
      <c r="I140" s="3502"/>
      <c r="J140" s="3501"/>
      <c r="K140" s="3501"/>
      <c r="L140" s="3503"/>
      <c r="M140" s="3501"/>
      <c r="N140" s="3502"/>
      <c r="O140" s="3504">
        <f t="shared" ref="O140:W140" si="16">O134*30%</f>
        <v>130.32900834105652</v>
      </c>
      <c r="P140" s="3504">
        <f t="shared" si="16"/>
        <v>130.32900834105652</v>
      </c>
      <c r="Q140" s="3504">
        <f t="shared" si="16"/>
        <v>130.32900000000001</v>
      </c>
      <c r="R140" s="3504">
        <f t="shared" si="16"/>
        <v>130.32900000000001</v>
      </c>
      <c r="S140" s="3504">
        <f t="shared" si="16"/>
        <v>130.32900000000001</v>
      </c>
      <c r="T140" s="3504">
        <f t="shared" si="16"/>
        <v>130.32900000000001</v>
      </c>
      <c r="U140" s="3504">
        <f t="shared" si="16"/>
        <v>130.32900000000001</v>
      </c>
      <c r="V140" s="3504">
        <f t="shared" si="16"/>
        <v>139.79999999999998</v>
      </c>
      <c r="W140" s="3505">
        <f t="shared" si="16"/>
        <v>139.79999999999998</v>
      </c>
      <c r="X140" s="3506">
        <v>139.80000000000001</v>
      </c>
      <c r="Y140" s="3507">
        <v>139.80000000000001</v>
      </c>
      <c r="Z140" s="3508">
        <v>466</v>
      </c>
      <c r="AA140" s="3508"/>
      <c r="AB140" s="3508"/>
      <c r="AC140" s="3508"/>
      <c r="AD140" s="3497" t="s">
        <v>1065</v>
      </c>
    </row>
    <row r="141" spans="1:30">
      <c r="A141" s="2211" t="s">
        <v>297</v>
      </c>
      <c r="B141" s="2242"/>
      <c r="C141" s="793"/>
      <c r="D141" s="793"/>
      <c r="E141" s="793"/>
      <c r="F141" s="794"/>
      <c r="G141" s="795"/>
      <c r="H141" s="796"/>
      <c r="I141" s="796">
        <f t="shared" ref="I141:P141" si="17">I142/$P$1</f>
        <v>290.19925857275257</v>
      </c>
      <c r="J141" s="795">
        <f t="shared" si="17"/>
        <v>274.27015755329012</v>
      </c>
      <c r="K141" s="795">
        <f t="shared" si="17"/>
        <v>330.16682113067657</v>
      </c>
      <c r="L141" s="1420">
        <f t="shared" si="17"/>
        <v>274.27015755329012</v>
      </c>
      <c r="M141" s="795">
        <f t="shared" si="17"/>
        <v>302.07367933271547</v>
      </c>
      <c r="N141" s="796">
        <f t="shared" si="17"/>
        <v>302.07367933271547</v>
      </c>
      <c r="O141" s="795">
        <f t="shared" si="17"/>
        <v>330.16682113067657</v>
      </c>
      <c r="P141" s="796">
        <f t="shared" si="17"/>
        <v>330.16682113067657</v>
      </c>
      <c r="Q141" s="798">
        <v>330.17</v>
      </c>
      <c r="R141" s="798">
        <v>330.17</v>
      </c>
      <c r="S141" s="798">
        <v>330.17</v>
      </c>
      <c r="T141" s="2212">
        <v>347</v>
      </c>
      <c r="U141" s="874">
        <v>347</v>
      </c>
      <c r="V141" s="765">
        <v>372</v>
      </c>
      <c r="W141" s="766">
        <v>372</v>
      </c>
      <c r="X141" s="2187">
        <v>372</v>
      </c>
      <c r="Y141" s="3463">
        <v>372</v>
      </c>
      <c r="Z141" s="765">
        <v>410</v>
      </c>
      <c r="AA141" s="765"/>
      <c r="AB141" s="765"/>
      <c r="AC141" s="765"/>
      <c r="AD141" s="3471" t="s">
        <v>298</v>
      </c>
    </row>
    <row r="142" spans="1:30">
      <c r="A142" s="2218" t="s">
        <v>1066</v>
      </c>
      <c r="B142" s="2257"/>
      <c r="C142" s="817"/>
      <c r="D142" s="817"/>
      <c r="E142" s="817"/>
      <c r="F142" s="818"/>
      <c r="G142" s="819"/>
      <c r="H142" s="820"/>
      <c r="I142" s="3509">
        <v>1002</v>
      </c>
      <c r="J142" s="3510">
        <v>947</v>
      </c>
      <c r="K142" s="3510">
        <v>1140</v>
      </c>
      <c r="L142" s="3511">
        <v>947</v>
      </c>
      <c r="M142" s="3510">
        <v>1043</v>
      </c>
      <c r="N142" s="3512">
        <v>1043</v>
      </c>
      <c r="O142" s="3510">
        <v>1140</v>
      </c>
      <c r="P142" s="3512">
        <v>1140</v>
      </c>
      <c r="Q142" s="820"/>
      <c r="R142" s="820"/>
      <c r="S142" s="820"/>
      <c r="T142" s="820"/>
      <c r="U142" s="885"/>
      <c r="V142" s="885"/>
      <c r="W142" s="885"/>
      <c r="X142" s="2259"/>
      <c r="Y142" s="3513"/>
      <c r="Z142" s="3514"/>
      <c r="AA142" s="3514"/>
      <c r="AB142" s="3514"/>
      <c r="AC142" s="3514"/>
      <c r="AD142" s="3473" t="s">
        <v>1067</v>
      </c>
    </row>
    <row r="143" spans="1:30">
      <c r="A143" s="2145" t="s">
        <v>302</v>
      </c>
      <c r="B143" s="2264"/>
      <c r="C143" s="900"/>
      <c r="D143" s="900"/>
      <c r="E143" s="900"/>
      <c r="F143" s="764"/>
      <c r="G143" s="163"/>
      <c r="H143" s="164"/>
      <c r="I143" s="164">
        <f t="shared" ref="I143:P143" si="18">I144/$P$1</f>
        <v>290.19925857275257</v>
      </c>
      <c r="J143" s="163">
        <f t="shared" si="18"/>
        <v>274.27015755329012</v>
      </c>
      <c r="K143" s="163">
        <f t="shared" si="18"/>
        <v>330.16682113067657</v>
      </c>
      <c r="L143" s="1484">
        <f t="shared" si="18"/>
        <v>274.27015755329012</v>
      </c>
      <c r="M143" s="163">
        <f t="shared" si="18"/>
        <v>302.07367933271547</v>
      </c>
      <c r="N143" s="164">
        <f t="shared" si="18"/>
        <v>302.07367933271547</v>
      </c>
      <c r="O143" s="163">
        <f t="shared" si="18"/>
        <v>330.16682113067657</v>
      </c>
      <c r="P143" s="164">
        <f t="shared" si="18"/>
        <v>330.16682113067657</v>
      </c>
      <c r="Q143" s="902">
        <v>330.17</v>
      </c>
      <c r="R143" s="902">
        <v>330.17</v>
      </c>
      <c r="S143" s="902">
        <v>330.17</v>
      </c>
      <c r="T143" s="902">
        <v>330.17</v>
      </c>
      <c r="U143" s="902">
        <v>330.17</v>
      </c>
      <c r="V143" s="902">
        <v>330.17</v>
      </c>
      <c r="W143" s="902">
        <v>330.17</v>
      </c>
      <c r="X143" s="3515">
        <v>330.17</v>
      </c>
      <c r="Y143" s="3516">
        <v>330.17</v>
      </c>
      <c r="Z143" s="902">
        <v>330.17</v>
      </c>
      <c r="AA143" s="902"/>
      <c r="AB143" s="902"/>
      <c r="AC143" s="902"/>
      <c r="AD143" s="3464" t="s">
        <v>303</v>
      </c>
    </row>
    <row r="144" spans="1:30">
      <c r="A144" s="2198" t="s">
        <v>1068</v>
      </c>
      <c r="B144" s="778"/>
      <c r="C144" s="233"/>
      <c r="D144" s="233"/>
      <c r="E144" s="233"/>
      <c r="F144" s="779"/>
      <c r="G144" s="234"/>
      <c r="H144" s="235"/>
      <c r="I144" s="3517">
        <v>1002</v>
      </c>
      <c r="J144" s="3466">
        <v>947</v>
      </c>
      <c r="K144" s="3466">
        <v>1140</v>
      </c>
      <c r="L144" s="3518">
        <v>947</v>
      </c>
      <c r="M144" s="3466">
        <v>1043</v>
      </c>
      <c r="N144" s="3465">
        <v>1043</v>
      </c>
      <c r="O144" s="3466">
        <v>1140</v>
      </c>
      <c r="P144" s="3465">
        <v>1140</v>
      </c>
      <c r="Q144" s="235"/>
      <c r="R144" s="235"/>
      <c r="S144" s="235"/>
      <c r="T144" s="235"/>
      <c r="U144" s="854"/>
      <c r="V144" s="854"/>
      <c r="W144" s="854"/>
      <c r="X144" s="2270"/>
      <c r="Y144" s="3519"/>
      <c r="Z144" s="3520"/>
      <c r="AA144" s="3520"/>
      <c r="AB144" s="3520"/>
      <c r="AC144" s="3520"/>
      <c r="AD144" s="3468" t="s">
        <v>1069</v>
      </c>
    </row>
    <row r="145" spans="1:30">
      <c r="A145" s="2272" t="s">
        <v>306</v>
      </c>
      <c r="B145" s="2273"/>
      <c r="C145" s="934"/>
      <c r="D145" s="934"/>
      <c r="E145" s="935"/>
      <c r="F145" s="936"/>
      <c r="G145" s="937"/>
      <c r="H145" s="938"/>
      <c r="I145" s="796">
        <f t="shared" ref="I145:P145" si="19">I146/$P$1</f>
        <v>125.11584800741427</v>
      </c>
      <c r="J145" s="795">
        <f t="shared" si="19"/>
        <v>125.11584800741427</v>
      </c>
      <c r="K145" s="795">
        <f t="shared" si="19"/>
        <v>304.10101946246527</v>
      </c>
      <c r="L145" s="796">
        <f t="shared" si="19"/>
        <v>304.10101946246527</v>
      </c>
      <c r="M145" s="796">
        <f t="shared" si="19"/>
        <v>304.10101946246527</v>
      </c>
      <c r="N145" s="796">
        <f t="shared" si="19"/>
        <v>304.10101946246527</v>
      </c>
      <c r="O145" s="796">
        <f t="shared" si="19"/>
        <v>304.10101946246527</v>
      </c>
      <c r="P145" s="796">
        <f t="shared" si="19"/>
        <v>304.10101946246527</v>
      </c>
      <c r="Q145" s="938">
        <v>304.10000000000002</v>
      </c>
      <c r="R145" s="938">
        <v>304.10000000000002</v>
      </c>
      <c r="S145" s="938">
        <v>304.10000000000002</v>
      </c>
      <c r="T145" s="938">
        <v>304.10000000000002</v>
      </c>
      <c r="U145" s="938">
        <v>304.10000000000002</v>
      </c>
      <c r="V145" s="938">
        <v>304.10000000000002</v>
      </c>
      <c r="W145" s="938">
        <v>304.10000000000002</v>
      </c>
      <c r="X145" s="3521">
        <v>304.10000000000002</v>
      </c>
      <c r="Y145" s="3522">
        <v>304.10000000000002</v>
      </c>
      <c r="Z145" s="938">
        <v>304.10000000000002</v>
      </c>
      <c r="AA145" s="938"/>
      <c r="AB145" s="938"/>
      <c r="AC145" s="938"/>
      <c r="AD145" s="3523" t="s">
        <v>307</v>
      </c>
    </row>
    <row r="146" spans="1:30">
      <c r="A146" s="2289" t="s">
        <v>1070</v>
      </c>
      <c r="B146" s="2290"/>
      <c r="C146" s="952"/>
      <c r="D146" s="952"/>
      <c r="E146" s="953"/>
      <c r="F146" s="818"/>
      <c r="G146" s="954"/>
      <c r="H146" s="955"/>
      <c r="I146" s="3509">
        <v>432</v>
      </c>
      <c r="J146" s="3510">
        <v>432</v>
      </c>
      <c r="K146" s="3510">
        <v>1050</v>
      </c>
      <c r="L146" s="3509">
        <v>1050</v>
      </c>
      <c r="M146" s="3509">
        <v>1050</v>
      </c>
      <c r="N146" s="3509">
        <v>1050</v>
      </c>
      <c r="O146" s="3509">
        <v>1050</v>
      </c>
      <c r="P146" s="3509">
        <v>1050</v>
      </c>
      <c r="Q146" s="955"/>
      <c r="R146" s="955"/>
      <c r="S146" s="955"/>
      <c r="T146" s="955"/>
      <c r="U146" s="955"/>
      <c r="V146" s="955"/>
      <c r="W146" s="955"/>
      <c r="X146" s="2292"/>
      <c r="Y146" s="3524"/>
      <c r="Z146" s="954"/>
      <c r="AA146" s="954"/>
      <c r="AB146" s="954"/>
      <c r="AC146" s="954"/>
      <c r="AD146" s="3525" t="s">
        <v>1071</v>
      </c>
    </row>
    <row r="147" spans="1:30" ht="30" customHeight="1">
      <c r="A147" s="2305" t="s">
        <v>310</v>
      </c>
      <c r="B147" s="965"/>
      <c r="C147" s="966"/>
      <c r="D147" s="966"/>
      <c r="E147" s="967"/>
      <c r="F147" s="2306"/>
      <c r="G147" s="2307"/>
      <c r="H147" s="2308"/>
      <c r="I147" s="2309"/>
      <c r="J147" s="2309"/>
      <c r="K147" s="2309"/>
      <c r="L147" s="2309"/>
      <c r="M147" s="2309"/>
      <c r="N147" s="2309"/>
      <c r="O147" s="2309"/>
      <c r="P147" s="2309"/>
      <c r="Q147" s="2309"/>
      <c r="R147" s="2309"/>
      <c r="S147" s="968">
        <v>0</v>
      </c>
      <c r="T147" s="968">
        <v>0</v>
      </c>
      <c r="U147" s="968">
        <v>0</v>
      </c>
      <c r="V147" s="968">
        <v>0</v>
      </c>
      <c r="W147" s="968">
        <v>0</v>
      </c>
      <c r="X147" s="968">
        <v>0</v>
      </c>
      <c r="Y147" s="3526">
        <v>0</v>
      </c>
      <c r="Z147" s="3527" t="s">
        <v>1072</v>
      </c>
      <c r="AA147" s="3527"/>
      <c r="AB147" s="3527"/>
      <c r="AC147" s="3527"/>
      <c r="AD147" s="972" t="s">
        <v>311</v>
      </c>
    </row>
    <row r="148" spans="1:30">
      <c r="A148" s="2108" t="s">
        <v>312</v>
      </c>
      <c r="B148" s="2314"/>
      <c r="C148" s="996"/>
      <c r="D148" s="996"/>
      <c r="E148" s="997"/>
      <c r="F148" s="764"/>
      <c r="G148" s="163"/>
      <c r="H148" s="164"/>
      <c r="I148" s="902">
        <f t="shared" ref="I148:P148" si="20">I149/$P$1</f>
        <v>15.060240963855422</v>
      </c>
      <c r="J148" s="902">
        <f t="shared" si="20"/>
        <v>15.060240963855422</v>
      </c>
      <c r="K148" s="902">
        <f t="shared" si="20"/>
        <v>15.060240963855422</v>
      </c>
      <c r="L148" s="902">
        <f t="shared" si="20"/>
        <v>15.060240963855422</v>
      </c>
      <c r="M148" s="902">
        <f t="shared" si="20"/>
        <v>15.060240963855422</v>
      </c>
      <c r="N148" s="902">
        <f t="shared" si="20"/>
        <v>15.060240963855422</v>
      </c>
      <c r="O148" s="902">
        <f t="shared" si="20"/>
        <v>15.060240963855422</v>
      </c>
      <c r="P148" s="902">
        <f t="shared" si="20"/>
        <v>15.060240963855422</v>
      </c>
      <c r="Q148" s="902">
        <v>15.06</v>
      </c>
      <c r="R148" s="902">
        <v>15.06</v>
      </c>
      <c r="S148" s="902">
        <v>15.06</v>
      </c>
      <c r="T148" s="902">
        <v>15.06</v>
      </c>
      <c r="U148" s="902">
        <v>15.06</v>
      </c>
      <c r="V148" s="902">
        <v>15.06</v>
      </c>
      <c r="W148" s="902">
        <v>15.06</v>
      </c>
      <c r="X148" s="3515">
        <v>15.06</v>
      </c>
      <c r="Y148" s="3516">
        <v>15.06</v>
      </c>
      <c r="Z148" s="902">
        <v>15.06</v>
      </c>
      <c r="AA148" s="902"/>
      <c r="AB148" s="902"/>
      <c r="AC148" s="902"/>
      <c r="AD148" s="3464" t="s">
        <v>313</v>
      </c>
    </row>
    <row r="149" spans="1:30">
      <c r="A149" s="2316" t="s">
        <v>1073</v>
      </c>
      <c r="B149" s="2317"/>
      <c r="C149" s="848"/>
      <c r="D149" s="848"/>
      <c r="E149" s="233"/>
      <c r="F149" s="779"/>
      <c r="G149" s="234"/>
      <c r="H149" s="235"/>
      <c r="I149" s="3517">
        <v>52</v>
      </c>
      <c r="J149" s="3517">
        <v>52</v>
      </c>
      <c r="K149" s="3517">
        <v>52</v>
      </c>
      <c r="L149" s="3517">
        <v>52</v>
      </c>
      <c r="M149" s="3517">
        <v>52</v>
      </c>
      <c r="N149" s="3517">
        <v>52</v>
      </c>
      <c r="O149" s="3517">
        <v>52</v>
      </c>
      <c r="P149" s="3517">
        <v>52</v>
      </c>
      <c r="Q149" s="235"/>
      <c r="R149" s="853"/>
      <c r="S149" s="853"/>
      <c r="T149" s="853"/>
      <c r="U149" s="854"/>
      <c r="V149" s="854"/>
      <c r="W149" s="854"/>
      <c r="X149" s="2270"/>
      <c r="Y149" s="3519"/>
      <c r="Z149" s="3520"/>
      <c r="AA149" s="3520"/>
      <c r="AB149" s="3520"/>
      <c r="AC149" s="3520"/>
      <c r="AD149" s="3468" t="s">
        <v>1074</v>
      </c>
    </row>
    <row r="150" spans="1:30" ht="31.5" customHeight="1">
      <c r="A150" s="2318" t="s">
        <v>1075</v>
      </c>
      <c r="B150" s="2319"/>
      <c r="C150" s="975"/>
      <c r="D150" s="975"/>
      <c r="E150" s="976"/>
      <c r="F150" s="976"/>
      <c r="G150" s="795"/>
      <c r="H150" s="796"/>
      <c r="I150" s="795"/>
      <c r="J150" s="796">
        <f t="shared" ref="J150:P150" si="21">J151/$P$1</f>
        <v>21.142261353104729</v>
      </c>
      <c r="K150" s="796">
        <f t="shared" si="21"/>
        <v>21.142261353104729</v>
      </c>
      <c r="L150" s="796">
        <f t="shared" si="21"/>
        <v>21.142261353104729</v>
      </c>
      <c r="M150" s="796">
        <f t="shared" si="21"/>
        <v>21.142261353104729</v>
      </c>
      <c r="N150" s="796">
        <f t="shared" si="21"/>
        <v>21.142261353104729</v>
      </c>
      <c r="O150" s="796">
        <f t="shared" si="21"/>
        <v>21.142261353104729</v>
      </c>
      <c r="P150" s="796">
        <f t="shared" si="21"/>
        <v>21.142261353104729</v>
      </c>
      <c r="Q150" s="798">
        <v>21.14</v>
      </c>
      <c r="R150" s="798">
        <v>21.14</v>
      </c>
      <c r="S150" s="798">
        <v>21.14</v>
      </c>
      <c r="T150" s="798">
        <v>21.14</v>
      </c>
      <c r="U150" s="798">
        <v>21.14</v>
      </c>
      <c r="V150" s="798">
        <v>21.14</v>
      </c>
      <c r="W150" s="798">
        <v>21.14</v>
      </c>
      <c r="X150" s="3528">
        <v>21.14</v>
      </c>
      <c r="Y150" s="3529">
        <v>21.14</v>
      </c>
      <c r="Z150" s="797">
        <v>60</v>
      </c>
      <c r="AA150" s="797"/>
      <c r="AB150" s="797"/>
      <c r="AC150" s="797"/>
      <c r="AD150" s="3530" t="s">
        <v>318</v>
      </c>
    </row>
    <row r="151" spans="1:30">
      <c r="A151" s="2218" t="s">
        <v>1076</v>
      </c>
      <c r="B151" s="2321"/>
      <c r="C151" s="985"/>
      <c r="D151" s="985"/>
      <c r="E151" s="817"/>
      <c r="F151" s="817"/>
      <c r="G151" s="819"/>
      <c r="H151" s="820"/>
      <c r="I151" s="819"/>
      <c r="J151" s="3509">
        <v>73</v>
      </c>
      <c r="K151" s="3509">
        <v>73</v>
      </c>
      <c r="L151" s="3509">
        <v>73</v>
      </c>
      <c r="M151" s="3509">
        <v>73</v>
      </c>
      <c r="N151" s="3509">
        <v>73</v>
      </c>
      <c r="O151" s="3509">
        <v>73</v>
      </c>
      <c r="P151" s="3509">
        <v>73</v>
      </c>
      <c r="Q151" s="986"/>
      <c r="R151" s="986"/>
      <c r="S151" s="986"/>
      <c r="T151" s="986"/>
      <c r="U151" s="987"/>
      <c r="V151" s="987"/>
      <c r="W151" s="987"/>
      <c r="X151" s="2322"/>
      <c r="Y151" s="3531"/>
      <c r="Z151" s="3532"/>
      <c r="AA151" s="3532"/>
      <c r="AB151" s="3532"/>
      <c r="AC151" s="3532"/>
      <c r="AD151" s="3473" t="s">
        <v>1077</v>
      </c>
    </row>
    <row r="152" spans="1:30">
      <c r="A152" s="4674" t="s">
        <v>1078</v>
      </c>
      <c r="B152" s="831" t="s">
        <v>18</v>
      </c>
      <c r="C152" s="831" t="s">
        <v>18</v>
      </c>
      <c r="D152" s="831" t="s">
        <v>18</v>
      </c>
      <c r="E152" s="831" t="s">
        <v>18</v>
      </c>
      <c r="F152" s="831" t="s">
        <v>18</v>
      </c>
      <c r="G152" s="831" t="s">
        <v>18</v>
      </c>
      <c r="H152" s="831" t="s">
        <v>18</v>
      </c>
      <c r="I152" s="831" t="s">
        <v>18</v>
      </c>
      <c r="J152" s="831" t="s">
        <v>18</v>
      </c>
      <c r="K152" s="831" t="s">
        <v>18</v>
      </c>
      <c r="L152" s="831" t="s">
        <v>18</v>
      </c>
      <c r="M152" s="831" t="s">
        <v>18</v>
      </c>
      <c r="N152" s="831" t="s">
        <v>18</v>
      </c>
      <c r="O152" s="831" t="s">
        <v>18</v>
      </c>
      <c r="P152" s="831" t="s">
        <v>18</v>
      </c>
      <c r="Q152" s="2265">
        <v>21</v>
      </c>
      <c r="R152" s="2266">
        <v>21</v>
      </c>
      <c r="S152" s="2266">
        <v>21</v>
      </c>
      <c r="T152" s="2265">
        <v>56</v>
      </c>
      <c r="U152" s="2266">
        <v>56</v>
      </c>
      <c r="V152" s="835">
        <v>60</v>
      </c>
      <c r="W152" s="836">
        <v>60</v>
      </c>
      <c r="X152" s="2315">
        <v>60</v>
      </c>
      <c r="Y152" s="3533">
        <v>60</v>
      </c>
      <c r="Z152" s="836">
        <v>60</v>
      </c>
      <c r="AA152" s="836"/>
      <c r="AB152" s="836"/>
      <c r="AC152" s="836"/>
      <c r="AD152" s="4742" t="s">
        <v>1079</v>
      </c>
    </row>
    <row r="153" spans="1:30" s="565" customFormat="1" ht="16.5" customHeight="1" thickBot="1">
      <c r="A153" s="4753"/>
      <c r="B153" s="3534"/>
      <c r="C153" s="3534"/>
      <c r="D153" s="3534"/>
      <c r="E153" s="3534"/>
      <c r="F153" s="3534"/>
      <c r="G153" s="3534"/>
      <c r="H153" s="3534"/>
      <c r="I153" s="3534"/>
      <c r="J153" s="3534"/>
      <c r="K153" s="3534"/>
      <c r="L153" s="3534"/>
      <c r="M153" s="3534"/>
      <c r="N153" s="3534"/>
      <c r="O153" s="3534"/>
      <c r="P153" s="3534"/>
      <c r="Q153" s="771" t="s">
        <v>25</v>
      </c>
      <c r="R153" s="3535"/>
      <c r="S153" s="3535"/>
      <c r="T153" s="3536"/>
      <c r="U153" s="3537"/>
      <c r="V153" s="3538"/>
      <c r="W153" s="3538"/>
      <c r="X153" s="3539"/>
      <c r="Y153" s="3540"/>
      <c r="Z153" s="3538"/>
      <c r="AA153" s="3538"/>
      <c r="AB153" s="3538"/>
      <c r="AC153" s="3538"/>
      <c r="AD153" s="4754"/>
    </row>
    <row r="154" spans="1:30" ht="15.6">
      <c r="A154" s="2183" t="s">
        <v>340</v>
      </c>
      <c r="B154" s="2184"/>
      <c r="C154" s="1174"/>
      <c r="D154" s="1174"/>
      <c r="E154" s="1174"/>
      <c r="F154" s="1174"/>
      <c r="G154" s="1174"/>
      <c r="H154" s="1174"/>
      <c r="I154" s="1174"/>
      <c r="J154" s="1174"/>
      <c r="K154" s="1174"/>
      <c r="L154" s="1175"/>
      <c r="M154" s="1175"/>
      <c r="N154" s="1175"/>
      <c r="O154" s="1175"/>
      <c r="P154" s="1175"/>
      <c r="Q154" s="1175"/>
      <c r="R154" s="1175"/>
      <c r="S154" s="1175"/>
      <c r="T154" s="1175"/>
      <c r="U154" s="1176"/>
      <c r="V154" s="1176"/>
      <c r="W154" s="1176"/>
      <c r="X154" s="2185"/>
      <c r="Y154" s="3461"/>
      <c r="Z154" s="1176"/>
      <c r="AA154" s="1176"/>
      <c r="AB154" s="1176"/>
      <c r="AC154" s="1176"/>
      <c r="AD154" s="3462" t="s">
        <v>341</v>
      </c>
    </row>
    <row r="155" spans="1:30" ht="27.6">
      <c r="A155" s="2336" t="s">
        <v>342</v>
      </c>
      <c r="B155" s="2314"/>
      <c r="C155" s="996"/>
      <c r="D155" s="996"/>
      <c r="E155" s="996"/>
      <c r="F155" s="1054"/>
      <c r="G155" s="997"/>
      <c r="H155" s="163"/>
      <c r="I155" s="164">
        <f t="shared" ref="I155:O155" si="22">I157/$P$1</f>
        <v>2.0273401297497684</v>
      </c>
      <c r="J155" s="163">
        <f t="shared" si="22"/>
        <v>2.2300741427247455</v>
      </c>
      <c r="K155" s="163">
        <f t="shared" si="22"/>
        <v>2.46177015755329</v>
      </c>
      <c r="L155" s="164">
        <f t="shared" si="22"/>
        <v>2.46177015755329</v>
      </c>
      <c r="M155" s="164">
        <f t="shared" si="22"/>
        <v>2.46177015755329</v>
      </c>
      <c r="N155" s="164">
        <f t="shared" si="22"/>
        <v>2.46177015755329</v>
      </c>
      <c r="O155" s="164">
        <f t="shared" si="22"/>
        <v>2.46177015755329</v>
      </c>
      <c r="P155" s="908">
        <v>2.71</v>
      </c>
      <c r="Q155" s="908">
        <v>3.11</v>
      </c>
      <c r="R155" s="163">
        <v>3.36</v>
      </c>
      <c r="S155" s="1054">
        <v>7.11</v>
      </c>
      <c r="T155" s="164">
        <v>7.11</v>
      </c>
      <c r="U155" s="164">
        <v>7.11</v>
      </c>
      <c r="V155" s="164">
        <v>7.11</v>
      </c>
      <c r="W155" s="164">
        <v>7.11</v>
      </c>
      <c r="X155" s="3541">
        <v>7.82</v>
      </c>
      <c r="Y155" s="3542">
        <v>8.6</v>
      </c>
      <c r="Z155" s="3543">
        <v>9.4600000000000009</v>
      </c>
      <c r="AA155" s="3543"/>
      <c r="AB155" s="3543"/>
      <c r="AC155" s="3543"/>
      <c r="AD155" s="3544" t="s">
        <v>1080</v>
      </c>
    </row>
    <row r="156" spans="1:30">
      <c r="A156" s="2339"/>
      <c r="B156" s="2340"/>
      <c r="C156" s="1059"/>
      <c r="D156" s="1059"/>
      <c r="E156" s="1059"/>
      <c r="F156" s="907"/>
      <c r="G156" s="1060"/>
      <c r="H156" s="908"/>
      <c r="I156" s="908"/>
      <c r="J156" s="907"/>
      <c r="K156" s="909"/>
      <c r="L156" s="909"/>
      <c r="M156" s="909"/>
      <c r="N156" s="909"/>
      <c r="O156" s="909"/>
      <c r="P156" s="907" t="s">
        <v>450</v>
      </c>
      <c r="Q156" s="907" t="s">
        <v>346</v>
      </c>
      <c r="R156" s="907" t="s">
        <v>346</v>
      </c>
      <c r="S156" s="907" t="s">
        <v>346</v>
      </c>
      <c r="T156" s="907"/>
      <c r="U156" s="907"/>
      <c r="V156" s="907"/>
      <c r="W156" s="907"/>
      <c r="X156" s="2328"/>
      <c r="Y156" s="2613"/>
      <c r="Z156" s="907"/>
      <c r="AA156" s="907"/>
      <c r="AB156" s="907"/>
      <c r="AC156" s="907"/>
      <c r="AD156" s="3545"/>
    </row>
    <row r="157" spans="1:30">
      <c r="A157" s="2198" t="s">
        <v>1081</v>
      </c>
      <c r="B157" s="778"/>
      <c r="C157" s="233"/>
      <c r="D157" s="233"/>
      <c r="E157" s="233"/>
      <c r="F157" s="852"/>
      <c r="G157" s="1065"/>
      <c r="H157" s="852"/>
      <c r="I157" s="3546">
        <v>7</v>
      </c>
      <c r="J157" s="3547">
        <v>7.7</v>
      </c>
      <c r="K157" s="3547">
        <v>8.5</v>
      </c>
      <c r="L157" s="3546">
        <v>8.5</v>
      </c>
      <c r="M157" s="3546">
        <v>8.5</v>
      </c>
      <c r="N157" s="3546">
        <v>8.5</v>
      </c>
      <c r="O157" s="3546">
        <v>8.5</v>
      </c>
      <c r="P157" s="3547"/>
      <c r="Q157" s="3546"/>
      <c r="R157" s="3548"/>
      <c r="S157" s="853"/>
      <c r="T157" s="853"/>
      <c r="U157" s="854"/>
      <c r="V157" s="854"/>
      <c r="W157" s="854"/>
      <c r="X157" s="3549"/>
      <c r="Y157" s="3519"/>
      <c r="Z157" s="854"/>
      <c r="AA157" s="854"/>
      <c r="AB157" s="854"/>
      <c r="AC157" s="854"/>
      <c r="AD157" s="3550" t="s">
        <v>1082</v>
      </c>
    </row>
    <row r="158" spans="1:30">
      <c r="A158" s="4678" t="s">
        <v>1083</v>
      </c>
      <c r="B158" s="2319"/>
      <c r="C158" s="975"/>
      <c r="D158" s="975"/>
      <c r="E158" s="975"/>
      <c r="F158" s="795"/>
      <c r="G158" s="976"/>
      <c r="H158" s="976"/>
      <c r="I158" s="796"/>
      <c r="J158" s="795"/>
      <c r="K158" s="795"/>
      <c r="L158" s="796"/>
      <c r="M158" s="796"/>
      <c r="N158" s="795"/>
      <c r="O158" s="796"/>
      <c r="P158" s="795"/>
      <c r="Q158" s="795"/>
      <c r="R158" s="795"/>
      <c r="S158" s="795"/>
      <c r="T158" s="796"/>
      <c r="U158" s="796"/>
      <c r="V158" s="796"/>
      <c r="W158" s="796"/>
      <c r="X158" s="4747">
        <v>3.91</v>
      </c>
      <c r="Y158" s="4755">
        <v>4.3</v>
      </c>
      <c r="Z158" s="4747">
        <v>4.7300000000000004</v>
      </c>
      <c r="AA158" s="4747"/>
      <c r="AB158" s="4747"/>
      <c r="AC158" s="4747"/>
      <c r="AD158" s="4745" t="s">
        <v>1084</v>
      </c>
    </row>
    <row r="159" spans="1:30">
      <c r="A159" s="4744"/>
      <c r="B159" s="3552"/>
      <c r="C159" s="3553"/>
      <c r="D159" s="3553"/>
      <c r="E159" s="3553"/>
      <c r="F159" s="3554"/>
      <c r="G159" s="3555"/>
      <c r="H159" s="3555"/>
      <c r="I159" s="3554"/>
      <c r="J159" s="3554"/>
      <c r="K159" s="3554"/>
      <c r="L159" s="3554"/>
      <c r="M159" s="3555"/>
      <c r="N159" s="3554"/>
      <c r="O159" s="3554"/>
      <c r="P159" s="3556"/>
      <c r="Q159" s="3556"/>
      <c r="R159" s="3556"/>
      <c r="S159" s="3556"/>
      <c r="T159" s="3556"/>
      <c r="U159" s="3554"/>
      <c r="V159" s="3554"/>
      <c r="W159" s="3554"/>
      <c r="X159" s="4748"/>
      <c r="Y159" s="4756"/>
      <c r="Z159" s="4748"/>
      <c r="AA159" s="4748"/>
      <c r="AB159" s="4748"/>
      <c r="AC159" s="4748"/>
      <c r="AD159" s="4749" t="s">
        <v>1085</v>
      </c>
    </row>
    <row r="160" spans="1:30" ht="15" customHeight="1">
      <c r="A160" s="4674" t="s">
        <v>1086</v>
      </c>
      <c r="B160" s="2314"/>
      <c r="C160" s="996"/>
      <c r="D160" s="996"/>
      <c r="E160" s="996"/>
      <c r="F160" s="163"/>
      <c r="G160" s="997"/>
      <c r="H160" s="997"/>
      <c r="I160" s="164">
        <f t="shared" ref="I160:O160" si="23">I162/$P$1</f>
        <v>11.584800741427248</v>
      </c>
      <c r="J160" s="163">
        <f t="shared" si="23"/>
        <v>13.901760889712698</v>
      </c>
      <c r="K160" s="163">
        <f t="shared" si="23"/>
        <v>15.349860982391103</v>
      </c>
      <c r="L160" s="164">
        <f t="shared" si="23"/>
        <v>15.349860982391103</v>
      </c>
      <c r="M160" s="164">
        <f t="shared" si="23"/>
        <v>15.349860982391103</v>
      </c>
      <c r="N160" s="163">
        <f t="shared" si="23"/>
        <v>16.797961075069509</v>
      </c>
      <c r="O160" s="164">
        <f t="shared" si="23"/>
        <v>16.797961075069509</v>
      </c>
      <c r="P160" s="163">
        <v>24.62</v>
      </c>
      <c r="Q160" s="163">
        <v>28.67</v>
      </c>
      <c r="R160" s="163">
        <v>30.96</v>
      </c>
      <c r="S160" s="163">
        <v>65.459999999999994</v>
      </c>
      <c r="T160" s="164">
        <v>65.459999999999994</v>
      </c>
      <c r="U160" s="164">
        <v>65.459999999999994</v>
      </c>
      <c r="V160" s="164">
        <v>65.459999999999994</v>
      </c>
      <c r="W160" s="164">
        <v>65.459999999999994</v>
      </c>
      <c r="X160" s="3541">
        <v>78</v>
      </c>
      <c r="Y160" s="3542">
        <v>93</v>
      </c>
      <c r="Z160" s="3543">
        <v>109</v>
      </c>
      <c r="AA160" s="3543"/>
      <c r="AB160" s="3543"/>
      <c r="AC160" s="3543"/>
      <c r="AD160" s="4742" t="s">
        <v>1087</v>
      </c>
    </row>
    <row r="161" spans="1:30" s="565" customFormat="1" ht="14.25" customHeight="1">
      <c r="A161" s="4684"/>
      <c r="B161" s="2384"/>
      <c r="C161" s="2385"/>
      <c r="D161" s="2385"/>
      <c r="E161" s="2385"/>
      <c r="F161" s="3558"/>
      <c r="G161" s="2387"/>
      <c r="H161" s="2387"/>
      <c r="I161" s="3558"/>
      <c r="J161" s="3558"/>
      <c r="K161" s="3558"/>
      <c r="L161" s="3558"/>
      <c r="M161" s="2387"/>
      <c r="N161" s="3558"/>
      <c r="O161" s="3558"/>
      <c r="P161" s="2386" t="s">
        <v>450</v>
      </c>
      <c r="Q161" s="2386" t="s">
        <v>346</v>
      </c>
      <c r="R161" s="2386" t="s">
        <v>346</v>
      </c>
      <c r="S161" s="2386" t="s">
        <v>346</v>
      </c>
      <c r="T161" s="2386"/>
      <c r="U161" s="3558"/>
      <c r="V161" s="3558"/>
      <c r="W161" s="3558"/>
      <c r="X161" s="3559"/>
      <c r="Y161" s="3560"/>
      <c r="Z161" s="3558"/>
      <c r="AA161" s="3558"/>
      <c r="AB161" s="3558"/>
      <c r="AC161" s="3558"/>
      <c r="AD161" s="4743"/>
    </row>
    <row r="162" spans="1:30">
      <c r="A162" s="3561" t="s">
        <v>1088</v>
      </c>
      <c r="B162" s="3562"/>
      <c r="C162" s="3563"/>
      <c r="D162" s="3563"/>
      <c r="E162" s="3563"/>
      <c r="F162" s="3564"/>
      <c r="G162" s="3565"/>
      <c r="H162" s="3565"/>
      <c r="I162" s="3566">
        <v>40</v>
      </c>
      <c r="J162" s="3567">
        <v>48</v>
      </c>
      <c r="K162" s="3567">
        <v>53</v>
      </c>
      <c r="L162" s="3566">
        <v>53</v>
      </c>
      <c r="M162" s="3566">
        <v>53</v>
      </c>
      <c r="N162" s="3567">
        <v>58</v>
      </c>
      <c r="O162" s="3566">
        <v>58</v>
      </c>
      <c r="P162" s="3568"/>
      <c r="Q162" s="3517"/>
      <c r="R162" s="3517"/>
      <c r="S162" s="3517"/>
      <c r="T162" s="3517"/>
      <c r="U162" s="3569"/>
      <c r="V162" s="3569"/>
      <c r="W162" s="3569"/>
      <c r="X162" s="3570"/>
      <c r="Y162" s="3571"/>
      <c r="Z162" s="3569"/>
      <c r="AA162" s="3569"/>
      <c r="AB162" s="3569"/>
      <c r="AC162" s="3569"/>
      <c r="AD162" s="3572" t="s">
        <v>1089</v>
      </c>
    </row>
    <row r="163" spans="1:30">
      <c r="A163" s="4678" t="s">
        <v>1090</v>
      </c>
      <c r="B163" s="2319"/>
      <c r="C163" s="975"/>
      <c r="D163" s="975"/>
      <c r="E163" s="975"/>
      <c r="F163" s="795"/>
      <c r="G163" s="976"/>
      <c r="H163" s="976"/>
      <c r="I163" s="796">
        <f t="shared" ref="I163:O163" si="24">I165/$P$1</f>
        <v>43.443002780352181</v>
      </c>
      <c r="J163" s="795">
        <f t="shared" si="24"/>
        <v>52.131603336422614</v>
      </c>
      <c r="K163" s="795">
        <f t="shared" si="24"/>
        <v>57.344763670064879</v>
      </c>
      <c r="L163" s="796">
        <f t="shared" si="24"/>
        <v>57.344763670064879</v>
      </c>
      <c r="M163" s="796">
        <f t="shared" si="24"/>
        <v>57.344763670064879</v>
      </c>
      <c r="N163" s="796">
        <f t="shared" si="24"/>
        <v>57.344763670064879</v>
      </c>
      <c r="O163" s="796">
        <f t="shared" si="24"/>
        <v>57.344763670064879</v>
      </c>
      <c r="P163" s="795">
        <v>65.16</v>
      </c>
      <c r="Q163" s="795">
        <v>72.12</v>
      </c>
      <c r="R163" s="795">
        <v>77.89</v>
      </c>
      <c r="S163" s="795">
        <v>164.67</v>
      </c>
      <c r="T163" s="796">
        <v>164.67</v>
      </c>
      <c r="U163" s="796">
        <v>164.67</v>
      </c>
      <c r="V163" s="796">
        <v>164.67</v>
      </c>
      <c r="W163" s="796">
        <v>164.67</v>
      </c>
      <c r="X163" s="3573">
        <v>181</v>
      </c>
      <c r="Y163" s="3574">
        <v>199</v>
      </c>
      <c r="Z163" s="3575">
        <v>219</v>
      </c>
      <c r="AA163" s="3575"/>
      <c r="AB163" s="3575"/>
      <c r="AC163" s="3575"/>
      <c r="AD163" s="4745" t="s">
        <v>1091</v>
      </c>
    </row>
    <row r="164" spans="1:30">
      <c r="A164" s="4680"/>
      <c r="B164" s="2398"/>
      <c r="C164" s="2399"/>
      <c r="D164" s="2399"/>
      <c r="E164" s="2399"/>
      <c r="F164" s="2283"/>
      <c r="G164" s="2400"/>
      <c r="H164" s="2400"/>
      <c r="I164" s="2283"/>
      <c r="J164" s="2284"/>
      <c r="K164" s="2284"/>
      <c r="L164" s="2283"/>
      <c r="M164" s="2400"/>
      <c r="N164" s="2283"/>
      <c r="O164" s="2283"/>
      <c r="P164" s="878" t="s">
        <v>450</v>
      </c>
      <c r="Q164" s="878" t="s">
        <v>346</v>
      </c>
      <c r="R164" s="878" t="s">
        <v>346</v>
      </c>
      <c r="S164" s="878" t="s">
        <v>346</v>
      </c>
      <c r="T164" s="878"/>
      <c r="U164" s="2283"/>
      <c r="V164" s="2283"/>
      <c r="W164" s="2283"/>
      <c r="X164" s="3576"/>
      <c r="Y164" s="3577"/>
      <c r="Z164" s="2283"/>
      <c r="AA164" s="2283"/>
      <c r="AB164" s="2283"/>
      <c r="AC164" s="2283"/>
      <c r="AD164" s="4746"/>
    </row>
    <row r="165" spans="1:30">
      <c r="A165" s="2402" t="s">
        <v>1088</v>
      </c>
      <c r="B165" s="2403"/>
      <c r="C165" s="2404"/>
      <c r="D165" s="2404"/>
      <c r="E165" s="2404"/>
      <c r="F165" s="2405"/>
      <c r="G165" s="2406"/>
      <c r="H165" s="2406"/>
      <c r="I165" s="3578">
        <v>150</v>
      </c>
      <c r="J165" s="3579">
        <v>180</v>
      </c>
      <c r="K165" s="3579">
        <v>198</v>
      </c>
      <c r="L165" s="3578">
        <v>198</v>
      </c>
      <c r="M165" s="3578">
        <v>198</v>
      </c>
      <c r="N165" s="3578">
        <v>198</v>
      </c>
      <c r="O165" s="3578">
        <v>198</v>
      </c>
      <c r="P165" s="3580"/>
      <c r="Q165" s="2409"/>
      <c r="R165" s="2409"/>
      <c r="S165" s="2409"/>
      <c r="T165" s="2409"/>
      <c r="U165" s="3581"/>
      <c r="V165" s="3581"/>
      <c r="W165" s="3581"/>
      <c r="X165" s="3582"/>
      <c r="Y165" s="3583"/>
      <c r="Z165" s="3581"/>
      <c r="AA165" s="3581"/>
      <c r="AB165" s="3581"/>
      <c r="AC165" s="3581"/>
      <c r="AD165" s="3584" t="s">
        <v>1089</v>
      </c>
    </row>
    <row r="166" spans="1:30" ht="15" customHeight="1">
      <c r="A166" s="2336" t="s">
        <v>1092</v>
      </c>
      <c r="B166" s="2314"/>
      <c r="C166" s="996"/>
      <c r="D166" s="996"/>
      <c r="E166" s="996"/>
      <c r="F166" s="163"/>
      <c r="G166" s="997"/>
      <c r="H166" s="997"/>
      <c r="I166" s="997">
        <f t="shared" ref="I166:O166" si="25">I168/$P$1</f>
        <v>43.443002780352181</v>
      </c>
      <c r="J166" s="163">
        <f t="shared" si="25"/>
        <v>52.131603336422614</v>
      </c>
      <c r="K166" s="163">
        <f t="shared" si="25"/>
        <v>57.344763670064879</v>
      </c>
      <c r="L166" s="997">
        <f t="shared" si="25"/>
        <v>57.344763670064879</v>
      </c>
      <c r="M166" s="997">
        <f t="shared" si="25"/>
        <v>57.344763670064879</v>
      </c>
      <c r="N166" s="997">
        <f t="shared" si="25"/>
        <v>62.557924003707136</v>
      </c>
      <c r="O166" s="997">
        <f t="shared" si="25"/>
        <v>62.557924003707136</v>
      </c>
      <c r="P166" s="908">
        <v>81.38</v>
      </c>
      <c r="Q166" s="163">
        <v>89.49</v>
      </c>
      <c r="R166" s="163">
        <v>96.65</v>
      </c>
      <c r="S166" s="163">
        <v>185.82</v>
      </c>
      <c r="T166" s="164">
        <v>185.82</v>
      </c>
      <c r="U166" s="164">
        <v>185.82</v>
      </c>
      <c r="V166" s="164">
        <v>185.82</v>
      </c>
      <c r="W166" s="164">
        <v>185.82</v>
      </c>
      <c r="X166" s="3541">
        <v>200</v>
      </c>
      <c r="Y166" s="3542">
        <v>216</v>
      </c>
      <c r="Z166" s="3543">
        <v>234</v>
      </c>
      <c r="AA166" s="3543"/>
      <c r="AB166" s="3543"/>
      <c r="AC166" s="3543"/>
      <c r="AD166" s="4742" t="s">
        <v>1093</v>
      </c>
    </row>
    <row r="167" spans="1:30">
      <c r="A167" s="3585"/>
      <c r="B167" s="3586"/>
      <c r="C167" s="3587"/>
      <c r="D167" s="3587"/>
      <c r="E167" s="3587"/>
      <c r="F167" s="3588"/>
      <c r="G167" s="3589"/>
      <c r="H167" s="3589"/>
      <c r="I167" s="3589"/>
      <c r="J167" s="2386"/>
      <c r="K167" s="3589"/>
      <c r="L167" s="3589"/>
      <c r="M167" s="3589"/>
      <c r="N167" s="3589"/>
      <c r="O167" s="3589"/>
      <c r="P167" s="2386" t="s">
        <v>450</v>
      </c>
      <c r="Q167" s="2386" t="s">
        <v>346</v>
      </c>
      <c r="R167" s="2386" t="s">
        <v>346</v>
      </c>
      <c r="S167" s="2386" t="s">
        <v>346</v>
      </c>
      <c r="T167" s="2386"/>
      <c r="U167" s="3590"/>
      <c r="V167" s="3590"/>
      <c r="W167" s="3590"/>
      <c r="X167" s="3591"/>
      <c r="Y167" s="3592"/>
      <c r="Z167" s="3590"/>
      <c r="AA167" s="3590"/>
      <c r="AB167" s="3590"/>
      <c r="AC167" s="3590"/>
      <c r="AD167" s="4743"/>
    </row>
    <row r="168" spans="1:30">
      <c r="A168" s="2508" t="s">
        <v>1094</v>
      </c>
      <c r="B168" s="2509"/>
      <c r="C168" s="3593"/>
      <c r="D168" s="3593"/>
      <c r="E168" s="3593"/>
      <c r="F168" s="3594"/>
      <c r="G168" s="2509"/>
      <c r="H168" s="2509"/>
      <c r="I168" s="3595">
        <v>150</v>
      </c>
      <c r="J168" s="3596">
        <v>180</v>
      </c>
      <c r="K168" s="3596">
        <v>198</v>
      </c>
      <c r="L168" s="3595">
        <v>198</v>
      </c>
      <c r="M168" s="3595">
        <v>198</v>
      </c>
      <c r="N168" s="3596">
        <v>216</v>
      </c>
      <c r="O168" s="3595">
        <v>216</v>
      </c>
      <c r="P168" s="3597"/>
      <c r="Q168" s="3598"/>
      <c r="R168" s="3598"/>
      <c r="S168" s="3598"/>
      <c r="T168" s="3598"/>
      <c r="U168" s="3599"/>
      <c r="V168" s="3599"/>
      <c r="W168" s="3599"/>
      <c r="X168" s="3600"/>
      <c r="Y168" s="3601"/>
      <c r="Z168" s="3599"/>
      <c r="AA168" s="3599"/>
      <c r="AB168" s="3599"/>
      <c r="AC168" s="3599"/>
      <c r="AD168" s="3602" t="s">
        <v>1095</v>
      </c>
    </row>
    <row r="169" spans="1:30">
      <c r="A169" s="4678" t="s">
        <v>1096</v>
      </c>
      <c r="B169" s="3603"/>
      <c r="C169" s="1134"/>
      <c r="D169" s="1134"/>
      <c r="E169" s="1134"/>
      <c r="F169" s="3604"/>
      <c r="G169" s="3603"/>
      <c r="H169" s="3603"/>
      <c r="I169" s="3605">
        <f t="shared" ref="I169:O169" si="26">I171/$P$1</f>
        <v>66.612604263206677</v>
      </c>
      <c r="J169" s="3606">
        <f t="shared" si="26"/>
        <v>79.93512511584801</v>
      </c>
      <c r="K169" s="3606">
        <f t="shared" si="26"/>
        <v>88.044485634847078</v>
      </c>
      <c r="L169" s="3605">
        <f t="shared" si="26"/>
        <v>88.044485634847078</v>
      </c>
      <c r="M169" s="3605">
        <f t="shared" si="26"/>
        <v>88.044485634847078</v>
      </c>
      <c r="N169" s="3605">
        <f t="shared" si="26"/>
        <v>88.044485634847078</v>
      </c>
      <c r="O169" s="3605">
        <f t="shared" si="26"/>
        <v>88.044485634847078</v>
      </c>
      <c r="P169" s="795">
        <v>115.85</v>
      </c>
      <c r="Q169" s="795">
        <v>126.27</v>
      </c>
      <c r="R169" s="795">
        <v>136.37</v>
      </c>
      <c r="S169" s="795">
        <v>264.52</v>
      </c>
      <c r="T169" s="796">
        <v>264.52</v>
      </c>
      <c r="U169" s="796">
        <v>264.52</v>
      </c>
      <c r="V169" s="796">
        <v>264.52</v>
      </c>
      <c r="W169" s="796">
        <v>264.52</v>
      </c>
      <c r="X169" s="3573">
        <v>285</v>
      </c>
      <c r="Y169" s="3574">
        <v>308</v>
      </c>
      <c r="Z169" s="3575">
        <v>333</v>
      </c>
      <c r="AA169" s="3575"/>
      <c r="AB169" s="3575"/>
      <c r="AC169" s="3575"/>
      <c r="AD169" s="4745" t="s">
        <v>1097</v>
      </c>
    </row>
    <row r="170" spans="1:30" s="565" customFormat="1" ht="16.5" customHeight="1">
      <c r="A170" s="4744"/>
      <c r="B170" s="3607"/>
      <c r="C170" s="3608"/>
      <c r="D170" s="3608"/>
      <c r="E170" s="3608"/>
      <c r="F170" s="3609"/>
      <c r="G170" s="3607"/>
      <c r="H170" s="3607"/>
      <c r="I170" s="3610"/>
      <c r="J170" s="3610"/>
      <c r="K170" s="3611"/>
      <c r="L170" s="3610"/>
      <c r="M170" s="3610"/>
      <c r="N170" s="3607"/>
      <c r="O170" s="3607"/>
      <c r="P170" s="878" t="s">
        <v>450</v>
      </c>
      <c r="Q170" s="878" t="s">
        <v>346</v>
      </c>
      <c r="R170" s="878" t="s">
        <v>346</v>
      </c>
      <c r="S170" s="878" t="s">
        <v>346</v>
      </c>
      <c r="T170" s="3612"/>
      <c r="U170" s="3613"/>
      <c r="V170" s="3613"/>
      <c r="W170" s="3614"/>
      <c r="X170" s="3615"/>
      <c r="Y170" s="3616"/>
      <c r="Z170" s="3614"/>
      <c r="AA170" s="3614"/>
      <c r="AB170" s="3614"/>
      <c r="AC170" s="3614"/>
      <c r="AD170" s="4746"/>
    </row>
    <row r="171" spans="1:30">
      <c r="A171" s="3617" t="s">
        <v>1094</v>
      </c>
      <c r="B171" s="2485"/>
      <c r="C171" s="3618"/>
      <c r="D171" s="3618"/>
      <c r="E171" s="3618"/>
      <c r="F171" s="3619"/>
      <c r="G171" s="2485"/>
      <c r="H171" s="2485"/>
      <c r="I171" s="3578">
        <v>230</v>
      </c>
      <c r="J171" s="3579">
        <v>276</v>
      </c>
      <c r="K171" s="3579">
        <v>304</v>
      </c>
      <c r="L171" s="3578">
        <v>304</v>
      </c>
      <c r="M171" s="3578">
        <v>304</v>
      </c>
      <c r="N171" s="3578">
        <v>304</v>
      </c>
      <c r="O171" s="3578">
        <v>304</v>
      </c>
      <c r="P171" s="3620"/>
      <c r="Q171" s="3621"/>
      <c r="R171" s="3621"/>
      <c r="S171" s="3621"/>
      <c r="T171" s="3621"/>
      <c r="U171" s="3622"/>
      <c r="V171" s="3622"/>
      <c r="W171" s="1146"/>
      <c r="X171" s="2431"/>
      <c r="Y171" s="3623"/>
      <c r="Z171" s="1146"/>
      <c r="AA171" s="1146"/>
      <c r="AB171" s="1146"/>
      <c r="AC171" s="1146"/>
      <c r="AD171" s="3473" t="s">
        <v>1095</v>
      </c>
    </row>
    <row r="172" spans="1:30" ht="15" customHeight="1">
      <c r="A172" s="4674" t="s">
        <v>390</v>
      </c>
      <c r="B172" s="2314"/>
      <c r="C172" s="996"/>
      <c r="D172" s="996"/>
      <c r="E172" s="996"/>
      <c r="F172" s="163"/>
      <c r="G172" s="997"/>
      <c r="H172" s="163"/>
      <c r="I172" s="3624">
        <f t="shared" ref="I172:O172" si="27">I174/$P$1</f>
        <v>926.78405931417979</v>
      </c>
      <c r="J172" s="3625">
        <f t="shared" si="27"/>
        <v>1112.1408711770157</v>
      </c>
      <c r="K172" s="3625">
        <f t="shared" si="27"/>
        <v>1278.9620018535682</v>
      </c>
      <c r="L172" s="3626">
        <f t="shared" si="27"/>
        <v>1278.9620018535682</v>
      </c>
      <c r="M172" s="3626">
        <f t="shared" si="27"/>
        <v>1278.9620018535682</v>
      </c>
      <c r="N172" s="3626">
        <f t="shared" si="27"/>
        <v>1278.9620018535682</v>
      </c>
      <c r="O172" s="3626">
        <f t="shared" si="27"/>
        <v>1278.9620018535682</v>
      </c>
      <c r="P172" s="3625">
        <v>1291.71</v>
      </c>
      <c r="Q172" s="3627">
        <v>1320.67</v>
      </c>
      <c r="R172" s="3627">
        <v>1353.69</v>
      </c>
      <c r="S172" s="3627">
        <v>1665.04</v>
      </c>
      <c r="T172" s="3626">
        <v>1665.04</v>
      </c>
      <c r="U172" s="3625">
        <v>1832</v>
      </c>
      <c r="V172" s="3625">
        <v>2025</v>
      </c>
      <c r="W172" s="3624">
        <v>2025</v>
      </c>
      <c r="X172" s="3628">
        <v>2163</v>
      </c>
      <c r="Y172" s="3629">
        <v>2310</v>
      </c>
      <c r="Z172" s="3630">
        <v>2467</v>
      </c>
      <c r="AA172" s="3630"/>
      <c r="AB172" s="3630"/>
      <c r="AC172" s="3630"/>
      <c r="AD172" s="4742" t="s">
        <v>391</v>
      </c>
    </row>
    <row r="173" spans="1:30" s="565" customFormat="1" ht="13.35" customHeight="1">
      <c r="A173" s="4675"/>
      <c r="B173" s="2381"/>
      <c r="C173" s="1495"/>
      <c r="D173" s="1495"/>
      <c r="E173" s="1495"/>
      <c r="F173" s="907"/>
      <c r="G173" s="2382"/>
      <c r="H173" s="2192"/>
      <c r="I173" s="907"/>
      <c r="J173" s="2193"/>
      <c r="K173" s="3631"/>
      <c r="L173" s="2193"/>
      <c r="M173" s="907"/>
      <c r="N173" s="2193"/>
      <c r="O173" s="2193"/>
      <c r="P173" s="2386" t="s">
        <v>450</v>
      </c>
      <c r="Q173" s="2386" t="s">
        <v>346</v>
      </c>
      <c r="R173" s="2386" t="s">
        <v>346</v>
      </c>
      <c r="S173" s="2386" t="s">
        <v>346</v>
      </c>
      <c r="T173" s="907"/>
      <c r="U173" s="907" t="s">
        <v>346</v>
      </c>
      <c r="V173" s="907" t="s">
        <v>346</v>
      </c>
      <c r="W173" s="907"/>
      <c r="X173" s="2328"/>
      <c r="Y173" s="2613"/>
      <c r="Z173" s="907"/>
      <c r="AA173" s="907"/>
      <c r="AB173" s="907"/>
      <c r="AC173" s="907"/>
      <c r="AD173" s="4741"/>
    </row>
    <row r="174" spans="1:30" ht="14.4" thickBot="1">
      <c r="A174" s="2198" t="s">
        <v>1098</v>
      </c>
      <c r="B174" s="778"/>
      <c r="C174" s="233"/>
      <c r="D174" s="233"/>
      <c r="E174" s="233"/>
      <c r="F174" s="234"/>
      <c r="G174" s="235"/>
      <c r="H174" s="234"/>
      <c r="I174" s="3632">
        <v>3200</v>
      </c>
      <c r="J174" s="3633">
        <v>3840</v>
      </c>
      <c r="K174" s="3633">
        <v>4416</v>
      </c>
      <c r="L174" s="3632">
        <v>4416</v>
      </c>
      <c r="M174" s="3632">
        <v>4416</v>
      </c>
      <c r="N174" s="3633">
        <v>4416</v>
      </c>
      <c r="O174" s="3632">
        <v>4416</v>
      </c>
      <c r="P174" s="3632"/>
      <c r="Q174" s="853"/>
      <c r="R174" s="853"/>
      <c r="S174" s="853"/>
      <c r="T174" s="853"/>
      <c r="U174" s="854"/>
      <c r="V174" s="854"/>
      <c r="W174" s="854"/>
      <c r="X174" s="2270"/>
      <c r="Y174" s="3519"/>
      <c r="Z174" s="854"/>
      <c r="AA174" s="854"/>
      <c r="AB174" s="854"/>
      <c r="AC174" s="854"/>
      <c r="AD174" s="3468" t="s">
        <v>1099</v>
      </c>
    </row>
    <row r="175" spans="1:30" ht="15.6">
      <c r="A175" s="2183" t="s">
        <v>396</v>
      </c>
      <c r="B175" s="2184"/>
      <c r="C175" s="1174"/>
      <c r="D175" s="1174"/>
      <c r="E175" s="1174"/>
      <c r="F175" s="1174"/>
      <c r="G175" s="1174"/>
      <c r="H175" s="1174"/>
      <c r="I175" s="1174"/>
      <c r="J175" s="1174"/>
      <c r="K175" s="1174"/>
      <c r="L175" s="1175"/>
      <c r="M175" s="1175"/>
      <c r="N175" s="1175"/>
      <c r="O175" s="1175"/>
      <c r="P175" s="1175"/>
      <c r="Q175" s="1175"/>
      <c r="R175" s="1175"/>
      <c r="S175" s="1175"/>
      <c r="T175" s="1175"/>
      <c r="U175" s="1176"/>
      <c r="V175" s="1176"/>
      <c r="W175" s="1176"/>
      <c r="X175" s="2185"/>
      <c r="Y175" s="3461"/>
      <c r="Z175" s="1176"/>
      <c r="AA175" s="1176"/>
      <c r="AB175" s="1176"/>
      <c r="AC175" s="1176"/>
      <c r="AD175" s="3462" t="s">
        <v>397</v>
      </c>
    </row>
    <row r="176" spans="1:30">
      <c r="A176" s="2444" t="s">
        <v>398</v>
      </c>
      <c r="B176" s="2445"/>
      <c r="C176" s="219"/>
      <c r="D176" s="219"/>
      <c r="E176" s="219"/>
      <c r="F176" s="1180"/>
      <c r="G176" s="220"/>
      <c r="H176" s="165"/>
      <c r="I176" s="220"/>
      <c r="J176" s="220"/>
      <c r="K176" s="220"/>
      <c r="L176" s="165"/>
      <c r="M176" s="165"/>
      <c r="N176" s="165"/>
      <c r="O176" s="165"/>
      <c r="P176" s="1181"/>
      <c r="Q176" s="1181"/>
      <c r="R176" s="1181"/>
      <c r="S176" s="1181"/>
      <c r="T176" s="1181"/>
      <c r="U176" s="1182"/>
      <c r="V176" s="1182"/>
      <c r="W176" s="1182"/>
      <c r="X176" s="3634"/>
      <c r="Y176" s="3635"/>
      <c r="Z176" s="1182"/>
      <c r="AA176" s="1182"/>
      <c r="AB176" s="1182"/>
      <c r="AC176" s="1182"/>
      <c r="AD176" s="3636" t="s">
        <v>399</v>
      </c>
    </row>
    <row r="177" spans="1:30">
      <c r="A177" s="2448" t="s">
        <v>410</v>
      </c>
      <c r="B177" s="1212"/>
      <c r="C177" s="1212"/>
      <c r="D177" s="1212"/>
      <c r="E177" s="1188"/>
      <c r="F177" s="1213"/>
      <c r="G177" s="1213"/>
      <c r="H177" s="1213"/>
      <c r="I177" s="1388">
        <f t="shared" ref="I177:P177" si="28">I181/$P$1</f>
        <v>13.756950880444856</v>
      </c>
      <c r="J177" s="1391">
        <f t="shared" si="28"/>
        <v>22.879981464318814</v>
      </c>
      <c r="K177" s="1391">
        <f t="shared" si="28"/>
        <v>27.513901760889713</v>
      </c>
      <c r="L177" s="1388">
        <f t="shared" si="28"/>
        <v>38.229842446709917</v>
      </c>
      <c r="M177" s="1388">
        <f t="shared" si="28"/>
        <v>38.229842446709917</v>
      </c>
      <c r="N177" s="1391">
        <f t="shared" si="28"/>
        <v>40.54680259499537</v>
      </c>
      <c r="O177" s="1391">
        <f t="shared" si="28"/>
        <v>42.863762743280816</v>
      </c>
      <c r="P177" s="1391">
        <f t="shared" si="28"/>
        <v>45.470342910101948</v>
      </c>
      <c r="Q177" s="1213">
        <v>48.08</v>
      </c>
      <c r="R177" s="1213">
        <v>50.68</v>
      </c>
      <c r="S177" s="1218">
        <v>56</v>
      </c>
      <c r="T177" s="1218">
        <v>59</v>
      </c>
      <c r="U177" s="1213">
        <v>62.25</v>
      </c>
      <c r="V177" s="1213">
        <v>65.7</v>
      </c>
      <c r="W177" s="1213">
        <v>69.400000000000006</v>
      </c>
      <c r="X177" s="3637">
        <v>74.3</v>
      </c>
      <c r="Y177" s="3638">
        <v>79.599999999999994</v>
      </c>
      <c r="Z177" s="1213">
        <v>85.3</v>
      </c>
      <c r="AA177" s="1213"/>
      <c r="AB177" s="1213"/>
      <c r="AC177" s="1213"/>
      <c r="AD177" s="3639" t="s">
        <v>417</v>
      </c>
    </row>
    <row r="178" spans="1:30" s="565" customFormat="1" ht="12" customHeight="1">
      <c r="A178" s="3640"/>
      <c r="B178" s="3641"/>
      <c r="C178" s="3641"/>
      <c r="D178" s="3641"/>
      <c r="E178" s="3642"/>
      <c r="F178" s="3643"/>
      <c r="G178" s="3643"/>
      <c r="H178" s="3643"/>
      <c r="I178" s="907" t="s">
        <v>212</v>
      </c>
      <c r="J178" s="907" t="s">
        <v>346</v>
      </c>
      <c r="K178" s="907" t="s">
        <v>346</v>
      </c>
      <c r="L178" s="3644"/>
      <c r="M178" s="3644"/>
      <c r="N178" s="3644"/>
      <c r="O178" s="3644"/>
      <c r="P178" s="3645"/>
      <c r="Q178" s="907" t="s">
        <v>346</v>
      </c>
      <c r="R178" s="3643"/>
      <c r="S178" s="1229" t="s">
        <v>346</v>
      </c>
      <c r="T178" s="1229" t="s">
        <v>346</v>
      </c>
      <c r="U178" s="1229" t="s">
        <v>346</v>
      </c>
      <c r="V178" s="1229" t="s">
        <v>346</v>
      </c>
      <c r="W178" s="1229" t="s">
        <v>346</v>
      </c>
      <c r="X178" s="3646"/>
      <c r="Y178" s="3647"/>
      <c r="Z178" s="1229"/>
      <c r="AA178" s="1229"/>
      <c r="AB178" s="1229"/>
      <c r="AC178" s="1229"/>
      <c r="AD178" s="3648"/>
    </row>
    <row r="179" spans="1:30">
      <c r="A179" s="2451"/>
      <c r="B179" s="1223"/>
      <c r="C179" s="1223"/>
      <c r="D179" s="1223"/>
      <c r="E179" s="1332"/>
      <c r="F179" s="1227"/>
      <c r="G179" s="1227"/>
      <c r="H179" s="1227"/>
      <c r="I179" s="1395">
        <f>I183/$P$1</f>
        <v>19.114921223354958</v>
      </c>
      <c r="J179" s="35"/>
      <c r="K179" s="1395">
        <f>K183/$P$1</f>
        <v>38.229842446709917</v>
      </c>
      <c r="L179" s="35"/>
      <c r="M179" s="35"/>
      <c r="N179" s="35"/>
      <c r="O179" s="35"/>
      <c r="P179" s="2588"/>
      <c r="Q179" s="1228"/>
      <c r="R179" s="1227"/>
      <c r="S179" s="1227"/>
      <c r="T179" s="1227"/>
      <c r="U179" s="1227"/>
      <c r="V179" s="1227"/>
      <c r="W179" s="1227"/>
      <c r="X179" s="3649"/>
      <c r="Y179" s="3650"/>
      <c r="Z179" s="1227"/>
      <c r="AA179" s="1227"/>
      <c r="AB179" s="1227"/>
      <c r="AC179" s="1227"/>
      <c r="AD179" s="3651"/>
    </row>
    <row r="180" spans="1:30" s="565" customFormat="1" ht="10.199999999999999">
      <c r="A180" s="3640"/>
      <c r="B180" s="3641"/>
      <c r="C180" s="3641"/>
      <c r="D180" s="3641"/>
      <c r="E180" s="3652"/>
      <c r="F180" s="3653"/>
      <c r="G180" s="3653"/>
      <c r="H180" s="3653"/>
      <c r="I180" s="2386" t="s">
        <v>346</v>
      </c>
      <c r="J180" s="2386"/>
      <c r="K180" s="771" t="s">
        <v>192</v>
      </c>
      <c r="L180" s="3654"/>
      <c r="M180" s="3655"/>
      <c r="N180" s="3656"/>
      <c r="O180" s="3656"/>
      <c r="P180" s="3657"/>
      <c r="Q180" s="1229"/>
      <c r="R180" s="1229"/>
      <c r="S180" s="1229"/>
      <c r="T180" s="1229"/>
      <c r="U180" s="1229"/>
      <c r="V180" s="3658"/>
      <c r="W180" s="3658"/>
      <c r="X180" s="3659"/>
      <c r="Y180" s="3660"/>
      <c r="Z180" s="3658"/>
      <c r="AA180" s="3658"/>
      <c r="AB180" s="3658"/>
      <c r="AC180" s="3658"/>
      <c r="AD180" s="3648"/>
    </row>
    <row r="181" spans="1:30">
      <c r="A181" s="2198" t="s">
        <v>1100</v>
      </c>
      <c r="B181" s="778"/>
      <c r="C181" s="778"/>
      <c r="D181" s="778"/>
      <c r="E181" s="1242"/>
      <c r="F181" s="849"/>
      <c r="G181" s="849"/>
      <c r="H181" s="235"/>
      <c r="I181" s="3568">
        <v>47.5</v>
      </c>
      <c r="J181" s="3567">
        <v>79</v>
      </c>
      <c r="K181" s="3567">
        <v>95</v>
      </c>
      <c r="L181" s="3566">
        <f>132</f>
        <v>132</v>
      </c>
      <c r="M181" s="3566">
        <f>132</f>
        <v>132</v>
      </c>
      <c r="N181" s="3567">
        <v>140</v>
      </c>
      <c r="O181" s="3567">
        <v>148</v>
      </c>
      <c r="P181" s="3567">
        <v>157</v>
      </c>
      <c r="Q181" s="4300"/>
      <c r="R181" s="4300"/>
      <c r="S181" s="4300"/>
      <c r="T181" s="4300"/>
      <c r="U181" s="4300"/>
      <c r="V181" s="4300"/>
      <c r="W181" s="1244"/>
      <c r="X181" s="3661"/>
      <c r="Y181" s="3662"/>
      <c r="Z181" s="1244"/>
      <c r="AA181" s="1244"/>
      <c r="AB181" s="1244"/>
      <c r="AC181" s="1244"/>
      <c r="AD181" s="3468" t="s">
        <v>1101</v>
      </c>
    </row>
    <row r="182" spans="1:30" s="565" customFormat="1" ht="13.2">
      <c r="A182" s="3640"/>
      <c r="B182" s="3641"/>
      <c r="C182" s="3641"/>
      <c r="D182" s="3641"/>
      <c r="E182" s="3663"/>
      <c r="F182" s="3664"/>
      <c r="G182" s="3664"/>
      <c r="H182" s="3665"/>
      <c r="I182" s="907" t="s">
        <v>212</v>
      </c>
      <c r="J182" s="907" t="s">
        <v>346</v>
      </c>
      <c r="K182" s="907" t="s">
        <v>346</v>
      </c>
      <c r="L182" s="3666"/>
      <c r="M182" s="3666"/>
      <c r="N182" s="907" t="s">
        <v>346</v>
      </c>
      <c r="O182" s="3666"/>
      <c r="P182" s="3666"/>
      <c r="Q182" s="4301"/>
      <c r="R182" s="4301"/>
      <c r="S182" s="4301"/>
      <c r="T182" s="4301"/>
      <c r="U182" s="4301"/>
      <c r="V182" s="4301"/>
      <c r="W182" s="1250"/>
      <c r="X182" s="3667"/>
      <c r="Y182" s="3668"/>
      <c r="Z182" s="1250"/>
      <c r="AA182" s="1250"/>
      <c r="AB182" s="1250"/>
      <c r="AC182" s="1250"/>
      <c r="AD182" s="3669"/>
    </row>
    <row r="183" spans="1:30">
      <c r="A183" s="2390"/>
      <c r="B183" s="1246"/>
      <c r="C183" s="1246"/>
      <c r="D183" s="1246"/>
      <c r="E183" s="1247"/>
      <c r="F183" s="1248"/>
      <c r="G183" s="1248"/>
      <c r="H183" s="926"/>
      <c r="I183" s="3670">
        <v>66</v>
      </c>
      <c r="J183" s="3670"/>
      <c r="K183" s="3670">
        <v>132</v>
      </c>
      <c r="L183" s="3671"/>
      <c r="M183" s="3671"/>
      <c r="N183" s="3671"/>
      <c r="O183" s="3671"/>
      <c r="P183" s="3671"/>
      <c r="Q183" s="4301"/>
      <c r="R183" s="4301"/>
      <c r="S183" s="4301"/>
      <c r="T183" s="4301"/>
      <c r="U183" s="4301"/>
      <c r="V183" s="4301"/>
      <c r="W183" s="1250"/>
      <c r="X183" s="3667"/>
      <c r="Y183" s="3668"/>
      <c r="Z183" s="1250"/>
      <c r="AA183" s="1250"/>
      <c r="AB183" s="1250"/>
      <c r="AC183" s="1250"/>
      <c r="AD183" s="3672"/>
    </row>
    <row r="184" spans="1:30" s="565" customFormat="1" ht="13.2">
      <c r="A184" s="3640"/>
      <c r="B184" s="3641"/>
      <c r="C184" s="3641"/>
      <c r="D184" s="3641"/>
      <c r="E184" s="3663"/>
      <c r="F184" s="3664"/>
      <c r="G184" s="3664"/>
      <c r="H184" s="3673"/>
      <c r="I184" s="771" t="s">
        <v>346</v>
      </c>
      <c r="J184" s="771"/>
      <c r="K184" s="771" t="s">
        <v>192</v>
      </c>
      <c r="L184" s="3674"/>
      <c r="M184" s="2456"/>
      <c r="N184" s="3675"/>
      <c r="O184" s="3675"/>
      <c r="P184" s="3676"/>
      <c r="Q184" s="4301"/>
      <c r="R184" s="4301"/>
      <c r="S184" s="4301"/>
      <c r="T184" s="4301"/>
      <c r="U184" s="4301"/>
      <c r="V184" s="4301"/>
      <c r="W184" s="1250"/>
      <c r="X184" s="3667"/>
      <c r="Y184" s="3668"/>
      <c r="Z184" s="1250"/>
      <c r="AA184" s="1250"/>
      <c r="AB184" s="1250"/>
      <c r="AC184" s="1250"/>
      <c r="AD184" s="3669"/>
    </row>
    <row r="185" spans="1:30">
      <c r="A185" s="4666" t="s">
        <v>421</v>
      </c>
      <c r="B185" s="1212"/>
      <c r="C185" s="1212"/>
      <c r="D185" s="1212"/>
      <c r="E185" s="1260"/>
      <c r="F185" s="1261"/>
      <c r="G185" s="1261"/>
      <c r="H185" s="2458"/>
      <c r="I185" s="3677">
        <v>0.15</v>
      </c>
      <c r="J185" s="2460">
        <v>0.2</v>
      </c>
      <c r="K185" s="2460">
        <v>0.25</v>
      </c>
      <c r="L185" s="2461">
        <v>0.25</v>
      </c>
      <c r="M185" s="2461">
        <v>0.25</v>
      </c>
      <c r="N185" s="2461">
        <v>0.25</v>
      </c>
      <c r="O185" s="2461">
        <v>0.25</v>
      </c>
      <c r="P185" s="2461">
        <v>0.25</v>
      </c>
      <c r="Q185" s="2461">
        <v>0.25</v>
      </c>
      <c r="R185" s="2461">
        <v>0.25</v>
      </c>
      <c r="S185" s="2461">
        <v>0.25</v>
      </c>
      <c r="T185" s="2461">
        <v>0.25</v>
      </c>
      <c r="U185" s="2461">
        <v>0.25</v>
      </c>
      <c r="V185" s="2461">
        <v>0.25</v>
      </c>
      <c r="W185" s="2461">
        <v>0.25</v>
      </c>
      <c r="X185" s="3678">
        <v>0.25</v>
      </c>
      <c r="Y185" s="3679">
        <v>0.25</v>
      </c>
      <c r="Z185" s="2461">
        <v>0.25</v>
      </c>
      <c r="AA185" s="2461"/>
      <c r="AB185" s="2461"/>
      <c r="AC185" s="2461"/>
      <c r="AD185" s="4740" t="s">
        <v>422</v>
      </c>
    </row>
    <row r="186" spans="1:30">
      <c r="A186" s="4667"/>
      <c r="B186" s="1223"/>
      <c r="C186" s="1223"/>
      <c r="D186" s="1223"/>
      <c r="E186" s="1269"/>
      <c r="F186" s="1270"/>
      <c r="G186" s="1270"/>
      <c r="H186" s="1270"/>
      <c r="I186" s="771"/>
      <c r="J186" s="2386" t="s">
        <v>346</v>
      </c>
      <c r="K186" s="2386" t="s">
        <v>346</v>
      </c>
      <c r="L186" s="1272"/>
      <c r="M186" s="1226"/>
      <c r="N186" s="1272"/>
      <c r="O186" s="1272"/>
      <c r="P186" s="1226"/>
      <c r="Q186" s="1272"/>
      <c r="R186" s="1272"/>
      <c r="S186" s="1226"/>
      <c r="T186" s="1273"/>
      <c r="U186" s="1273"/>
      <c r="V186" s="1274"/>
      <c r="W186" s="1274"/>
      <c r="X186" s="3680"/>
      <c r="Y186" s="3681"/>
      <c r="Z186" s="1274"/>
      <c r="AA186" s="1274"/>
      <c r="AB186" s="1274"/>
      <c r="AC186" s="1274"/>
      <c r="AD186" s="4741"/>
    </row>
    <row r="187" spans="1:30">
      <c r="A187" s="2448" t="s">
        <v>423</v>
      </c>
      <c r="B187" s="4321" t="s">
        <v>18</v>
      </c>
      <c r="C187" s="4321" t="s">
        <v>18</v>
      </c>
      <c r="D187" s="4321" t="s">
        <v>18</v>
      </c>
      <c r="E187" s="4321" t="s">
        <v>18</v>
      </c>
      <c r="F187" s="4321" t="s">
        <v>18</v>
      </c>
      <c r="G187" s="4321" t="s">
        <v>18</v>
      </c>
      <c r="H187" s="4321" t="s">
        <v>18</v>
      </c>
      <c r="I187" s="4321" t="s">
        <v>18</v>
      </c>
      <c r="J187" s="4321" t="s">
        <v>18</v>
      </c>
      <c r="K187" s="4321" t="s">
        <v>18</v>
      </c>
      <c r="L187" s="4321" t="s">
        <v>18</v>
      </c>
      <c r="M187" s="1213">
        <f>221/$P$1</f>
        <v>64.006024096385545</v>
      </c>
      <c r="N187" s="1213">
        <f>232/$P$1</f>
        <v>67.191844300278035</v>
      </c>
      <c r="O187" s="1213">
        <f>244/$P$1</f>
        <v>70.667284522706211</v>
      </c>
      <c r="P187" s="1213">
        <f>256/$P$1</f>
        <v>74.142724745134387</v>
      </c>
      <c r="Q187" s="1213">
        <v>77.91</v>
      </c>
      <c r="R187" s="1213">
        <v>85</v>
      </c>
      <c r="S187" s="1218">
        <v>90</v>
      </c>
      <c r="T187" s="1218">
        <v>96</v>
      </c>
      <c r="U187" s="1218">
        <v>102</v>
      </c>
      <c r="V187" s="1219">
        <v>108.5</v>
      </c>
      <c r="W187" s="1213">
        <v>115.5</v>
      </c>
      <c r="X187" s="3637">
        <v>122.5</v>
      </c>
      <c r="Y187" s="3638">
        <v>130</v>
      </c>
      <c r="Z187" s="1213">
        <v>138</v>
      </c>
      <c r="AA187" s="1213"/>
      <c r="AB187" s="1213"/>
      <c r="AC187" s="1213"/>
      <c r="AD187" s="3682" t="s">
        <v>430</v>
      </c>
    </row>
    <row r="188" spans="1:30">
      <c r="A188" s="2451"/>
      <c r="B188" s="4735"/>
      <c r="C188" s="4735"/>
      <c r="D188" s="4735"/>
      <c r="E188" s="4735"/>
      <c r="F188" s="4735"/>
      <c r="G188" s="4735"/>
      <c r="H188" s="4735"/>
      <c r="I188" s="4735"/>
      <c r="J188" s="4735"/>
      <c r="K188" s="4735"/>
      <c r="L188" s="4735"/>
      <c r="M188" s="1355"/>
      <c r="N188" s="907" t="s">
        <v>346</v>
      </c>
      <c r="O188" s="907" t="s">
        <v>346</v>
      </c>
      <c r="P188" s="1355"/>
      <c r="Q188" s="907" t="s">
        <v>346</v>
      </c>
      <c r="R188" s="907"/>
      <c r="S188" s="907" t="s">
        <v>346</v>
      </c>
      <c r="T188" s="907" t="s">
        <v>346</v>
      </c>
      <c r="U188" s="907" t="s">
        <v>346</v>
      </c>
      <c r="V188" s="907" t="s">
        <v>346</v>
      </c>
      <c r="W188" s="907" t="s">
        <v>346</v>
      </c>
      <c r="X188" s="2328"/>
      <c r="Y188" s="2613"/>
      <c r="Z188" s="907"/>
      <c r="AA188" s="907"/>
      <c r="AB188" s="907"/>
      <c r="AC188" s="907"/>
      <c r="AD188" s="3683"/>
    </row>
    <row r="189" spans="1:30">
      <c r="A189" s="3684" t="s">
        <v>1102</v>
      </c>
      <c r="B189" s="1343"/>
      <c r="C189" s="796"/>
      <c r="D189" s="796"/>
      <c r="E189" s="796"/>
      <c r="F189" s="796"/>
      <c r="G189" s="796"/>
      <c r="H189" s="796"/>
      <c r="I189" s="796">
        <f t="shared" ref="I189:O189" si="29">I191/$P$1</f>
        <v>11.005560704355885</v>
      </c>
      <c r="J189" s="796">
        <f t="shared" si="29"/>
        <v>11.005560704355885</v>
      </c>
      <c r="K189" s="796">
        <f t="shared" si="29"/>
        <v>11.005560704355885</v>
      </c>
      <c r="L189" s="796">
        <f t="shared" si="29"/>
        <v>11.005560704355885</v>
      </c>
      <c r="M189" s="795">
        <f t="shared" si="29"/>
        <v>23.169601482854496</v>
      </c>
      <c r="N189" s="795">
        <f t="shared" si="29"/>
        <v>24.328081556997219</v>
      </c>
      <c r="O189" s="795">
        <f t="shared" si="29"/>
        <v>25.486561631139946</v>
      </c>
      <c r="P189" s="795">
        <v>26.93</v>
      </c>
      <c r="Q189" s="795">
        <v>28.09</v>
      </c>
      <c r="R189" s="795">
        <v>29.54</v>
      </c>
      <c r="S189" s="2212">
        <v>33</v>
      </c>
      <c r="T189" s="2212">
        <v>37</v>
      </c>
      <c r="U189" s="2212">
        <v>42</v>
      </c>
      <c r="V189" s="2212">
        <v>48</v>
      </c>
      <c r="W189" s="2212">
        <v>55</v>
      </c>
      <c r="X189" s="3685">
        <v>66</v>
      </c>
      <c r="Y189" s="3686">
        <v>79</v>
      </c>
      <c r="Z189" s="2212">
        <v>95</v>
      </c>
      <c r="AA189" s="2212"/>
      <c r="AB189" s="2212"/>
      <c r="AC189" s="2212"/>
      <c r="AD189" s="3687" t="s">
        <v>1103</v>
      </c>
    </row>
    <row r="190" spans="1:30" s="565" customFormat="1" ht="10.199999999999999">
      <c r="A190" s="3688"/>
      <c r="B190" s="3689"/>
      <c r="C190" s="2284"/>
      <c r="D190" s="2284"/>
      <c r="E190" s="2284"/>
      <c r="F190" s="2284"/>
      <c r="G190" s="2284"/>
      <c r="H190" s="2284"/>
      <c r="I190" s="2284"/>
      <c r="J190" s="2284"/>
      <c r="K190" s="2284"/>
      <c r="L190" s="2284"/>
      <c r="M190" s="2283"/>
      <c r="N190" s="2283"/>
      <c r="O190" s="878" t="s">
        <v>346</v>
      </c>
      <c r="P190" s="2284"/>
      <c r="Q190" s="3690"/>
      <c r="R190" s="3690"/>
      <c r="S190" s="878" t="s">
        <v>346</v>
      </c>
      <c r="T190" s="878" t="s">
        <v>346</v>
      </c>
      <c r="U190" s="878" t="s">
        <v>346</v>
      </c>
      <c r="V190" s="878" t="s">
        <v>346</v>
      </c>
      <c r="W190" s="878" t="s">
        <v>346</v>
      </c>
      <c r="X190" s="2255"/>
      <c r="Y190" s="3691"/>
      <c r="Z190" s="878"/>
      <c r="AA190" s="878"/>
      <c r="AB190" s="878"/>
      <c r="AC190" s="878"/>
      <c r="AD190" s="3692"/>
    </row>
    <row r="191" spans="1:30">
      <c r="A191" s="3693" t="s">
        <v>1104</v>
      </c>
      <c r="B191" s="2257"/>
      <c r="C191" s="1304"/>
      <c r="D191" s="1304"/>
      <c r="E191" s="1304"/>
      <c r="F191" s="1304"/>
      <c r="G191" s="1304"/>
      <c r="H191" s="3694"/>
      <c r="I191" s="3620">
        <f>38</f>
        <v>38</v>
      </c>
      <c r="J191" s="3620">
        <f>I191</f>
        <v>38</v>
      </c>
      <c r="K191" s="3620">
        <f>J191</f>
        <v>38</v>
      </c>
      <c r="L191" s="3620">
        <f>38</f>
        <v>38</v>
      </c>
      <c r="M191" s="3695">
        <f>80</f>
        <v>80</v>
      </c>
      <c r="N191" s="3695">
        <v>84</v>
      </c>
      <c r="O191" s="3695">
        <v>88</v>
      </c>
      <c r="P191" s="3620"/>
      <c r="Q191" s="1306"/>
      <c r="R191" s="1306"/>
      <c r="S191" s="1306"/>
      <c r="T191" s="3696"/>
      <c r="U191" s="3697"/>
      <c r="V191" s="3697"/>
      <c r="W191" s="3697"/>
      <c r="X191" s="3698"/>
      <c r="Y191" s="3699"/>
      <c r="Z191" s="3697"/>
      <c r="AA191" s="3697"/>
      <c r="AB191" s="3697"/>
      <c r="AC191" s="3697"/>
      <c r="AD191" s="3700" t="s">
        <v>1105</v>
      </c>
    </row>
    <row r="192" spans="1:30" s="565" customFormat="1" ht="10.199999999999999">
      <c r="A192" s="2224"/>
      <c r="B192" s="2576"/>
      <c r="C192" s="3701"/>
      <c r="D192" s="3701"/>
      <c r="E192" s="3701"/>
      <c r="F192" s="3701"/>
      <c r="G192" s="3701"/>
      <c r="H192" s="3702"/>
      <c r="I192" s="3703"/>
      <c r="J192" s="3703"/>
      <c r="K192" s="3703"/>
      <c r="L192" s="3703"/>
      <c r="M192" s="3704"/>
      <c r="N192" s="3704"/>
      <c r="O192" s="878" t="s">
        <v>346</v>
      </c>
      <c r="P192" s="3703"/>
      <c r="Q192" s="3705"/>
      <c r="R192" s="3705"/>
      <c r="S192" s="3705"/>
      <c r="T192" s="3706"/>
      <c r="U192" s="3707"/>
      <c r="V192" s="3707"/>
      <c r="W192" s="3707"/>
      <c r="X192" s="3708"/>
      <c r="Y192" s="3709"/>
      <c r="Z192" s="3707"/>
      <c r="AA192" s="3707"/>
      <c r="AB192" s="3707"/>
      <c r="AC192" s="3707"/>
      <c r="AD192" s="3710"/>
    </row>
    <row r="193" spans="1:30">
      <c r="A193" s="4736" t="s">
        <v>774</v>
      </c>
      <c r="B193" s="1369"/>
      <c r="C193" s="997"/>
      <c r="D193" s="1317"/>
      <c r="E193" s="1055"/>
      <c r="F193" s="1055"/>
      <c r="G193" s="164"/>
      <c r="H193" s="164"/>
      <c r="I193" s="164">
        <f t="shared" ref="I193:P193" si="30">I195/$P$1</f>
        <v>32.147822057460615</v>
      </c>
      <c r="J193" s="164">
        <f t="shared" si="30"/>
        <v>32.147822057460615</v>
      </c>
      <c r="K193" s="164">
        <f t="shared" si="30"/>
        <v>32.147822057460615</v>
      </c>
      <c r="L193" s="164">
        <f t="shared" si="30"/>
        <v>32.147822057460615</v>
      </c>
      <c r="M193" s="163">
        <f t="shared" si="30"/>
        <v>40.257182576459684</v>
      </c>
      <c r="N193" s="164">
        <f t="shared" si="30"/>
        <v>40.257182576459684</v>
      </c>
      <c r="O193" s="163">
        <f t="shared" si="30"/>
        <v>47.208063021316036</v>
      </c>
      <c r="P193" s="164">
        <f t="shared" si="30"/>
        <v>47.208063021316036</v>
      </c>
      <c r="Q193" s="163">
        <v>54.16</v>
      </c>
      <c r="R193" s="164">
        <v>54.16</v>
      </c>
      <c r="S193" s="164">
        <v>54.16</v>
      </c>
      <c r="T193" s="163">
        <v>60.24</v>
      </c>
      <c r="U193" s="1054">
        <v>68.599999999999994</v>
      </c>
      <c r="V193" s="1054">
        <v>78.5</v>
      </c>
      <c r="W193" s="1054">
        <v>90</v>
      </c>
      <c r="X193" s="3711">
        <v>97</v>
      </c>
      <c r="Y193" s="3712">
        <v>104.6</v>
      </c>
      <c r="Z193" s="1054">
        <v>112.8</v>
      </c>
      <c r="AA193" s="1054"/>
      <c r="AB193" s="1054"/>
      <c r="AC193" s="1054"/>
      <c r="AD193" s="3713" t="s">
        <v>1106</v>
      </c>
    </row>
    <row r="194" spans="1:30" ht="15" customHeight="1">
      <c r="A194" s="4737"/>
      <c r="B194" s="1223"/>
      <c r="C194" s="1060"/>
      <c r="D194" s="1227"/>
      <c r="E194" s="1063"/>
      <c r="F194" s="1063"/>
      <c r="G194" s="909"/>
      <c r="H194" s="909"/>
      <c r="I194" s="909"/>
      <c r="J194" s="909"/>
      <c r="K194" s="909"/>
      <c r="L194" s="909"/>
      <c r="M194" s="908"/>
      <c r="N194" s="909"/>
      <c r="O194" s="908"/>
      <c r="P194" s="909"/>
      <c r="Q194" s="908"/>
      <c r="R194" s="909"/>
      <c r="S194" s="909"/>
      <c r="T194" s="908"/>
      <c r="U194" s="907" t="s">
        <v>346</v>
      </c>
      <c r="V194" s="907" t="s">
        <v>346</v>
      </c>
      <c r="W194" s="907" t="s">
        <v>346</v>
      </c>
      <c r="X194" s="2328"/>
      <c r="Y194" s="2613"/>
      <c r="Z194" s="907"/>
      <c r="AA194" s="907"/>
      <c r="AB194" s="907"/>
      <c r="AC194" s="907"/>
      <c r="AD194" s="3714"/>
    </row>
    <row r="195" spans="1:30">
      <c r="A195" s="2198" t="s">
        <v>1107</v>
      </c>
      <c r="B195" s="778"/>
      <c r="C195" s="1320"/>
      <c r="D195" s="1243"/>
      <c r="E195" s="1321"/>
      <c r="F195" s="1321"/>
      <c r="G195" s="3715"/>
      <c r="H195" s="235"/>
      <c r="I195" s="3566">
        <f>111</f>
        <v>111</v>
      </c>
      <c r="J195" s="3566">
        <f>I195</f>
        <v>111</v>
      </c>
      <c r="K195" s="3566">
        <f>J195</f>
        <v>111</v>
      </c>
      <c r="L195" s="3566">
        <f>111</f>
        <v>111</v>
      </c>
      <c r="M195" s="3567">
        <f>139</f>
        <v>139</v>
      </c>
      <c r="N195" s="3566">
        <f>139</f>
        <v>139</v>
      </c>
      <c r="O195" s="3567">
        <f>163</f>
        <v>163</v>
      </c>
      <c r="P195" s="3566">
        <f>163</f>
        <v>163</v>
      </c>
      <c r="Q195" s="1287"/>
      <c r="R195" s="1287"/>
      <c r="S195" s="1287"/>
      <c r="T195" s="1287"/>
      <c r="U195" s="1287"/>
      <c r="V195" s="1287"/>
      <c r="W195" s="1287"/>
      <c r="X195" s="3716"/>
      <c r="Y195" s="3717"/>
      <c r="Z195" s="1287"/>
      <c r="AA195" s="1287"/>
      <c r="AB195" s="1287"/>
      <c r="AC195" s="1287"/>
      <c r="AD195" s="3718" t="s">
        <v>1108</v>
      </c>
    </row>
    <row r="196" spans="1:30" ht="30" customHeight="1">
      <c r="A196" s="4738" t="s">
        <v>1109</v>
      </c>
      <c r="B196" s="1343" t="s">
        <v>18</v>
      </c>
      <c r="C196" s="1343" t="s">
        <v>18</v>
      </c>
      <c r="D196" s="1343" t="s">
        <v>18</v>
      </c>
      <c r="E196" s="1343" t="s">
        <v>18</v>
      </c>
      <c r="F196" s="1343" t="s">
        <v>18</v>
      </c>
      <c r="G196" s="1343" t="s">
        <v>18</v>
      </c>
      <c r="H196" s="1343" t="s">
        <v>18</v>
      </c>
      <c r="I196" s="1343" t="s">
        <v>18</v>
      </c>
      <c r="J196" s="1343" t="s">
        <v>18</v>
      </c>
      <c r="K196" s="1343" t="s">
        <v>18</v>
      </c>
      <c r="L196" s="1343" t="s">
        <v>18</v>
      </c>
      <c r="M196" s="1343" t="s">
        <v>18</v>
      </c>
      <c r="N196" s="1343" t="s">
        <v>18</v>
      </c>
      <c r="O196" s="1343" t="s">
        <v>18</v>
      </c>
      <c r="P196" s="1343" t="s">
        <v>18</v>
      </c>
      <c r="Q196" s="1343" t="s">
        <v>18</v>
      </c>
      <c r="R196" s="1343" t="s">
        <v>18</v>
      </c>
      <c r="S196" s="1343" t="s">
        <v>18</v>
      </c>
      <c r="T196" s="1343" t="s">
        <v>18</v>
      </c>
      <c r="U196" s="1103">
        <v>0.12</v>
      </c>
      <c r="V196" s="796">
        <v>0.12</v>
      </c>
      <c r="W196" s="796">
        <v>0.12</v>
      </c>
      <c r="X196" s="3573">
        <v>0.15</v>
      </c>
      <c r="Y196" s="3574">
        <v>0.19</v>
      </c>
      <c r="Z196" s="3575">
        <v>0.25</v>
      </c>
      <c r="AA196" s="3575"/>
      <c r="AB196" s="3575"/>
      <c r="AC196" s="3575"/>
      <c r="AD196" s="4731" t="s">
        <v>1110</v>
      </c>
    </row>
    <row r="197" spans="1:30">
      <c r="A197" s="4739"/>
      <c r="B197" s="1349"/>
      <c r="C197" s="1349"/>
      <c r="D197" s="1349"/>
      <c r="E197" s="1349"/>
      <c r="F197" s="1349"/>
      <c r="G197" s="1349"/>
      <c r="H197" s="1349"/>
      <c r="I197" s="1349"/>
      <c r="J197" s="1349"/>
      <c r="K197" s="1349"/>
      <c r="L197" s="1349"/>
      <c r="M197" s="1349"/>
      <c r="N197" s="1349"/>
      <c r="O197" s="1349"/>
      <c r="P197" s="1349"/>
      <c r="Q197" s="1349"/>
      <c r="R197" s="1349"/>
      <c r="S197" s="1349"/>
      <c r="T197" s="1349"/>
      <c r="U197" s="825" t="s">
        <v>346</v>
      </c>
      <c r="V197" s="3719"/>
      <c r="W197" s="3719"/>
      <c r="X197" s="3720"/>
      <c r="Y197" s="3721"/>
      <c r="Z197" s="3719"/>
      <c r="AA197" s="3719"/>
      <c r="AB197" s="3719"/>
      <c r="AC197" s="3719"/>
      <c r="AD197" s="4732"/>
    </row>
    <row r="198" spans="1:30" ht="27.6">
      <c r="A198" s="2451" t="s">
        <v>1111</v>
      </c>
      <c r="B198" s="1369"/>
      <c r="C198" s="1369"/>
      <c r="D198" s="1369" t="s">
        <v>18</v>
      </c>
      <c r="E198" s="1369" t="s">
        <v>18</v>
      </c>
      <c r="F198" s="1369" t="s">
        <v>18</v>
      </c>
      <c r="G198" s="1369" t="s">
        <v>18</v>
      </c>
      <c r="H198" s="1369" t="s">
        <v>18</v>
      </c>
      <c r="I198" s="1369" t="s">
        <v>18</v>
      </c>
      <c r="J198" s="1369" t="s">
        <v>18</v>
      </c>
      <c r="K198" s="1369" t="s">
        <v>18</v>
      </c>
      <c r="L198" s="1369" t="s">
        <v>18</v>
      </c>
      <c r="M198" s="1369" t="s">
        <v>18</v>
      </c>
      <c r="N198" s="1369" t="s">
        <v>18</v>
      </c>
      <c r="O198" s="1369" t="s">
        <v>18</v>
      </c>
      <c r="P198" s="1369" t="s">
        <v>18</v>
      </c>
      <c r="Q198" s="1369" t="s">
        <v>18</v>
      </c>
      <c r="R198" s="1369" t="s">
        <v>18</v>
      </c>
      <c r="S198" s="1369" t="s">
        <v>18</v>
      </c>
      <c r="T198" s="1369" t="s">
        <v>18</v>
      </c>
      <c r="U198" s="1232">
        <v>68.599999999999994</v>
      </c>
      <c r="V198" s="1232">
        <v>113.2</v>
      </c>
      <c r="W198" s="3722">
        <v>113.2</v>
      </c>
      <c r="X198" s="3723">
        <v>45.6</v>
      </c>
      <c r="Y198" s="3724">
        <v>60.2</v>
      </c>
      <c r="Z198" s="3725">
        <v>79.5</v>
      </c>
      <c r="AA198" s="3725"/>
      <c r="AB198" s="3725"/>
      <c r="AC198" s="3725"/>
      <c r="AD198" s="3726" t="s">
        <v>1112</v>
      </c>
    </row>
    <row r="199" spans="1:30">
      <c r="A199" s="2451"/>
      <c r="B199" s="1223"/>
      <c r="C199" s="1223"/>
      <c r="D199" s="1223"/>
      <c r="E199" s="1223"/>
      <c r="F199" s="1223"/>
      <c r="G199" s="1223"/>
      <c r="H199" s="1223"/>
      <c r="I199" s="1223"/>
      <c r="J199" s="1223"/>
      <c r="K199" s="1223"/>
      <c r="L199" s="1223"/>
      <c r="M199" s="1223"/>
      <c r="N199" s="1223"/>
      <c r="O199" s="1223"/>
      <c r="P199" s="1223"/>
      <c r="Q199" s="1223"/>
      <c r="R199" s="1223"/>
      <c r="S199" s="1223"/>
      <c r="T199" s="1223"/>
      <c r="U199" s="907" t="s">
        <v>346</v>
      </c>
      <c r="V199" s="907" t="s">
        <v>346</v>
      </c>
      <c r="W199" s="907"/>
      <c r="X199" s="2328"/>
      <c r="Y199" s="2613"/>
      <c r="Z199" s="907"/>
      <c r="AA199" s="907"/>
      <c r="AB199" s="907"/>
      <c r="AC199" s="907"/>
      <c r="AD199" s="3727"/>
    </row>
    <row r="200" spans="1:30" s="31" customFormat="1" ht="32.25" customHeight="1" thickBot="1">
      <c r="A200" s="3728" t="s">
        <v>1113</v>
      </c>
      <c r="B200" s="3729"/>
      <c r="C200" s="3729"/>
      <c r="D200" s="3729"/>
      <c r="E200" s="3729"/>
      <c r="F200" s="3729"/>
      <c r="G200" s="3729"/>
      <c r="H200" s="3729"/>
      <c r="I200" s="3729"/>
      <c r="J200" s="3729"/>
      <c r="K200" s="3729"/>
      <c r="L200" s="3730"/>
      <c r="M200" s="3731"/>
      <c r="N200" s="3731"/>
      <c r="O200" s="3731"/>
      <c r="P200" s="3731"/>
      <c r="Q200" s="3732"/>
      <c r="R200" s="3733"/>
      <c r="S200" s="3733"/>
      <c r="T200" s="3733"/>
      <c r="U200" s="3734" t="s">
        <v>1114</v>
      </c>
      <c r="V200" s="3735" t="s">
        <v>1115</v>
      </c>
      <c r="W200" s="3736" t="s">
        <v>1116</v>
      </c>
      <c r="X200" s="3737">
        <v>97</v>
      </c>
      <c r="Y200" s="3738">
        <v>104.6</v>
      </c>
      <c r="Z200" s="3737">
        <v>112.8</v>
      </c>
      <c r="AA200" s="3737"/>
      <c r="AB200" s="3737"/>
      <c r="AC200" s="3737"/>
      <c r="AD200" s="3739" t="s">
        <v>1117</v>
      </c>
    </row>
    <row r="201" spans="1:30" ht="15.6">
      <c r="A201" s="2183" t="s">
        <v>460</v>
      </c>
      <c r="B201" s="2184"/>
      <c r="C201" s="1174"/>
      <c r="D201" s="1174"/>
      <c r="E201" s="1174"/>
      <c r="F201" s="1174"/>
      <c r="G201" s="1174"/>
      <c r="H201" s="1174"/>
      <c r="I201" s="1174"/>
      <c r="J201" s="1174"/>
      <c r="K201" s="1174"/>
      <c r="L201" s="1175"/>
      <c r="M201" s="1175"/>
      <c r="N201" s="1175"/>
      <c r="O201" s="1175"/>
      <c r="P201" s="1175"/>
      <c r="Q201" s="1175"/>
      <c r="R201" s="1175"/>
      <c r="S201" s="1175"/>
      <c r="T201" s="1175"/>
      <c r="U201" s="1176"/>
      <c r="V201" s="1176"/>
      <c r="W201" s="1176"/>
      <c r="X201" s="2185"/>
      <c r="Y201" s="3461"/>
      <c r="Z201" s="1176"/>
      <c r="AA201" s="1176"/>
      <c r="AB201" s="1176"/>
      <c r="AC201" s="1176"/>
      <c r="AD201" s="3462" t="s">
        <v>461</v>
      </c>
    </row>
    <row r="202" spans="1:30" ht="14.4">
      <c r="A202" s="2490" t="s">
        <v>1118</v>
      </c>
      <c r="B202" s="2491"/>
      <c r="C202" s="2542"/>
      <c r="D202" s="2542"/>
      <c r="E202" s="2542"/>
      <c r="F202" s="2543"/>
      <c r="G202" s="2544"/>
      <c r="H202" s="2545"/>
      <c r="I202" s="2544"/>
      <c r="J202" s="2544"/>
      <c r="K202" s="2544"/>
      <c r="L202" s="2545"/>
      <c r="M202" s="2545"/>
      <c r="N202" s="2545"/>
      <c r="O202" s="2545"/>
      <c r="P202" s="2546"/>
      <c r="Q202" s="2546"/>
      <c r="R202" s="3740"/>
      <c r="S202" s="3740"/>
      <c r="T202" s="3740"/>
      <c r="U202" s="2547"/>
      <c r="V202" s="2547"/>
      <c r="W202" s="2547"/>
      <c r="X202" s="3741"/>
      <c r="Y202" s="3742"/>
      <c r="Z202" s="2547"/>
      <c r="AA202" s="2547"/>
      <c r="AB202" s="2547"/>
      <c r="AC202" s="2547"/>
      <c r="AD202" s="3636" t="s">
        <v>463</v>
      </c>
    </row>
    <row r="203" spans="1:30">
      <c r="A203" s="3743" t="s">
        <v>1119</v>
      </c>
      <c r="B203" s="1223" t="s">
        <v>18</v>
      </c>
      <c r="C203" s="1223" t="s">
        <v>18</v>
      </c>
      <c r="D203" s="1223" t="s">
        <v>18</v>
      </c>
      <c r="E203" s="1223" t="s">
        <v>18</v>
      </c>
      <c r="F203" s="1223" t="s">
        <v>18</v>
      </c>
      <c r="G203" s="1223" t="s">
        <v>18</v>
      </c>
      <c r="H203" s="1223" t="s">
        <v>18</v>
      </c>
      <c r="I203" s="1223" t="s">
        <v>18</v>
      </c>
      <c r="J203" s="1223" t="s">
        <v>18</v>
      </c>
      <c r="K203" s="1223" t="s">
        <v>18</v>
      </c>
      <c r="L203" s="1223" t="s">
        <v>18</v>
      </c>
      <c r="M203" s="1223" t="s">
        <v>18</v>
      </c>
      <c r="N203" s="1223" t="s">
        <v>18</v>
      </c>
      <c r="O203" s="1223" t="s">
        <v>18</v>
      </c>
      <c r="P203" s="1223" t="s">
        <v>18</v>
      </c>
      <c r="Q203" s="1223" t="s">
        <v>18</v>
      </c>
      <c r="R203" s="3490">
        <v>1.08</v>
      </c>
      <c r="S203" s="3744">
        <v>1.08</v>
      </c>
      <c r="T203" s="3744">
        <v>1.08</v>
      </c>
      <c r="U203" s="3744">
        <v>1.08</v>
      </c>
      <c r="V203" s="3744">
        <v>1.08</v>
      </c>
      <c r="W203" s="3744">
        <v>1.08</v>
      </c>
      <c r="X203" s="3745">
        <v>1.08</v>
      </c>
      <c r="Y203" s="3746">
        <v>1.08</v>
      </c>
      <c r="Z203" s="3491">
        <v>1.08</v>
      </c>
      <c r="AA203" s="3491"/>
      <c r="AB203" s="3491"/>
      <c r="AC203" s="3491"/>
      <c r="AD203" s="3497" t="s">
        <v>1120</v>
      </c>
    </row>
    <row r="204" spans="1:30">
      <c r="A204" s="3747" t="s">
        <v>1121</v>
      </c>
      <c r="B204" s="3748" t="s">
        <v>18</v>
      </c>
      <c r="C204" s="3748" t="s">
        <v>18</v>
      </c>
      <c r="D204" s="3748" t="s">
        <v>18</v>
      </c>
      <c r="E204" s="3748" t="s">
        <v>18</v>
      </c>
      <c r="F204" s="3748" t="s">
        <v>18</v>
      </c>
      <c r="G204" s="3748" t="s">
        <v>18</v>
      </c>
      <c r="H204" s="3748" t="s">
        <v>18</v>
      </c>
      <c r="I204" s="3748" t="s">
        <v>18</v>
      </c>
      <c r="J204" s="3748" t="s">
        <v>18</v>
      </c>
      <c r="K204" s="3748" t="s">
        <v>18</v>
      </c>
      <c r="L204" s="3748" t="s">
        <v>18</v>
      </c>
      <c r="M204" s="3748" t="s">
        <v>18</v>
      </c>
      <c r="N204" s="3748" t="s">
        <v>18</v>
      </c>
      <c r="O204" s="3748" t="s">
        <v>18</v>
      </c>
      <c r="P204" s="3748" t="s">
        <v>18</v>
      </c>
      <c r="Q204" s="3748" t="s">
        <v>18</v>
      </c>
      <c r="R204" s="3490">
        <v>0.54</v>
      </c>
      <c r="S204" s="3744">
        <v>0.54</v>
      </c>
      <c r="T204" s="3744">
        <v>0.54</v>
      </c>
      <c r="U204" s="3744">
        <v>0.54</v>
      </c>
      <c r="V204" s="3744">
        <v>0.54</v>
      </c>
      <c r="W204" s="3744">
        <v>0.54</v>
      </c>
      <c r="X204" s="3745">
        <v>0.54</v>
      </c>
      <c r="Y204" s="3746">
        <v>0.54</v>
      </c>
      <c r="Z204" s="3491">
        <v>0.54</v>
      </c>
      <c r="AA204" s="3491"/>
      <c r="AB204" s="3491"/>
      <c r="AC204" s="3491"/>
      <c r="AD204" s="3497" t="s">
        <v>1122</v>
      </c>
    </row>
    <row r="205" spans="1:30">
      <c r="A205" s="2130" t="s">
        <v>1123</v>
      </c>
      <c r="B205" s="3748" t="s">
        <v>18</v>
      </c>
      <c r="C205" s="3748" t="s">
        <v>18</v>
      </c>
      <c r="D205" s="3748" t="s">
        <v>18</v>
      </c>
      <c r="E205" s="3748" t="s">
        <v>18</v>
      </c>
      <c r="F205" s="3748" t="s">
        <v>18</v>
      </c>
      <c r="G205" s="3748" t="s">
        <v>18</v>
      </c>
      <c r="H205" s="3748" t="s">
        <v>18</v>
      </c>
      <c r="I205" s="3748" t="s">
        <v>18</v>
      </c>
      <c r="J205" s="3748" t="s">
        <v>18</v>
      </c>
      <c r="K205" s="3748" t="s">
        <v>18</v>
      </c>
      <c r="L205" s="3748" t="s">
        <v>18</v>
      </c>
      <c r="M205" s="3748" t="s">
        <v>18</v>
      </c>
      <c r="N205" s="3749">
        <f>N206/$P$1</f>
        <v>23.604031510658018</v>
      </c>
      <c r="O205" s="3750">
        <f>O206/$P$1</f>
        <v>23.604031510658018</v>
      </c>
      <c r="P205" s="3750">
        <f>P206/$P$1</f>
        <v>23.604031510658018</v>
      </c>
      <c r="Q205" s="3750">
        <v>23.6</v>
      </c>
      <c r="R205" s="3750">
        <v>23.6</v>
      </c>
      <c r="S205" s="3750">
        <v>23.6</v>
      </c>
      <c r="T205" s="3751">
        <v>0</v>
      </c>
      <c r="U205" s="3750">
        <v>0</v>
      </c>
      <c r="V205" s="3750">
        <v>0</v>
      </c>
      <c r="W205" s="3750">
        <v>0</v>
      </c>
      <c r="X205" s="3752">
        <v>0</v>
      </c>
      <c r="Y205" s="3753">
        <v>0</v>
      </c>
      <c r="Z205" s="3750">
        <v>0</v>
      </c>
      <c r="AA205" s="3750"/>
      <c r="AB205" s="3750"/>
      <c r="AC205" s="3750"/>
      <c r="AD205" s="3754" t="s">
        <v>1124</v>
      </c>
    </row>
    <row r="206" spans="1:30">
      <c r="A206" s="3755" t="s">
        <v>1125</v>
      </c>
      <c r="B206" s="3756" t="s">
        <v>18</v>
      </c>
      <c r="C206" s="3756" t="s">
        <v>18</v>
      </c>
      <c r="D206" s="3756" t="s">
        <v>18</v>
      </c>
      <c r="E206" s="3756" t="s">
        <v>18</v>
      </c>
      <c r="F206" s="3756" t="s">
        <v>18</v>
      </c>
      <c r="G206" s="3756" t="s">
        <v>18</v>
      </c>
      <c r="H206" s="3756" t="s">
        <v>18</v>
      </c>
      <c r="I206" s="3756" t="s">
        <v>18</v>
      </c>
      <c r="J206" s="3756" t="s">
        <v>18</v>
      </c>
      <c r="K206" s="3756" t="s">
        <v>18</v>
      </c>
      <c r="L206" s="3756" t="s">
        <v>18</v>
      </c>
      <c r="M206" s="3756" t="s">
        <v>18</v>
      </c>
      <c r="N206" s="3757">
        <v>81.5</v>
      </c>
      <c r="O206" s="3758">
        <v>81.5</v>
      </c>
      <c r="P206" s="3758">
        <v>81.5</v>
      </c>
      <c r="Q206" s="3759"/>
      <c r="R206" s="3759"/>
      <c r="S206" s="3760"/>
      <c r="T206" s="3759"/>
      <c r="U206" s="3761"/>
      <c r="V206" s="3761"/>
      <c r="W206" s="3569"/>
      <c r="X206" s="3570"/>
      <c r="Y206" s="3571"/>
      <c r="Z206" s="3762"/>
      <c r="AA206" s="3762"/>
      <c r="AB206" s="3762"/>
      <c r="AC206" s="3762"/>
      <c r="AD206" s="3763" t="s">
        <v>1126</v>
      </c>
    </row>
    <row r="207" spans="1:30">
      <c r="A207" s="3764" t="s">
        <v>1127</v>
      </c>
      <c r="B207" s="3765"/>
      <c r="C207" s="3765"/>
      <c r="D207" s="3765"/>
      <c r="E207" s="3765"/>
      <c r="F207" s="3765"/>
      <c r="G207" s="3765"/>
      <c r="H207" s="3765"/>
      <c r="I207" s="3765"/>
      <c r="J207" s="3765"/>
      <c r="K207" s="3765"/>
      <c r="L207" s="3766"/>
      <c r="M207" s="3767"/>
      <c r="N207" s="3767"/>
      <c r="O207" s="3767"/>
      <c r="P207" s="3767"/>
      <c r="Q207" s="3767"/>
      <c r="R207" s="3766"/>
      <c r="S207" s="3767"/>
      <c r="T207" s="3768"/>
      <c r="U207" s="3769"/>
      <c r="V207" s="3769"/>
      <c r="W207" s="3769"/>
      <c r="X207" s="3770"/>
      <c r="Y207" s="3771"/>
      <c r="Z207" s="3772"/>
      <c r="AA207" s="3772"/>
      <c r="AB207" s="3772"/>
      <c r="AC207" s="3772"/>
      <c r="AD207" s="3773" t="s">
        <v>1128</v>
      </c>
    </row>
    <row r="208" spans="1:30">
      <c r="A208" s="3774" t="s">
        <v>1129</v>
      </c>
      <c r="B208" s="3775"/>
      <c r="C208" s="3775"/>
      <c r="D208" s="3775"/>
      <c r="E208" s="3775"/>
      <c r="F208" s="3775"/>
      <c r="G208" s="3775"/>
      <c r="H208" s="3775"/>
      <c r="I208" s="3775"/>
      <c r="J208" s="3775"/>
      <c r="K208" s="3775"/>
      <c r="L208" s="3776">
        <v>7.53</v>
      </c>
      <c r="M208" s="3776">
        <v>7.53</v>
      </c>
      <c r="N208" s="3776">
        <v>7.53</v>
      </c>
      <c r="O208" s="3776">
        <v>7.53</v>
      </c>
      <c r="P208" s="3776">
        <v>7.53</v>
      </c>
      <c r="Q208" s="3776">
        <v>7.53</v>
      </c>
      <c r="R208" s="3776">
        <v>7.53</v>
      </c>
      <c r="S208" s="3776">
        <v>7.53</v>
      </c>
      <c r="T208" s="3776">
        <v>7.53</v>
      </c>
      <c r="U208" s="3776">
        <v>7.53</v>
      </c>
      <c r="V208" s="3776">
        <v>7.53</v>
      </c>
      <c r="W208" s="3776">
        <v>7.53</v>
      </c>
      <c r="X208" s="3777">
        <v>7.53</v>
      </c>
      <c r="Y208" s="3778">
        <v>7.53</v>
      </c>
      <c r="Z208" s="3779">
        <v>7.53</v>
      </c>
      <c r="AA208" s="3779"/>
      <c r="AB208" s="3779"/>
      <c r="AC208" s="3779"/>
      <c r="AD208" s="3780" t="s">
        <v>1130</v>
      </c>
    </row>
    <row r="209" spans="1:30">
      <c r="A209" s="3781" t="s">
        <v>1131</v>
      </c>
      <c r="B209" s="3782"/>
      <c r="C209" s="3782"/>
      <c r="D209" s="3782"/>
      <c r="E209" s="3782"/>
      <c r="F209" s="3782"/>
      <c r="G209" s="3782"/>
      <c r="H209" s="3782"/>
      <c r="I209" s="3782"/>
      <c r="J209" s="3782"/>
      <c r="K209" s="3782"/>
      <c r="L209" s="3783">
        <v>3.77</v>
      </c>
      <c r="M209" s="3783">
        <v>3.77</v>
      </c>
      <c r="N209" s="3783">
        <v>3.77</v>
      </c>
      <c r="O209" s="3783">
        <v>3.77</v>
      </c>
      <c r="P209" s="3783">
        <v>3.77</v>
      </c>
      <c r="Q209" s="3783">
        <v>3.77</v>
      </c>
      <c r="R209" s="3783">
        <v>3.77</v>
      </c>
      <c r="S209" s="3783">
        <v>3.77</v>
      </c>
      <c r="T209" s="3783">
        <v>3.77</v>
      </c>
      <c r="U209" s="3783">
        <v>3.77</v>
      </c>
      <c r="V209" s="3783">
        <v>3.77</v>
      </c>
      <c r="W209" s="3783">
        <v>3.77</v>
      </c>
      <c r="X209" s="3784">
        <v>3.77</v>
      </c>
      <c r="Y209" s="3785">
        <v>3.77</v>
      </c>
      <c r="Z209" s="3786">
        <v>7.53</v>
      </c>
      <c r="AA209" s="3786"/>
      <c r="AB209" s="3786"/>
      <c r="AC209" s="3786"/>
      <c r="AD209" s="3787" t="s">
        <v>1132</v>
      </c>
    </row>
    <row r="210" spans="1:30">
      <c r="A210" s="3788" t="s">
        <v>1133</v>
      </c>
      <c r="B210" s="3789"/>
      <c r="C210" s="3789"/>
      <c r="D210" s="3789"/>
      <c r="E210" s="3789"/>
      <c r="F210" s="3789"/>
      <c r="G210" s="3789"/>
      <c r="H210" s="3789"/>
      <c r="I210" s="3789"/>
      <c r="J210" s="3789"/>
      <c r="K210" s="3789"/>
      <c r="L210" s="3790"/>
      <c r="M210" s="3791"/>
      <c r="N210" s="3791"/>
      <c r="O210" s="3791"/>
      <c r="P210" s="3791"/>
      <c r="Q210" s="3791"/>
      <c r="R210" s="3790"/>
      <c r="S210" s="3791"/>
      <c r="T210" s="2796"/>
      <c r="U210" s="3792"/>
      <c r="V210" s="3792"/>
      <c r="W210" s="3792"/>
      <c r="X210" s="3793"/>
      <c r="Y210" s="3794"/>
      <c r="Z210" s="3795"/>
      <c r="AA210" s="3795"/>
      <c r="AB210" s="3795"/>
      <c r="AC210" s="3795"/>
      <c r="AD210" s="3485" t="s">
        <v>1134</v>
      </c>
    </row>
    <row r="211" spans="1:30">
      <c r="A211" s="3747" t="s">
        <v>1129</v>
      </c>
      <c r="B211" s="3748"/>
      <c r="C211" s="3748"/>
      <c r="D211" s="3748"/>
      <c r="E211" s="3748"/>
      <c r="F211" s="3748"/>
      <c r="G211" s="3748"/>
      <c r="H211" s="3748"/>
      <c r="I211" s="3748"/>
      <c r="J211" s="3748"/>
      <c r="K211" s="3748"/>
      <c r="L211" s="1004">
        <v>8.98</v>
      </c>
      <c r="M211" s="1004">
        <v>8.98</v>
      </c>
      <c r="N211" s="1004">
        <v>8.98</v>
      </c>
      <c r="O211" s="1004">
        <v>8.98</v>
      </c>
      <c r="P211" s="1004">
        <v>8.98</v>
      </c>
      <c r="Q211" s="1004">
        <v>8.98</v>
      </c>
      <c r="R211" s="1004">
        <v>8.98</v>
      </c>
      <c r="S211" s="1004">
        <v>8.98</v>
      </c>
      <c r="T211" s="1004">
        <v>8.98</v>
      </c>
      <c r="U211" s="1004">
        <v>8.98</v>
      </c>
      <c r="V211" s="1004">
        <v>8.98</v>
      </c>
      <c r="W211" s="1004">
        <v>8.98</v>
      </c>
      <c r="X211" s="3796">
        <v>8.98</v>
      </c>
      <c r="Y211" s="3797">
        <v>8.98</v>
      </c>
      <c r="Z211" s="3798">
        <v>8.98</v>
      </c>
      <c r="AA211" s="3798"/>
      <c r="AB211" s="3798"/>
      <c r="AC211" s="3798"/>
      <c r="AD211" s="3497" t="s">
        <v>1130</v>
      </c>
    </row>
    <row r="212" spans="1:30">
      <c r="A212" s="3799" t="s">
        <v>1131</v>
      </c>
      <c r="B212" s="3800"/>
      <c r="C212" s="3800"/>
      <c r="D212" s="3800"/>
      <c r="E212" s="3800"/>
      <c r="F212" s="3800"/>
      <c r="G212" s="3800"/>
      <c r="H212" s="3800"/>
      <c r="I212" s="3800"/>
      <c r="J212" s="3800"/>
      <c r="K212" s="3800"/>
      <c r="L212" s="3801">
        <v>4.63</v>
      </c>
      <c r="M212" s="3801">
        <v>4.63</v>
      </c>
      <c r="N212" s="3801">
        <v>4.63</v>
      </c>
      <c r="O212" s="3801">
        <v>4.63</v>
      </c>
      <c r="P212" s="3801">
        <v>4.63</v>
      </c>
      <c r="Q212" s="3801">
        <v>4.63</v>
      </c>
      <c r="R212" s="3801">
        <v>4.63</v>
      </c>
      <c r="S212" s="3801">
        <v>4.63</v>
      </c>
      <c r="T212" s="3801">
        <v>4.63</v>
      </c>
      <c r="U212" s="3801">
        <v>4.63</v>
      </c>
      <c r="V212" s="3801">
        <v>4.63</v>
      </c>
      <c r="W212" s="3801">
        <v>4.63</v>
      </c>
      <c r="X212" s="3801">
        <v>4.63</v>
      </c>
      <c r="Y212" s="3802">
        <v>4.63</v>
      </c>
      <c r="Z212" s="3803">
        <v>8.98</v>
      </c>
      <c r="AA212" s="3803"/>
      <c r="AB212" s="3803"/>
      <c r="AC212" s="3803"/>
      <c r="AD212" s="3804" t="s">
        <v>1132</v>
      </c>
    </row>
    <row r="213" spans="1:30">
      <c r="A213" s="2467" t="s">
        <v>1135</v>
      </c>
      <c r="B213" s="1343"/>
      <c r="C213" s="1343"/>
      <c r="D213" s="1343"/>
      <c r="E213" s="1343"/>
      <c r="F213" s="1343"/>
      <c r="G213" s="1343"/>
      <c r="H213" s="1343"/>
      <c r="I213" s="1343"/>
      <c r="J213" s="936"/>
      <c r="K213" s="3805"/>
      <c r="L213" s="936"/>
      <c r="M213" s="3806"/>
      <c r="N213" s="3806"/>
      <c r="O213" s="3806"/>
      <c r="P213" s="3806"/>
      <c r="Q213" s="3806"/>
      <c r="R213" s="3806"/>
      <c r="S213" s="3806"/>
      <c r="T213" s="3807"/>
      <c r="U213" s="3807"/>
      <c r="V213" s="3808"/>
      <c r="W213" s="3807"/>
      <c r="X213" s="3809"/>
      <c r="Y213" s="3810"/>
      <c r="Z213" s="3811"/>
      <c r="AA213" s="3811"/>
      <c r="AB213" s="3811"/>
      <c r="AC213" s="3811"/>
      <c r="AD213" s="3773" t="s">
        <v>1136</v>
      </c>
    </row>
    <row r="214" spans="1:30">
      <c r="A214" s="3774" t="s">
        <v>1137</v>
      </c>
      <c r="B214" s="3775"/>
      <c r="C214" s="3775"/>
      <c r="D214" s="3775"/>
      <c r="E214" s="3775"/>
      <c r="F214" s="3775"/>
      <c r="G214" s="3775"/>
      <c r="H214" s="3775"/>
      <c r="I214" s="3775"/>
      <c r="J214" s="3775"/>
      <c r="K214" s="3775"/>
      <c r="L214" s="3812">
        <f>L215/$P$1</f>
        <v>1.0136700648748842</v>
      </c>
      <c r="M214" s="3813">
        <f>M215/$P$1</f>
        <v>1.0136700648748842</v>
      </c>
      <c r="N214" s="3813">
        <f>N215/$P$1</f>
        <v>1.0136700648748842</v>
      </c>
      <c r="O214" s="3813">
        <f>O215/$P$1</f>
        <v>1.0136700648748842</v>
      </c>
      <c r="P214" s="3813">
        <f>P215/$P$1</f>
        <v>1.0136700648748842</v>
      </c>
      <c r="Q214" s="3814">
        <v>1.01</v>
      </c>
      <c r="R214" s="3814">
        <v>1.01</v>
      </c>
      <c r="S214" s="3814">
        <v>1.01</v>
      </c>
      <c r="T214" s="3814">
        <v>1.01</v>
      </c>
      <c r="U214" s="3814">
        <v>1.01</v>
      </c>
      <c r="V214" s="3814">
        <v>1.01</v>
      </c>
      <c r="W214" s="3814">
        <v>1.01</v>
      </c>
      <c r="X214" s="3815">
        <v>1.01</v>
      </c>
      <c r="Y214" s="3816">
        <v>1.01</v>
      </c>
      <c r="Z214" s="3814">
        <v>1.01</v>
      </c>
      <c r="AA214" s="3814"/>
      <c r="AB214" s="3814"/>
      <c r="AC214" s="3814"/>
      <c r="AD214" s="3817" t="s">
        <v>1138</v>
      </c>
    </row>
    <row r="215" spans="1:30" s="31" customFormat="1" ht="13.2">
      <c r="A215" s="3818" t="s">
        <v>1139</v>
      </c>
      <c r="B215" s="3819"/>
      <c r="C215" s="3819"/>
      <c r="D215" s="3819"/>
      <c r="E215" s="3819"/>
      <c r="F215" s="3819"/>
      <c r="G215" s="3819"/>
      <c r="H215" s="3819"/>
      <c r="I215" s="3819"/>
      <c r="J215" s="3819"/>
      <c r="K215" s="3819"/>
      <c r="L215" s="3820">
        <v>3.5</v>
      </c>
      <c r="M215" s="3580">
        <v>3.5</v>
      </c>
      <c r="N215" s="3580">
        <v>3.5</v>
      </c>
      <c r="O215" s="3580">
        <f>N215</f>
        <v>3.5</v>
      </c>
      <c r="P215" s="3580">
        <f>O215</f>
        <v>3.5</v>
      </c>
      <c r="Q215" s="3821"/>
      <c r="R215" s="3821"/>
      <c r="S215" s="3821"/>
      <c r="T215" s="3821"/>
      <c r="U215" s="987"/>
      <c r="V215" s="3822"/>
      <c r="W215" s="1146"/>
      <c r="X215" s="2431"/>
      <c r="Y215" s="3623"/>
      <c r="Z215" s="3823"/>
      <c r="AA215" s="3823"/>
      <c r="AB215" s="3823"/>
      <c r="AC215" s="3823"/>
      <c r="AD215" s="3824" t="s">
        <v>1140</v>
      </c>
    </row>
    <row r="216" spans="1:30">
      <c r="A216" s="3551" t="s">
        <v>1141</v>
      </c>
      <c r="B216" s="3825"/>
      <c r="C216" s="3825"/>
      <c r="D216" s="3825"/>
      <c r="E216" s="3825"/>
      <c r="F216" s="3825"/>
      <c r="G216" s="3825"/>
      <c r="H216" s="3825"/>
      <c r="I216" s="3825"/>
      <c r="J216" s="3825"/>
      <c r="K216" s="3825"/>
      <c r="L216" s="867">
        <f>L217/$P$1</f>
        <v>0.52131603336422616</v>
      </c>
      <c r="M216" s="868">
        <f>M217/$P$1</f>
        <v>0.52131603336422616</v>
      </c>
      <c r="N216" s="868">
        <f>N217/$P$1</f>
        <v>0.52131603336422616</v>
      </c>
      <c r="O216" s="868">
        <f>O217/$P$1</f>
        <v>0.52131603336422616</v>
      </c>
      <c r="P216" s="868">
        <f>P217/$P$1</f>
        <v>0.52131603336422616</v>
      </c>
      <c r="Q216" s="3826">
        <v>0.52</v>
      </c>
      <c r="R216" s="3826">
        <v>0.52</v>
      </c>
      <c r="S216" s="3826">
        <v>0.52</v>
      </c>
      <c r="T216" s="3826">
        <v>0.52</v>
      </c>
      <c r="U216" s="3827">
        <v>0.52</v>
      </c>
      <c r="V216" s="3827">
        <v>0.52</v>
      </c>
      <c r="W216" s="3827">
        <v>0.52</v>
      </c>
      <c r="X216" s="3827">
        <v>0.52</v>
      </c>
      <c r="Y216" s="3828">
        <v>0.52</v>
      </c>
      <c r="Z216" s="3828">
        <v>0.52</v>
      </c>
      <c r="AA216" s="3828"/>
      <c r="AB216" s="3828"/>
      <c r="AC216" s="3828"/>
      <c r="AD216" s="3557" t="s">
        <v>1142</v>
      </c>
    </row>
    <row r="217" spans="1:30" s="31" customFormat="1" thickBot="1">
      <c r="A217" s="3829" t="s">
        <v>1143</v>
      </c>
      <c r="B217" s="3830"/>
      <c r="C217" s="3830"/>
      <c r="D217" s="3830"/>
      <c r="E217" s="3830"/>
      <c r="F217" s="3830"/>
      <c r="G217" s="3830"/>
      <c r="H217" s="3830"/>
      <c r="I217" s="3830"/>
      <c r="J217" s="3830"/>
      <c r="K217" s="3830"/>
      <c r="L217" s="3831">
        <v>1.8</v>
      </c>
      <c r="M217" s="3832">
        <v>1.8</v>
      </c>
      <c r="N217" s="3832">
        <v>1.8</v>
      </c>
      <c r="O217" s="3832">
        <v>1.8</v>
      </c>
      <c r="P217" s="3832">
        <v>1.8</v>
      </c>
      <c r="Q217" s="3833"/>
      <c r="R217" s="3833"/>
      <c r="S217" s="3833"/>
      <c r="T217" s="3833"/>
      <c r="U217" s="3833"/>
      <c r="V217" s="3834"/>
      <c r="W217" s="3835"/>
      <c r="X217" s="3836"/>
      <c r="Y217" s="3837"/>
      <c r="Z217" s="3835"/>
      <c r="AA217" s="3835"/>
      <c r="AB217" s="3835"/>
      <c r="AC217" s="3835"/>
      <c r="AD217" s="3838" t="s">
        <v>1144</v>
      </c>
    </row>
    <row r="218" spans="1:30" ht="15.6">
      <c r="A218" s="2618" t="s">
        <v>1145</v>
      </c>
      <c r="B218" s="3839"/>
      <c r="C218" s="3839"/>
      <c r="D218" s="3839"/>
      <c r="E218" s="3839"/>
      <c r="F218" s="3839"/>
      <c r="G218" s="3839"/>
      <c r="H218" s="3839"/>
      <c r="I218" s="3839"/>
      <c r="J218" s="3839"/>
      <c r="K218" s="3839"/>
      <c r="L218" s="3839"/>
      <c r="M218" s="3839"/>
      <c r="N218" s="3839"/>
      <c r="O218" s="3839"/>
      <c r="P218" s="3839"/>
      <c r="Q218" s="3839"/>
      <c r="R218" s="3840"/>
      <c r="S218" s="3839"/>
      <c r="T218" s="3839"/>
      <c r="U218" s="3841"/>
      <c r="V218" s="3842"/>
      <c r="W218" s="3843"/>
      <c r="X218" s="3843"/>
      <c r="Y218" s="3844"/>
      <c r="Z218" s="3842"/>
      <c r="AA218" s="3842"/>
      <c r="AB218" s="3842"/>
      <c r="AC218" s="3842"/>
      <c r="AD218" s="3845" t="s">
        <v>528</v>
      </c>
    </row>
    <row r="219" spans="1:30" ht="21.75" customHeight="1">
      <c r="A219" s="3846" t="s">
        <v>529</v>
      </c>
      <c r="B219" s="3847" t="s">
        <v>1146</v>
      </c>
      <c r="C219" s="2678"/>
      <c r="D219" s="2678"/>
      <c r="E219" s="2678"/>
      <c r="F219" s="2678"/>
      <c r="G219" s="2678"/>
      <c r="H219" s="2678"/>
      <c r="I219" s="2678"/>
      <c r="J219" s="2678"/>
      <c r="K219" s="2678"/>
      <c r="L219" s="2678"/>
      <c r="M219" s="2678"/>
      <c r="N219" s="2678"/>
      <c r="O219" s="2678"/>
      <c r="P219" s="2678"/>
      <c r="Q219" s="2678"/>
      <c r="R219" s="3848"/>
      <c r="S219" s="3849"/>
      <c r="T219" s="3849"/>
      <c r="U219" s="3849"/>
      <c r="V219" s="3850"/>
      <c r="W219" s="3851"/>
      <c r="X219" s="3851"/>
      <c r="Y219" s="3852"/>
      <c r="Z219" s="3852"/>
      <c r="AA219" s="3852"/>
      <c r="AB219" s="3852"/>
      <c r="AC219" s="3852"/>
      <c r="AD219" s="3853" t="s">
        <v>530</v>
      </c>
    </row>
    <row r="220" spans="1:30" ht="27.6">
      <c r="A220" s="2628" t="s">
        <v>1147</v>
      </c>
      <c r="B220" s="2678"/>
      <c r="C220" s="2678"/>
      <c r="D220" s="2678"/>
      <c r="E220" s="2678"/>
      <c r="F220" s="2678"/>
      <c r="G220" s="2678"/>
      <c r="H220" s="2678"/>
      <c r="I220" s="2678"/>
      <c r="J220" s="2678"/>
      <c r="K220" s="2678"/>
      <c r="L220" s="2678"/>
      <c r="M220" s="2678"/>
      <c r="N220" s="2678"/>
      <c r="O220" s="2678"/>
      <c r="P220" s="2678"/>
      <c r="Q220" s="2678"/>
      <c r="R220" s="4733" t="s">
        <v>1148</v>
      </c>
      <c r="S220" s="4734"/>
      <c r="T220" s="4734"/>
      <c r="U220" s="4734"/>
      <c r="V220" s="3854" t="s">
        <v>1149</v>
      </c>
      <c r="W220" s="3855" t="s">
        <v>1149</v>
      </c>
      <c r="X220" s="3856">
        <v>0.2</v>
      </c>
      <c r="Y220" s="3857">
        <v>0.2</v>
      </c>
      <c r="Z220" s="3857">
        <v>0.2</v>
      </c>
      <c r="AA220" s="3857"/>
      <c r="AB220" s="3857"/>
      <c r="AC220" s="3857"/>
      <c r="AD220" s="3858" t="s">
        <v>1150</v>
      </c>
    </row>
    <row r="221" spans="1:30" ht="27.6">
      <c r="A221" s="2632" t="s">
        <v>1151</v>
      </c>
      <c r="B221" s="2678"/>
      <c r="C221" s="2678"/>
      <c r="D221" s="2678"/>
      <c r="E221" s="2678"/>
      <c r="F221" s="2678"/>
      <c r="G221" s="2678"/>
      <c r="H221" s="2678"/>
      <c r="I221" s="2678"/>
      <c r="J221" s="2678"/>
      <c r="K221" s="2678"/>
      <c r="L221" s="2678"/>
      <c r="M221" s="2678"/>
      <c r="N221" s="2678"/>
      <c r="O221" s="2678"/>
      <c r="P221" s="2678"/>
      <c r="Q221" s="2678"/>
      <c r="R221" s="4733" t="s">
        <v>1152</v>
      </c>
      <c r="S221" s="4734"/>
      <c r="T221" s="4734"/>
      <c r="U221" s="4734"/>
      <c r="V221" s="3854" t="s">
        <v>1153</v>
      </c>
      <c r="W221" s="3855" t="s">
        <v>1153</v>
      </c>
      <c r="X221" s="3856">
        <v>0.2</v>
      </c>
      <c r="Y221" s="3857">
        <v>0.2</v>
      </c>
      <c r="Z221" s="3857">
        <v>0.2</v>
      </c>
      <c r="AA221" s="3857"/>
      <c r="AB221" s="3857"/>
      <c r="AC221" s="3857"/>
      <c r="AD221" s="3858" t="s">
        <v>1154</v>
      </c>
    </row>
    <row r="222" spans="1:30" ht="48">
      <c r="A222" s="2637" t="s">
        <v>1155</v>
      </c>
      <c r="B222" s="2678"/>
      <c r="C222" s="2678"/>
      <c r="D222" s="2678"/>
      <c r="E222" s="2678"/>
      <c r="F222" s="2678"/>
      <c r="G222" s="2678"/>
      <c r="H222" s="2678"/>
      <c r="I222" s="2678"/>
      <c r="J222" s="2678"/>
      <c r="K222" s="2678"/>
      <c r="L222" s="2678"/>
      <c r="M222" s="2678"/>
      <c r="N222" s="2678"/>
      <c r="O222" s="2678"/>
      <c r="P222" s="2678"/>
      <c r="Q222" s="2678"/>
      <c r="R222" s="4733" t="s">
        <v>1156</v>
      </c>
      <c r="S222" s="4734"/>
      <c r="T222" s="4734"/>
      <c r="U222" s="4734"/>
      <c r="V222" s="3854" t="s">
        <v>1157</v>
      </c>
      <c r="W222" s="3855" t="s">
        <v>1157</v>
      </c>
      <c r="X222" s="3856">
        <v>0.2</v>
      </c>
      <c r="Y222" s="3857">
        <v>0.2</v>
      </c>
      <c r="Z222" s="3857">
        <v>0.2</v>
      </c>
      <c r="AA222" s="3857"/>
      <c r="AB222" s="3857"/>
      <c r="AC222" s="3857"/>
      <c r="AD222" s="3859" t="s">
        <v>1158</v>
      </c>
    </row>
    <row r="223" spans="1:30" ht="27" customHeight="1">
      <c r="A223" s="2632" t="s">
        <v>1159</v>
      </c>
      <c r="B223" s="2678"/>
      <c r="C223" s="2678"/>
      <c r="D223" s="2678"/>
      <c r="E223" s="2678"/>
      <c r="F223" s="2678"/>
      <c r="G223" s="2678"/>
      <c r="H223" s="2678"/>
      <c r="I223" s="2678"/>
      <c r="J223" s="2678"/>
      <c r="K223" s="2678"/>
      <c r="L223" s="2678"/>
      <c r="M223" s="2678"/>
      <c r="N223" s="2678"/>
      <c r="O223" s="2678"/>
      <c r="P223" s="2678"/>
      <c r="Q223" s="2678"/>
      <c r="R223" s="4723">
        <v>0.15</v>
      </c>
      <c r="S223" s="4724"/>
      <c r="T223" s="4724"/>
      <c r="U223" s="4724"/>
      <c r="V223" s="3860">
        <v>0.18</v>
      </c>
      <c r="W223" s="3861">
        <v>0.18</v>
      </c>
      <c r="X223" s="3860">
        <v>0.2</v>
      </c>
      <c r="Y223" s="3862">
        <v>0.2</v>
      </c>
      <c r="Z223" s="3862">
        <v>0.2</v>
      </c>
      <c r="AA223" s="3862"/>
      <c r="AB223" s="3862"/>
      <c r="AC223" s="3862"/>
      <c r="AD223" s="3863" t="s">
        <v>1160</v>
      </c>
    </row>
    <row r="224" spans="1:30" ht="19.5" customHeight="1">
      <c r="A224" s="2632" t="s">
        <v>1161</v>
      </c>
      <c r="B224" s="2678"/>
      <c r="C224" s="2678"/>
      <c r="D224" s="2678"/>
      <c r="E224" s="2678"/>
      <c r="F224" s="2678"/>
      <c r="G224" s="2678"/>
      <c r="H224" s="2678"/>
      <c r="I224" s="2678"/>
      <c r="J224" s="2678"/>
      <c r="K224" s="2678"/>
      <c r="L224" s="2678"/>
      <c r="M224" s="2678"/>
      <c r="N224" s="2678"/>
      <c r="O224" s="2678"/>
      <c r="P224" s="2678"/>
      <c r="Q224" s="2678"/>
      <c r="R224" s="4723">
        <v>0.15</v>
      </c>
      <c r="S224" s="4724"/>
      <c r="T224" s="4724"/>
      <c r="U224" s="4724"/>
      <c r="V224" s="3860">
        <v>0.18</v>
      </c>
      <c r="W224" s="3861">
        <v>0.18</v>
      </c>
      <c r="X224" s="3860">
        <v>0.2</v>
      </c>
      <c r="Y224" s="3862">
        <v>0.2</v>
      </c>
      <c r="Z224" s="3862">
        <v>0.2</v>
      </c>
      <c r="AA224" s="3862"/>
      <c r="AB224" s="3862"/>
      <c r="AC224" s="3862"/>
      <c r="AD224" s="3863" t="s">
        <v>1162</v>
      </c>
    </row>
    <row r="225" spans="1:30" ht="26.25" customHeight="1">
      <c r="A225" s="2632" t="s">
        <v>546</v>
      </c>
      <c r="B225" s="2678"/>
      <c r="C225" s="2678"/>
      <c r="D225" s="2678"/>
      <c r="E225" s="2678"/>
      <c r="F225" s="2678"/>
      <c r="G225" s="2678"/>
      <c r="H225" s="2678"/>
      <c r="I225" s="2678"/>
      <c r="J225" s="2678"/>
      <c r="K225" s="2678"/>
      <c r="L225" s="2678"/>
      <c r="M225" s="2678"/>
      <c r="N225" s="2678"/>
      <c r="O225" s="2678"/>
      <c r="P225" s="2678"/>
      <c r="Q225" s="2678"/>
      <c r="R225" s="4723">
        <v>0.1</v>
      </c>
      <c r="S225" s="4724"/>
      <c r="T225" s="4724"/>
      <c r="U225" s="4724"/>
      <c r="V225" s="3860">
        <v>0.13</v>
      </c>
      <c r="W225" s="3861">
        <v>0.13</v>
      </c>
      <c r="X225" s="3860">
        <v>0.2</v>
      </c>
      <c r="Y225" s="3862">
        <v>0.2</v>
      </c>
      <c r="Z225" s="3862">
        <v>0.2</v>
      </c>
      <c r="AA225" s="3862"/>
      <c r="AB225" s="3862"/>
      <c r="AC225" s="3862"/>
      <c r="AD225" s="3863" t="s">
        <v>1163</v>
      </c>
    </row>
    <row r="226" spans="1:30" ht="32.1" customHeight="1" thickBot="1">
      <c r="A226" s="2639" t="s">
        <v>1164</v>
      </c>
      <c r="B226" s="3864"/>
      <c r="C226" s="3864"/>
      <c r="D226" s="3864"/>
      <c r="E226" s="3864"/>
      <c r="F226" s="3864"/>
      <c r="G226" s="3864"/>
      <c r="H226" s="3864"/>
      <c r="I226" s="3864"/>
      <c r="J226" s="3864"/>
      <c r="K226" s="3864"/>
      <c r="L226" s="3864"/>
      <c r="M226" s="3864"/>
      <c r="N226" s="3864"/>
      <c r="O226" s="3864"/>
      <c r="P226" s="3864"/>
      <c r="Q226" s="3864"/>
      <c r="R226" s="4725">
        <v>0.05</v>
      </c>
      <c r="S226" s="4726"/>
      <c r="T226" s="4726"/>
      <c r="U226" s="4726"/>
      <c r="V226" s="3865">
        <v>0.05</v>
      </c>
      <c r="W226" s="3865">
        <v>0.05</v>
      </c>
      <c r="X226" s="3866">
        <v>0.13</v>
      </c>
      <c r="Y226" s="3867">
        <v>0.18</v>
      </c>
      <c r="Z226" s="3868">
        <v>0.18</v>
      </c>
      <c r="AA226" s="3868"/>
      <c r="AB226" s="3868"/>
      <c r="AC226" s="3868"/>
      <c r="AD226" s="3869" t="s">
        <v>1165</v>
      </c>
    </row>
    <row r="227" spans="1:30" s="31" customFormat="1" ht="13.2">
      <c r="A227" s="3870"/>
      <c r="B227" s="3871"/>
      <c r="C227" s="3871"/>
      <c r="D227" s="3871"/>
      <c r="E227" s="3871"/>
      <c r="F227" s="3871"/>
      <c r="G227" s="3871"/>
      <c r="H227" s="3871"/>
      <c r="I227" s="3871"/>
      <c r="J227" s="3871"/>
      <c r="K227" s="3871"/>
      <c r="L227" s="3872"/>
      <c r="M227" s="3873"/>
      <c r="N227" s="3873"/>
      <c r="O227" s="3873"/>
      <c r="P227" s="3873"/>
      <c r="Q227" s="3874"/>
      <c r="R227" s="3874"/>
      <c r="S227" s="3874"/>
      <c r="T227" s="3874"/>
      <c r="U227" s="3874"/>
      <c r="V227" s="3874"/>
      <c r="W227" s="3875"/>
      <c r="X227" s="3875"/>
      <c r="Y227" s="3874"/>
      <c r="Z227" s="3876"/>
      <c r="AA227" s="3876"/>
      <c r="AB227" s="3876"/>
      <c r="AC227" s="3876"/>
      <c r="AD227" s="3877"/>
    </row>
    <row r="228" spans="1:30" ht="18" thickBot="1">
      <c r="A228" s="8" t="s">
        <v>1166</v>
      </c>
      <c r="W228" s="2383"/>
      <c r="X228" s="2383"/>
      <c r="Z228" s="35"/>
      <c r="AA228" s="35"/>
      <c r="AB228" s="35"/>
      <c r="AC228" s="35"/>
      <c r="AD228" s="3878" t="s">
        <v>1167</v>
      </c>
    </row>
    <row r="229" spans="1:30" s="4" customFormat="1" ht="47.4" thickBot="1">
      <c r="A229" s="2056" t="s">
        <v>558</v>
      </c>
      <c r="B229" s="2179" t="s">
        <v>18</v>
      </c>
      <c r="C229" s="2179" t="s">
        <v>18</v>
      </c>
      <c r="D229" s="2179" t="s">
        <v>18</v>
      </c>
      <c r="E229" s="2179" t="s">
        <v>18</v>
      </c>
      <c r="F229" s="2179" t="s">
        <v>18</v>
      </c>
      <c r="G229" s="2179" t="s">
        <v>18</v>
      </c>
      <c r="H229" s="2179" t="s">
        <v>18</v>
      </c>
      <c r="I229" s="2179" t="s">
        <v>18</v>
      </c>
      <c r="J229" s="2179" t="s">
        <v>18</v>
      </c>
      <c r="K229" s="2179" t="s">
        <v>18</v>
      </c>
      <c r="L229" s="2179" t="s">
        <v>18</v>
      </c>
      <c r="M229" s="2179" t="s">
        <v>18</v>
      </c>
      <c r="N229" s="2179" t="s">
        <v>18</v>
      </c>
      <c r="O229" s="2179" t="s">
        <v>18</v>
      </c>
      <c r="P229" s="2179" t="s">
        <v>18</v>
      </c>
      <c r="Q229" s="2179" t="s">
        <v>18</v>
      </c>
      <c r="R229" s="2179" t="s">
        <v>18</v>
      </c>
      <c r="S229" s="2179" t="s">
        <v>18</v>
      </c>
      <c r="T229" s="3879">
        <v>30</v>
      </c>
      <c r="U229" s="3880">
        <v>50.16</v>
      </c>
      <c r="V229" s="3880">
        <v>60.06</v>
      </c>
      <c r="W229" s="3881">
        <v>72</v>
      </c>
      <c r="X229" s="3882" t="s">
        <v>1168</v>
      </c>
      <c r="Y229" s="3883">
        <v>85.75</v>
      </c>
      <c r="Z229" s="3881">
        <v>96.25</v>
      </c>
      <c r="AA229" s="3881"/>
      <c r="AB229" s="3881"/>
      <c r="AC229" s="3881"/>
      <c r="AD229" s="3194" t="s">
        <v>559</v>
      </c>
    </row>
    <row r="230" spans="1:30" ht="16.2" thickBot="1">
      <c r="A230" s="2056" t="s">
        <v>575</v>
      </c>
      <c r="B230" s="2179"/>
      <c r="C230" s="2180"/>
      <c r="D230" s="2180"/>
      <c r="E230" s="2180"/>
      <c r="F230" s="2180"/>
      <c r="G230" s="2180"/>
      <c r="H230" s="2180"/>
      <c r="I230" s="2181"/>
      <c r="J230" s="2182"/>
      <c r="K230" s="2182"/>
      <c r="L230" s="2181"/>
      <c r="M230" s="2180"/>
      <c r="N230" s="2180"/>
      <c r="O230" s="2180"/>
      <c r="P230" s="2180"/>
      <c r="Q230" s="2180"/>
      <c r="R230" s="2180"/>
      <c r="S230" s="2180"/>
      <c r="T230" s="2672"/>
      <c r="U230" s="2168"/>
      <c r="V230" s="2168"/>
      <c r="W230" s="2168"/>
      <c r="X230" s="2169"/>
      <c r="Y230" s="3415"/>
      <c r="Z230" s="2168"/>
      <c r="AA230" s="2168"/>
      <c r="AB230" s="2168"/>
      <c r="AC230" s="2168"/>
      <c r="AD230" s="3194" t="s">
        <v>576</v>
      </c>
    </row>
    <row r="231" spans="1:30" ht="73.5" customHeight="1">
      <c r="A231" s="2646" t="s">
        <v>1169</v>
      </c>
      <c r="B231" s="2674"/>
      <c r="C231" s="2674"/>
      <c r="D231" s="2674"/>
      <c r="E231" s="2674"/>
      <c r="F231" s="2674"/>
      <c r="G231" s="2674"/>
      <c r="H231" s="2674"/>
      <c r="I231" s="2674"/>
      <c r="J231" s="2674"/>
      <c r="K231" s="2674"/>
      <c r="L231" s="2674"/>
      <c r="M231" s="2674"/>
      <c r="N231" s="2674"/>
      <c r="O231" s="2674"/>
      <c r="P231" s="2674"/>
      <c r="Q231" s="3884">
        <v>153</v>
      </c>
      <c r="R231" s="3884">
        <v>153</v>
      </c>
      <c r="S231" s="3884">
        <v>153</v>
      </c>
      <c r="T231" s="3885">
        <v>183</v>
      </c>
      <c r="U231" s="3886">
        <v>183</v>
      </c>
      <c r="V231" s="3885">
        <v>250</v>
      </c>
      <c r="W231" s="3887">
        <v>256</v>
      </c>
      <c r="X231" s="3888" t="s">
        <v>1170</v>
      </c>
      <c r="Y231" s="3889">
        <v>314</v>
      </c>
      <c r="Z231" s="3887">
        <v>352</v>
      </c>
      <c r="AA231" s="3887"/>
      <c r="AB231" s="3887"/>
      <c r="AC231" s="3887"/>
      <c r="AD231" s="3890" t="s">
        <v>1171</v>
      </c>
    </row>
    <row r="232" spans="1:30" ht="20.100000000000001" customHeight="1">
      <c r="A232" s="2665" t="s">
        <v>1172</v>
      </c>
      <c r="B232" s="2678"/>
      <c r="C232" s="2678"/>
      <c r="D232" s="2678"/>
      <c r="E232" s="2678"/>
      <c r="F232" s="2678"/>
      <c r="G232" s="2678"/>
      <c r="H232" s="2678"/>
      <c r="I232" s="2678"/>
      <c r="J232" s="2678"/>
      <c r="K232" s="2678"/>
      <c r="L232" s="2678"/>
      <c r="M232" s="2678"/>
      <c r="N232" s="2678"/>
      <c r="O232" s="2678"/>
      <c r="P232" s="2678"/>
      <c r="Q232" s="2679">
        <v>28.5</v>
      </c>
      <c r="R232" s="2680">
        <v>28.5</v>
      </c>
      <c r="S232" s="2680">
        <v>28.5</v>
      </c>
      <c r="T232" s="2680">
        <v>28.5</v>
      </c>
      <c r="U232" s="1640">
        <v>20.14</v>
      </c>
      <c r="V232" s="1640">
        <v>40.17</v>
      </c>
      <c r="W232" s="1640">
        <v>41.2</v>
      </c>
      <c r="X232" s="4727" t="s">
        <v>1173</v>
      </c>
      <c r="Y232" s="4729">
        <v>50.47</v>
      </c>
      <c r="Z232" s="4315">
        <v>56.65</v>
      </c>
      <c r="AA232" s="4315"/>
      <c r="AB232" s="4315"/>
      <c r="AC232" s="4315"/>
      <c r="AD232" s="3891" t="s">
        <v>1174</v>
      </c>
    </row>
    <row r="233" spans="1:30" ht="40.35" customHeight="1" thickBot="1">
      <c r="A233" s="3892" t="s">
        <v>1175</v>
      </c>
      <c r="B233" s="3864"/>
      <c r="C233" s="3864"/>
      <c r="D233" s="3864"/>
      <c r="E233" s="3864"/>
      <c r="F233" s="3864"/>
      <c r="G233" s="3864"/>
      <c r="H233" s="3864"/>
      <c r="I233" s="3864"/>
      <c r="J233" s="3864"/>
      <c r="K233" s="3864"/>
      <c r="L233" s="3864"/>
      <c r="M233" s="3864"/>
      <c r="N233" s="3864"/>
      <c r="O233" s="3864"/>
      <c r="P233" s="3864"/>
      <c r="Q233" s="3893">
        <v>15.2</v>
      </c>
      <c r="R233" s="3894">
        <v>15.2</v>
      </c>
      <c r="S233" s="3894">
        <v>15.2</v>
      </c>
      <c r="T233" s="3894">
        <v>15.2</v>
      </c>
      <c r="U233" s="3895">
        <v>20.14</v>
      </c>
      <c r="V233" s="3895">
        <v>40.17</v>
      </c>
      <c r="W233" s="3895">
        <v>41.2</v>
      </c>
      <c r="X233" s="4728"/>
      <c r="Y233" s="4730"/>
      <c r="Z233" s="4722"/>
      <c r="AA233" s="4722"/>
      <c r="AB233" s="4722"/>
      <c r="AC233" s="4722"/>
      <c r="AD233" s="3896" t="s">
        <v>1176</v>
      </c>
    </row>
    <row r="234" spans="1:30">
      <c r="A234" s="3897"/>
      <c r="B234" s="3898"/>
      <c r="C234" s="3898"/>
      <c r="D234" s="3898"/>
      <c r="E234" s="3898"/>
      <c r="F234" s="3898"/>
      <c r="G234" s="3898"/>
      <c r="H234" s="3898"/>
      <c r="I234" s="3898"/>
      <c r="J234" s="3898"/>
      <c r="K234" s="3898"/>
      <c r="L234" s="3898"/>
      <c r="M234" s="3898"/>
      <c r="N234" s="3898"/>
      <c r="O234" s="3898"/>
      <c r="P234" s="3898"/>
      <c r="Q234" s="3898"/>
      <c r="R234" s="3898"/>
      <c r="S234" s="3899"/>
      <c r="T234" s="3900"/>
      <c r="U234" s="3901"/>
      <c r="V234" s="3179"/>
      <c r="W234" s="3179"/>
      <c r="X234" s="3179"/>
      <c r="Y234" s="3179"/>
      <c r="Z234" s="3179"/>
      <c r="AA234" s="3179"/>
      <c r="AB234" s="3179"/>
      <c r="AC234" s="3179"/>
      <c r="AD234" s="3897"/>
    </row>
    <row r="235" spans="1:30">
      <c r="A235" s="3902" t="s">
        <v>1177</v>
      </c>
      <c r="B235" s="3903"/>
      <c r="C235" s="3903"/>
      <c r="D235" s="3903"/>
    </row>
    <row r="236" spans="1:30" ht="15.6">
      <c r="A236" s="3904" t="s">
        <v>1178</v>
      </c>
      <c r="B236" s="1669" t="s">
        <v>1179</v>
      </c>
      <c r="C236" s="3903"/>
      <c r="D236" s="3903"/>
    </row>
    <row r="237" spans="1:30" ht="15.6">
      <c r="A237" s="3904" t="s">
        <v>1180</v>
      </c>
      <c r="B237" s="1669" t="s">
        <v>1181</v>
      </c>
      <c r="C237" s="3903"/>
      <c r="D237" s="3903"/>
    </row>
    <row r="238" spans="1:30" ht="15.6">
      <c r="A238" s="3904" t="s">
        <v>1182</v>
      </c>
      <c r="B238" s="1669" t="s">
        <v>1183</v>
      </c>
      <c r="C238" s="3903"/>
    </row>
    <row r="239" spans="1:30" ht="15.6">
      <c r="A239" s="3904" t="s">
        <v>1184</v>
      </c>
      <c r="B239" s="1669" t="s">
        <v>1185</v>
      </c>
      <c r="C239" s="3903"/>
      <c r="D239" s="3903"/>
    </row>
    <row r="240" spans="1:30" ht="15.6">
      <c r="A240" s="3904" t="s">
        <v>1186</v>
      </c>
      <c r="B240" s="1669" t="s">
        <v>1187</v>
      </c>
      <c r="C240" s="3903"/>
      <c r="D240" s="3903"/>
    </row>
    <row r="241" spans="1:4" ht="15.6">
      <c r="A241" s="3904" t="s">
        <v>1188</v>
      </c>
      <c r="B241" s="1669" t="s">
        <v>1189</v>
      </c>
      <c r="C241" s="3903"/>
      <c r="D241" s="3903"/>
    </row>
    <row r="243" spans="1:4" ht="15.6">
      <c r="A243" s="2701"/>
      <c r="B243" s="1669"/>
    </row>
    <row r="244" spans="1:4" ht="15.6">
      <c r="B244" s="1669"/>
    </row>
    <row r="272" spans="1:1" ht="14.4">
      <c r="A272" s="2700" t="s">
        <v>1190</v>
      </c>
    </row>
    <row r="273" spans="1:1" ht="15.6">
      <c r="A273" s="1669" t="s">
        <v>1191</v>
      </c>
    </row>
  </sheetData>
  <mergeCells count="88">
    <mergeCell ref="G18:G21"/>
    <mergeCell ref="B18:B21"/>
    <mergeCell ref="C18:C21"/>
    <mergeCell ref="D18:D21"/>
    <mergeCell ref="E18:E21"/>
    <mergeCell ref="F18:F21"/>
    <mergeCell ref="H18:H21"/>
    <mergeCell ref="I18:I21"/>
    <mergeCell ref="J18:J21"/>
    <mergeCell ref="K22:O22"/>
    <mergeCell ref="P22:T22"/>
    <mergeCell ref="U38:Z40"/>
    <mergeCell ref="U41:W42"/>
    <mergeCell ref="I70:J70"/>
    <mergeCell ref="K70:T70"/>
    <mergeCell ref="U70:Y70"/>
    <mergeCell ref="S38:T39"/>
    <mergeCell ref="AA81:AA82"/>
    <mergeCell ref="AB81:AB82"/>
    <mergeCell ref="AC81:AC82"/>
    <mergeCell ref="B128:B131"/>
    <mergeCell ref="C128:C131"/>
    <mergeCell ref="D128:D131"/>
    <mergeCell ref="E128:E131"/>
    <mergeCell ref="F128:F131"/>
    <mergeCell ref="G128:G131"/>
    <mergeCell ref="H128:H131"/>
    <mergeCell ref="W81:W82"/>
    <mergeCell ref="X81:X82"/>
    <mergeCell ref="Y81:Y82"/>
    <mergeCell ref="Z81:Z82"/>
    <mergeCell ref="I128:I131"/>
    <mergeCell ref="J128:J131"/>
    <mergeCell ref="K128:K131"/>
    <mergeCell ref="A152:A153"/>
    <mergeCell ref="AD152:AD153"/>
    <mergeCell ref="U181:U184"/>
    <mergeCell ref="AB158:AB159"/>
    <mergeCell ref="AC158:AC159"/>
    <mergeCell ref="AD158:AD159"/>
    <mergeCell ref="A160:A161"/>
    <mergeCell ref="AD160:AD161"/>
    <mergeCell ref="A163:A164"/>
    <mergeCell ref="AD163:AD164"/>
    <mergeCell ref="A158:A159"/>
    <mergeCell ref="X158:X159"/>
    <mergeCell ref="Y158:Y159"/>
    <mergeCell ref="Z158:Z159"/>
    <mergeCell ref="AA158:AA159"/>
    <mergeCell ref="AD166:AD167"/>
    <mergeCell ref="A169:A170"/>
    <mergeCell ref="AD169:AD170"/>
    <mergeCell ref="A172:A173"/>
    <mergeCell ref="AD172:AD173"/>
    <mergeCell ref="A193:A194"/>
    <mergeCell ref="A196:A197"/>
    <mergeCell ref="V181:V184"/>
    <mergeCell ref="A185:A186"/>
    <mergeCell ref="AD185:AD186"/>
    <mergeCell ref="B187:B188"/>
    <mergeCell ref="C187:C188"/>
    <mergeCell ref="D187:D188"/>
    <mergeCell ref="E187:E188"/>
    <mergeCell ref="F187:F188"/>
    <mergeCell ref="G187:G188"/>
    <mergeCell ref="H187:H188"/>
    <mergeCell ref="Q181:Q184"/>
    <mergeCell ref="R181:R184"/>
    <mergeCell ref="S181:S184"/>
    <mergeCell ref="T181:T184"/>
    <mergeCell ref="R224:U224"/>
    <mergeCell ref="I187:I188"/>
    <mergeCell ref="J187:J188"/>
    <mergeCell ref="K187:K188"/>
    <mergeCell ref="L187:L188"/>
    <mergeCell ref="AD196:AD197"/>
    <mergeCell ref="R220:U220"/>
    <mergeCell ref="R221:U221"/>
    <mergeCell ref="R222:U222"/>
    <mergeCell ref="R223:U223"/>
    <mergeCell ref="AB232:AB233"/>
    <mergeCell ref="AC232:AC233"/>
    <mergeCell ref="R225:U225"/>
    <mergeCell ref="R226:U226"/>
    <mergeCell ref="X232:X233"/>
    <mergeCell ref="Y232:Y233"/>
    <mergeCell ref="Z232:Z233"/>
    <mergeCell ref="AA232:AA233"/>
  </mergeCells>
  <hyperlinks>
    <hyperlink ref="A273" r:id="rId1" xr:uid="{1BC8935E-F653-44CE-8E2C-ADC246737C28}"/>
    <hyperlink ref="B239" r:id="rId2" xr:uid="{D68E9845-EC3A-4BD7-84E9-CCDED2806898}"/>
    <hyperlink ref="B237" r:id="rId3" xr:uid="{54AE338C-9BF7-4B71-9F95-49CDEDFF12B6}"/>
    <hyperlink ref="B236" r:id="rId4" xr:uid="{AB94CC85-2A01-4A7C-8EF2-6AF7AFE071BE}"/>
    <hyperlink ref="B240" r:id="rId5" xr:uid="{839626CB-5516-453A-B720-0167D9771987}"/>
  </hyperlinks>
  <pageMargins left="0.19685039370078741" right="0.19685039370078741" top="0.15748031496062992" bottom="0.15748031496062992" header="0.31496062992125984" footer="0.31496062992125984"/>
  <pageSetup paperSize="9" scale="46" fitToHeight="0" orientation="portrait"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A1C20-5AA5-49E8-A6CB-7DBCF060802B}">
  <sheetPr>
    <pageSetUpPr fitToPage="1"/>
  </sheetPr>
  <dimension ref="A1:AX743"/>
  <sheetViews>
    <sheetView zoomScale="70" zoomScaleNormal="70" workbookViewId="0">
      <selection activeCell="F40" sqref="F40"/>
    </sheetView>
  </sheetViews>
  <sheetFormatPr defaultColWidth="8" defaultRowHeight="13.2" outlineLevelRow="1"/>
  <cols>
    <col min="1" max="1" width="7.69921875" style="3977" customWidth="1"/>
    <col min="2" max="2" width="26.8984375" style="3977" customWidth="1"/>
    <col min="3" max="3" width="8.69921875" style="3977" customWidth="1"/>
    <col min="4" max="4" width="11.796875" style="3977" customWidth="1"/>
    <col min="5" max="5" width="9.296875" style="3977" customWidth="1"/>
    <col min="6" max="9" width="10.3984375" style="3977" customWidth="1"/>
    <col min="10" max="10" width="10.8984375" style="3977" customWidth="1"/>
    <col min="11" max="11" width="9.296875" style="3977" customWidth="1"/>
    <col min="12" max="12" width="9.8984375" style="3977" customWidth="1"/>
    <col min="13" max="16" width="9.59765625" style="3977" customWidth="1"/>
    <col min="17" max="18" width="8.8984375" style="3977" customWidth="1"/>
    <col min="19" max="19" width="8.5" style="3977" customWidth="1"/>
    <col min="20" max="23" width="9.296875" style="3977" customWidth="1"/>
    <col min="24" max="25" width="9.5" style="3977" customWidth="1"/>
    <col min="26" max="26" width="10.8984375" style="3977" customWidth="1"/>
    <col min="27" max="27" width="7.5" style="3978" customWidth="1"/>
    <col min="28" max="28" width="5.5" style="3977" customWidth="1"/>
    <col min="29" max="29" width="6" style="3977" customWidth="1"/>
    <col min="30" max="30" width="7.69921875" style="3977" customWidth="1"/>
    <col min="31" max="31" width="5.5" style="3977" customWidth="1"/>
    <col min="32" max="32" width="6.69921875" style="3977" customWidth="1"/>
    <col min="33" max="33" width="8.8984375" style="3977" customWidth="1"/>
    <col min="34" max="34" width="8.19921875" style="3977" customWidth="1"/>
    <col min="35" max="35" width="7.09765625" style="3977" customWidth="1"/>
    <col min="36" max="39" width="8" style="3977"/>
    <col min="40" max="40" width="6" style="3977" customWidth="1"/>
    <col min="41" max="41" width="6.69921875" style="3977" customWidth="1"/>
    <col min="42" max="42" width="8.19921875" style="3977" customWidth="1"/>
    <col min="43" max="43" width="6.19921875" style="3977" customWidth="1"/>
    <col min="44" max="44" width="6" style="3978" customWidth="1"/>
    <col min="45" max="45" width="7.69921875" style="3978" customWidth="1"/>
    <col min="46" max="46" width="8.19921875" style="3977" customWidth="1"/>
    <col min="47" max="47" width="8.3984375" style="3977" customWidth="1"/>
    <col min="48" max="48" width="8" style="3977"/>
    <col min="49" max="50" width="8" style="3978"/>
    <col min="51" max="16384" width="8" style="3977"/>
  </cols>
  <sheetData>
    <row r="1" spans="1:50">
      <c r="AA1" s="3977"/>
      <c r="AR1" s="3977"/>
      <c r="AS1" s="3977"/>
    </row>
    <row r="2" spans="1:50" ht="15" customHeight="1">
      <c r="B2" s="4823"/>
      <c r="C2" s="4824" t="s">
        <v>1234</v>
      </c>
      <c r="D2" s="4825"/>
      <c r="E2" s="4825"/>
      <c r="F2" s="4825"/>
      <c r="G2" s="4825"/>
      <c r="H2" s="4825"/>
      <c r="I2" s="4826"/>
      <c r="J2" s="4827" t="s">
        <v>1235</v>
      </c>
      <c r="K2" s="4828"/>
      <c r="L2" s="4828"/>
      <c r="M2" s="4828"/>
      <c r="N2" s="4828"/>
      <c r="O2" s="4828"/>
      <c r="P2" s="4829"/>
      <c r="Q2" s="4830" t="s">
        <v>1236</v>
      </c>
      <c r="R2" s="4831"/>
      <c r="S2" s="4831"/>
      <c r="T2" s="4831"/>
      <c r="U2" s="4831"/>
      <c r="V2" s="4831"/>
      <c r="W2" s="4831"/>
      <c r="AA2" s="3977"/>
      <c r="AR2" s="3977"/>
      <c r="AS2" s="3977"/>
      <c r="AW2" s="3977"/>
      <c r="AX2" s="3977"/>
    </row>
    <row r="3" spans="1:50">
      <c r="B3" s="4823"/>
      <c r="C3" s="3979">
        <v>2021</v>
      </c>
      <c r="D3" s="3979">
        <v>2022</v>
      </c>
      <c r="E3" s="3979">
        <v>2023</v>
      </c>
      <c r="F3" s="3979">
        <v>2024</v>
      </c>
      <c r="G3" s="3979">
        <v>2025</v>
      </c>
      <c r="H3" s="3979">
        <v>2026</v>
      </c>
      <c r="I3" s="3979">
        <v>2027</v>
      </c>
      <c r="J3" s="3979">
        <v>2021</v>
      </c>
      <c r="K3" s="3979">
        <v>2022</v>
      </c>
      <c r="L3" s="3980">
        <v>2023</v>
      </c>
      <c r="M3" s="3980">
        <v>2024</v>
      </c>
      <c r="N3" s="3979">
        <v>2025</v>
      </c>
      <c r="O3" s="3979">
        <v>2026</v>
      </c>
      <c r="P3" s="3979">
        <v>2027</v>
      </c>
      <c r="Q3" s="3979">
        <v>2021</v>
      </c>
      <c r="R3" s="3979">
        <v>2022</v>
      </c>
      <c r="S3" s="3979">
        <v>2023</v>
      </c>
      <c r="T3" s="3979">
        <v>2024</v>
      </c>
      <c r="U3" s="3979">
        <v>2025</v>
      </c>
      <c r="V3" s="3979">
        <v>2026</v>
      </c>
      <c r="W3" s="3979">
        <v>2027</v>
      </c>
      <c r="AA3" s="3977"/>
      <c r="AR3" s="3977"/>
      <c r="AS3" s="3977"/>
      <c r="AW3" s="3977"/>
      <c r="AX3" s="3977"/>
    </row>
    <row r="4" spans="1:50" ht="13.5" customHeight="1">
      <c r="B4" s="3981" t="s">
        <v>1237</v>
      </c>
      <c r="C4" s="3982"/>
      <c r="D4" s="3982"/>
      <c r="E4" s="3982"/>
      <c r="F4" s="3982"/>
      <c r="G4" s="3982"/>
      <c r="H4" s="3982"/>
      <c r="I4" s="3983"/>
      <c r="J4" s="3984"/>
      <c r="K4" s="3985"/>
      <c r="L4" s="3985"/>
      <c r="M4" s="3985"/>
      <c r="N4" s="3985"/>
      <c r="O4" s="3985"/>
      <c r="P4" s="3983"/>
      <c r="Q4" s="3986">
        <v>0.2</v>
      </c>
      <c r="R4" s="3987">
        <v>0.2</v>
      </c>
      <c r="S4" s="3988">
        <v>0.2</v>
      </c>
      <c r="T4" s="3988">
        <v>0.2</v>
      </c>
      <c r="U4" s="3988"/>
      <c r="V4" s="3988"/>
      <c r="W4" s="3983"/>
      <c r="AA4" s="3977"/>
      <c r="AR4" s="3977"/>
      <c r="AS4" s="3977"/>
      <c r="AW4" s="3977"/>
      <c r="AX4" s="3977"/>
    </row>
    <row r="5" spans="1:50">
      <c r="B5" s="3989" t="s">
        <v>1238</v>
      </c>
      <c r="C5" s="3990">
        <v>0.2</v>
      </c>
      <c r="D5" s="3990">
        <v>0.2</v>
      </c>
      <c r="E5" s="3990">
        <v>0.2</v>
      </c>
      <c r="F5" s="3990">
        <v>0.2</v>
      </c>
      <c r="G5" s="3991">
        <v>0.255</v>
      </c>
      <c r="H5" s="3992">
        <v>0.255</v>
      </c>
      <c r="I5" s="3993">
        <v>0.255</v>
      </c>
      <c r="J5" s="3994">
        <v>0.2</v>
      </c>
      <c r="K5" s="3994">
        <v>0.2</v>
      </c>
      <c r="L5" s="3994">
        <v>0.2</v>
      </c>
      <c r="M5" s="3994">
        <v>0.2</v>
      </c>
      <c r="N5" s="3994"/>
      <c r="O5" s="3994"/>
      <c r="P5" s="3995"/>
      <c r="Q5" s="3996"/>
      <c r="R5" s="3996"/>
      <c r="S5" s="3997"/>
      <c r="T5" s="3997"/>
      <c r="U5" s="3997"/>
      <c r="V5" s="3997"/>
      <c r="W5" s="3995"/>
      <c r="AA5" s="3977"/>
      <c r="AR5" s="3977"/>
      <c r="AS5" s="3977"/>
      <c r="AW5" s="3977"/>
      <c r="AX5" s="3977"/>
    </row>
    <row r="6" spans="1:50" ht="17.25" customHeight="1">
      <c r="B6" s="3989" t="s">
        <v>1239</v>
      </c>
      <c r="C6" s="3990">
        <v>0.23</v>
      </c>
      <c r="D6" s="3990">
        <v>0.23</v>
      </c>
      <c r="E6" s="3990">
        <v>0.23</v>
      </c>
      <c r="F6" s="3990">
        <v>0.23</v>
      </c>
      <c r="G6" s="3990">
        <v>0.33</v>
      </c>
      <c r="H6" s="3990">
        <v>0.33</v>
      </c>
      <c r="I6" s="3995">
        <v>0.33</v>
      </c>
      <c r="J6" s="3984">
        <v>0.32</v>
      </c>
      <c r="K6" s="3984">
        <v>0.32</v>
      </c>
      <c r="L6" s="3984">
        <v>0.32</v>
      </c>
      <c r="M6" s="3984">
        <v>0.32</v>
      </c>
      <c r="N6" s="3984"/>
      <c r="O6" s="3984"/>
      <c r="P6" s="3995"/>
      <c r="Q6" s="3996"/>
      <c r="R6" s="3996"/>
      <c r="S6" s="3998"/>
      <c r="T6" s="3998"/>
      <c r="U6" s="3998"/>
      <c r="V6" s="3998"/>
      <c r="W6" s="3995"/>
      <c r="AA6" s="3977"/>
      <c r="AR6" s="3977"/>
      <c r="AS6" s="3977"/>
      <c r="AW6" s="3977"/>
      <c r="AX6" s="3977"/>
    </row>
    <row r="7" spans="1:50">
      <c r="B7" s="3989" t="s">
        <v>1240</v>
      </c>
      <c r="C7" s="3999">
        <v>0.31</v>
      </c>
      <c r="D7" s="4000">
        <v>0.31</v>
      </c>
      <c r="E7" s="3990">
        <v>0.31</v>
      </c>
      <c r="F7" s="3990">
        <v>0.31</v>
      </c>
      <c r="G7" s="3990"/>
      <c r="H7" s="3990"/>
      <c r="I7" s="3995"/>
      <c r="J7" s="3982"/>
      <c r="K7" s="3982"/>
      <c r="L7" s="3982"/>
      <c r="M7" s="3982"/>
      <c r="N7" s="3982"/>
      <c r="O7" s="3982"/>
      <c r="P7" s="3995"/>
      <c r="Q7" s="3996"/>
      <c r="R7" s="3996"/>
      <c r="S7" s="4001"/>
      <c r="T7" s="4001"/>
      <c r="U7" s="4001"/>
      <c r="V7" s="4001"/>
      <c r="W7" s="3995"/>
      <c r="AA7" s="3977"/>
      <c r="AR7" s="3977"/>
      <c r="AS7" s="3977"/>
      <c r="AW7" s="3977"/>
      <c r="AX7" s="3977"/>
    </row>
    <row r="8" spans="1:50" ht="15.75" customHeight="1">
      <c r="B8" s="3989" t="s">
        <v>1241</v>
      </c>
      <c r="C8" s="4002">
        <v>20004</v>
      </c>
      <c r="D8" s="4002">
        <v>20004</v>
      </c>
      <c r="E8" s="4002">
        <v>20004</v>
      </c>
      <c r="F8" s="4002">
        <v>20004</v>
      </c>
      <c r="H8" s="3982"/>
      <c r="I8" s="4003"/>
      <c r="J8" s="4004">
        <v>81162</v>
      </c>
      <c r="K8" s="4005">
        <f>1504.1*60</f>
        <v>90246</v>
      </c>
      <c r="L8" s="4005">
        <v>101094</v>
      </c>
      <c r="M8" s="4005">
        <v>114162</v>
      </c>
      <c r="N8" s="4005"/>
      <c r="O8" s="4005"/>
      <c r="P8" s="4003"/>
      <c r="Q8" s="3996"/>
      <c r="R8" s="3996"/>
      <c r="S8" s="4006"/>
      <c r="T8" s="4006"/>
      <c r="U8" s="4006"/>
      <c r="V8" s="4006"/>
      <c r="W8" s="4003"/>
      <c r="AA8" s="3977"/>
      <c r="AR8" s="3977"/>
      <c r="AS8" s="3977"/>
      <c r="AW8" s="3977"/>
      <c r="AX8" s="3977"/>
    </row>
    <row r="9" spans="1:50" ht="13.5" customHeight="1" thickBot="1">
      <c r="B9" s="3989" t="s">
        <v>1242</v>
      </c>
      <c r="C9" s="4007">
        <v>62800</v>
      </c>
      <c r="D9" s="4007">
        <v>78100</v>
      </c>
      <c r="E9" s="4008">
        <v>78100</v>
      </c>
      <c r="F9" s="4008">
        <v>78100</v>
      </c>
      <c r="G9" s="4009">
        <v>105300</v>
      </c>
      <c r="H9" s="4002">
        <v>105300</v>
      </c>
      <c r="I9" s="4010">
        <v>105300</v>
      </c>
      <c r="J9" s="3982"/>
      <c r="K9" s="3982"/>
      <c r="L9" s="3982"/>
      <c r="M9" s="3982"/>
      <c r="N9" s="3982"/>
      <c r="O9" s="3982"/>
      <c r="P9" s="4010"/>
      <c r="Q9" s="4011"/>
      <c r="R9" s="4011"/>
      <c r="S9" s="4001"/>
      <c r="T9" s="4001"/>
      <c r="U9" s="4001"/>
      <c r="V9" s="4001"/>
      <c r="W9" s="4010"/>
      <c r="AA9" s="3977"/>
      <c r="AR9" s="3977"/>
      <c r="AS9" s="3977"/>
      <c r="AW9" s="3977"/>
      <c r="AX9" s="3977"/>
    </row>
    <row r="10" spans="1:50">
      <c r="B10" s="4012" t="s">
        <v>1243</v>
      </c>
      <c r="C10" s="4013">
        <v>0</v>
      </c>
      <c r="D10" s="4013">
        <v>0</v>
      </c>
      <c r="E10" s="4013">
        <v>0</v>
      </c>
      <c r="F10" s="4013">
        <v>0</v>
      </c>
      <c r="G10" s="4014">
        <v>510</v>
      </c>
      <c r="H10" s="4014">
        <v>550</v>
      </c>
      <c r="I10" s="4015">
        <v>570</v>
      </c>
      <c r="J10" s="4013">
        <v>0</v>
      </c>
      <c r="K10" s="4016">
        <f>K16</f>
        <v>208.82088208820883</v>
      </c>
      <c r="L10" s="4016">
        <f>L16</f>
        <v>168.85688568856887</v>
      </c>
      <c r="M10" s="4016">
        <f>M16</f>
        <v>125.4725472547255</v>
      </c>
      <c r="N10" s="4016"/>
      <c r="O10" s="4016"/>
      <c r="P10" s="4017"/>
      <c r="Q10" s="4018">
        <v>0</v>
      </c>
      <c r="R10" s="4018">
        <v>0</v>
      </c>
      <c r="S10" s="4019">
        <v>0</v>
      </c>
      <c r="T10" s="4019">
        <v>0</v>
      </c>
      <c r="U10" s="4019"/>
      <c r="V10" s="4019"/>
      <c r="W10" s="4017"/>
      <c r="AA10" s="3977"/>
      <c r="AR10" s="3977"/>
      <c r="AS10" s="3977"/>
      <c r="AW10" s="3977"/>
      <c r="AX10" s="3977"/>
    </row>
    <row r="11" spans="1:50">
      <c r="B11" s="4020" t="s">
        <v>1244</v>
      </c>
      <c r="C11" s="4011">
        <v>300</v>
      </c>
      <c r="D11" s="4011">
        <f>(350+500)/2</f>
        <v>425</v>
      </c>
      <c r="E11" s="4021">
        <v>500</v>
      </c>
      <c r="F11" s="4021">
        <v>500</v>
      </c>
      <c r="G11" s="4021"/>
      <c r="H11" s="4021"/>
      <c r="I11" s="4022"/>
      <c r="J11" s="4023">
        <v>400</v>
      </c>
      <c r="K11" s="4023">
        <v>540</v>
      </c>
      <c r="L11" s="4023">
        <v>625</v>
      </c>
      <c r="M11" s="4023">
        <v>747</v>
      </c>
      <c r="N11" s="4023"/>
      <c r="O11" s="4023"/>
      <c r="P11" s="4022"/>
      <c r="Q11" s="4024">
        <v>500</v>
      </c>
      <c r="R11" s="4024">
        <v>500</v>
      </c>
      <c r="S11" s="4025">
        <v>654</v>
      </c>
      <c r="T11" s="4025">
        <v>654</v>
      </c>
      <c r="U11" s="4025"/>
      <c r="V11" s="4025"/>
      <c r="W11" s="4022"/>
      <c r="AA11" s="3977"/>
      <c r="AR11" s="3977"/>
      <c r="AS11" s="3977"/>
      <c r="AW11" s="3977"/>
      <c r="AX11" s="3977"/>
    </row>
    <row r="12" spans="1:50">
      <c r="B12" s="4026" t="s">
        <v>1245</v>
      </c>
      <c r="C12" s="4023">
        <v>1800</v>
      </c>
      <c r="D12" s="4011">
        <v>1800</v>
      </c>
      <c r="E12" s="4011">
        <v>1800</v>
      </c>
      <c r="F12" s="4011">
        <v>1800</v>
      </c>
      <c r="G12" s="4011"/>
      <c r="H12" s="4011"/>
      <c r="I12" s="4027"/>
      <c r="J12" s="4023">
        <v>2864</v>
      </c>
      <c r="K12" s="4023">
        <v>1704</v>
      </c>
      <c r="L12" s="4023">
        <v>1926</v>
      </c>
      <c r="M12" s="4023">
        <v>2167</v>
      </c>
      <c r="N12" s="4023"/>
      <c r="O12" s="4023"/>
      <c r="P12" s="4027"/>
      <c r="Q12" s="4024">
        <v>2100</v>
      </c>
      <c r="R12" s="4024">
        <v>2100</v>
      </c>
      <c r="S12" s="4028">
        <v>2100</v>
      </c>
      <c r="T12" s="4028">
        <v>2100</v>
      </c>
      <c r="U12" s="4028"/>
      <c r="V12" s="4028"/>
      <c r="W12" s="4027"/>
      <c r="AA12" s="3977"/>
      <c r="AR12" s="3977"/>
      <c r="AS12" s="3977"/>
      <c r="AW12" s="3977"/>
      <c r="AX12" s="3977"/>
    </row>
    <row r="13" spans="1:50">
      <c r="B13" s="4026" t="s">
        <v>1246</v>
      </c>
      <c r="C13" s="4011">
        <v>500</v>
      </c>
      <c r="D13" s="4011">
        <v>500</v>
      </c>
      <c r="E13" s="4011">
        <v>500</v>
      </c>
      <c r="F13" s="4011">
        <v>500</v>
      </c>
      <c r="G13" s="4011"/>
      <c r="H13" s="4011"/>
      <c r="I13" s="4027"/>
      <c r="J13" s="4023">
        <v>642</v>
      </c>
      <c r="K13" s="4023">
        <v>730</v>
      </c>
      <c r="L13" s="4023">
        <v>840</v>
      </c>
      <c r="M13" s="4023">
        <v>924</v>
      </c>
      <c r="N13" s="4023"/>
      <c r="O13" s="4023"/>
      <c r="P13" s="4027"/>
      <c r="Q13" s="4024">
        <v>1200</v>
      </c>
      <c r="R13" s="4024">
        <v>1200</v>
      </c>
      <c r="S13" s="4028">
        <v>1200</v>
      </c>
      <c r="T13" s="4028">
        <v>1200</v>
      </c>
      <c r="U13" s="4028"/>
      <c r="V13" s="4028"/>
      <c r="W13" s="4027"/>
      <c r="AA13" s="3977"/>
      <c r="AR13" s="3977"/>
      <c r="AS13" s="3977"/>
      <c r="AW13" s="3977"/>
      <c r="AX13" s="3977"/>
    </row>
    <row r="14" spans="1:50">
      <c r="B14" s="4029" t="s">
        <v>1247</v>
      </c>
      <c r="C14" s="4030">
        <f>(C11-C10)/(C12-C13)</f>
        <v>0.23076923076923078</v>
      </c>
      <c r="D14" s="4030">
        <f>(D11-D10)/(D12-D13)</f>
        <v>0.32692307692307693</v>
      </c>
      <c r="E14" s="4031">
        <f>(E11-E10)/(E12-E13)</f>
        <v>0.38461538461538464</v>
      </c>
      <c r="F14" s="4031">
        <f>(F11-F10)/(F12-F13)</f>
        <v>0.38461538461538464</v>
      </c>
      <c r="G14" s="4031"/>
      <c r="H14" s="4031"/>
      <c r="I14" s="4032"/>
      <c r="J14" s="4033">
        <f t="shared" ref="J14" si="0">(J11-J10)/(J12-J13)</f>
        <v>0.18001800180018002</v>
      </c>
      <c r="K14" s="4033">
        <f>ROUND((K11-K10)/(K12-K13),2)</f>
        <v>0.34</v>
      </c>
      <c r="L14" s="4033">
        <f>ROUND((L11-L10)/(L12-L13),2)</f>
        <v>0.42</v>
      </c>
      <c r="M14" s="4033">
        <f>ROUND((M11-M10)/(M12-M13),2)</f>
        <v>0.5</v>
      </c>
      <c r="N14" s="4033"/>
      <c r="O14" s="4033"/>
      <c r="P14" s="4032"/>
      <c r="Q14" s="4033">
        <f t="shared" ref="Q14:R14" si="1">(Q11-Q10)/(Q12-Q13)</f>
        <v>0.55555555555555558</v>
      </c>
      <c r="R14" s="4033">
        <f t="shared" si="1"/>
        <v>0.55555555555555558</v>
      </c>
      <c r="S14" s="4034">
        <f>(S11-S10)/(S12-S13)</f>
        <v>0.72666666666666668</v>
      </c>
      <c r="T14" s="4034">
        <f>(T11-T10)/(T12-T13)</f>
        <v>0.72666666666666668</v>
      </c>
      <c r="U14" s="4034"/>
      <c r="V14" s="4034"/>
      <c r="W14" s="4032"/>
      <c r="AA14" s="3977"/>
      <c r="AR14" s="3977"/>
      <c r="AS14" s="3977"/>
      <c r="AW14" s="3977"/>
      <c r="AX14" s="3977"/>
    </row>
    <row r="15" spans="1:50">
      <c r="B15" s="4020" t="s">
        <v>1248</v>
      </c>
      <c r="C15" s="4030"/>
      <c r="D15" s="4030"/>
      <c r="E15" s="4033"/>
      <c r="F15" s="4033"/>
      <c r="G15" s="4033"/>
      <c r="H15" s="4033"/>
      <c r="I15" s="4035"/>
      <c r="J15" s="4033"/>
      <c r="K15" s="4023">
        <v>0</v>
      </c>
      <c r="L15" s="4011">
        <v>0</v>
      </c>
      <c r="M15" s="4011">
        <v>0</v>
      </c>
      <c r="N15" s="4011"/>
      <c r="O15" s="4011"/>
      <c r="P15" s="4035"/>
      <c r="Q15" s="4033"/>
      <c r="R15" s="4024"/>
      <c r="S15" s="4025"/>
      <c r="T15" s="4025"/>
      <c r="U15" s="4025"/>
      <c r="V15" s="4025"/>
      <c r="W15" s="4035"/>
      <c r="AA15" s="3977"/>
      <c r="AR15" s="3977"/>
      <c r="AS15" s="3977"/>
      <c r="AW15" s="3977"/>
      <c r="AX15" s="3977"/>
    </row>
    <row r="16" spans="1:50">
      <c r="A16" s="4036"/>
      <c r="B16" s="4020" t="s">
        <v>1249</v>
      </c>
      <c r="C16" s="4033"/>
      <c r="D16" s="4033"/>
      <c r="E16" s="4033"/>
      <c r="F16" s="4033"/>
      <c r="G16" s="4033"/>
      <c r="H16" s="4033"/>
      <c r="I16" s="4035"/>
      <c r="J16" s="4033"/>
      <c r="K16" s="4037">
        <f>J11-J14*(1704-J13)</f>
        <v>208.82088208820883</v>
      </c>
      <c r="L16" s="4037">
        <f>J11-J14*(1926-J13)</f>
        <v>168.85688568856887</v>
      </c>
      <c r="M16" s="4037">
        <f>J11-J14*(2167-J13)</f>
        <v>125.4725472547255</v>
      </c>
      <c r="N16" s="4037"/>
      <c r="O16" s="4037"/>
      <c r="P16" s="4035"/>
      <c r="Q16" s="4033"/>
      <c r="R16" s="4024"/>
      <c r="S16" s="4038"/>
      <c r="T16" s="4038"/>
      <c r="U16" s="4038"/>
      <c r="V16" s="4038"/>
      <c r="W16" s="4035"/>
      <c r="AA16" s="3977"/>
      <c r="AR16" s="3977"/>
      <c r="AS16" s="3977"/>
      <c r="AW16" s="3977"/>
      <c r="AX16" s="3977"/>
    </row>
    <row r="17" spans="1:50">
      <c r="A17" s="4036"/>
      <c r="B17" s="4026" t="s">
        <v>1250</v>
      </c>
      <c r="C17" s="4033"/>
      <c r="D17" s="4033"/>
      <c r="E17" s="4033"/>
      <c r="F17" s="4033"/>
      <c r="G17" s="4033"/>
      <c r="H17" s="4033"/>
      <c r="I17" s="4035"/>
      <c r="J17" s="4033"/>
      <c r="K17" s="4039">
        <f>J12</f>
        <v>2864</v>
      </c>
      <c r="L17" s="4011">
        <f>J12</f>
        <v>2864</v>
      </c>
      <c r="M17" s="4011">
        <f>J12</f>
        <v>2864</v>
      </c>
      <c r="N17" s="4011"/>
      <c r="O17" s="4011"/>
      <c r="P17" s="4035"/>
      <c r="Q17" s="4033"/>
      <c r="R17" s="4024"/>
      <c r="S17" s="4025"/>
      <c r="T17" s="4025"/>
      <c r="U17" s="4025"/>
      <c r="V17" s="4025"/>
      <c r="W17" s="4035"/>
      <c r="AA17" s="3977"/>
      <c r="AR17" s="3977"/>
      <c r="AS17" s="3977"/>
      <c r="AW17" s="3977"/>
      <c r="AX17" s="3977"/>
    </row>
    <row r="18" spans="1:50">
      <c r="A18" s="4036"/>
      <c r="B18" s="4026" t="s">
        <v>1251</v>
      </c>
      <c r="C18" s="4011"/>
      <c r="D18" s="4011"/>
      <c r="E18" s="4011"/>
      <c r="F18" s="4011"/>
      <c r="G18" s="4011"/>
      <c r="H18" s="4011"/>
      <c r="I18" s="4027"/>
      <c r="J18" s="4023"/>
      <c r="K18" s="4023">
        <f>K12</f>
        <v>1704</v>
      </c>
      <c r="L18" s="4023">
        <f>L12</f>
        <v>1926</v>
      </c>
      <c r="M18" s="4023">
        <f>M12</f>
        <v>2167</v>
      </c>
      <c r="N18" s="4023"/>
      <c r="O18" s="4023"/>
      <c r="P18" s="4027"/>
      <c r="Q18" s="4024"/>
      <c r="R18" s="4024"/>
      <c r="S18" s="4025"/>
      <c r="T18" s="4025"/>
      <c r="U18" s="4025"/>
      <c r="V18" s="4025"/>
      <c r="W18" s="4027"/>
      <c r="AA18" s="3977"/>
      <c r="AR18" s="3977"/>
      <c r="AS18" s="3977"/>
      <c r="AW18" s="3977"/>
      <c r="AX18" s="3977"/>
    </row>
    <row r="19" spans="1:50" ht="13.8" thickBot="1">
      <c r="B19" s="4040" t="s">
        <v>1252</v>
      </c>
      <c r="C19" s="4041"/>
      <c r="D19" s="4041"/>
      <c r="E19" s="4041"/>
      <c r="F19" s="4041"/>
      <c r="G19" s="4041"/>
      <c r="H19" s="4041"/>
      <c r="I19" s="4042"/>
      <c r="J19" s="4043"/>
      <c r="K19" s="4044">
        <f>ROUND((K16-K15)/(K17-K18),2)</f>
        <v>0.18</v>
      </c>
      <c r="L19" s="4044">
        <f>ROUND((L16-L15)/(L17-L18),2)</f>
        <v>0.18</v>
      </c>
      <c r="M19" s="4044">
        <f>ROUND((M16-M15)/(M17-M18),2)</f>
        <v>0.18</v>
      </c>
      <c r="N19" s="4044"/>
      <c r="O19" s="4044"/>
      <c r="P19" s="4042"/>
      <c r="Q19" s="4045"/>
      <c r="R19" s="4045"/>
      <c r="S19" s="4046"/>
      <c r="T19" s="4046"/>
      <c r="U19" s="4046"/>
      <c r="V19" s="4046"/>
      <c r="W19" s="4042"/>
      <c r="AA19" s="3977"/>
      <c r="AR19" s="3977"/>
      <c r="AS19" s="3977"/>
      <c r="AW19" s="3977"/>
      <c r="AX19" s="3977"/>
    </row>
    <row r="20" spans="1:50" ht="15.75" customHeight="1">
      <c r="B20" s="3981" t="s">
        <v>1253</v>
      </c>
      <c r="C20" s="4047">
        <v>0.2359</v>
      </c>
      <c r="D20" s="4048">
        <v>0.2359</v>
      </c>
      <c r="E20" s="4049">
        <v>0.2359</v>
      </c>
      <c r="F20" s="4049">
        <v>0.2359</v>
      </c>
      <c r="G20" s="4049">
        <v>0.2359</v>
      </c>
      <c r="H20" s="4049">
        <v>0.2359</v>
      </c>
      <c r="I20" s="4050">
        <v>0.2359</v>
      </c>
      <c r="J20" s="4049">
        <v>1.77E-2</v>
      </c>
      <c r="K20" s="4049">
        <v>1.77E-2</v>
      </c>
      <c r="L20" s="4049">
        <v>1.77E-2</v>
      </c>
      <c r="M20" s="4049">
        <v>1.77E-2</v>
      </c>
      <c r="N20" s="4049"/>
      <c r="O20" s="4049"/>
      <c r="P20" s="4050"/>
      <c r="Q20" s="4048">
        <v>0.33800000000000002</v>
      </c>
      <c r="R20" s="4048">
        <v>0.33800000000000002</v>
      </c>
      <c r="S20" s="4051">
        <v>0.33800000000000002</v>
      </c>
      <c r="T20" s="4051">
        <v>0.33800000000000002</v>
      </c>
      <c r="U20" s="4051"/>
      <c r="V20" s="4051"/>
      <c r="W20" s="4050"/>
      <c r="Z20" s="4052"/>
      <c r="AA20" s="3977"/>
      <c r="AR20" s="3977"/>
      <c r="AS20" s="3977"/>
      <c r="AW20" s="3977"/>
      <c r="AX20" s="3977"/>
    </row>
    <row r="21" spans="1:50" ht="11.25" customHeight="1">
      <c r="B21" s="3981" t="s">
        <v>1254</v>
      </c>
      <c r="C21" s="4047">
        <v>0.105</v>
      </c>
      <c r="D21" s="4048">
        <v>0.105</v>
      </c>
      <c r="E21" s="4049">
        <v>0.105</v>
      </c>
      <c r="F21" s="4049">
        <v>0.105</v>
      </c>
      <c r="G21" s="4049">
        <v>0.105</v>
      </c>
      <c r="H21" s="4049">
        <v>0.105</v>
      </c>
      <c r="I21" s="4050">
        <v>0.105</v>
      </c>
      <c r="J21" s="4049">
        <v>0.19500000000000001</v>
      </c>
      <c r="K21" s="4049">
        <v>0.19500000000000001</v>
      </c>
      <c r="L21" s="4049">
        <v>0.19500000000000001</v>
      </c>
      <c r="M21" s="4049">
        <v>0.19500000000000001</v>
      </c>
      <c r="N21" s="4049"/>
      <c r="O21" s="4049"/>
      <c r="P21" s="4050"/>
      <c r="Q21" s="4048">
        <v>1.6E-2</v>
      </c>
      <c r="R21" s="4048">
        <v>1.6E-2</v>
      </c>
      <c r="S21" s="4051">
        <v>1.6E-2</v>
      </c>
      <c r="T21" s="4051">
        <v>1.6E-2</v>
      </c>
      <c r="U21" s="4051"/>
      <c r="V21" s="4051"/>
      <c r="W21" s="4050"/>
      <c r="AA21" s="3977"/>
      <c r="AR21" s="3977"/>
      <c r="AS21" s="3977"/>
      <c r="AW21" s="3977"/>
      <c r="AX21" s="3977"/>
    </row>
    <row r="22" spans="1:50" ht="26.4">
      <c r="B22" s="4053" t="s">
        <v>1255</v>
      </c>
      <c r="C22" s="4047"/>
      <c r="D22" s="4048"/>
      <c r="E22" s="4049"/>
      <c r="F22" s="4049"/>
      <c r="G22" s="4049"/>
      <c r="H22" s="4049"/>
      <c r="I22" s="4050"/>
      <c r="J22" s="4049">
        <v>0.03</v>
      </c>
      <c r="K22" s="4049">
        <v>0.03</v>
      </c>
      <c r="L22" s="4049">
        <v>0.03</v>
      </c>
      <c r="M22" s="4049">
        <v>0.03</v>
      </c>
      <c r="N22" s="4049"/>
      <c r="O22" s="4049"/>
      <c r="P22" s="4050"/>
      <c r="Q22" s="4048">
        <v>0.02</v>
      </c>
      <c r="R22" s="4048">
        <v>0.02</v>
      </c>
      <c r="S22" s="4051">
        <v>0.02</v>
      </c>
      <c r="T22" s="4051">
        <v>0.02</v>
      </c>
      <c r="U22" s="4051"/>
      <c r="V22" s="4051"/>
      <c r="W22" s="4050"/>
      <c r="AA22" s="3977"/>
      <c r="AR22" s="3977"/>
      <c r="AS22" s="3977"/>
      <c r="AW22" s="3977"/>
      <c r="AX22" s="3977"/>
    </row>
    <row r="23" spans="1:50" ht="13.5" customHeight="1">
      <c r="B23" s="3981" t="s">
        <v>1256</v>
      </c>
      <c r="C23" s="4048"/>
      <c r="D23" s="4048"/>
      <c r="E23" s="4049"/>
      <c r="F23" s="4049"/>
      <c r="G23" s="4049"/>
      <c r="H23" s="4049"/>
      <c r="I23" s="4050"/>
      <c r="J23" s="4049">
        <v>6.9800000000000001E-2</v>
      </c>
      <c r="K23" s="4049">
        <v>6.9800000000000001E-2</v>
      </c>
      <c r="L23" s="4049">
        <v>6.9800000000000001E-2</v>
      </c>
      <c r="M23" s="4049">
        <v>6.9800000000000001E-2</v>
      </c>
      <c r="N23" s="4049"/>
      <c r="O23" s="4049"/>
      <c r="P23" s="4050"/>
      <c r="Q23" s="4048"/>
      <c r="R23" s="4048"/>
      <c r="S23" s="4051"/>
      <c r="T23" s="4051"/>
      <c r="U23" s="4051"/>
      <c r="V23" s="4051"/>
      <c r="W23" s="4050"/>
      <c r="AA23" s="3977"/>
      <c r="AR23" s="3977"/>
      <c r="AS23" s="3977"/>
      <c r="AW23" s="3977"/>
      <c r="AX23" s="3977"/>
    </row>
    <row r="24" spans="1:50" ht="15" customHeight="1">
      <c r="B24" s="4054" t="s">
        <v>154</v>
      </c>
      <c r="C24" s="4055">
        <f>C25+C26+C27</f>
        <v>0.25</v>
      </c>
      <c r="D24" s="4056">
        <v>0.25</v>
      </c>
      <c r="E24" s="4057">
        <v>0.25</v>
      </c>
      <c r="F24" s="4057">
        <v>0.25</v>
      </c>
      <c r="G24" s="4057">
        <v>0.25</v>
      </c>
      <c r="H24" s="4057">
        <v>0.25</v>
      </c>
      <c r="I24" s="4058">
        <v>0.25</v>
      </c>
      <c r="J24" s="4049"/>
      <c r="K24" s="4049"/>
      <c r="L24" s="4057"/>
      <c r="M24" s="4057"/>
      <c r="N24" s="4057"/>
      <c r="O24" s="4057"/>
      <c r="P24" s="4058"/>
      <c r="Q24" s="4048"/>
      <c r="R24" s="4048"/>
      <c r="S24" s="4051"/>
      <c r="T24" s="4051"/>
      <c r="U24" s="4051"/>
      <c r="V24" s="4051"/>
      <c r="W24" s="4058"/>
      <c r="AA24" s="3977"/>
      <c r="AR24" s="3977"/>
      <c r="AS24" s="3977"/>
      <c r="AW24" s="3977"/>
      <c r="AX24" s="3977"/>
    </row>
    <row r="25" spans="1:50" ht="15" customHeight="1">
      <c r="B25" s="4054" t="s">
        <v>1257</v>
      </c>
      <c r="C25" s="4056">
        <v>0.14000000000000001</v>
      </c>
      <c r="D25" s="4056">
        <v>0.14000000000000001</v>
      </c>
      <c r="E25" s="4057">
        <v>0.14000000000000001</v>
      </c>
      <c r="F25" s="4057">
        <v>0.14000000000000001</v>
      </c>
      <c r="G25" s="4057">
        <v>0.14000000000000001</v>
      </c>
      <c r="H25" s="4057">
        <v>0.14000000000000001</v>
      </c>
      <c r="I25" s="4058">
        <v>0.14000000000000001</v>
      </c>
      <c r="J25" s="4049"/>
      <c r="K25" s="4049"/>
      <c r="L25" s="4057"/>
      <c r="M25" s="4057"/>
      <c r="N25" s="4057"/>
      <c r="O25" s="4057"/>
      <c r="P25" s="4058"/>
      <c r="Q25" s="4048"/>
      <c r="R25" s="4048"/>
      <c r="S25" s="4051"/>
      <c r="T25" s="4051"/>
      <c r="U25" s="4051"/>
      <c r="V25" s="4051"/>
      <c r="W25" s="4058"/>
      <c r="AA25" s="3977"/>
      <c r="AR25" s="3977"/>
      <c r="AS25" s="3977"/>
      <c r="AW25" s="3977"/>
      <c r="AX25" s="3977"/>
    </row>
    <row r="26" spans="1:50" ht="15" customHeight="1">
      <c r="B26" s="4054" t="s">
        <v>1258</v>
      </c>
      <c r="C26" s="4055">
        <v>0.1</v>
      </c>
      <c r="D26" s="4056">
        <v>0.1</v>
      </c>
      <c r="E26" s="4057">
        <v>0.1</v>
      </c>
      <c r="F26" s="4057">
        <v>0.1</v>
      </c>
      <c r="G26" s="4057">
        <v>0.1</v>
      </c>
      <c r="H26" s="4057">
        <v>0.1</v>
      </c>
      <c r="I26" s="4058">
        <v>0.1</v>
      </c>
      <c r="J26" s="4049"/>
      <c r="K26" s="4049"/>
      <c r="L26" s="4057"/>
      <c r="M26" s="4057"/>
      <c r="N26" s="4057"/>
      <c r="O26" s="4057"/>
      <c r="P26" s="4058"/>
      <c r="Q26" s="4048"/>
      <c r="R26" s="4048"/>
      <c r="S26" s="4051"/>
      <c r="T26" s="4051"/>
      <c r="U26" s="4051"/>
      <c r="V26" s="4051"/>
      <c r="W26" s="4058"/>
      <c r="AA26" s="3977"/>
      <c r="AR26" s="3977"/>
      <c r="AS26" s="3977"/>
      <c r="AW26" s="3977"/>
      <c r="AX26" s="3977"/>
    </row>
    <row r="27" spans="1:50" ht="15" customHeight="1">
      <c r="B27" s="4054" t="s">
        <v>1259</v>
      </c>
      <c r="C27" s="4056">
        <v>0.01</v>
      </c>
      <c r="D27" s="4056">
        <v>0.01</v>
      </c>
      <c r="E27" s="4057">
        <v>0.01</v>
      </c>
      <c r="F27" s="4057">
        <v>0.01</v>
      </c>
      <c r="G27" s="4057">
        <v>0.01</v>
      </c>
      <c r="H27" s="4057">
        <v>0.01</v>
      </c>
      <c r="I27" s="4058">
        <v>0.01</v>
      </c>
      <c r="J27" s="4049"/>
      <c r="K27" s="4049"/>
      <c r="L27" s="4057"/>
      <c r="M27" s="4057"/>
      <c r="N27" s="4057"/>
      <c r="O27" s="4057"/>
      <c r="P27" s="4058"/>
      <c r="Q27" s="4048"/>
      <c r="R27" s="4048"/>
      <c r="S27" s="4051"/>
      <c r="T27" s="4051"/>
      <c r="U27" s="4051"/>
      <c r="V27" s="4051"/>
      <c r="W27" s="4058"/>
      <c r="AA27" s="3977"/>
      <c r="AR27" s="3977"/>
      <c r="AS27" s="3977"/>
      <c r="AW27" s="3977"/>
      <c r="AX27" s="3977"/>
    </row>
    <row r="28" spans="1:50" ht="15" customHeight="1">
      <c r="B28" s="4059" t="s">
        <v>1260</v>
      </c>
      <c r="C28" s="4060">
        <f t="shared" ref="C28:I28" si="2">C9/12</f>
        <v>5233.333333333333</v>
      </c>
      <c r="D28" s="4060">
        <f t="shared" si="2"/>
        <v>6508.333333333333</v>
      </c>
      <c r="E28" s="4061">
        <f t="shared" si="2"/>
        <v>6508.333333333333</v>
      </c>
      <c r="F28" s="4061">
        <f t="shared" si="2"/>
        <v>6508.333333333333</v>
      </c>
      <c r="G28" s="4061">
        <f t="shared" si="2"/>
        <v>8775</v>
      </c>
      <c r="H28" s="4061">
        <f t="shared" si="2"/>
        <v>8775</v>
      </c>
      <c r="I28" s="4062">
        <f t="shared" si="2"/>
        <v>8775</v>
      </c>
      <c r="J28" s="4063">
        <f>J8/12</f>
        <v>6763.5</v>
      </c>
      <c r="K28" s="4064">
        <f>K8/12</f>
        <v>7520.5</v>
      </c>
      <c r="L28" s="4064">
        <f>L8/12</f>
        <v>8424.5</v>
      </c>
      <c r="M28" s="4064">
        <f>M8/12</f>
        <v>9513.5</v>
      </c>
      <c r="N28" s="4064"/>
      <c r="O28" s="4064"/>
      <c r="P28" s="4062"/>
      <c r="Q28" s="4048"/>
      <c r="R28" s="4048"/>
      <c r="S28" s="4065"/>
      <c r="T28" s="4065"/>
      <c r="U28" s="4065"/>
      <c r="V28" s="4065"/>
      <c r="W28" s="4062"/>
      <c r="AA28" s="3977"/>
      <c r="AR28" s="3977"/>
      <c r="AS28" s="3977"/>
      <c r="AW28" s="3977"/>
      <c r="AX28" s="3977"/>
    </row>
    <row r="29" spans="1:50" ht="18" customHeight="1" thickBot="1">
      <c r="B29" s="4066" t="s">
        <v>1261</v>
      </c>
      <c r="C29" s="4067">
        <v>500</v>
      </c>
      <c r="D29" s="4067">
        <v>500</v>
      </c>
      <c r="E29" s="4067">
        <v>620</v>
      </c>
      <c r="F29" s="4067">
        <v>700</v>
      </c>
      <c r="G29" s="4067">
        <v>740</v>
      </c>
      <c r="H29" s="4067">
        <v>780</v>
      </c>
      <c r="I29" s="4068">
        <v>820</v>
      </c>
      <c r="J29" s="4067">
        <v>642</v>
      </c>
      <c r="K29" s="4067">
        <v>730</v>
      </c>
      <c r="L29" s="4067">
        <v>840</v>
      </c>
      <c r="M29" s="4067">
        <v>924</v>
      </c>
      <c r="N29" s="4067"/>
      <c r="O29" s="4067"/>
      <c r="P29" s="4068"/>
      <c r="Q29" s="4067">
        <v>584</v>
      </c>
      <c r="R29" s="4069">
        <v>584</v>
      </c>
      <c r="S29" s="4070">
        <v>654</v>
      </c>
      <c r="T29" s="4070">
        <v>725</v>
      </c>
      <c r="U29" s="4070"/>
      <c r="V29" s="4070"/>
      <c r="W29" s="4068"/>
      <c r="AA29" s="3977"/>
      <c r="AR29" s="3977"/>
      <c r="AS29" s="3977"/>
      <c r="AW29" s="3977"/>
      <c r="AX29" s="3977"/>
    </row>
    <row r="30" spans="1:50" ht="24" customHeight="1">
      <c r="B30" s="4071" t="s">
        <v>1262</v>
      </c>
      <c r="C30" s="4072">
        <v>250</v>
      </c>
      <c r="D30" s="4072">
        <v>250</v>
      </c>
      <c r="E30" s="4072">
        <v>250</v>
      </c>
      <c r="F30" s="4072">
        <v>250</v>
      </c>
      <c r="G30" s="4072">
        <v>250</v>
      </c>
      <c r="H30" s="4072">
        <v>250</v>
      </c>
      <c r="I30" s="4072">
        <v>250</v>
      </c>
      <c r="J30" s="4073">
        <v>0</v>
      </c>
      <c r="K30" s="4073">
        <v>0</v>
      </c>
      <c r="L30" s="4073">
        <v>0</v>
      </c>
      <c r="M30" s="4073">
        <v>0</v>
      </c>
      <c r="N30" s="4073"/>
      <c r="O30" s="4073"/>
      <c r="P30" s="4074"/>
      <c r="Q30" s="4075" t="s">
        <v>1263</v>
      </c>
      <c r="R30" s="4075" t="s">
        <v>1263</v>
      </c>
      <c r="S30" s="4075" t="s">
        <v>1263</v>
      </c>
      <c r="T30" s="4075"/>
      <c r="U30" s="4075"/>
      <c r="V30" s="4075"/>
      <c r="W30" s="4074"/>
      <c r="AA30" s="3977"/>
      <c r="AR30" s="3977"/>
      <c r="AS30" s="3977"/>
      <c r="AW30" s="3977"/>
      <c r="AX30" s="3977"/>
    </row>
    <row r="31" spans="1:50" ht="46.5" customHeight="1">
      <c r="B31" s="4832" t="s">
        <v>1264</v>
      </c>
      <c r="C31" s="4832"/>
      <c r="D31" s="4832"/>
      <c r="E31" s="4832"/>
      <c r="F31" s="4832"/>
      <c r="G31" s="4832"/>
      <c r="H31" s="4832"/>
      <c r="I31" s="4832"/>
      <c r="J31" s="4832"/>
      <c r="K31" s="4832"/>
      <c r="L31" s="4832"/>
      <c r="M31" s="4832"/>
      <c r="N31" s="4832"/>
      <c r="O31" s="4832"/>
      <c r="P31" s="4832"/>
      <c r="Q31" s="4832"/>
      <c r="R31" s="4832"/>
      <c r="S31" s="4832"/>
      <c r="T31" s="4832"/>
      <c r="U31" s="4076"/>
      <c r="V31" s="4076"/>
      <c r="W31" s="4076"/>
      <c r="X31" s="4077"/>
      <c r="Y31" s="4077"/>
      <c r="AA31" s="3977"/>
      <c r="AR31" s="3977"/>
      <c r="AS31" s="3977"/>
      <c r="AW31" s="3977"/>
      <c r="AX31" s="3977"/>
    </row>
    <row r="32" spans="1:50" ht="13.8">
      <c r="B32" s="4077"/>
      <c r="C32" s="4077"/>
      <c r="D32" s="4077"/>
      <c r="E32" s="4077"/>
      <c r="F32" s="4077"/>
      <c r="G32" s="4077"/>
      <c r="H32" s="4077"/>
      <c r="I32" s="4077"/>
      <c r="J32" s="4077"/>
      <c r="K32" s="4077"/>
      <c r="L32" s="4077"/>
      <c r="M32" s="4077"/>
      <c r="N32" s="4077"/>
      <c r="O32" s="4077"/>
      <c r="P32" s="4077"/>
      <c r="Q32" s="4077"/>
      <c r="R32" s="4077"/>
      <c r="S32" s="4077"/>
      <c r="T32" s="4077"/>
      <c r="U32" s="4077"/>
      <c r="V32" s="4077"/>
      <c r="W32" s="4077"/>
      <c r="X32" s="4077"/>
      <c r="Y32" s="4077"/>
      <c r="AA32" s="3977"/>
      <c r="AR32" s="3977"/>
      <c r="AS32" s="3977"/>
      <c r="AW32" s="3977"/>
      <c r="AX32" s="3977"/>
    </row>
    <row r="33" spans="2:50" ht="6" customHeight="1">
      <c r="B33" s="4078"/>
      <c r="C33" s="4078"/>
      <c r="D33" s="4078"/>
      <c r="E33" s="4078"/>
      <c r="F33" s="4078"/>
      <c r="G33" s="4078"/>
      <c r="H33" s="4078"/>
      <c r="I33" s="4078"/>
      <c r="J33" s="4078"/>
      <c r="K33" s="4078"/>
      <c r="L33" s="4078"/>
      <c r="M33" s="4078"/>
      <c r="N33" s="4078"/>
      <c r="O33" s="4078"/>
      <c r="P33" s="4078"/>
      <c r="Q33" s="4078"/>
      <c r="R33" s="4078"/>
      <c r="S33" s="4078"/>
      <c r="T33" s="4078"/>
      <c r="U33" s="4078"/>
      <c r="V33" s="4078"/>
      <c r="W33" s="4078"/>
      <c r="X33" s="4078"/>
      <c r="Y33" s="4078"/>
      <c r="AA33" s="3977"/>
      <c r="AR33" s="3977"/>
      <c r="AS33" s="3977"/>
      <c r="AW33" s="3977"/>
      <c r="AX33" s="3977"/>
    </row>
    <row r="34" spans="2:50" ht="61.2" hidden="1" customHeight="1" outlineLevel="1">
      <c r="B34" s="4833" t="s">
        <v>1265</v>
      </c>
      <c r="C34" s="4834"/>
      <c r="D34" s="4834"/>
      <c r="E34" s="4834"/>
      <c r="F34" s="4834"/>
      <c r="G34" s="4834"/>
      <c r="H34" s="4834"/>
      <c r="I34" s="4834"/>
      <c r="J34" s="4834"/>
      <c r="K34" s="4834"/>
      <c r="L34" s="4834"/>
      <c r="M34" s="4834"/>
      <c r="N34" s="4834"/>
      <c r="O34" s="4834"/>
      <c r="P34" s="4834"/>
      <c r="Q34" s="4834"/>
      <c r="R34" s="4834"/>
      <c r="S34" s="4834"/>
      <c r="T34" s="4834"/>
      <c r="U34" s="4834"/>
      <c r="V34" s="4834"/>
      <c r="W34" s="4834"/>
      <c r="X34" s="4834"/>
      <c r="Y34" s="4834"/>
      <c r="AA34" s="3977"/>
      <c r="AR34" s="3977"/>
      <c r="AS34" s="3977"/>
      <c r="AW34" s="3977"/>
      <c r="AX34" s="3977"/>
    </row>
    <row r="35" spans="2:50" ht="19.2" hidden="1" customHeight="1" outlineLevel="1">
      <c r="B35" s="4079" t="s">
        <v>1266</v>
      </c>
      <c r="C35" s="4077"/>
      <c r="D35" s="4077"/>
      <c r="E35" s="4077"/>
      <c r="F35" s="4077"/>
      <c r="G35" s="4077"/>
      <c r="H35" s="4077"/>
      <c r="I35" s="4077"/>
      <c r="J35" s="4077"/>
      <c r="K35" s="4077"/>
      <c r="L35" s="4077"/>
      <c r="M35" s="4077"/>
      <c r="N35" s="4077"/>
      <c r="O35" s="4077"/>
      <c r="P35" s="4077"/>
      <c r="Q35" s="4077"/>
      <c r="R35" s="4077"/>
      <c r="S35" s="4077"/>
      <c r="T35" s="4077"/>
      <c r="U35" s="4077"/>
      <c r="V35" s="4077"/>
      <c r="W35" s="4077"/>
      <c r="X35" s="4077"/>
      <c r="Y35" s="4077"/>
      <c r="AA35" s="3977"/>
      <c r="AR35" s="3977"/>
      <c r="AS35" s="3977"/>
      <c r="AW35" s="3977"/>
      <c r="AX35" s="3977"/>
    </row>
    <row r="36" spans="2:50" ht="19.2" hidden="1" customHeight="1" outlineLevel="1">
      <c r="B36" s="4079" t="s">
        <v>1267</v>
      </c>
      <c r="C36" s="4077"/>
      <c r="D36" s="4077"/>
      <c r="E36" s="4077"/>
      <c r="F36" s="4077"/>
      <c r="G36" s="4077"/>
      <c r="H36" s="4077"/>
      <c r="I36" s="4077"/>
      <c r="J36" s="4077"/>
      <c r="K36" s="4077"/>
      <c r="L36" s="4077"/>
      <c r="M36" s="4077"/>
      <c r="N36" s="4077"/>
      <c r="O36" s="4077"/>
      <c r="P36" s="4077"/>
      <c r="Q36" s="4077"/>
      <c r="R36" s="4077"/>
      <c r="S36" s="4077"/>
      <c r="T36" s="4077"/>
      <c r="U36" s="4077"/>
      <c r="V36" s="4077"/>
      <c r="W36" s="4077"/>
      <c r="X36" s="4077"/>
      <c r="Y36" s="4077"/>
      <c r="AA36" s="3977"/>
      <c r="AR36" s="3977"/>
      <c r="AS36" s="3977"/>
      <c r="AW36" s="3977"/>
      <c r="AX36" s="3977"/>
    </row>
    <row r="37" spans="2:50" ht="20.399999999999999" hidden="1" customHeight="1" outlineLevel="1">
      <c r="B37" s="4080" t="s">
        <v>1268</v>
      </c>
      <c r="C37" s="4077"/>
      <c r="D37" s="4077"/>
      <c r="E37" s="4077"/>
      <c r="F37" s="4077"/>
      <c r="G37" s="4077"/>
      <c r="H37" s="4077"/>
      <c r="I37" s="4077"/>
      <c r="J37" s="4077"/>
      <c r="K37" s="4077"/>
      <c r="L37" s="4077"/>
      <c r="M37" s="4077"/>
      <c r="N37" s="4077"/>
      <c r="O37" s="4077"/>
      <c r="P37" s="4077"/>
      <c r="Q37" s="4077"/>
      <c r="R37" s="4077"/>
      <c r="S37" s="4077"/>
      <c r="T37" s="4077"/>
      <c r="U37" s="4077"/>
      <c r="V37" s="4077"/>
      <c r="W37" s="4077"/>
      <c r="X37" s="4077"/>
      <c r="Y37" s="4077"/>
      <c r="AA37" s="3977"/>
      <c r="AR37" s="3977"/>
      <c r="AS37" s="3977"/>
      <c r="AW37" s="3977"/>
      <c r="AX37" s="3977"/>
    </row>
    <row r="38" spans="2:50" ht="21.75" hidden="1" customHeight="1" outlineLevel="1">
      <c r="B38" s="4080" t="s">
        <v>1269</v>
      </c>
      <c r="C38" s="4079"/>
      <c r="D38" s="4079"/>
      <c r="E38" s="4079"/>
      <c r="F38" s="4079"/>
      <c r="G38" s="4079"/>
      <c r="H38" s="4079"/>
      <c r="I38" s="4079"/>
      <c r="J38" s="4079"/>
      <c r="K38" s="4079"/>
      <c r="L38" s="4079"/>
      <c r="M38" s="4079"/>
      <c r="N38" s="4079"/>
      <c r="O38" s="4079"/>
      <c r="P38" s="4079"/>
      <c r="Q38" s="4079"/>
      <c r="R38" s="4079"/>
      <c r="S38" s="4079"/>
      <c r="T38" s="4079"/>
      <c r="U38" s="4079"/>
      <c r="V38" s="4079"/>
      <c r="W38" s="4079"/>
      <c r="X38" s="4079"/>
      <c r="Y38" s="4079"/>
      <c r="AA38" s="3977"/>
      <c r="AR38" s="3977"/>
      <c r="AS38" s="3977"/>
      <c r="AW38" s="3977"/>
      <c r="AX38" s="3977"/>
    </row>
    <row r="39" spans="2:50" ht="6" hidden="1" customHeight="1" outlineLevel="1">
      <c r="B39" s="4080"/>
      <c r="C39" s="4079"/>
      <c r="D39" s="4079"/>
      <c r="E39" s="4079"/>
      <c r="F39" s="4079"/>
      <c r="G39" s="4079"/>
      <c r="H39" s="4079"/>
      <c r="I39" s="4079"/>
      <c r="J39" s="4079"/>
      <c r="K39" s="4079"/>
      <c r="L39" s="4079"/>
      <c r="M39" s="4079"/>
      <c r="N39" s="4079"/>
      <c r="O39" s="4079"/>
      <c r="P39" s="4079"/>
      <c r="Q39" s="4079"/>
      <c r="R39" s="4079"/>
      <c r="S39" s="4079"/>
      <c r="T39" s="4079"/>
      <c r="U39" s="4079"/>
      <c r="V39" s="4079"/>
      <c r="W39" s="4079"/>
      <c r="X39" s="4079"/>
      <c r="Y39" s="4079"/>
      <c r="AA39" s="3977"/>
      <c r="AR39" s="3977"/>
      <c r="AS39" s="3977"/>
      <c r="AW39" s="3977"/>
      <c r="AX39" s="3977"/>
    </row>
    <row r="40" spans="2:50" ht="21.75" customHeight="1" collapsed="1">
      <c r="B40" s="4081"/>
      <c r="AA40" s="3977"/>
      <c r="AR40" s="3977"/>
      <c r="AS40" s="3977"/>
      <c r="AW40" s="3977"/>
      <c r="AX40" s="3977"/>
    </row>
    <row r="41" spans="2:50" ht="21.75" customHeight="1">
      <c r="AA41" s="3977"/>
      <c r="AR41" s="3977"/>
      <c r="AS41" s="3977"/>
      <c r="AW41" s="3977"/>
      <c r="AX41" s="3977"/>
    </row>
    <row r="42" spans="2:50" ht="18">
      <c r="B42" s="4082" t="s">
        <v>1270</v>
      </c>
      <c r="C42" s="4083"/>
      <c r="D42" s="4084">
        <v>2000</v>
      </c>
      <c r="E42" s="4085"/>
      <c r="J42" s="4083"/>
      <c r="L42" s="4083"/>
      <c r="AA42" s="3977"/>
      <c r="AR42" s="3977"/>
      <c r="AS42" s="3977"/>
      <c r="AW42" s="3977"/>
      <c r="AX42" s="3977"/>
    </row>
    <row r="43" spans="2:50" ht="17.399999999999999">
      <c r="B43" s="4086" t="s">
        <v>1271</v>
      </c>
      <c r="C43" s="4087"/>
      <c r="D43" s="4088">
        <v>0</v>
      </c>
      <c r="E43" s="4085"/>
      <c r="J43" s="4083"/>
      <c r="L43" s="4083"/>
      <c r="AA43" s="3977"/>
      <c r="AR43" s="3977"/>
      <c r="AS43" s="3977"/>
      <c r="AW43" s="3977"/>
      <c r="AX43" s="3977"/>
    </row>
    <row r="44" spans="2:50" ht="13.8">
      <c r="C44" s="4089"/>
      <c r="D44" s="4090"/>
      <c r="E44" s="4091"/>
      <c r="F44" s="4090"/>
      <c r="G44" s="4090"/>
      <c r="H44" s="4090"/>
      <c r="I44" s="4090"/>
      <c r="J44" s="4083"/>
      <c r="L44" s="4083"/>
      <c r="AA44" s="3977"/>
      <c r="AR44" s="3977"/>
      <c r="AS44" s="3977"/>
      <c r="AW44" s="3977"/>
      <c r="AX44" s="3977"/>
    </row>
    <row r="45" spans="2:50" ht="13.8">
      <c r="B45" s="4092"/>
      <c r="C45" s="4815" t="s">
        <v>1272</v>
      </c>
      <c r="D45" s="4816"/>
      <c r="E45" s="4816"/>
      <c r="F45" s="4816"/>
      <c r="G45" s="4816"/>
      <c r="H45" s="4817"/>
      <c r="I45" s="4818" t="s">
        <v>1273</v>
      </c>
      <c r="J45" s="4819"/>
      <c r="K45" s="4819"/>
      <c r="L45" s="4819"/>
      <c r="M45" s="4819"/>
      <c r="N45" s="4820"/>
      <c r="O45" s="4815" t="s">
        <v>1274</v>
      </c>
      <c r="P45" s="4816"/>
      <c r="Q45" s="4816"/>
      <c r="R45" s="4816"/>
      <c r="S45" s="4816"/>
      <c r="T45" s="4816"/>
      <c r="AA45" s="3977"/>
      <c r="AR45" s="3977"/>
      <c r="AS45" s="3977"/>
      <c r="AW45" s="3977"/>
      <c r="AX45" s="3977"/>
    </row>
    <row r="46" spans="2:50" ht="15" customHeight="1">
      <c r="B46" s="4093"/>
      <c r="C46" s="4821">
        <v>2024</v>
      </c>
      <c r="D46" s="4822"/>
      <c r="E46" s="4812">
        <v>2025</v>
      </c>
      <c r="F46" s="4812"/>
      <c r="G46" s="4812">
        <v>2026</v>
      </c>
      <c r="H46" s="4812"/>
      <c r="I46" s="4821">
        <v>2024</v>
      </c>
      <c r="J46" s="4822"/>
      <c r="K46" s="4821">
        <v>2025</v>
      </c>
      <c r="L46" s="4822"/>
      <c r="M46" s="4821">
        <v>2026</v>
      </c>
      <c r="N46" s="4822"/>
      <c r="O46" s="4812">
        <v>2024</v>
      </c>
      <c r="P46" s="4812"/>
      <c r="Q46" s="4812">
        <v>2025</v>
      </c>
      <c r="R46" s="4812"/>
      <c r="S46" s="4812">
        <v>2026</v>
      </c>
      <c r="T46" s="4812"/>
      <c r="AA46" s="3977"/>
      <c r="AR46" s="3977"/>
      <c r="AS46" s="3977"/>
      <c r="AW46" s="3977"/>
      <c r="AX46" s="3977"/>
    </row>
    <row r="47" spans="2:50" ht="17.399999999999999">
      <c r="B47" s="4094" t="s">
        <v>1275</v>
      </c>
      <c r="C47" s="4813">
        <f>D42</f>
        <v>2000</v>
      </c>
      <c r="D47" s="4814"/>
      <c r="E47" s="4806">
        <f>D42</f>
        <v>2000</v>
      </c>
      <c r="F47" s="4807"/>
      <c r="G47" s="4806">
        <f>D42</f>
        <v>2000</v>
      </c>
      <c r="H47" s="4807"/>
      <c r="I47" s="4813">
        <f>+D42</f>
        <v>2000</v>
      </c>
      <c r="J47" s="4814"/>
      <c r="K47" s="4813">
        <f>D42</f>
        <v>2000</v>
      </c>
      <c r="L47" s="4814"/>
      <c r="M47" s="4813">
        <f>D42</f>
        <v>2000</v>
      </c>
      <c r="N47" s="4814"/>
      <c r="O47" s="4806">
        <f>D42</f>
        <v>2000</v>
      </c>
      <c r="P47" s="4807"/>
      <c r="Q47" s="4806">
        <f>D42</f>
        <v>2000</v>
      </c>
      <c r="R47" s="4807"/>
      <c r="S47" s="4806">
        <f>D42</f>
        <v>2000</v>
      </c>
      <c r="T47" s="4807"/>
      <c r="AA47" s="3977"/>
      <c r="AR47" s="3977"/>
      <c r="AS47" s="3977"/>
      <c r="AW47" s="3977"/>
      <c r="AX47" s="3977"/>
    </row>
    <row r="48" spans="2:50" ht="13.8">
      <c r="B48" s="4095" t="s">
        <v>1276</v>
      </c>
      <c r="C48" s="4096">
        <f>C49+C53</f>
        <v>0.34089999999999998</v>
      </c>
      <c r="D48" s="4097">
        <f>D49+D53</f>
        <v>681.8</v>
      </c>
      <c r="E48" s="4096">
        <f>G20+G21</f>
        <v>0.34089999999999998</v>
      </c>
      <c r="F48" s="4097">
        <f>F49+F53</f>
        <v>681.8</v>
      </c>
      <c r="G48" s="4096">
        <f>I20+I21</f>
        <v>0.34089999999999998</v>
      </c>
      <c r="H48" s="4097">
        <f>H49+H53</f>
        <v>681.8</v>
      </c>
      <c r="I48" s="4098">
        <f>I49+I53</f>
        <v>0.2127</v>
      </c>
      <c r="J48" s="4099">
        <f>J49+J53</f>
        <v>425.4</v>
      </c>
      <c r="K48" s="4098"/>
      <c r="L48" s="4099"/>
      <c r="M48" s="4098"/>
      <c r="N48" s="4099"/>
      <c r="O48" s="4100">
        <f>O49+O53</f>
        <v>0.374</v>
      </c>
      <c r="P48" s="4099">
        <f>P49+P53</f>
        <v>748</v>
      </c>
      <c r="Q48" s="4100"/>
      <c r="R48" s="4099"/>
      <c r="S48" s="4100"/>
      <c r="T48" s="4099"/>
      <c r="AA48" s="3977"/>
      <c r="AR48" s="3977"/>
      <c r="AS48" s="3977"/>
      <c r="AW48" s="3977"/>
      <c r="AX48" s="3977"/>
    </row>
    <row r="49" spans="2:50" ht="13.8">
      <c r="B49" s="4101" t="s">
        <v>1277</v>
      </c>
      <c r="C49" s="4102">
        <f>C50+C51</f>
        <v>0.2359</v>
      </c>
      <c r="D49" s="4103">
        <f>SUM(D50:D52)</f>
        <v>471.8</v>
      </c>
      <c r="E49" s="4102">
        <f>F20</f>
        <v>0.2359</v>
      </c>
      <c r="F49" s="4103">
        <f>SUM(F50:F52)</f>
        <v>471.8</v>
      </c>
      <c r="G49" s="4102">
        <f>H20</f>
        <v>0.2359</v>
      </c>
      <c r="H49" s="4103">
        <f>SUM(H50:H52)</f>
        <v>471.8</v>
      </c>
      <c r="I49" s="4104">
        <f>I50</f>
        <v>1.77E-2</v>
      </c>
      <c r="J49" s="4103">
        <f>SUM(J50:J52)</f>
        <v>35.4</v>
      </c>
      <c r="K49" s="4104"/>
      <c r="L49" s="4103"/>
      <c r="M49" s="4104"/>
      <c r="N49" s="4103"/>
      <c r="O49" s="4105">
        <f>SUM(O50:O52)</f>
        <v>0.33800000000000002</v>
      </c>
      <c r="P49" s="4103">
        <f>SUM(P50:P52)</f>
        <v>676</v>
      </c>
      <c r="Q49" s="4105"/>
      <c r="R49" s="4103"/>
      <c r="S49" s="4105"/>
      <c r="T49" s="4103"/>
      <c r="AA49" s="3977"/>
      <c r="AR49" s="3977"/>
      <c r="AS49" s="3977"/>
      <c r="AW49" s="3977"/>
      <c r="AX49" s="3977"/>
    </row>
    <row r="50" spans="2:50">
      <c r="B50" s="4106" t="s">
        <v>1278</v>
      </c>
      <c r="C50" s="4102">
        <f>F20-F27/2</f>
        <v>0.23089999999999999</v>
      </c>
      <c r="D50" s="4107">
        <f>IF($C$47&gt;$F$9/12,$F$9/12*C50,(IF($C$47&lt;$F$29,($C$47*C50)+($F$29-$C$47)*$C$48,$C$47*C50)))</f>
        <v>461.8</v>
      </c>
      <c r="E50" s="4102">
        <f>G20-G27/2</f>
        <v>0.23089999999999999</v>
      </c>
      <c r="F50" s="4107">
        <f>IF($E$47&gt;$G$9/12,$G$9/12*E50,(IF($E$47&lt;$G$29,($E$47*E50)+($G$29-$E$47)*$E$48,$E$47*E50)))</f>
        <v>461.8</v>
      </c>
      <c r="G50" s="4102">
        <f>H20-H27/2</f>
        <v>0.23089999999999999</v>
      </c>
      <c r="H50" s="4107">
        <f>IF($G$47&gt;$H$9/12,$H$9/12*G50,(IF($G$47&lt;$H$29,($G$47*G50)+($H$29-$G$47)*$G$48,$G$47*G50)))</f>
        <v>461.8</v>
      </c>
      <c r="I50" s="4108">
        <f>M20</f>
        <v>1.77E-2</v>
      </c>
      <c r="J50" s="4107">
        <f>IF(I47&lt;M29,I47*I50+(M29-I47)*(I50+I53),I47*I50)</f>
        <v>35.4</v>
      </c>
      <c r="K50" s="4108"/>
      <c r="L50" s="4107"/>
      <c r="M50" s="4108"/>
      <c r="N50" s="4107"/>
      <c r="O50" s="4109">
        <v>0.33800000000000002</v>
      </c>
      <c r="P50" s="4107">
        <f>IF(O47&lt;T29,T29*33%+O47*0.08%,O47*O50)</f>
        <v>676</v>
      </c>
      <c r="Q50" s="4109"/>
      <c r="R50" s="4107"/>
      <c r="S50" s="4109"/>
      <c r="T50" s="4107"/>
      <c r="AA50" s="3977"/>
      <c r="AR50" s="3977"/>
      <c r="AS50" s="3977"/>
      <c r="AW50" s="3977"/>
      <c r="AX50" s="3977"/>
    </row>
    <row r="51" spans="2:50">
      <c r="B51" s="4106" t="s">
        <v>1279</v>
      </c>
      <c r="C51" s="4110">
        <f>F27/2</f>
        <v>5.0000000000000001E-3</v>
      </c>
      <c r="D51" s="4107">
        <f>C47*C51</f>
        <v>10</v>
      </c>
      <c r="E51" s="4111">
        <f>G27/2</f>
        <v>5.0000000000000001E-3</v>
      </c>
      <c r="F51" s="4107">
        <f>E47*E51</f>
        <v>10</v>
      </c>
      <c r="G51" s="4111">
        <f>H27/2</f>
        <v>5.0000000000000001E-3</v>
      </c>
      <c r="H51" s="4107">
        <f>G47*G51</f>
        <v>10</v>
      </c>
      <c r="I51" s="4108"/>
      <c r="J51" s="4112"/>
      <c r="K51" s="4108"/>
      <c r="L51" s="4112"/>
      <c r="M51" s="4108"/>
      <c r="N51" s="4112"/>
      <c r="O51" s="4113"/>
      <c r="P51" s="4114"/>
      <c r="Q51" s="4113"/>
      <c r="R51" s="4114"/>
      <c r="S51" s="4113"/>
      <c r="T51" s="4114"/>
      <c r="AA51" s="3977"/>
      <c r="AR51" s="3977"/>
      <c r="AS51" s="3977"/>
      <c r="AW51" s="3977"/>
      <c r="AX51" s="3977"/>
    </row>
    <row r="52" spans="2:50">
      <c r="B52" s="4106" t="s">
        <v>1280</v>
      </c>
      <c r="C52" s="4110">
        <f>F25</f>
        <v>0.14000000000000001</v>
      </c>
      <c r="D52" s="4107">
        <f>IF(C47&gt;F9/12,(C47-F9/12)*C52, 0)</f>
        <v>0</v>
      </c>
      <c r="E52" s="4110">
        <f>G25</f>
        <v>0.14000000000000001</v>
      </c>
      <c r="F52" s="4107">
        <f>IF(E47&gt;G9/12,(E47-G9/12)*E52, 0)</f>
        <v>0</v>
      </c>
      <c r="G52" s="4110">
        <f>H25</f>
        <v>0.14000000000000001</v>
      </c>
      <c r="H52" s="4107">
        <f>IF(G47&gt;H9/12,(G47-H9/12)*G52, 0)</f>
        <v>0</v>
      </c>
      <c r="I52" s="4115"/>
      <c r="J52" s="4112"/>
      <c r="K52" s="4115"/>
      <c r="L52" s="4112"/>
      <c r="M52" s="4115"/>
      <c r="N52" s="4112"/>
      <c r="O52" s="4113"/>
      <c r="P52" s="4114"/>
      <c r="Q52" s="4113"/>
      <c r="R52" s="4114"/>
      <c r="S52" s="4113"/>
      <c r="T52" s="4114"/>
      <c r="AA52" s="3977"/>
      <c r="AR52" s="3977"/>
      <c r="AS52" s="3977"/>
      <c r="AW52" s="3977"/>
      <c r="AX52" s="3977"/>
    </row>
    <row r="53" spans="2:50" ht="13.8">
      <c r="B53" s="4101" t="s">
        <v>1281</v>
      </c>
      <c r="C53" s="4102">
        <f>SUM(C54:C55)</f>
        <v>0.105</v>
      </c>
      <c r="D53" s="4103">
        <f>SUM(D54:D55)</f>
        <v>209.99999999999997</v>
      </c>
      <c r="E53" s="4102">
        <f>G21</f>
        <v>0.105</v>
      </c>
      <c r="F53" s="4103">
        <f>SUM(F54:F55)</f>
        <v>210</v>
      </c>
      <c r="G53" s="4102">
        <f>H21</f>
        <v>0.105</v>
      </c>
      <c r="H53" s="4103">
        <f>SUM(H54:H55)</f>
        <v>210</v>
      </c>
      <c r="I53" s="4116">
        <f>SUM(I54:I55)</f>
        <v>0.19500000000000001</v>
      </c>
      <c r="J53" s="4103">
        <f>SUM(J54:J55)</f>
        <v>390</v>
      </c>
      <c r="K53" s="4116"/>
      <c r="L53" s="4103"/>
      <c r="M53" s="4116"/>
      <c r="N53" s="4103"/>
      <c r="O53" s="4117">
        <f>SUM(O54:O55)</f>
        <v>3.6000000000000004E-2</v>
      </c>
      <c r="P53" s="4118">
        <f t="shared" ref="P53" si="3">SUM(P54:P55)</f>
        <v>72.000000000000014</v>
      </c>
      <c r="Q53" s="4117"/>
      <c r="R53" s="4118"/>
      <c r="S53" s="4117"/>
      <c r="T53" s="4118"/>
      <c r="AA53" s="3977"/>
      <c r="AR53" s="3977"/>
      <c r="AS53" s="3977"/>
      <c r="AW53" s="3977"/>
      <c r="AX53" s="3977"/>
    </row>
    <row r="54" spans="2:50">
      <c r="B54" s="4106" t="s">
        <v>1282</v>
      </c>
      <c r="C54" s="4119">
        <f>F21-F27/2</f>
        <v>9.9999999999999992E-2</v>
      </c>
      <c r="D54" s="4107">
        <f>IF(C47&gt;F9/12,F9/12*C54,C47*C54)</f>
        <v>199.99999999999997</v>
      </c>
      <c r="E54" s="4119">
        <f>G26</f>
        <v>0.1</v>
      </c>
      <c r="F54" s="4107">
        <f>IF(E47&gt;G9/12,G9/12*E54,E47*E54)</f>
        <v>200</v>
      </c>
      <c r="G54" s="4119">
        <f>H26</f>
        <v>0.1</v>
      </c>
      <c r="H54" s="4107">
        <f>IF(G47&gt;H9/12,H9/12*G54,G47*G54)</f>
        <v>200</v>
      </c>
      <c r="I54" s="4115">
        <f>M21-M23</f>
        <v>0.12520000000000001</v>
      </c>
      <c r="J54" s="4107">
        <f>IF(I47&lt;M8/12,I47*I54,M8/12*I54)</f>
        <v>250.4</v>
      </c>
      <c r="K54" s="4115"/>
      <c r="L54" s="4107"/>
      <c r="M54" s="4115"/>
      <c r="N54" s="4107"/>
      <c r="O54" s="4120">
        <f>T21+T22</f>
        <v>3.6000000000000004E-2</v>
      </c>
      <c r="P54" s="4121">
        <f>O47*O54</f>
        <v>72.000000000000014</v>
      </c>
      <c r="Q54" s="4120"/>
      <c r="R54" s="4121"/>
      <c r="S54" s="4120"/>
      <c r="T54" s="4121"/>
      <c r="AA54" s="3977"/>
      <c r="AR54" s="3977"/>
      <c r="AS54" s="3977"/>
      <c r="AW54" s="3977"/>
      <c r="AX54" s="3977"/>
    </row>
    <row r="55" spans="2:50">
      <c r="B55" s="4122" t="s">
        <v>1279</v>
      </c>
      <c r="C55" s="4123">
        <f>F27/2</f>
        <v>5.0000000000000001E-3</v>
      </c>
      <c r="D55" s="4107">
        <f>C47*C55</f>
        <v>10</v>
      </c>
      <c r="E55" s="4123">
        <f>G27/2</f>
        <v>5.0000000000000001E-3</v>
      </c>
      <c r="F55" s="4107">
        <f>E47*E55</f>
        <v>10</v>
      </c>
      <c r="G55" s="4123">
        <f>H27/2</f>
        <v>5.0000000000000001E-3</v>
      </c>
      <c r="H55" s="4107">
        <f>G47*G55</f>
        <v>10</v>
      </c>
      <c r="I55" s="4124">
        <f>M23</f>
        <v>6.9800000000000001E-2</v>
      </c>
      <c r="J55" s="4125">
        <f>I47*I55</f>
        <v>139.6</v>
      </c>
      <c r="K55" s="4124"/>
      <c r="L55" s="4125"/>
      <c r="M55" s="4124"/>
      <c r="N55" s="4125"/>
      <c r="O55" s="4126"/>
      <c r="P55" s="4127"/>
      <c r="Q55" s="4126"/>
      <c r="R55" s="4127"/>
      <c r="S55" s="4126"/>
      <c r="T55" s="4127"/>
      <c r="AA55" s="3977"/>
      <c r="AR55" s="3977"/>
      <c r="AS55" s="3977"/>
      <c r="AW55" s="3977"/>
      <c r="AX55" s="3977"/>
    </row>
    <row r="56" spans="2:50" ht="13.8">
      <c r="B56" s="4128" t="s">
        <v>1283</v>
      </c>
      <c r="C56" s="4808">
        <f>SUM(D59:D61)</f>
        <v>367.99</v>
      </c>
      <c r="D56" s="4809"/>
      <c r="E56" s="4808">
        <f>SUM(F59:F60)</f>
        <v>326.39999999999998</v>
      </c>
      <c r="F56" s="4809"/>
      <c r="G56" s="4808">
        <f>SUM(H59:H60)</f>
        <v>316.2</v>
      </c>
      <c r="H56" s="4809"/>
      <c r="I56" s="4810">
        <f>SUM(J59:J60)</f>
        <v>358.20000000000005</v>
      </c>
      <c r="J56" s="4811"/>
      <c r="K56" s="4810"/>
      <c r="L56" s="4811"/>
      <c r="M56" s="4810"/>
      <c r="N56" s="4811"/>
      <c r="O56" s="4810">
        <f>SUM(P59:P61)</f>
        <v>371.06666666666672</v>
      </c>
      <c r="P56" s="4811"/>
      <c r="Q56" s="4810"/>
      <c r="R56" s="4811"/>
      <c r="S56" s="4810"/>
      <c r="T56" s="4811"/>
      <c r="AA56" s="3977"/>
      <c r="AR56" s="3977"/>
      <c r="AS56" s="3977"/>
      <c r="AW56" s="3977"/>
      <c r="AX56" s="3977"/>
    </row>
    <row r="57" spans="2:50">
      <c r="B57" s="4129" t="s">
        <v>1284</v>
      </c>
      <c r="C57" s="4130">
        <f>F11</f>
        <v>500</v>
      </c>
      <c r="D57" s="4131">
        <f>IF(C47-F13&lt;0,C57,(IF((C57-F14*(C47-F13))&gt;0, (C57-F14*(C47-F13)),0)))</f>
        <v>0</v>
      </c>
      <c r="E57" s="4130">
        <f>G10</f>
        <v>510</v>
      </c>
      <c r="F57" s="4132">
        <f>E57</f>
        <v>510</v>
      </c>
      <c r="G57" s="4130">
        <f>H10</f>
        <v>550</v>
      </c>
      <c r="H57" s="4132">
        <f>G57</f>
        <v>550</v>
      </c>
      <c r="I57" s="4133">
        <f>M11</f>
        <v>747</v>
      </c>
      <c r="J57" s="4131">
        <f>IF(I47&lt;M11,I47,IF(I47&lt;M29,M11,IF(I47&lt;M12,I57-M14*(I47-M29),IF(I47&lt;M17,J11-M19*(I47-J29),0))))</f>
        <v>209</v>
      </c>
      <c r="K57" s="4133"/>
      <c r="L57" s="4131"/>
      <c r="M57" s="4133"/>
      <c r="N57" s="4131"/>
      <c r="O57" s="4134">
        <f>T11</f>
        <v>654</v>
      </c>
      <c r="P57" s="4131">
        <f>IF(O47-1200&lt;0,O57,(IF((O57-T14*(O47-1200))&gt;0, (O57-T14*(O47-1200)),0)))</f>
        <v>72.666666666666629</v>
      </c>
      <c r="Q57" s="4134"/>
      <c r="R57" s="4131"/>
      <c r="S57" s="4134"/>
      <c r="T57" s="4131"/>
      <c r="AA57" s="3977"/>
      <c r="AR57" s="3977"/>
      <c r="AS57" s="3977"/>
      <c r="AW57" s="3977"/>
      <c r="AX57" s="3977"/>
    </row>
    <row r="58" spans="2:50">
      <c r="B58" s="4129" t="s">
        <v>1285</v>
      </c>
      <c r="C58" s="4135">
        <f>E30</f>
        <v>250</v>
      </c>
      <c r="D58" s="4136">
        <f>D43*C58</f>
        <v>0</v>
      </c>
      <c r="E58" s="4135">
        <f>G30</f>
        <v>250</v>
      </c>
      <c r="F58" s="4136">
        <f>D43*E58</f>
        <v>0</v>
      </c>
      <c r="G58" s="4135">
        <f>H30</f>
        <v>250</v>
      </c>
      <c r="H58" s="4136">
        <f>F43*G58</f>
        <v>0</v>
      </c>
      <c r="I58" s="4137">
        <v>0</v>
      </c>
      <c r="J58" s="4138" t="s">
        <v>18</v>
      </c>
      <c r="K58" s="4137"/>
      <c r="L58" s="4138"/>
      <c r="M58" s="4137"/>
      <c r="N58" s="4138"/>
      <c r="O58" s="4139"/>
      <c r="P58" s="4136"/>
      <c r="Q58" s="4139"/>
      <c r="R58" s="4136"/>
      <c r="S58" s="4139"/>
      <c r="T58" s="4136"/>
      <c r="AA58" s="3977"/>
      <c r="AR58" s="3977"/>
      <c r="AS58" s="3977"/>
      <c r="AW58" s="3977"/>
      <c r="AX58" s="3977"/>
    </row>
    <row r="59" spans="2:50">
      <c r="B59" s="4140" t="s">
        <v>1286</v>
      </c>
      <c r="C59" s="4141">
        <f>E5</f>
        <v>0.2</v>
      </c>
      <c r="D59" s="4131">
        <f>IF((C47-D53-D57-D58)&lt;0,0, IF(C47&lt;F8/12, (C47-D53-D57-D58)*C59, (F8/12-D53-D57-D58)*C59))</f>
        <v>291.40000000000003</v>
      </c>
      <c r="E59" s="4142">
        <f>G5</f>
        <v>0.255</v>
      </c>
      <c r="F59" s="4131">
        <f>IF((E47-F53-F57-F58)&lt;0,0, IF(E47&lt;G9/12, (E47-F53-F57-F58)*E59, (G9/12-F53-F57-F58)*E59))</f>
        <v>326.39999999999998</v>
      </c>
      <c r="G59" s="4142">
        <f>H5</f>
        <v>0.255</v>
      </c>
      <c r="H59" s="4131">
        <f>IF((G47-H53-H57-H58)&lt;0,0, IF(G47&lt;H9/12, (G47-H53-H57-H58)*G59, (H9/12-H53-H57-H58)*G59))</f>
        <v>316.2</v>
      </c>
      <c r="I59" s="4143">
        <f>M5</f>
        <v>0.2</v>
      </c>
      <c r="J59" s="4144">
        <f>IF((I47-J57)&gt;0,(I47-J57)*I59, 0)</f>
        <v>358.20000000000005</v>
      </c>
      <c r="K59" s="4143"/>
      <c r="L59" s="4144"/>
      <c r="M59" s="4143"/>
      <c r="N59" s="4144"/>
      <c r="O59" s="4145">
        <v>0.2</v>
      </c>
      <c r="P59" s="4144">
        <f>IF((O47-P53-P57-P58)&gt;0,(O47-P53-P57-P58)*O59, 0)</f>
        <v>371.06666666666672</v>
      </c>
      <c r="Q59" s="4145"/>
      <c r="R59" s="4144"/>
      <c r="S59" s="4145"/>
      <c r="T59" s="4144"/>
      <c r="AA59" s="3977"/>
      <c r="AR59" s="3977"/>
      <c r="AS59" s="3977"/>
      <c r="AW59" s="3977"/>
      <c r="AX59" s="3977"/>
    </row>
    <row r="60" spans="2:50">
      <c r="B60" s="4140" t="s">
        <v>1287</v>
      </c>
      <c r="C60" s="4141">
        <f>E6</f>
        <v>0.23</v>
      </c>
      <c r="D60" s="4131">
        <f>IF(C47&lt;F8/12,0,IF((C47-F8/12)&lt;(F9/12-F8/12),(C47-F8/12)*C60,(F9/12-F8/12)*C60))</f>
        <v>76.59</v>
      </c>
      <c r="E60" s="4141">
        <f>G6</f>
        <v>0.33</v>
      </c>
      <c r="F60" s="4131">
        <f>IF(E47&lt;G9/12,0, (E47-G9/12)*E60)</f>
        <v>0</v>
      </c>
      <c r="G60" s="4141">
        <f>I6</f>
        <v>0.33</v>
      </c>
      <c r="H60" s="4131">
        <f>IF(G47&lt;H9/12,0, (G47-H9/12)*G60)</f>
        <v>0</v>
      </c>
      <c r="I60" s="4143">
        <f>M6</f>
        <v>0.32</v>
      </c>
      <c r="J60" s="4144">
        <f>IF(I47-J57&gt;M8/12,(I47-J57-M8/12)*(I60-I59),0)</f>
        <v>0</v>
      </c>
      <c r="K60" s="4143"/>
      <c r="L60" s="4144"/>
      <c r="M60" s="4143"/>
      <c r="N60" s="4144"/>
      <c r="O60" s="4146"/>
      <c r="P60" s="4147"/>
      <c r="Q60" s="4146"/>
      <c r="R60" s="4147"/>
      <c r="S60" s="4146"/>
      <c r="T60" s="4147"/>
      <c r="AA60" s="3977"/>
      <c r="AR60" s="3977"/>
      <c r="AS60" s="3977"/>
      <c r="AW60" s="3977"/>
      <c r="AX60" s="3977"/>
    </row>
    <row r="61" spans="2:50">
      <c r="B61" s="4148" t="s">
        <v>1288</v>
      </c>
      <c r="C61" s="4149">
        <f>E7</f>
        <v>0.31</v>
      </c>
      <c r="D61" s="4150">
        <f>IF(C47&lt;F9/12,0, (C47-F9/12)*C61)</f>
        <v>0</v>
      </c>
      <c r="E61" s="4149"/>
      <c r="F61" s="4150"/>
      <c r="G61" s="4149"/>
      <c r="H61" s="4150"/>
      <c r="I61" s="4151"/>
      <c r="J61" s="4152"/>
      <c r="K61" s="4151"/>
      <c r="L61" s="4152"/>
      <c r="M61" s="4151"/>
      <c r="N61" s="4152"/>
      <c r="O61" s="4153"/>
      <c r="P61" s="4154"/>
      <c r="Q61" s="4153"/>
      <c r="R61" s="4154"/>
      <c r="S61" s="4153"/>
      <c r="T61" s="4154"/>
      <c r="AA61" s="3977"/>
      <c r="AR61" s="3977"/>
      <c r="AS61" s="3977"/>
      <c r="AW61" s="3977"/>
      <c r="AX61" s="3977"/>
    </row>
    <row r="62" spans="2:50" ht="13.8">
      <c r="B62" s="4155" t="s">
        <v>1289</v>
      </c>
      <c r="C62" s="4798">
        <f>D48+C56</f>
        <v>1049.79</v>
      </c>
      <c r="D62" s="4799"/>
      <c r="E62" s="4804">
        <f>F48+E56</f>
        <v>1008.1999999999999</v>
      </c>
      <c r="F62" s="4805"/>
      <c r="G62" s="4804">
        <f>H48+G56</f>
        <v>998</v>
      </c>
      <c r="H62" s="4805"/>
      <c r="I62" s="4798">
        <f>J48+I56</f>
        <v>783.6</v>
      </c>
      <c r="J62" s="4799"/>
      <c r="K62" s="4798"/>
      <c r="L62" s="4799"/>
      <c r="M62" s="4798"/>
      <c r="N62" s="4799"/>
      <c r="O62" s="4804">
        <f>P48+O56</f>
        <v>1119.0666666666666</v>
      </c>
      <c r="P62" s="4805"/>
      <c r="Q62" s="4804"/>
      <c r="R62" s="4805"/>
      <c r="S62" s="4804"/>
      <c r="T62" s="4805"/>
      <c r="AA62" s="3977"/>
      <c r="AR62" s="3977"/>
      <c r="AS62" s="3977"/>
      <c r="AW62" s="3977"/>
      <c r="AX62" s="3977"/>
    </row>
    <row r="63" spans="2:50" ht="13.8">
      <c r="B63" s="4156" t="s">
        <v>1290</v>
      </c>
      <c r="C63" s="4798">
        <f>C47+D49</f>
        <v>2471.8000000000002</v>
      </c>
      <c r="D63" s="4799"/>
      <c r="E63" s="4798">
        <f>E47+F49</f>
        <v>2471.8000000000002</v>
      </c>
      <c r="F63" s="4799"/>
      <c r="G63" s="4798">
        <f>G47+H49</f>
        <v>2471.8000000000002</v>
      </c>
      <c r="H63" s="4799"/>
      <c r="I63" s="4798">
        <f>I47+J49</f>
        <v>2035.4</v>
      </c>
      <c r="J63" s="4799"/>
      <c r="K63" s="4798"/>
      <c r="L63" s="4799"/>
      <c r="M63" s="4798"/>
      <c r="N63" s="4799"/>
      <c r="O63" s="4798">
        <f>O47+P49</f>
        <v>2676</v>
      </c>
      <c r="P63" s="4799"/>
      <c r="Q63" s="4798"/>
      <c r="R63" s="4799"/>
      <c r="S63" s="4798"/>
      <c r="T63" s="4799"/>
      <c r="AA63" s="3977"/>
      <c r="AR63" s="3977"/>
      <c r="AS63" s="3977"/>
      <c r="AW63" s="3977"/>
      <c r="AX63" s="3977"/>
    </row>
    <row r="64" spans="2:50" ht="17.399999999999999">
      <c r="B64" s="4157" t="s">
        <v>1291</v>
      </c>
      <c r="C64" s="4800">
        <f>C47-D53-C56</f>
        <v>1422.01</v>
      </c>
      <c r="D64" s="4801"/>
      <c r="E64" s="4800">
        <f>E47-F53-E56</f>
        <v>1463.6</v>
      </c>
      <c r="F64" s="4801"/>
      <c r="G64" s="4800">
        <f>G47-H53-G56</f>
        <v>1473.8</v>
      </c>
      <c r="H64" s="4801"/>
      <c r="I64" s="4802">
        <f>I47-J53-I56</f>
        <v>1251.8</v>
      </c>
      <c r="J64" s="4803"/>
      <c r="K64" s="4802"/>
      <c r="L64" s="4803"/>
      <c r="M64" s="4802"/>
      <c r="N64" s="4803"/>
      <c r="O64" s="4790">
        <f>O47-O56-P53</f>
        <v>1556.9333333333334</v>
      </c>
      <c r="P64" s="4791"/>
      <c r="Q64" s="4790"/>
      <c r="R64" s="4791"/>
      <c r="S64" s="4790"/>
      <c r="T64" s="4791"/>
      <c r="AA64" s="3977"/>
      <c r="AR64" s="3977"/>
      <c r="AS64" s="3977"/>
      <c r="AW64" s="3977"/>
      <c r="AX64" s="3977"/>
    </row>
    <row r="65" spans="2:50" ht="17.399999999999999">
      <c r="B65" s="4158" t="s">
        <v>1292</v>
      </c>
      <c r="C65" s="4792">
        <f>C62/C63</f>
        <v>0.42470669147989315</v>
      </c>
      <c r="D65" s="4793"/>
      <c r="E65" s="4792">
        <f>E62/E63</f>
        <v>0.40788089651266279</v>
      </c>
      <c r="F65" s="4793"/>
      <c r="G65" s="4792">
        <f>G62/G63</f>
        <v>0.40375434905736707</v>
      </c>
      <c r="H65" s="4793"/>
      <c r="I65" s="4794">
        <f>I62/I63</f>
        <v>0.38498575218630243</v>
      </c>
      <c r="J65" s="4795"/>
      <c r="K65" s="4794"/>
      <c r="L65" s="4795"/>
      <c r="M65" s="4794"/>
      <c r="N65" s="4795"/>
      <c r="O65" s="4796">
        <f>(O62-O47*0.02+(O47*0.02)*S4)/O63</f>
        <v>0.40622820129546583</v>
      </c>
      <c r="P65" s="4797"/>
      <c r="Q65" s="4796"/>
      <c r="R65" s="4797"/>
      <c r="S65" s="4796"/>
      <c r="T65" s="4797"/>
      <c r="AA65" s="3977"/>
      <c r="AR65" s="3977"/>
      <c r="AS65" s="3977"/>
      <c r="AW65" s="3977"/>
      <c r="AX65" s="3977"/>
    </row>
    <row r="66" spans="2:50" ht="17.399999999999999">
      <c r="B66" s="4159" t="s">
        <v>1293</v>
      </c>
      <c r="C66" s="4160"/>
      <c r="D66" s="4161"/>
      <c r="E66" s="4160"/>
      <c r="F66" s="4161"/>
      <c r="G66" s="4161"/>
      <c r="H66" s="4161"/>
      <c r="I66" s="4161"/>
      <c r="J66" s="4083"/>
      <c r="L66" s="4083"/>
      <c r="R66" s="4162"/>
      <c r="AA66" s="3977"/>
      <c r="AR66" s="3977"/>
      <c r="AS66" s="3977"/>
      <c r="AW66" s="3977"/>
      <c r="AX66" s="3977"/>
    </row>
    <row r="67" spans="2:50" ht="17.399999999999999">
      <c r="B67" s="4159" t="s">
        <v>1294</v>
      </c>
      <c r="C67" s="4160"/>
      <c r="D67" s="4161"/>
      <c r="E67" s="4160"/>
      <c r="F67" s="4161"/>
      <c r="G67" s="4161"/>
      <c r="H67" s="4161"/>
      <c r="I67" s="4161"/>
      <c r="J67" s="4083"/>
      <c r="L67" s="4083"/>
      <c r="R67" s="4162"/>
      <c r="AA67" s="3977"/>
      <c r="AR67" s="3977"/>
      <c r="AS67" s="3977"/>
      <c r="AW67" s="3977"/>
      <c r="AX67" s="3977"/>
    </row>
    <row r="68" spans="2:50" ht="15.6">
      <c r="B68" s="4163" t="s">
        <v>1295</v>
      </c>
      <c r="C68" s="4164"/>
      <c r="D68" s="4165"/>
      <c r="E68" s="4164"/>
      <c r="F68" s="4165"/>
      <c r="G68" s="4165"/>
      <c r="H68" s="4165"/>
      <c r="I68" s="4165"/>
      <c r="J68" s="4164"/>
      <c r="K68" s="4165"/>
      <c r="L68" s="4164"/>
      <c r="M68" s="4166" t="s">
        <v>1296</v>
      </c>
      <c r="N68" s="4165"/>
      <c r="O68" s="4165"/>
      <c r="P68" s="4165"/>
      <c r="Q68" s="4165"/>
      <c r="R68" s="4165"/>
      <c r="S68" s="4165"/>
      <c r="T68" s="4165"/>
      <c r="U68" s="4166"/>
      <c r="V68" s="4166"/>
      <c r="W68" s="4166"/>
      <c r="X68" s="4165"/>
      <c r="AA68" s="3977"/>
      <c r="AR68" s="3977"/>
      <c r="AS68" s="3977"/>
      <c r="AW68" s="3977"/>
      <c r="AX68" s="3977"/>
    </row>
    <row r="69" spans="2:50" ht="17.399999999999999">
      <c r="B69" s="4159" t="s">
        <v>1297</v>
      </c>
      <c r="C69" s="4160"/>
      <c r="D69" s="4161"/>
      <c r="E69" s="4160"/>
      <c r="F69" s="4161"/>
      <c r="G69" s="4161"/>
      <c r="H69" s="4161"/>
      <c r="I69" s="4161"/>
      <c r="J69" s="4083"/>
      <c r="L69" s="4083"/>
      <c r="R69" s="4162"/>
      <c r="AA69" s="3977"/>
      <c r="AR69" s="3977"/>
      <c r="AS69" s="3977"/>
      <c r="AW69" s="3977"/>
      <c r="AX69" s="3977"/>
    </row>
    <row r="70" spans="2:50" ht="17.399999999999999">
      <c r="B70" s="4159" t="s">
        <v>1298</v>
      </c>
      <c r="C70" s="4160"/>
      <c r="D70" s="4161"/>
      <c r="E70" s="4160"/>
      <c r="F70" s="4161"/>
      <c r="G70" s="4161"/>
      <c r="H70" s="4161"/>
      <c r="I70" s="4161"/>
      <c r="J70" s="4083"/>
      <c r="L70" s="4083"/>
      <c r="R70" s="4162"/>
      <c r="AA70" s="3977"/>
      <c r="AR70" s="3977"/>
      <c r="AS70" s="3977"/>
      <c r="AW70" s="3977"/>
      <c r="AX70" s="3977"/>
    </row>
    <row r="71" spans="2:50" ht="17.399999999999999">
      <c r="B71" s="4159" t="s">
        <v>1299</v>
      </c>
      <c r="C71" s="4160"/>
      <c r="D71" s="4161"/>
      <c r="E71" s="4160"/>
      <c r="F71" s="4161"/>
      <c r="G71" s="4161"/>
      <c r="H71" s="4161"/>
      <c r="I71" s="4161"/>
      <c r="J71" s="4083"/>
      <c r="L71" s="4083"/>
      <c r="R71" s="4162"/>
      <c r="AA71" s="3977"/>
      <c r="AR71" s="3977"/>
      <c r="AS71" s="3977"/>
      <c r="AW71" s="3977"/>
      <c r="AX71" s="3977"/>
    </row>
    <row r="72" spans="2:50">
      <c r="AA72" s="3977"/>
      <c r="AR72" s="3977"/>
      <c r="AS72" s="3977"/>
      <c r="AW72" s="3977"/>
      <c r="AX72" s="3977"/>
    </row>
    <row r="73" spans="2:50" ht="17.399999999999999">
      <c r="C73" s="4160"/>
      <c r="D73" s="4161"/>
      <c r="E73" s="4160"/>
      <c r="F73" s="4161"/>
      <c r="G73" s="4161"/>
      <c r="H73" s="4161"/>
      <c r="I73" s="4161"/>
      <c r="J73" s="4083"/>
      <c r="L73" s="4083"/>
      <c r="R73" s="4162"/>
      <c r="AA73" s="3977"/>
      <c r="AR73" s="3977"/>
      <c r="AS73" s="3977"/>
      <c r="AW73" s="3977"/>
      <c r="AX73" s="3977"/>
    </row>
    <row r="74" spans="2:50">
      <c r="B74" s="4167" t="s">
        <v>1300</v>
      </c>
      <c r="C74" s="4083"/>
      <c r="E74" s="4168"/>
      <c r="F74" s="4169"/>
      <c r="G74" s="4169"/>
      <c r="H74" s="4169"/>
      <c r="I74" s="4169"/>
      <c r="J74" s="4170"/>
      <c r="K74" s="4171"/>
      <c r="L74" s="4170"/>
      <c r="M74" s="4171"/>
      <c r="N74" s="4171"/>
      <c r="O74" s="4171"/>
      <c r="P74" s="4171"/>
      <c r="AA74" s="3977"/>
      <c r="AR74" s="3977"/>
      <c r="AS74" s="3977"/>
      <c r="AW74" s="3977"/>
      <c r="AX74" s="3977"/>
    </row>
    <row r="75" spans="2:50" ht="15.6">
      <c r="B75" s="4172" t="s">
        <v>1301</v>
      </c>
      <c r="C75" s="4083"/>
      <c r="E75" s="4168"/>
      <c r="F75" s="4173" t="s">
        <v>1302</v>
      </c>
      <c r="G75" s="4173"/>
      <c r="H75" s="4173"/>
      <c r="I75" s="4173"/>
      <c r="J75" s="4170"/>
      <c r="K75" s="4171"/>
      <c r="L75" s="4170"/>
      <c r="M75" s="4171"/>
      <c r="N75" s="4171"/>
      <c r="O75" s="4171"/>
      <c r="P75" s="4171"/>
      <c r="AA75" s="3977"/>
      <c r="AR75" s="3977"/>
      <c r="AS75" s="3977"/>
      <c r="AW75" s="3977"/>
      <c r="AX75" s="3977"/>
    </row>
    <row r="76" spans="2:50" ht="13.8">
      <c r="B76" s="4172" t="s">
        <v>1303</v>
      </c>
      <c r="C76" s="4083"/>
      <c r="E76" s="4168"/>
      <c r="F76" s="4169"/>
      <c r="G76" s="4169"/>
      <c r="H76" s="4169"/>
      <c r="I76" s="4169"/>
      <c r="J76" s="4174"/>
      <c r="K76" s="4175"/>
      <c r="L76" s="4174"/>
      <c r="M76" s="4175"/>
      <c r="N76" s="4175"/>
      <c r="O76" s="4175"/>
      <c r="P76" s="4175"/>
      <c r="Q76" s="4176"/>
      <c r="R76" s="4176"/>
      <c r="AA76" s="3977"/>
      <c r="AR76" s="3977"/>
      <c r="AS76" s="3977"/>
      <c r="AW76" s="3977"/>
      <c r="AX76" s="3977"/>
    </row>
    <row r="77" spans="2:50" ht="15.6">
      <c r="B77" s="4173" t="s">
        <v>1304</v>
      </c>
      <c r="C77" s="4089"/>
      <c r="E77" s="4177"/>
      <c r="F77" s="4090"/>
      <c r="G77" s="4090"/>
      <c r="H77" s="4090"/>
      <c r="I77" s="4090"/>
      <c r="J77" s="4178"/>
      <c r="K77" s="4179"/>
      <c r="L77" s="4178"/>
      <c r="M77" s="4179"/>
      <c r="N77" s="4179"/>
      <c r="O77" s="4179"/>
      <c r="P77" s="4179"/>
      <c r="Q77" s="4176"/>
      <c r="R77" s="4176"/>
      <c r="S77" s="4176"/>
      <c r="T77" s="4176"/>
      <c r="U77" s="4176"/>
      <c r="V77" s="4176"/>
      <c r="W77" s="4176"/>
      <c r="AA77" s="3977"/>
      <c r="AR77" s="3977"/>
      <c r="AS77" s="3977"/>
      <c r="AW77" s="3977"/>
      <c r="AX77" s="3977"/>
    </row>
    <row r="78" spans="2:50">
      <c r="AA78" s="3977"/>
      <c r="AR78" s="3977"/>
      <c r="AS78" s="3977"/>
      <c r="AW78" s="3977"/>
      <c r="AX78" s="3977"/>
    </row>
    <row r="79" spans="2:50">
      <c r="AA79" s="3977"/>
      <c r="AR79" s="3977"/>
      <c r="AS79" s="3977"/>
      <c r="AW79" s="3977"/>
      <c r="AX79" s="3977"/>
    </row>
    <row r="80" spans="2:50">
      <c r="AA80" s="3977"/>
      <c r="AR80" s="3977"/>
      <c r="AS80" s="3977"/>
      <c r="AW80" s="3977"/>
      <c r="AX80" s="3977"/>
    </row>
    <row r="81" spans="2:50" ht="13.8">
      <c r="B81" s="4180"/>
      <c r="D81" s="4181"/>
      <c r="E81" s="4182"/>
      <c r="F81" s="4181"/>
      <c r="G81" s="4181"/>
      <c r="H81" s="4181"/>
      <c r="I81" s="4181"/>
      <c r="J81" s="4181"/>
      <c r="L81" s="4183"/>
      <c r="M81" s="4183"/>
      <c r="N81" s="4183"/>
      <c r="O81" s="4183"/>
      <c r="P81" s="4183"/>
      <c r="AA81" s="3977"/>
      <c r="AR81" s="3977"/>
      <c r="AS81" s="3977"/>
      <c r="AW81" s="3977"/>
      <c r="AX81" s="3977"/>
    </row>
    <row r="82" spans="2:50" ht="24">
      <c r="C82" s="4184" t="s">
        <v>1305</v>
      </c>
      <c r="D82" s="4184" t="s">
        <v>1306</v>
      </c>
      <c r="E82" s="4184" t="s">
        <v>1307</v>
      </c>
      <c r="F82" s="4185" t="s">
        <v>1308</v>
      </c>
      <c r="G82" s="4185" t="s">
        <v>1309</v>
      </c>
      <c r="H82" s="4185" t="s">
        <v>1310</v>
      </c>
      <c r="I82" s="4186" t="s">
        <v>1311</v>
      </c>
      <c r="J82" s="4186" t="s">
        <v>1312</v>
      </c>
      <c r="K82" s="4186" t="s">
        <v>1313</v>
      </c>
      <c r="AA82" s="3977"/>
      <c r="AR82" s="3977"/>
      <c r="AS82" s="3977"/>
      <c r="AW82" s="3977"/>
      <c r="AX82" s="3977"/>
    </row>
    <row r="83" spans="2:50" ht="13.8">
      <c r="B83" s="4187" t="s">
        <v>1314</v>
      </c>
      <c r="C83" s="4188">
        <f>E47</f>
        <v>2000</v>
      </c>
      <c r="D83" s="4188">
        <f>E47</f>
        <v>2000</v>
      </c>
      <c r="E83" s="4188">
        <f>G47</f>
        <v>2000</v>
      </c>
      <c r="F83" s="4189">
        <f>I47</f>
        <v>2000</v>
      </c>
      <c r="G83" s="4189">
        <f>K47</f>
        <v>2000</v>
      </c>
      <c r="H83" s="4189">
        <f>M47</f>
        <v>2000</v>
      </c>
      <c r="I83" s="4190">
        <f>O47</f>
        <v>2000</v>
      </c>
      <c r="J83" s="4190">
        <f>K47</f>
        <v>2000</v>
      </c>
      <c r="K83" s="4190">
        <f>M47</f>
        <v>2000</v>
      </c>
      <c r="AA83" s="3977"/>
      <c r="AR83" s="3977"/>
      <c r="AS83" s="3977"/>
      <c r="AW83" s="3977"/>
      <c r="AX83" s="3977"/>
    </row>
    <row r="84" spans="2:50" ht="13.8">
      <c r="B84" s="4191" t="s">
        <v>1315</v>
      </c>
      <c r="C84" s="4192">
        <f>F49</f>
        <v>471.8</v>
      </c>
      <c r="D84" s="4192">
        <f>F49</f>
        <v>471.8</v>
      </c>
      <c r="E84" s="4192">
        <f>H49</f>
        <v>471.8</v>
      </c>
      <c r="F84" s="4193">
        <f>J49</f>
        <v>35.4</v>
      </c>
      <c r="G84" s="4193">
        <f>L49</f>
        <v>0</v>
      </c>
      <c r="H84" s="4193">
        <f>N49</f>
        <v>0</v>
      </c>
      <c r="I84" s="4194">
        <f>P49</f>
        <v>676</v>
      </c>
      <c r="J84" s="4194">
        <f>R49</f>
        <v>0</v>
      </c>
      <c r="K84" s="4194">
        <f>T49</f>
        <v>0</v>
      </c>
      <c r="AA84" s="3977"/>
      <c r="AR84" s="3977"/>
      <c r="AS84" s="3977"/>
      <c r="AW84" s="3977"/>
      <c r="AX84" s="3977"/>
    </row>
    <row r="85" spans="2:50" ht="13.8">
      <c r="B85" s="4191" t="s">
        <v>1316</v>
      </c>
      <c r="C85" s="4192">
        <f>F53</f>
        <v>210</v>
      </c>
      <c r="D85" s="4192">
        <f>F53</f>
        <v>210</v>
      </c>
      <c r="E85" s="4192">
        <f>H53</f>
        <v>210</v>
      </c>
      <c r="F85" s="4193">
        <f>J53</f>
        <v>390</v>
      </c>
      <c r="G85" s="4193">
        <f>L53</f>
        <v>0</v>
      </c>
      <c r="H85" s="4193">
        <f>N53</f>
        <v>0</v>
      </c>
      <c r="I85" s="4194">
        <f>P53</f>
        <v>72.000000000000014</v>
      </c>
      <c r="J85" s="4194">
        <f>R53</f>
        <v>0</v>
      </c>
      <c r="K85" s="4194">
        <f>T53</f>
        <v>0</v>
      </c>
      <c r="AA85" s="3977"/>
      <c r="AR85" s="3977"/>
      <c r="AS85" s="3977"/>
      <c r="AW85" s="3977"/>
      <c r="AX85" s="3977"/>
    </row>
    <row r="86" spans="2:50" ht="13.8">
      <c r="B86" s="4191" t="s">
        <v>1283</v>
      </c>
      <c r="C86" s="4192">
        <f>E56</f>
        <v>326.39999999999998</v>
      </c>
      <c r="D86" s="4192">
        <f>E56</f>
        <v>326.39999999999998</v>
      </c>
      <c r="E86" s="4192">
        <f>G56</f>
        <v>316.2</v>
      </c>
      <c r="F86" s="4193">
        <f>Salary_calculator_2024_2026!I56</f>
        <v>358.20000000000005</v>
      </c>
      <c r="G86" s="4193">
        <f>K56</f>
        <v>0</v>
      </c>
      <c r="H86" s="4193">
        <f>M56</f>
        <v>0</v>
      </c>
      <c r="I86" s="4194">
        <f>O56</f>
        <v>371.06666666666672</v>
      </c>
      <c r="J86" s="4194">
        <f>Q56</f>
        <v>0</v>
      </c>
      <c r="K86" s="4194">
        <f>S56</f>
        <v>0</v>
      </c>
      <c r="AA86" s="3977"/>
      <c r="AR86" s="3977"/>
      <c r="AS86" s="3977"/>
      <c r="AW86" s="3977"/>
      <c r="AX86" s="3977"/>
    </row>
    <row r="87" spans="2:50">
      <c r="B87" s="4195" t="s">
        <v>1317</v>
      </c>
      <c r="C87" s="4196">
        <f>E62</f>
        <v>1008.1999999999999</v>
      </c>
      <c r="D87" s="4196">
        <f>E62</f>
        <v>1008.1999999999999</v>
      </c>
      <c r="E87" s="4196">
        <f>G62</f>
        <v>998</v>
      </c>
      <c r="F87" s="4197">
        <f>I56</f>
        <v>358.20000000000005</v>
      </c>
      <c r="G87" s="4197">
        <f>K62</f>
        <v>0</v>
      </c>
      <c r="H87" s="4197">
        <f>M62</f>
        <v>0</v>
      </c>
      <c r="I87" s="4198">
        <f>O62</f>
        <v>1119.0666666666666</v>
      </c>
      <c r="J87" s="4198">
        <f>Q62</f>
        <v>0</v>
      </c>
      <c r="K87" s="4198">
        <f>S62</f>
        <v>0</v>
      </c>
      <c r="AA87" s="3977"/>
      <c r="AR87" s="3977"/>
      <c r="AS87" s="3977"/>
      <c r="AW87" s="3977"/>
      <c r="AX87" s="3977"/>
    </row>
    <row r="88" spans="2:50" ht="13.8">
      <c r="B88" s="4199" t="s">
        <v>1290</v>
      </c>
      <c r="C88" s="4192">
        <f>E63</f>
        <v>2471.8000000000002</v>
      </c>
      <c r="D88" s="4192">
        <f>E63</f>
        <v>2471.8000000000002</v>
      </c>
      <c r="E88" s="4192">
        <f>G63</f>
        <v>2471.8000000000002</v>
      </c>
      <c r="F88" s="4193">
        <f>I63</f>
        <v>2035.4</v>
      </c>
      <c r="G88" s="4193">
        <f>K63</f>
        <v>0</v>
      </c>
      <c r="H88" s="4193">
        <f>M63</f>
        <v>0</v>
      </c>
      <c r="I88" s="4194">
        <f>O63</f>
        <v>2676</v>
      </c>
      <c r="J88" s="4194">
        <f>Q63</f>
        <v>0</v>
      </c>
      <c r="K88" s="4194">
        <f>R63</f>
        <v>0</v>
      </c>
      <c r="AA88" s="3977"/>
      <c r="AR88" s="3977"/>
      <c r="AS88" s="3977"/>
      <c r="AW88" s="3977"/>
      <c r="AX88" s="3977"/>
    </row>
    <row r="89" spans="2:50" ht="13.8">
      <c r="B89" s="4200" t="s">
        <v>1318</v>
      </c>
      <c r="C89" s="4196">
        <f>E64</f>
        <v>1463.6</v>
      </c>
      <c r="D89" s="4196">
        <f>E64</f>
        <v>1463.6</v>
      </c>
      <c r="E89" s="4196">
        <f>G64</f>
        <v>1473.8</v>
      </c>
      <c r="F89" s="4197">
        <f>I64</f>
        <v>1251.8</v>
      </c>
      <c r="G89" s="4197">
        <f>K64</f>
        <v>0</v>
      </c>
      <c r="H89" s="4197">
        <f>M64</f>
        <v>0</v>
      </c>
      <c r="I89" s="4198">
        <f>O64</f>
        <v>1556.9333333333334</v>
      </c>
      <c r="J89" s="4198">
        <f>Q64</f>
        <v>0</v>
      </c>
      <c r="K89" s="4198">
        <f>S64</f>
        <v>0</v>
      </c>
      <c r="AA89" s="3977"/>
      <c r="AR89" s="3977"/>
      <c r="AS89" s="3977"/>
      <c r="AW89" s="3977"/>
      <c r="AX89" s="3977"/>
    </row>
    <row r="90" spans="2:50" ht="14.4">
      <c r="B90" s="4201" t="s">
        <v>1292</v>
      </c>
      <c r="C90" s="4202">
        <f>E65</f>
        <v>0.40788089651266279</v>
      </c>
      <c r="D90" s="4202">
        <f>E65</f>
        <v>0.40788089651266279</v>
      </c>
      <c r="E90" s="4202">
        <f>G65</f>
        <v>0.40375434905736707</v>
      </c>
      <c r="F90" s="4203">
        <f>I65</f>
        <v>0.38498575218630243</v>
      </c>
      <c r="G90" s="4203">
        <f>K65</f>
        <v>0</v>
      </c>
      <c r="H90" s="4203">
        <f>M65</f>
        <v>0</v>
      </c>
      <c r="I90" s="4204">
        <f>O65</f>
        <v>0.40622820129546583</v>
      </c>
      <c r="J90" s="4204">
        <f>Q65</f>
        <v>0</v>
      </c>
      <c r="K90" s="4204">
        <f>S65</f>
        <v>0</v>
      </c>
      <c r="AA90" s="3977"/>
      <c r="AR90" s="3977"/>
      <c r="AS90" s="3977"/>
      <c r="AW90" s="3977"/>
      <c r="AX90" s="3977"/>
    </row>
    <row r="91" spans="2:50">
      <c r="AA91" s="3977"/>
      <c r="AR91" s="3977"/>
      <c r="AS91" s="3977"/>
      <c r="AW91" s="3977"/>
      <c r="AX91" s="3977"/>
    </row>
    <row r="92" spans="2:50">
      <c r="AA92" s="3977"/>
      <c r="AR92" s="3977"/>
      <c r="AS92" s="3977"/>
      <c r="AW92" s="3977"/>
      <c r="AX92" s="3977"/>
    </row>
    <row r="93" spans="2:50">
      <c r="AA93" s="3977"/>
      <c r="AR93" s="3977"/>
      <c r="AS93" s="3977"/>
      <c r="AW93" s="3977"/>
      <c r="AX93" s="3977"/>
    </row>
    <row r="94" spans="2:50" hidden="1">
      <c r="AA94" s="3977"/>
      <c r="AR94" s="3977"/>
      <c r="AS94" s="3977"/>
      <c r="AW94" s="3977"/>
      <c r="AX94" s="3977"/>
    </row>
    <row r="95" spans="2:50" hidden="1">
      <c r="AA95" s="3977"/>
      <c r="AR95" s="3977"/>
      <c r="AS95" s="3977"/>
      <c r="AW95" s="3977"/>
      <c r="AX95" s="3977"/>
    </row>
    <row r="96" spans="2:50" hidden="1">
      <c r="AA96" s="3977"/>
      <c r="AR96" s="3977"/>
      <c r="AS96" s="3977"/>
      <c r="AW96" s="3977"/>
      <c r="AX96" s="3977"/>
    </row>
    <row r="97" s="3977" customFormat="1" hidden="1"/>
    <row r="98" s="3977" customFormat="1" hidden="1"/>
    <row r="99" s="3977" customFormat="1" hidden="1"/>
    <row r="100" s="3977" customFormat="1" hidden="1"/>
    <row r="101" s="3977" customFormat="1" hidden="1"/>
    <row r="102" s="3977" customFormat="1" hidden="1"/>
    <row r="103" s="3977" customFormat="1" hidden="1"/>
    <row r="104" s="3977" customFormat="1" hidden="1"/>
    <row r="105" s="3977" customFormat="1" hidden="1"/>
    <row r="106" s="3977" customFormat="1" hidden="1"/>
    <row r="107" s="3977" customFormat="1" hidden="1"/>
    <row r="108" s="3977" customFormat="1" hidden="1"/>
    <row r="109" s="3977" customFormat="1" hidden="1"/>
    <row r="110" s="3977" customFormat="1" hidden="1"/>
    <row r="111" s="3977" customFormat="1" hidden="1"/>
    <row r="112" s="3977" customFormat="1" hidden="1"/>
    <row r="113" spans="2:50" hidden="1">
      <c r="AA113" s="3977"/>
      <c r="AR113" s="3977"/>
      <c r="AS113" s="3977"/>
      <c r="AW113" s="3977"/>
      <c r="AX113" s="3977"/>
    </row>
    <row r="114" spans="2:50" hidden="1">
      <c r="AA114" s="3977"/>
      <c r="AR114" s="3977"/>
      <c r="AS114" s="3977"/>
      <c r="AW114" s="3977"/>
      <c r="AX114" s="3977"/>
    </row>
    <row r="115" spans="2:50" hidden="1">
      <c r="AA115" s="3977"/>
      <c r="AR115" s="3977"/>
      <c r="AS115" s="3977"/>
      <c r="AW115" s="3977"/>
      <c r="AX115" s="3977"/>
    </row>
    <row r="116" spans="2:50" ht="30.6" hidden="1" customHeight="1">
      <c r="B116" s="4205" t="s">
        <v>1319</v>
      </c>
      <c r="C116" s="4205"/>
      <c r="D116" s="4205"/>
      <c r="E116" s="4205"/>
      <c r="F116" s="4205"/>
      <c r="G116" s="4205"/>
      <c r="H116" s="4205"/>
      <c r="I116" s="4205"/>
      <c r="J116" s="4205"/>
      <c r="K116" s="4205"/>
      <c r="L116" s="4205"/>
      <c r="M116" s="4205"/>
      <c r="N116" s="4205"/>
      <c r="O116" s="4205"/>
      <c r="P116" s="4205"/>
      <c r="Q116" s="4205"/>
      <c r="R116" s="4205"/>
      <c r="S116" s="4205"/>
      <c r="T116" s="4788" t="s">
        <v>1320</v>
      </c>
      <c r="U116" s="4788"/>
      <c r="V116" s="4788"/>
      <c r="W116" s="4788"/>
      <c r="X116" s="4788"/>
      <c r="Y116" s="4788"/>
      <c r="Z116" s="4788"/>
      <c r="AA116" s="4788"/>
      <c r="AB116" s="4788"/>
      <c r="AC116" s="4788"/>
      <c r="AD116" s="4788"/>
      <c r="AE116" s="4788"/>
      <c r="AF116" s="4788"/>
      <c r="AG116" s="4788"/>
      <c r="AH116" s="4788"/>
      <c r="AI116" s="4788"/>
      <c r="AJ116" s="4788"/>
      <c r="AK116" s="4788"/>
      <c r="AR116" s="3977"/>
      <c r="AS116" s="3977"/>
      <c r="AW116" s="3977"/>
      <c r="AX116" s="3977"/>
    </row>
    <row r="117" spans="2:50" ht="15" hidden="1" customHeight="1">
      <c r="B117" s="4206" t="s">
        <v>1321</v>
      </c>
      <c r="C117" s="4206"/>
      <c r="D117" s="4206"/>
      <c r="E117" s="4206"/>
      <c r="F117" s="4206"/>
      <c r="G117" s="4206"/>
      <c r="H117" s="4206"/>
      <c r="I117" s="4206"/>
      <c r="J117" s="4206"/>
      <c r="K117" s="4206"/>
      <c r="L117" s="4206"/>
      <c r="M117" s="4206"/>
      <c r="N117" s="4206"/>
      <c r="O117" s="4206"/>
      <c r="P117" s="4206"/>
      <c r="Q117" s="4206"/>
      <c r="R117" s="4206"/>
      <c r="S117" s="4206"/>
      <c r="T117" s="4789" t="s">
        <v>1322</v>
      </c>
      <c r="U117" s="4789"/>
      <c r="V117" s="4789"/>
      <c r="W117" s="4789"/>
      <c r="X117" s="4789"/>
      <c r="Y117" s="4789"/>
      <c r="Z117" s="4789"/>
      <c r="AA117" s="4789"/>
      <c r="AB117" s="4789"/>
      <c r="AC117" s="4789"/>
      <c r="AD117" s="4789"/>
      <c r="AE117" s="4789"/>
      <c r="AF117" s="4789"/>
      <c r="AG117" s="4789"/>
      <c r="AH117" s="4789"/>
      <c r="AI117" s="4789"/>
      <c r="AJ117" s="4789"/>
      <c r="AK117" s="4789"/>
      <c r="AR117" s="3977"/>
      <c r="AS117" s="3977"/>
      <c r="AW117" s="3977"/>
      <c r="AX117" s="3977"/>
    </row>
    <row r="118" spans="2:50" ht="15" hidden="1">
      <c r="T118" s="4207" t="s">
        <v>1323</v>
      </c>
      <c r="U118" s="4207"/>
      <c r="V118" s="4207"/>
      <c r="W118" s="4207"/>
      <c r="X118" s="4208"/>
      <c r="Y118" s="4208"/>
      <c r="AA118" s="3977"/>
      <c r="AR118" s="3977"/>
      <c r="AS118" s="3977"/>
      <c r="AW118" s="3977"/>
      <c r="AX118" s="3977"/>
    </row>
    <row r="119" spans="2:50">
      <c r="AA119" s="3977"/>
      <c r="AR119" s="3977"/>
      <c r="AS119" s="3977"/>
      <c r="AW119" s="3977"/>
      <c r="AX119" s="3977"/>
    </row>
    <row r="120" spans="2:50">
      <c r="AA120" s="3977"/>
      <c r="AR120" s="3977"/>
      <c r="AS120" s="3977"/>
      <c r="AW120" s="3977"/>
      <c r="AX120" s="3977"/>
    </row>
    <row r="121" spans="2:50">
      <c r="AA121" s="3977"/>
      <c r="AR121" s="3977"/>
      <c r="AS121" s="3977"/>
      <c r="AW121" s="3977"/>
      <c r="AX121" s="3977"/>
    </row>
    <row r="122" spans="2:50">
      <c r="AA122" s="3977"/>
      <c r="AR122" s="3977"/>
      <c r="AS122" s="3977"/>
      <c r="AW122" s="3977"/>
      <c r="AX122" s="3977"/>
    </row>
    <row r="123" spans="2:50">
      <c r="AA123" s="3977"/>
      <c r="AR123" s="3977"/>
      <c r="AS123" s="3977"/>
      <c r="AW123" s="3977"/>
      <c r="AX123" s="3977"/>
    </row>
    <row r="124" spans="2:50">
      <c r="AA124" s="3977"/>
      <c r="AR124" s="3977"/>
      <c r="AS124" s="3977"/>
      <c r="AW124" s="3977"/>
      <c r="AX124" s="3977"/>
    </row>
    <row r="125" spans="2:50">
      <c r="AA125" s="3977"/>
      <c r="AR125" s="3977"/>
      <c r="AS125" s="3977"/>
      <c r="AW125" s="3977"/>
      <c r="AX125" s="3977"/>
    </row>
    <row r="126" spans="2:50">
      <c r="AA126" s="3977"/>
      <c r="AR126" s="3977"/>
      <c r="AS126" s="3977"/>
      <c r="AW126" s="3977"/>
      <c r="AX126" s="3977"/>
    </row>
    <row r="127" spans="2:50">
      <c r="AA127" s="3977"/>
      <c r="AR127" s="3977"/>
      <c r="AS127" s="3977"/>
      <c r="AW127" s="3977"/>
      <c r="AX127" s="3977"/>
    </row>
    <row r="128" spans="2:50">
      <c r="AA128" s="3977"/>
      <c r="AR128" s="3977"/>
      <c r="AS128" s="3977"/>
      <c r="AW128" s="3977"/>
      <c r="AX128" s="3977"/>
    </row>
    <row r="129" s="3977" customFormat="1"/>
    <row r="130" s="3977" customFormat="1"/>
    <row r="131" s="3977" customFormat="1"/>
    <row r="132" s="3977" customFormat="1"/>
    <row r="133" s="3977" customFormat="1"/>
    <row r="134" s="3977" customFormat="1"/>
    <row r="135" s="3977" customFormat="1"/>
    <row r="136" s="3977" customFormat="1"/>
    <row r="137" s="3977" customFormat="1"/>
    <row r="138" s="3977" customFormat="1"/>
    <row r="139" s="3977" customFormat="1"/>
    <row r="140" s="3977" customFormat="1"/>
    <row r="141" s="3977" customFormat="1"/>
    <row r="142" s="3977" customFormat="1"/>
    <row r="143" s="3977" customFormat="1"/>
    <row r="144" s="3977" customFormat="1"/>
    <row r="145" s="3977" customFormat="1"/>
    <row r="146" s="3977" customFormat="1"/>
    <row r="147" s="3977" customFormat="1"/>
    <row r="148" s="3977" customFormat="1"/>
    <row r="149" s="3977" customFormat="1"/>
    <row r="150" s="3977" customFormat="1"/>
    <row r="151" s="3977" customFormat="1"/>
    <row r="152" s="3977" customFormat="1"/>
    <row r="153" s="3977" customFormat="1"/>
    <row r="154" s="3977" customFormat="1"/>
    <row r="155" s="3977" customFormat="1"/>
    <row r="156" s="3977" customFormat="1"/>
    <row r="157" s="3977" customFormat="1"/>
    <row r="158" s="3977" customFormat="1"/>
    <row r="159" s="3977" customFormat="1"/>
    <row r="160" s="3977" customFormat="1"/>
    <row r="161" s="3977" customFormat="1"/>
    <row r="162" s="3977" customFormat="1"/>
    <row r="163" s="3977" customFormat="1"/>
    <row r="164" s="3977" customFormat="1"/>
    <row r="165" s="3977" customFormat="1"/>
    <row r="166" s="3977" customFormat="1"/>
    <row r="167" s="3977" customFormat="1"/>
    <row r="168" s="3977" customFormat="1"/>
    <row r="169" s="3977" customFormat="1"/>
    <row r="170" s="3977" customFormat="1"/>
    <row r="171" s="3977" customFormat="1"/>
    <row r="172" s="3977" customFormat="1"/>
    <row r="173" s="3977" customFormat="1"/>
    <row r="174" s="3977" customFormat="1"/>
    <row r="175" s="3977" customFormat="1"/>
    <row r="176" s="3977" customFormat="1"/>
    <row r="177" s="3977" customFormat="1"/>
    <row r="178" s="3977" customFormat="1"/>
    <row r="179" s="3977" customFormat="1"/>
    <row r="180" s="3977" customFormat="1"/>
    <row r="181" s="3977" customFormat="1"/>
    <row r="182" s="3977" customFormat="1"/>
    <row r="183" s="3977" customFormat="1"/>
    <row r="184" s="3977" customFormat="1"/>
    <row r="185" s="3977" customFormat="1"/>
    <row r="186" s="3977" customFormat="1"/>
    <row r="187" s="3977" customFormat="1"/>
    <row r="188" s="3977" customFormat="1"/>
    <row r="189" s="3977" customFormat="1"/>
    <row r="190" s="3977" customFormat="1"/>
    <row r="191" s="3977" customFormat="1"/>
    <row r="192" s="3977" customFormat="1"/>
    <row r="193" s="3977" customFormat="1"/>
    <row r="194" s="3977" customFormat="1"/>
    <row r="195" s="3977" customFormat="1"/>
    <row r="196" s="3977" customFormat="1"/>
    <row r="197" s="3977" customFormat="1"/>
    <row r="198" s="3977" customFormat="1"/>
    <row r="199" s="3977" customFormat="1"/>
    <row r="200" s="3977" customFormat="1"/>
    <row r="201" s="3977" customFormat="1"/>
    <row r="202" s="3977" customFormat="1"/>
    <row r="203" s="3977" customFormat="1"/>
    <row r="204" s="3977" customFormat="1"/>
    <row r="205" s="3977" customFormat="1"/>
    <row r="206" s="3977" customFormat="1"/>
    <row r="207" s="3977" customFormat="1"/>
    <row r="208" s="3977" customFormat="1"/>
    <row r="209" s="3977" customFormat="1"/>
    <row r="210" s="3977" customFormat="1"/>
    <row r="211" s="3977" customFormat="1"/>
    <row r="212" s="3977" customFormat="1"/>
    <row r="213" s="3977" customFormat="1"/>
    <row r="214" s="3977" customFormat="1"/>
    <row r="215" s="3977" customFormat="1"/>
    <row r="216" s="3977" customFormat="1"/>
    <row r="217" s="3977" customFormat="1"/>
    <row r="218" s="3977" customFormat="1"/>
    <row r="219" s="3977" customFormat="1"/>
    <row r="220" s="3977" customFormat="1"/>
    <row r="221" s="3977" customFormat="1"/>
    <row r="222" s="3977" customFormat="1"/>
    <row r="223" s="3977" customFormat="1"/>
    <row r="224" s="3977" customFormat="1"/>
    <row r="225" s="3977" customFormat="1"/>
    <row r="226" s="3977" customFormat="1"/>
    <row r="227" s="3977" customFormat="1"/>
    <row r="228" s="3977" customFormat="1"/>
    <row r="229" s="3977" customFormat="1"/>
    <row r="230" s="3977" customFormat="1"/>
    <row r="231" s="3977" customFormat="1"/>
    <row r="232" s="3977" customFormat="1"/>
    <row r="233" s="3977" customFormat="1"/>
    <row r="234" s="3977" customFormat="1"/>
    <row r="235" s="3977" customFormat="1"/>
    <row r="236" s="3977" customFormat="1"/>
    <row r="237" s="3977" customFormat="1"/>
    <row r="238" s="3977" customFormat="1"/>
    <row r="239" s="3977" customFormat="1"/>
    <row r="240" s="3977" customFormat="1"/>
    <row r="241" s="3977" customFormat="1"/>
    <row r="242" s="3977" customFormat="1"/>
    <row r="243" s="3977" customFormat="1"/>
    <row r="244" s="3977" customFormat="1"/>
    <row r="245" s="3977" customFormat="1"/>
    <row r="246" s="3977" customFormat="1"/>
    <row r="247" s="3977" customFormat="1"/>
    <row r="248" s="3977" customFormat="1"/>
    <row r="249" s="3977" customFormat="1"/>
    <row r="250" s="3977" customFormat="1"/>
    <row r="251" s="3977" customFormat="1"/>
    <row r="252" s="3977" customFormat="1"/>
    <row r="253" s="3977" customFormat="1"/>
    <row r="254" s="3977" customFormat="1"/>
    <row r="255" s="3977" customFormat="1"/>
    <row r="256" s="3977" customFormat="1"/>
    <row r="257" s="3977" customFormat="1"/>
    <row r="258" s="3977" customFormat="1"/>
    <row r="259" s="3977" customFormat="1"/>
    <row r="260" s="3977" customFormat="1"/>
    <row r="261" s="3977" customFormat="1"/>
    <row r="262" s="3977" customFormat="1"/>
    <row r="263" s="3977" customFormat="1"/>
    <row r="264" s="3977" customFormat="1"/>
    <row r="265" s="3977" customFormat="1"/>
    <row r="266" s="3977" customFormat="1"/>
    <row r="267" s="3977" customFormat="1"/>
    <row r="268" s="3977" customFormat="1"/>
    <row r="269" s="3977" customFormat="1"/>
    <row r="270" s="3977" customFormat="1"/>
    <row r="271" s="3977" customFormat="1"/>
    <row r="272" s="3977" customFormat="1"/>
    <row r="273" s="3977" customFormat="1"/>
    <row r="274" s="3977" customFormat="1"/>
    <row r="275" s="3977" customFormat="1"/>
    <row r="276" s="3977" customFormat="1"/>
    <row r="277" s="3977" customFormat="1"/>
    <row r="278" s="3977" customFormat="1"/>
    <row r="279" s="3977" customFormat="1"/>
    <row r="280" s="3977" customFormat="1"/>
    <row r="281" s="3977" customFormat="1"/>
    <row r="282" s="3977" customFormat="1"/>
    <row r="283" s="3977" customFormat="1"/>
    <row r="284" s="3977" customFormat="1"/>
    <row r="285" s="3977" customFormat="1"/>
    <row r="286" s="3977" customFormat="1"/>
    <row r="287" s="3977" customFormat="1"/>
    <row r="288" s="3977" customFormat="1"/>
    <row r="289" s="3977" customFormat="1"/>
    <row r="290" s="3977" customFormat="1"/>
    <row r="291" s="3977" customFormat="1"/>
    <row r="292" s="3977" customFormat="1"/>
    <row r="293" s="3977" customFormat="1"/>
    <row r="294" s="3977" customFormat="1"/>
    <row r="295" s="3977" customFormat="1"/>
    <row r="296" s="3977" customFormat="1"/>
    <row r="297" s="3977" customFormat="1"/>
    <row r="298" s="3977" customFormat="1"/>
    <row r="299" s="3977" customFormat="1"/>
    <row r="300" s="3977" customFormat="1"/>
    <row r="301" s="3977" customFormat="1"/>
    <row r="302" s="3977" customFormat="1"/>
    <row r="303" s="3977" customFormat="1"/>
    <row r="304" s="3977" customFormat="1"/>
    <row r="305" s="3977" customFormat="1"/>
    <row r="306" s="3977" customFormat="1"/>
    <row r="307" s="3977" customFormat="1"/>
    <row r="308" s="3977" customFormat="1"/>
    <row r="309" s="3977" customFormat="1"/>
    <row r="310" s="3977" customFormat="1"/>
    <row r="311" s="3977" customFormat="1"/>
    <row r="312" s="3977" customFormat="1"/>
    <row r="313" s="3977" customFormat="1"/>
    <row r="314" s="3977" customFormat="1"/>
    <row r="315" s="3977" customFormat="1"/>
    <row r="316" s="3977" customFormat="1"/>
    <row r="317" s="3977" customFormat="1"/>
    <row r="318" s="3977" customFormat="1"/>
    <row r="319" s="3977" customFormat="1"/>
    <row r="320" s="3977" customFormat="1"/>
    <row r="321" spans="27:50">
      <c r="AA321" s="3977"/>
      <c r="AR321" s="3977"/>
      <c r="AS321" s="3977"/>
      <c r="AW321" s="3977"/>
      <c r="AX321" s="3977"/>
    </row>
    <row r="322" spans="27:50">
      <c r="AA322" s="3977"/>
      <c r="AR322" s="3977"/>
      <c r="AS322" s="3977"/>
      <c r="AW322" s="3977"/>
      <c r="AX322" s="3977"/>
    </row>
    <row r="323" spans="27:50">
      <c r="AA323" s="3977"/>
      <c r="AR323" s="3977"/>
      <c r="AS323" s="3977"/>
      <c r="AW323" s="3977"/>
      <c r="AX323" s="3977"/>
    </row>
    <row r="324" spans="27:50">
      <c r="AA324" s="3977"/>
      <c r="AR324" s="3977"/>
      <c r="AS324" s="3977"/>
      <c r="AW324" s="3977"/>
      <c r="AX324" s="3977"/>
    </row>
    <row r="325" spans="27:50">
      <c r="AA325" s="3977"/>
      <c r="AR325" s="3977"/>
      <c r="AS325" s="3977"/>
      <c r="AW325" s="3977"/>
      <c r="AX325" s="3977"/>
    </row>
    <row r="326" spans="27:50">
      <c r="AA326" s="3977"/>
      <c r="AR326" s="3977"/>
      <c r="AS326" s="3977"/>
      <c r="AW326" s="3977"/>
      <c r="AX326" s="3977"/>
    </row>
    <row r="327" spans="27:50">
      <c r="AA327" s="3977"/>
      <c r="AR327" s="3977"/>
      <c r="AS327" s="3977"/>
      <c r="AW327" s="3977"/>
      <c r="AX327" s="3977"/>
    </row>
    <row r="328" spans="27:50">
      <c r="AA328" s="3977"/>
      <c r="AR328" s="3977"/>
      <c r="AS328" s="3977"/>
      <c r="AW328" s="3977"/>
      <c r="AX328" s="3977"/>
    </row>
    <row r="329" spans="27:50">
      <c r="AA329" s="3977"/>
    </row>
    <row r="330" spans="27:50">
      <c r="AA330" s="3977"/>
    </row>
    <row r="331" spans="27:50">
      <c r="AA331" s="3977"/>
    </row>
    <row r="332" spans="27:50">
      <c r="AA332" s="3977"/>
    </row>
    <row r="333" spans="27:50">
      <c r="AA333" s="3977"/>
    </row>
    <row r="334" spans="27:50">
      <c r="AA334" s="3977"/>
    </row>
    <row r="335" spans="27:50">
      <c r="AA335" s="3977"/>
    </row>
    <row r="336" spans="27:50">
      <c r="AA336" s="3977"/>
    </row>
    <row r="337" spans="27:27">
      <c r="AA337" s="3977"/>
    </row>
    <row r="338" spans="27:27">
      <c r="AA338" s="3977"/>
    </row>
    <row r="339" spans="27:27">
      <c r="AA339" s="3977"/>
    </row>
    <row r="340" spans="27:27">
      <c r="AA340" s="3977"/>
    </row>
    <row r="341" spans="27:27">
      <c r="AA341" s="3977"/>
    </row>
    <row r="342" spans="27:27">
      <c r="AA342" s="3977"/>
    </row>
    <row r="343" spans="27:27">
      <c r="AA343" s="3977"/>
    </row>
    <row r="344" spans="27:27">
      <c r="AA344" s="3977"/>
    </row>
    <row r="345" spans="27:27">
      <c r="AA345" s="3977"/>
    </row>
    <row r="346" spans="27:27">
      <c r="AA346" s="3977"/>
    </row>
    <row r="347" spans="27:27">
      <c r="AA347" s="3977"/>
    </row>
    <row r="348" spans="27:27">
      <c r="AA348" s="3977"/>
    </row>
    <row r="349" spans="27:27">
      <c r="AA349" s="3977"/>
    </row>
    <row r="350" spans="27:27">
      <c r="AA350" s="3977"/>
    </row>
    <row r="351" spans="27:27">
      <c r="AA351" s="3977"/>
    </row>
    <row r="352" spans="27:27">
      <c r="AA352" s="3977"/>
    </row>
    <row r="353" spans="27:27">
      <c r="AA353" s="3977"/>
    </row>
    <row r="354" spans="27:27">
      <c r="AA354" s="3977"/>
    </row>
    <row r="355" spans="27:27">
      <c r="AA355" s="3977"/>
    </row>
    <row r="356" spans="27:27">
      <c r="AA356" s="3977"/>
    </row>
    <row r="357" spans="27:27">
      <c r="AA357" s="3977"/>
    </row>
    <row r="358" spans="27:27">
      <c r="AA358" s="3977"/>
    </row>
    <row r="359" spans="27:27">
      <c r="AA359" s="3977"/>
    </row>
    <row r="360" spans="27:27">
      <c r="AA360" s="3977"/>
    </row>
    <row r="361" spans="27:27">
      <c r="AA361" s="3977"/>
    </row>
    <row r="362" spans="27:27">
      <c r="AA362" s="3977"/>
    </row>
    <row r="363" spans="27:27">
      <c r="AA363" s="3977"/>
    </row>
    <row r="364" spans="27:27">
      <c r="AA364" s="3977"/>
    </row>
    <row r="365" spans="27:27">
      <c r="AA365" s="3977"/>
    </row>
    <row r="366" spans="27:27">
      <c r="AA366" s="3977"/>
    </row>
    <row r="367" spans="27:27">
      <c r="AA367" s="3977"/>
    </row>
    <row r="368" spans="27:27">
      <c r="AA368" s="3977"/>
    </row>
    <row r="369" spans="27:27">
      <c r="AA369" s="3977"/>
    </row>
    <row r="370" spans="27:27">
      <c r="AA370" s="3977"/>
    </row>
    <row r="371" spans="27:27">
      <c r="AA371" s="3977"/>
    </row>
    <row r="372" spans="27:27">
      <c r="AA372" s="3977"/>
    </row>
    <row r="373" spans="27:27">
      <c r="AA373" s="3977"/>
    </row>
    <row r="374" spans="27:27">
      <c r="AA374" s="3977"/>
    </row>
    <row r="375" spans="27:27">
      <c r="AA375" s="3977"/>
    </row>
    <row r="376" spans="27:27">
      <c r="AA376" s="3977"/>
    </row>
    <row r="377" spans="27:27">
      <c r="AA377" s="3977"/>
    </row>
    <row r="378" spans="27:27">
      <c r="AA378" s="3977"/>
    </row>
    <row r="379" spans="27:27">
      <c r="AA379" s="3977"/>
    </row>
    <row r="380" spans="27:27">
      <c r="AA380" s="3977"/>
    </row>
    <row r="381" spans="27:27">
      <c r="AA381" s="3977"/>
    </row>
    <row r="382" spans="27:27">
      <c r="AA382" s="3977"/>
    </row>
    <row r="383" spans="27:27">
      <c r="AA383" s="3977"/>
    </row>
    <row r="384" spans="27:27">
      <c r="AA384" s="3977"/>
    </row>
    <row r="385" spans="27:27">
      <c r="AA385" s="3977"/>
    </row>
    <row r="386" spans="27:27">
      <c r="AA386" s="3977"/>
    </row>
    <row r="387" spans="27:27">
      <c r="AA387" s="3977"/>
    </row>
    <row r="388" spans="27:27">
      <c r="AA388" s="3977"/>
    </row>
    <row r="389" spans="27:27">
      <c r="AA389" s="3977"/>
    </row>
    <row r="390" spans="27:27">
      <c r="AA390" s="3977"/>
    </row>
    <row r="391" spans="27:27">
      <c r="AA391" s="3977"/>
    </row>
    <row r="392" spans="27:27">
      <c r="AA392" s="3977"/>
    </row>
    <row r="393" spans="27:27">
      <c r="AA393" s="3977"/>
    </row>
    <row r="394" spans="27:27">
      <c r="AA394" s="3977"/>
    </row>
    <row r="395" spans="27:27">
      <c r="AA395" s="3977"/>
    </row>
    <row r="396" spans="27:27">
      <c r="AA396" s="3977"/>
    </row>
    <row r="397" spans="27:27">
      <c r="AA397" s="3977"/>
    </row>
    <row r="398" spans="27:27">
      <c r="AA398" s="3977"/>
    </row>
    <row r="399" spans="27:27">
      <c r="AA399" s="3977"/>
    </row>
    <row r="400" spans="27:27">
      <c r="AA400" s="3977"/>
    </row>
    <row r="401" spans="27:27">
      <c r="AA401" s="3977"/>
    </row>
    <row r="402" spans="27:27">
      <c r="AA402" s="3977"/>
    </row>
    <row r="403" spans="27:27">
      <c r="AA403" s="3977"/>
    </row>
    <row r="404" spans="27:27">
      <c r="AA404" s="3977"/>
    </row>
    <row r="405" spans="27:27">
      <c r="AA405" s="3977"/>
    </row>
    <row r="406" spans="27:27">
      <c r="AA406" s="3977"/>
    </row>
    <row r="407" spans="27:27">
      <c r="AA407" s="3977"/>
    </row>
    <row r="408" spans="27:27">
      <c r="AA408" s="3977"/>
    </row>
    <row r="409" spans="27:27">
      <c r="AA409" s="3977"/>
    </row>
    <row r="410" spans="27:27">
      <c r="AA410" s="3977"/>
    </row>
    <row r="411" spans="27:27">
      <c r="AA411" s="3977"/>
    </row>
    <row r="412" spans="27:27">
      <c r="AA412" s="3977"/>
    </row>
    <row r="413" spans="27:27">
      <c r="AA413" s="3977"/>
    </row>
    <row r="414" spans="27:27">
      <c r="AA414" s="3977"/>
    </row>
    <row r="415" spans="27:27">
      <c r="AA415" s="3977"/>
    </row>
    <row r="416" spans="27:27">
      <c r="AA416" s="3977"/>
    </row>
    <row r="417" spans="27:27">
      <c r="AA417" s="3977"/>
    </row>
    <row r="418" spans="27:27">
      <c r="AA418" s="3977"/>
    </row>
    <row r="419" spans="27:27">
      <c r="AA419" s="3977"/>
    </row>
    <row r="420" spans="27:27">
      <c r="AA420" s="3977"/>
    </row>
    <row r="421" spans="27:27">
      <c r="AA421" s="3977"/>
    </row>
    <row r="422" spans="27:27">
      <c r="AA422" s="3977"/>
    </row>
    <row r="423" spans="27:27">
      <c r="AA423" s="3977"/>
    </row>
    <row r="424" spans="27:27">
      <c r="AA424" s="3977"/>
    </row>
    <row r="425" spans="27:27">
      <c r="AA425" s="3977"/>
    </row>
    <row r="426" spans="27:27">
      <c r="AA426" s="3977"/>
    </row>
    <row r="427" spans="27:27">
      <c r="AA427" s="3977"/>
    </row>
    <row r="428" spans="27:27">
      <c r="AA428" s="3977"/>
    </row>
    <row r="429" spans="27:27">
      <c r="AA429" s="3977"/>
    </row>
    <row r="430" spans="27:27">
      <c r="AA430" s="3977"/>
    </row>
    <row r="431" spans="27:27">
      <c r="AA431" s="3977"/>
    </row>
    <row r="432" spans="27:27">
      <c r="AA432" s="3977"/>
    </row>
    <row r="433" spans="27:27">
      <c r="AA433" s="3977"/>
    </row>
    <row r="434" spans="27:27">
      <c r="AA434" s="3977"/>
    </row>
    <row r="435" spans="27:27">
      <c r="AA435" s="3977"/>
    </row>
    <row r="436" spans="27:27">
      <c r="AA436" s="3977"/>
    </row>
    <row r="437" spans="27:27">
      <c r="AA437" s="3977"/>
    </row>
    <row r="438" spans="27:27">
      <c r="AA438" s="3977"/>
    </row>
    <row r="439" spans="27:27">
      <c r="AA439" s="3977"/>
    </row>
    <row r="440" spans="27:27">
      <c r="AA440" s="3977"/>
    </row>
    <row r="441" spans="27:27">
      <c r="AA441" s="3977"/>
    </row>
    <row r="442" spans="27:27">
      <c r="AA442" s="3977"/>
    </row>
    <row r="443" spans="27:27">
      <c r="AA443" s="3977"/>
    </row>
    <row r="444" spans="27:27">
      <c r="AA444" s="3977"/>
    </row>
    <row r="445" spans="27:27">
      <c r="AA445" s="3977"/>
    </row>
    <row r="446" spans="27:27">
      <c r="AA446" s="3977"/>
    </row>
    <row r="447" spans="27:27">
      <c r="AA447" s="3977"/>
    </row>
    <row r="448" spans="27:27">
      <c r="AA448" s="3977"/>
    </row>
    <row r="449" spans="27:27">
      <c r="AA449" s="3977"/>
    </row>
    <row r="450" spans="27:27">
      <c r="AA450" s="3977"/>
    </row>
    <row r="451" spans="27:27">
      <c r="AA451" s="3977"/>
    </row>
    <row r="452" spans="27:27">
      <c r="AA452" s="3977"/>
    </row>
    <row r="453" spans="27:27">
      <c r="AA453" s="3977"/>
    </row>
    <row r="454" spans="27:27">
      <c r="AA454" s="3977"/>
    </row>
    <row r="455" spans="27:27">
      <c r="AA455" s="3977"/>
    </row>
    <row r="456" spans="27:27">
      <c r="AA456" s="3977"/>
    </row>
    <row r="457" spans="27:27">
      <c r="AA457" s="3977"/>
    </row>
    <row r="458" spans="27:27">
      <c r="AA458" s="3977"/>
    </row>
    <row r="459" spans="27:27">
      <c r="AA459" s="3977"/>
    </row>
    <row r="460" spans="27:27">
      <c r="AA460" s="3977"/>
    </row>
    <row r="461" spans="27:27">
      <c r="AA461" s="3977"/>
    </row>
    <row r="462" spans="27:27">
      <c r="AA462" s="3977"/>
    </row>
    <row r="463" spans="27:27">
      <c r="AA463" s="3977"/>
    </row>
    <row r="464" spans="27:27">
      <c r="AA464" s="3977"/>
    </row>
    <row r="465" spans="27:27">
      <c r="AA465" s="3977"/>
    </row>
    <row r="466" spans="27:27">
      <c r="AA466" s="3977"/>
    </row>
    <row r="467" spans="27:27">
      <c r="AA467" s="3977"/>
    </row>
    <row r="468" spans="27:27">
      <c r="AA468" s="3977"/>
    </row>
    <row r="469" spans="27:27">
      <c r="AA469" s="3977"/>
    </row>
    <row r="470" spans="27:27">
      <c r="AA470" s="3977"/>
    </row>
    <row r="471" spans="27:27">
      <c r="AA471" s="3977"/>
    </row>
    <row r="472" spans="27:27">
      <c r="AA472" s="3977"/>
    </row>
    <row r="473" spans="27:27">
      <c r="AA473" s="3977"/>
    </row>
    <row r="474" spans="27:27">
      <c r="AA474" s="3977"/>
    </row>
    <row r="475" spans="27:27">
      <c r="AA475" s="3977"/>
    </row>
    <row r="476" spans="27:27">
      <c r="AA476" s="3977"/>
    </row>
    <row r="477" spans="27:27">
      <c r="AA477" s="3977"/>
    </row>
    <row r="478" spans="27:27">
      <c r="AA478" s="3977"/>
    </row>
    <row r="479" spans="27:27">
      <c r="AA479" s="3977"/>
    </row>
    <row r="480" spans="27:27">
      <c r="AA480" s="3977"/>
    </row>
    <row r="481" spans="27:27">
      <c r="AA481" s="3977"/>
    </row>
    <row r="482" spans="27:27">
      <c r="AA482" s="3977"/>
    </row>
    <row r="483" spans="27:27">
      <c r="AA483" s="3977"/>
    </row>
    <row r="484" spans="27:27">
      <c r="AA484" s="3977"/>
    </row>
    <row r="485" spans="27:27">
      <c r="AA485" s="3977"/>
    </row>
    <row r="486" spans="27:27">
      <c r="AA486" s="3977"/>
    </row>
    <row r="487" spans="27:27">
      <c r="AA487" s="3977"/>
    </row>
    <row r="488" spans="27:27">
      <c r="AA488" s="3977"/>
    </row>
    <row r="489" spans="27:27">
      <c r="AA489" s="3977"/>
    </row>
    <row r="490" spans="27:27">
      <c r="AA490" s="3977"/>
    </row>
    <row r="491" spans="27:27">
      <c r="AA491" s="3977"/>
    </row>
    <row r="492" spans="27:27">
      <c r="AA492" s="3977"/>
    </row>
    <row r="493" spans="27:27">
      <c r="AA493" s="3977"/>
    </row>
    <row r="494" spans="27:27">
      <c r="AA494" s="3977"/>
    </row>
    <row r="495" spans="27:27">
      <c r="AA495" s="3977"/>
    </row>
    <row r="496" spans="27:27">
      <c r="AA496" s="3977"/>
    </row>
    <row r="497" spans="27:27">
      <c r="AA497" s="3977"/>
    </row>
    <row r="498" spans="27:27">
      <c r="AA498" s="3977"/>
    </row>
    <row r="499" spans="27:27">
      <c r="AA499" s="3977"/>
    </row>
    <row r="500" spans="27:27">
      <c r="AA500" s="3977"/>
    </row>
    <row r="501" spans="27:27">
      <c r="AA501" s="3977"/>
    </row>
    <row r="502" spans="27:27">
      <c r="AA502" s="3977"/>
    </row>
    <row r="503" spans="27:27">
      <c r="AA503" s="3977"/>
    </row>
    <row r="504" spans="27:27">
      <c r="AA504" s="3977"/>
    </row>
    <row r="505" spans="27:27">
      <c r="AA505" s="3977"/>
    </row>
    <row r="506" spans="27:27">
      <c r="AA506" s="3977"/>
    </row>
    <row r="507" spans="27:27">
      <c r="AA507" s="3977"/>
    </row>
    <row r="508" spans="27:27">
      <c r="AA508" s="3977"/>
    </row>
    <row r="509" spans="27:27">
      <c r="AA509" s="3977"/>
    </row>
    <row r="510" spans="27:27">
      <c r="AA510" s="3977"/>
    </row>
    <row r="511" spans="27:27">
      <c r="AA511" s="3977"/>
    </row>
    <row r="512" spans="27:27">
      <c r="AA512" s="3977"/>
    </row>
    <row r="513" spans="27:27">
      <c r="AA513" s="3977"/>
    </row>
    <row r="514" spans="27:27">
      <c r="AA514" s="3977"/>
    </row>
    <row r="515" spans="27:27">
      <c r="AA515" s="3977"/>
    </row>
    <row r="516" spans="27:27">
      <c r="AA516" s="3977"/>
    </row>
    <row r="517" spans="27:27">
      <c r="AA517" s="3977"/>
    </row>
    <row r="518" spans="27:27">
      <c r="AA518" s="3977"/>
    </row>
    <row r="519" spans="27:27">
      <c r="AA519" s="3977"/>
    </row>
    <row r="520" spans="27:27">
      <c r="AA520" s="3977"/>
    </row>
    <row r="521" spans="27:27">
      <c r="AA521" s="3977"/>
    </row>
    <row r="522" spans="27:27">
      <c r="AA522" s="3977"/>
    </row>
    <row r="523" spans="27:27">
      <c r="AA523" s="3977"/>
    </row>
    <row r="524" spans="27:27">
      <c r="AA524" s="3977"/>
    </row>
    <row r="525" spans="27:27">
      <c r="AA525" s="3977"/>
    </row>
    <row r="526" spans="27:27">
      <c r="AA526" s="3977"/>
    </row>
    <row r="527" spans="27:27">
      <c r="AA527" s="3977"/>
    </row>
    <row r="528" spans="27:27">
      <c r="AA528" s="3977"/>
    </row>
    <row r="529" spans="27:27">
      <c r="AA529" s="3977"/>
    </row>
    <row r="530" spans="27:27">
      <c r="AA530" s="3977"/>
    </row>
    <row r="531" spans="27:27">
      <c r="AA531" s="3977"/>
    </row>
    <row r="532" spans="27:27">
      <c r="AA532" s="3977"/>
    </row>
    <row r="533" spans="27:27">
      <c r="AA533" s="3977"/>
    </row>
    <row r="534" spans="27:27">
      <c r="AA534" s="3977"/>
    </row>
    <row r="535" spans="27:27">
      <c r="AA535" s="3977"/>
    </row>
    <row r="536" spans="27:27">
      <c r="AA536" s="3977"/>
    </row>
    <row r="537" spans="27:27">
      <c r="AA537" s="3977"/>
    </row>
    <row r="538" spans="27:27">
      <c r="AA538" s="3977"/>
    </row>
    <row r="539" spans="27:27">
      <c r="AA539" s="3977"/>
    </row>
    <row r="540" spans="27:27">
      <c r="AA540" s="3977"/>
    </row>
    <row r="541" spans="27:27">
      <c r="AA541" s="3977"/>
    </row>
    <row r="542" spans="27:27">
      <c r="AA542" s="3977"/>
    </row>
    <row r="543" spans="27:27">
      <c r="AA543" s="3977"/>
    </row>
    <row r="544" spans="27:27">
      <c r="AA544" s="3977"/>
    </row>
    <row r="545" spans="27:27">
      <c r="AA545" s="3977"/>
    </row>
    <row r="546" spans="27:27">
      <c r="AA546" s="3977"/>
    </row>
    <row r="547" spans="27:27">
      <c r="AA547" s="3977"/>
    </row>
    <row r="548" spans="27:27">
      <c r="AA548" s="3977"/>
    </row>
    <row r="549" spans="27:27">
      <c r="AA549" s="3977"/>
    </row>
    <row r="550" spans="27:27">
      <c r="AA550" s="3977"/>
    </row>
    <row r="551" spans="27:27">
      <c r="AA551" s="3977"/>
    </row>
    <row r="552" spans="27:27">
      <c r="AA552" s="3977"/>
    </row>
    <row r="553" spans="27:27">
      <c r="AA553" s="3977"/>
    </row>
    <row r="554" spans="27:27">
      <c r="AA554" s="3977"/>
    </row>
    <row r="555" spans="27:27">
      <c r="AA555" s="3977"/>
    </row>
    <row r="556" spans="27:27">
      <c r="AA556" s="3977"/>
    </row>
    <row r="557" spans="27:27">
      <c r="AA557" s="3977"/>
    </row>
    <row r="558" spans="27:27">
      <c r="AA558" s="3977"/>
    </row>
    <row r="559" spans="27:27">
      <c r="AA559" s="3977"/>
    </row>
    <row r="560" spans="27:27">
      <c r="AA560" s="3977"/>
    </row>
    <row r="561" spans="27:27">
      <c r="AA561" s="3977"/>
    </row>
    <row r="562" spans="27:27">
      <c r="AA562" s="3977"/>
    </row>
    <row r="563" spans="27:27">
      <c r="AA563" s="3977"/>
    </row>
    <row r="564" spans="27:27">
      <c r="AA564" s="3977"/>
    </row>
    <row r="565" spans="27:27">
      <c r="AA565" s="3977"/>
    </row>
    <row r="566" spans="27:27">
      <c r="AA566" s="3977"/>
    </row>
    <row r="567" spans="27:27">
      <c r="AA567" s="3977"/>
    </row>
    <row r="568" spans="27:27">
      <c r="AA568" s="3977"/>
    </row>
    <row r="569" spans="27:27">
      <c r="AA569" s="3977"/>
    </row>
    <row r="570" spans="27:27">
      <c r="AA570" s="3977"/>
    </row>
    <row r="571" spans="27:27">
      <c r="AA571" s="3977"/>
    </row>
    <row r="572" spans="27:27">
      <c r="AA572" s="3977"/>
    </row>
    <row r="573" spans="27:27">
      <c r="AA573" s="3977"/>
    </row>
    <row r="574" spans="27:27">
      <c r="AA574" s="3977"/>
    </row>
    <row r="575" spans="27:27">
      <c r="AA575" s="3977"/>
    </row>
    <row r="576" spans="27:27">
      <c r="AA576" s="3977"/>
    </row>
    <row r="577" spans="27:27">
      <c r="AA577" s="3977"/>
    </row>
    <row r="578" spans="27:27">
      <c r="AA578" s="3977"/>
    </row>
    <row r="579" spans="27:27">
      <c r="AA579" s="3977"/>
    </row>
    <row r="580" spans="27:27">
      <c r="AA580" s="3977"/>
    </row>
    <row r="581" spans="27:27">
      <c r="AA581" s="3977"/>
    </row>
    <row r="582" spans="27:27">
      <c r="AA582" s="3977"/>
    </row>
    <row r="583" spans="27:27">
      <c r="AA583" s="3977"/>
    </row>
    <row r="584" spans="27:27">
      <c r="AA584" s="3977"/>
    </row>
    <row r="585" spans="27:27">
      <c r="AA585" s="3977"/>
    </row>
    <row r="586" spans="27:27">
      <c r="AA586" s="3977"/>
    </row>
    <row r="587" spans="27:27">
      <c r="AA587" s="3977"/>
    </row>
    <row r="588" spans="27:27">
      <c r="AA588" s="3977"/>
    </row>
    <row r="589" spans="27:27">
      <c r="AA589" s="3977"/>
    </row>
    <row r="590" spans="27:27">
      <c r="AA590" s="3977"/>
    </row>
    <row r="591" spans="27:27">
      <c r="AA591" s="3977"/>
    </row>
    <row r="592" spans="27:27">
      <c r="AA592" s="3977"/>
    </row>
    <row r="593" spans="27:27">
      <c r="AA593" s="3977"/>
    </row>
    <row r="594" spans="27:27">
      <c r="AA594" s="3977"/>
    </row>
    <row r="595" spans="27:27">
      <c r="AA595" s="3977"/>
    </row>
    <row r="596" spans="27:27">
      <c r="AA596" s="3977"/>
    </row>
    <row r="597" spans="27:27">
      <c r="AA597" s="3977"/>
    </row>
    <row r="598" spans="27:27">
      <c r="AA598" s="3977"/>
    </row>
    <row r="599" spans="27:27">
      <c r="AA599" s="3977"/>
    </row>
    <row r="600" spans="27:27">
      <c r="AA600" s="3977"/>
    </row>
    <row r="601" spans="27:27">
      <c r="AA601" s="3977"/>
    </row>
    <row r="602" spans="27:27">
      <c r="AA602" s="3977"/>
    </row>
    <row r="603" spans="27:27">
      <c r="AA603" s="3977"/>
    </row>
    <row r="604" spans="27:27">
      <c r="AA604" s="3977"/>
    </row>
    <row r="605" spans="27:27">
      <c r="AA605" s="3977"/>
    </row>
    <row r="606" spans="27:27">
      <c r="AA606" s="3977"/>
    </row>
    <row r="607" spans="27:27">
      <c r="AA607" s="3977"/>
    </row>
    <row r="608" spans="27:27">
      <c r="AA608" s="3977"/>
    </row>
    <row r="609" spans="27:27">
      <c r="AA609" s="3977"/>
    </row>
    <row r="610" spans="27:27">
      <c r="AA610" s="3977"/>
    </row>
    <row r="611" spans="27:27">
      <c r="AA611" s="3977"/>
    </row>
    <row r="612" spans="27:27">
      <c r="AA612" s="3977"/>
    </row>
    <row r="613" spans="27:27">
      <c r="AA613" s="3977"/>
    </row>
    <row r="614" spans="27:27">
      <c r="AA614" s="3977"/>
    </row>
    <row r="615" spans="27:27">
      <c r="AA615" s="3977"/>
    </row>
    <row r="616" spans="27:27">
      <c r="AA616" s="3977"/>
    </row>
    <row r="617" spans="27:27">
      <c r="AA617" s="3977"/>
    </row>
    <row r="618" spans="27:27">
      <c r="AA618" s="3977"/>
    </row>
    <row r="619" spans="27:27">
      <c r="AA619" s="3977"/>
    </row>
    <row r="620" spans="27:27">
      <c r="AA620" s="3977"/>
    </row>
    <row r="621" spans="27:27">
      <c r="AA621" s="3977"/>
    </row>
    <row r="622" spans="27:27">
      <c r="AA622" s="3977"/>
    </row>
    <row r="623" spans="27:27">
      <c r="AA623" s="3977"/>
    </row>
    <row r="624" spans="27:27">
      <c r="AA624" s="3977"/>
    </row>
    <row r="625" spans="27:27">
      <c r="AA625" s="3977"/>
    </row>
    <row r="626" spans="27:27">
      <c r="AA626" s="3977"/>
    </row>
    <row r="627" spans="27:27">
      <c r="AA627" s="3977"/>
    </row>
    <row r="628" spans="27:27">
      <c r="AA628" s="3977"/>
    </row>
    <row r="629" spans="27:27">
      <c r="AA629" s="3977"/>
    </row>
    <row r="630" spans="27:27">
      <c r="AA630" s="3977"/>
    </row>
    <row r="631" spans="27:27">
      <c r="AA631" s="3977"/>
    </row>
    <row r="632" spans="27:27">
      <c r="AA632" s="3977"/>
    </row>
    <row r="633" spans="27:27">
      <c r="AA633" s="3977"/>
    </row>
    <row r="634" spans="27:27">
      <c r="AA634" s="3977"/>
    </row>
    <row r="635" spans="27:27">
      <c r="AA635" s="3977"/>
    </row>
    <row r="636" spans="27:27">
      <c r="AA636" s="3977"/>
    </row>
    <row r="637" spans="27:27">
      <c r="AA637" s="3977"/>
    </row>
    <row r="638" spans="27:27">
      <c r="AA638" s="3977"/>
    </row>
    <row r="639" spans="27:27">
      <c r="AA639" s="3977"/>
    </row>
    <row r="640" spans="27:27">
      <c r="AA640" s="3977"/>
    </row>
    <row r="641" spans="27:27">
      <c r="AA641" s="3977"/>
    </row>
    <row r="642" spans="27:27">
      <c r="AA642" s="3977"/>
    </row>
    <row r="643" spans="27:27">
      <c r="AA643" s="3977"/>
    </row>
    <row r="644" spans="27:27">
      <c r="AA644" s="3977"/>
    </row>
    <row r="645" spans="27:27">
      <c r="AA645" s="3977"/>
    </row>
    <row r="646" spans="27:27">
      <c r="AA646" s="3977"/>
    </row>
    <row r="647" spans="27:27">
      <c r="AA647" s="3977"/>
    </row>
    <row r="648" spans="27:27">
      <c r="AA648" s="3977"/>
    </row>
    <row r="649" spans="27:27">
      <c r="AA649" s="3977"/>
    </row>
    <row r="650" spans="27:27">
      <c r="AA650" s="3977"/>
    </row>
    <row r="651" spans="27:27">
      <c r="AA651" s="3977"/>
    </row>
    <row r="652" spans="27:27">
      <c r="AA652" s="3977"/>
    </row>
    <row r="653" spans="27:27">
      <c r="AA653" s="3977"/>
    </row>
    <row r="654" spans="27:27">
      <c r="AA654" s="3977"/>
    </row>
    <row r="655" spans="27:27">
      <c r="AA655" s="3977"/>
    </row>
    <row r="656" spans="27:27">
      <c r="AA656" s="3977"/>
    </row>
    <row r="657" spans="27:27">
      <c r="AA657" s="3977"/>
    </row>
    <row r="658" spans="27:27">
      <c r="AA658" s="3977"/>
    </row>
    <row r="659" spans="27:27">
      <c r="AA659" s="3977"/>
    </row>
    <row r="660" spans="27:27">
      <c r="AA660" s="3977"/>
    </row>
    <row r="661" spans="27:27">
      <c r="AA661" s="3977"/>
    </row>
    <row r="662" spans="27:27">
      <c r="AA662" s="3977"/>
    </row>
    <row r="663" spans="27:27">
      <c r="AA663" s="3977"/>
    </row>
    <row r="664" spans="27:27">
      <c r="AA664" s="3977"/>
    </row>
    <row r="665" spans="27:27">
      <c r="AA665" s="3977"/>
    </row>
    <row r="666" spans="27:27">
      <c r="AA666" s="3977"/>
    </row>
    <row r="667" spans="27:27">
      <c r="AA667" s="3977"/>
    </row>
    <row r="668" spans="27:27">
      <c r="AA668" s="3977"/>
    </row>
    <row r="669" spans="27:27">
      <c r="AA669" s="3977"/>
    </row>
    <row r="670" spans="27:27">
      <c r="AA670" s="3977"/>
    </row>
    <row r="671" spans="27:27">
      <c r="AA671" s="3977"/>
    </row>
    <row r="672" spans="27:27">
      <c r="AA672" s="3977"/>
    </row>
    <row r="673" spans="27:27">
      <c r="AA673" s="3977"/>
    </row>
    <row r="674" spans="27:27">
      <c r="AA674" s="3977"/>
    </row>
    <row r="675" spans="27:27">
      <c r="AA675" s="3977"/>
    </row>
    <row r="676" spans="27:27">
      <c r="AA676" s="3977"/>
    </row>
    <row r="677" spans="27:27">
      <c r="AA677" s="3977"/>
    </row>
    <row r="678" spans="27:27">
      <c r="AA678" s="3977"/>
    </row>
    <row r="679" spans="27:27">
      <c r="AA679" s="3977"/>
    </row>
    <row r="680" spans="27:27">
      <c r="AA680" s="3977"/>
    </row>
    <row r="681" spans="27:27">
      <c r="AA681" s="3977"/>
    </row>
    <row r="682" spans="27:27">
      <c r="AA682" s="3977"/>
    </row>
    <row r="683" spans="27:27">
      <c r="AA683" s="3977"/>
    </row>
    <row r="684" spans="27:27">
      <c r="AA684" s="3977"/>
    </row>
    <row r="685" spans="27:27">
      <c r="AA685" s="3977"/>
    </row>
    <row r="686" spans="27:27">
      <c r="AA686" s="3977"/>
    </row>
    <row r="687" spans="27:27">
      <c r="AA687" s="3977"/>
    </row>
    <row r="688" spans="27:27">
      <c r="AA688" s="3977"/>
    </row>
    <row r="689" spans="27:27">
      <c r="AA689" s="3977"/>
    </row>
    <row r="690" spans="27:27">
      <c r="AA690" s="3977"/>
    </row>
    <row r="691" spans="27:27">
      <c r="AA691" s="3977"/>
    </row>
    <row r="692" spans="27:27">
      <c r="AA692" s="3977"/>
    </row>
    <row r="693" spans="27:27">
      <c r="AA693" s="3977"/>
    </row>
    <row r="694" spans="27:27">
      <c r="AA694" s="3977"/>
    </row>
    <row r="695" spans="27:27">
      <c r="AA695" s="3977"/>
    </row>
    <row r="696" spans="27:27">
      <c r="AA696" s="3977"/>
    </row>
    <row r="697" spans="27:27">
      <c r="AA697" s="3977"/>
    </row>
    <row r="698" spans="27:27">
      <c r="AA698" s="3977"/>
    </row>
    <row r="699" spans="27:27">
      <c r="AA699" s="3977"/>
    </row>
    <row r="700" spans="27:27">
      <c r="AA700" s="3977"/>
    </row>
    <row r="701" spans="27:27">
      <c r="AA701" s="3977"/>
    </row>
    <row r="702" spans="27:27">
      <c r="AA702" s="3977"/>
    </row>
    <row r="703" spans="27:27">
      <c r="AA703" s="3977"/>
    </row>
    <row r="704" spans="27:27">
      <c r="AA704" s="3977"/>
    </row>
    <row r="705" spans="27:27">
      <c r="AA705" s="3977"/>
    </row>
    <row r="706" spans="27:27">
      <c r="AA706" s="3977"/>
    </row>
    <row r="707" spans="27:27">
      <c r="AA707" s="3977"/>
    </row>
    <row r="708" spans="27:27">
      <c r="AA708" s="3977"/>
    </row>
    <row r="709" spans="27:27">
      <c r="AA709" s="3977"/>
    </row>
    <row r="710" spans="27:27">
      <c r="AA710" s="3977"/>
    </row>
    <row r="711" spans="27:27">
      <c r="AA711" s="3977"/>
    </row>
    <row r="712" spans="27:27">
      <c r="AA712" s="3977"/>
    </row>
    <row r="713" spans="27:27">
      <c r="AA713" s="3977"/>
    </row>
    <row r="714" spans="27:27">
      <c r="AA714" s="3977"/>
    </row>
    <row r="715" spans="27:27">
      <c r="AA715" s="3977"/>
    </row>
    <row r="716" spans="27:27">
      <c r="AA716" s="3977"/>
    </row>
    <row r="717" spans="27:27">
      <c r="AA717" s="3977"/>
    </row>
    <row r="718" spans="27:27">
      <c r="AA718" s="3977"/>
    </row>
    <row r="719" spans="27:27">
      <c r="AA719" s="3977"/>
    </row>
    <row r="720" spans="27:27">
      <c r="AA720" s="3977"/>
    </row>
    <row r="721" spans="27:27">
      <c r="AA721" s="3977"/>
    </row>
    <row r="722" spans="27:27">
      <c r="AA722" s="3977"/>
    </row>
    <row r="723" spans="27:27">
      <c r="AA723" s="3977"/>
    </row>
    <row r="724" spans="27:27">
      <c r="AA724" s="3977"/>
    </row>
    <row r="725" spans="27:27">
      <c r="AA725" s="3977"/>
    </row>
    <row r="726" spans="27:27">
      <c r="AA726" s="3977"/>
    </row>
    <row r="727" spans="27:27">
      <c r="AA727" s="3977"/>
    </row>
    <row r="728" spans="27:27">
      <c r="AA728" s="3977"/>
    </row>
    <row r="729" spans="27:27">
      <c r="AA729" s="3977"/>
    </row>
    <row r="730" spans="27:27">
      <c r="AA730" s="3977"/>
    </row>
    <row r="731" spans="27:27">
      <c r="AA731" s="3977"/>
    </row>
    <row r="732" spans="27:27">
      <c r="AA732" s="3977"/>
    </row>
    <row r="733" spans="27:27">
      <c r="AA733" s="3977"/>
    </row>
    <row r="734" spans="27:27">
      <c r="AA734" s="3977"/>
    </row>
    <row r="735" spans="27:27">
      <c r="AA735" s="3977"/>
    </row>
    <row r="736" spans="27:27">
      <c r="AA736" s="3977"/>
    </row>
    <row r="737" spans="27:27">
      <c r="AA737" s="3977"/>
    </row>
    <row r="738" spans="27:27">
      <c r="AA738" s="3977"/>
    </row>
    <row r="739" spans="27:27">
      <c r="AA739" s="3977"/>
    </row>
    <row r="740" spans="27:27">
      <c r="AA740" s="3977"/>
    </row>
    <row r="741" spans="27:27">
      <c r="AA741" s="3977"/>
    </row>
    <row r="742" spans="27:27">
      <c r="AA742" s="3977"/>
    </row>
    <row r="743" spans="27:27">
      <c r="AA743" s="3977"/>
    </row>
  </sheetData>
  <mergeCells count="74">
    <mergeCell ref="B34:Y34"/>
    <mergeCell ref="B2:B3"/>
    <mergeCell ref="C2:I2"/>
    <mergeCell ref="J2:P2"/>
    <mergeCell ref="Q2:W2"/>
    <mergeCell ref="B31:T31"/>
    <mergeCell ref="C45:H45"/>
    <mergeCell ref="I45:N45"/>
    <mergeCell ref="O45:T45"/>
    <mergeCell ref="C46:D46"/>
    <mergeCell ref="E46:F46"/>
    <mergeCell ref="G46:H46"/>
    <mergeCell ref="I46:J46"/>
    <mergeCell ref="K46:L46"/>
    <mergeCell ref="M46:N46"/>
    <mergeCell ref="O46:P46"/>
    <mergeCell ref="Q46:R46"/>
    <mergeCell ref="S46:T46"/>
    <mergeCell ref="C47:D47"/>
    <mergeCell ref="E47:F47"/>
    <mergeCell ref="G47:H47"/>
    <mergeCell ref="I47:J47"/>
    <mergeCell ref="K47:L47"/>
    <mergeCell ref="M47:N47"/>
    <mergeCell ref="O47:P47"/>
    <mergeCell ref="Q47:R47"/>
    <mergeCell ref="S47:T47"/>
    <mergeCell ref="C56:D56"/>
    <mergeCell ref="E56:F56"/>
    <mergeCell ref="G56:H56"/>
    <mergeCell ref="I56:J56"/>
    <mergeCell ref="K56:L56"/>
    <mergeCell ref="M56:N56"/>
    <mergeCell ref="O56:P56"/>
    <mergeCell ref="Q56:R56"/>
    <mergeCell ref="S56:T56"/>
    <mergeCell ref="O62:P62"/>
    <mergeCell ref="Q62:R62"/>
    <mergeCell ref="S62:T62"/>
    <mergeCell ref="C63:D63"/>
    <mergeCell ref="E63:F63"/>
    <mergeCell ref="G63:H63"/>
    <mergeCell ref="I63:J63"/>
    <mergeCell ref="K63:L63"/>
    <mergeCell ref="M63:N63"/>
    <mergeCell ref="O63:P63"/>
    <mergeCell ref="C62:D62"/>
    <mergeCell ref="E62:F62"/>
    <mergeCell ref="G62:H62"/>
    <mergeCell ref="I62:J62"/>
    <mergeCell ref="K62:L62"/>
    <mergeCell ref="M62:N62"/>
    <mergeCell ref="Q63:R63"/>
    <mergeCell ref="S63:T63"/>
    <mergeCell ref="C64:D64"/>
    <mergeCell ref="E64:F64"/>
    <mergeCell ref="G64:H64"/>
    <mergeCell ref="I64:J64"/>
    <mergeCell ref="K64:L64"/>
    <mergeCell ref="M64:N64"/>
    <mergeCell ref="O64:P64"/>
    <mergeCell ref="Q64:R64"/>
    <mergeCell ref="T116:AK116"/>
    <mergeCell ref="T117:AK117"/>
    <mergeCell ref="S64:T64"/>
    <mergeCell ref="C65:D65"/>
    <mergeCell ref="E65:F65"/>
    <mergeCell ref="G65:H65"/>
    <mergeCell ref="I65:J65"/>
    <mergeCell ref="K65:L65"/>
    <mergeCell ref="M65:N65"/>
    <mergeCell ref="O65:P65"/>
    <mergeCell ref="Q65:R65"/>
    <mergeCell ref="S65:T65"/>
  </mergeCells>
  <hyperlinks>
    <hyperlink ref="B75" r:id="rId1" xr:uid="{63109AFC-5A21-4DF8-95D7-91C4B5E5355A}"/>
    <hyperlink ref="B76" r:id="rId2" xr:uid="{77E05CDD-F9B8-4F20-930A-1752F16AC9BC}"/>
    <hyperlink ref="F75" r:id="rId3" display="https://www.auditum.lt/index.php/atlyginimu-skaiciuokle/atlyginimu-palyginimo-skaiciuokle.html" xr:uid="{EF7DCA09-2222-4636-93DB-CED82FF05EDA}"/>
  </hyperlinks>
  <pageMargins left="0.25" right="0.25" top="0.75" bottom="0.75" header="0.3" footer="0.3"/>
  <pageSetup paperSize="9" orientation="landscape"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0E2E1-7A1E-47FA-AF6A-9CCC827B89B2}">
  <sheetPr>
    <pageSetUpPr fitToPage="1"/>
  </sheetPr>
  <dimension ref="A1:S53"/>
  <sheetViews>
    <sheetView workbookViewId="0">
      <selection activeCell="G53" sqref="G53"/>
    </sheetView>
  </sheetViews>
  <sheetFormatPr defaultColWidth="9" defaultRowHeight="14.4"/>
  <cols>
    <col min="1" max="2" width="9" style="3906"/>
    <col min="3" max="3" width="11.3984375" style="3906" customWidth="1"/>
    <col min="4" max="7" width="7.09765625" style="3906" customWidth="1"/>
    <col min="8" max="8" width="7.59765625" style="3906" customWidth="1"/>
    <col min="9" max="11" width="7.09765625" style="3906" customWidth="1"/>
    <col min="12" max="12" width="8" style="3906" customWidth="1"/>
    <col min="13" max="13" width="9.3984375" style="3906" bestFit="1" customWidth="1"/>
    <col min="14" max="17" width="9.5" style="3906" bestFit="1" customWidth="1"/>
    <col min="18" max="19" width="9.3984375" style="3906" bestFit="1" customWidth="1"/>
    <col min="20" max="16384" width="9" style="3906"/>
  </cols>
  <sheetData>
    <row r="1" spans="1:19">
      <c r="A1" s="3905" t="s">
        <v>1192</v>
      </c>
      <c r="B1" s="3905"/>
      <c r="D1" s="3905"/>
      <c r="E1" s="3905"/>
      <c r="F1" s="3905"/>
      <c r="G1" s="3905"/>
      <c r="H1" s="3905"/>
      <c r="I1" s="3905"/>
      <c r="J1" s="3905"/>
      <c r="K1" s="3905"/>
      <c r="L1" s="3905"/>
    </row>
    <row r="2" spans="1:19">
      <c r="A2" s="3905" t="s">
        <v>1193</v>
      </c>
      <c r="B2" s="3905"/>
      <c r="D2" s="3905"/>
      <c r="E2" s="3905"/>
      <c r="F2" s="3905"/>
      <c r="G2" s="3905"/>
      <c r="H2" s="3905"/>
      <c r="I2" s="3905"/>
      <c r="J2" s="3905"/>
      <c r="K2" s="3905"/>
      <c r="L2" s="3905"/>
    </row>
    <row r="3" spans="1:19" ht="27">
      <c r="A3" s="3907" t="s">
        <v>1194</v>
      </c>
      <c r="B3" s="3908"/>
      <c r="C3" s="3908" t="s">
        <v>1195</v>
      </c>
      <c r="D3" s="3908" t="s">
        <v>1196</v>
      </c>
      <c r="E3" s="3909">
        <v>2014</v>
      </c>
      <c r="F3" s="3909">
        <v>2015</v>
      </c>
      <c r="G3" s="3909">
        <v>2016</v>
      </c>
      <c r="H3" s="3909">
        <v>2017</v>
      </c>
      <c r="I3" s="3909">
        <v>2018</v>
      </c>
      <c r="J3" s="3909">
        <v>2019</v>
      </c>
      <c r="K3" s="3910">
        <v>2020</v>
      </c>
      <c r="L3" s="3910">
        <v>2021</v>
      </c>
      <c r="M3" s="3910">
        <v>2022</v>
      </c>
      <c r="N3" s="3911">
        <v>2023</v>
      </c>
      <c r="O3" s="3911" t="s">
        <v>1197</v>
      </c>
      <c r="P3" s="3911" t="s">
        <v>1198</v>
      </c>
      <c r="Q3" s="3911" t="s">
        <v>1199</v>
      </c>
      <c r="R3" s="3911" t="s">
        <v>1200</v>
      </c>
      <c r="S3" s="3911" t="s">
        <v>1201</v>
      </c>
    </row>
    <row r="4" spans="1:19" ht="28.65" customHeight="1">
      <c r="A4" s="4859" t="s">
        <v>1202</v>
      </c>
      <c r="B4" s="4860" t="s">
        <v>1203</v>
      </c>
      <c r="C4" s="4861" t="s">
        <v>1204</v>
      </c>
      <c r="D4" s="3912" t="s">
        <v>1205</v>
      </c>
      <c r="E4" s="3913">
        <v>6550.5</v>
      </c>
      <c r="F4" s="3913">
        <v>6995.8</v>
      </c>
      <c r="G4" s="3913">
        <v>7422</v>
      </c>
      <c r="H4" s="3913">
        <v>7903.2</v>
      </c>
      <c r="I4" s="3913">
        <v>8604.7999999999993</v>
      </c>
      <c r="J4" s="3913">
        <v>9383.7999999999993</v>
      </c>
      <c r="K4" s="3913">
        <v>9224</v>
      </c>
      <c r="L4" s="3913">
        <v>10638.1</v>
      </c>
      <c r="M4" s="3913">
        <v>11955.8</v>
      </c>
      <c r="N4" s="3914">
        <v>12886.1</v>
      </c>
      <c r="O4" s="3914"/>
      <c r="P4" s="3914"/>
      <c r="Q4" s="3914"/>
      <c r="R4" s="3914"/>
      <c r="S4" s="3914"/>
    </row>
    <row r="5" spans="1:19" ht="31.65" customHeight="1">
      <c r="A5" s="4851"/>
      <c r="B5" s="4854"/>
      <c r="C5" s="4857"/>
      <c r="D5" s="3915" t="s">
        <v>1206</v>
      </c>
      <c r="E5" s="3913">
        <v>7033.1</v>
      </c>
      <c r="F5" s="3913">
        <v>7336.4</v>
      </c>
      <c r="G5" s="3913">
        <v>7811</v>
      </c>
      <c r="H5" s="3913">
        <v>8406.5</v>
      </c>
      <c r="I5" s="3913">
        <v>8922.6</v>
      </c>
      <c r="J5" s="3913">
        <v>9594</v>
      </c>
      <c r="K5" s="3913">
        <v>9484.7000000000007</v>
      </c>
      <c r="L5" s="3913">
        <v>10345.5</v>
      </c>
      <c r="M5" s="3913">
        <v>11835.5</v>
      </c>
      <c r="N5" s="3913">
        <v>12861.7</v>
      </c>
      <c r="O5" s="3913">
        <v>14152.187965615327</v>
      </c>
      <c r="P5" s="3913">
        <v>14978.966521019476</v>
      </c>
      <c r="Q5" s="3913">
        <v>15705.05988242399</v>
      </c>
      <c r="R5" s="3913">
        <v>16339.560688105554</v>
      </c>
      <c r="S5" s="3913">
        <v>16930.983302691111</v>
      </c>
    </row>
    <row r="6" spans="1:19" ht="37.35" customHeight="1">
      <c r="A6" s="4852"/>
      <c r="B6" s="4855"/>
      <c r="C6" s="4858"/>
      <c r="D6" s="3916" t="s">
        <v>1177</v>
      </c>
      <c r="E6" s="3917">
        <v>10112.700000000001</v>
      </c>
      <c r="F6" s="3917">
        <v>10864.1</v>
      </c>
      <c r="G6" s="3917">
        <v>11579.7</v>
      </c>
      <c r="H6" s="3917">
        <v>12492.8</v>
      </c>
      <c r="I6" s="3917">
        <v>13728.4</v>
      </c>
      <c r="J6" s="3917">
        <v>14897.5</v>
      </c>
      <c r="K6" s="3917">
        <v>15696.1</v>
      </c>
      <c r="L6" s="3917">
        <v>18139.099999999999</v>
      </c>
      <c r="M6" s="3917">
        <v>21403.8</v>
      </c>
      <c r="N6" s="3917">
        <v>23673.599999999999</v>
      </c>
      <c r="O6" s="3917"/>
      <c r="P6" s="3917"/>
      <c r="Q6" s="3917"/>
      <c r="R6" s="3917"/>
      <c r="S6" s="3917"/>
    </row>
    <row r="7" spans="1:19">
      <c r="A7" s="4862" t="s">
        <v>1207</v>
      </c>
      <c r="B7" s="4863" t="s">
        <v>1208</v>
      </c>
      <c r="C7" s="4864" t="s">
        <v>1209</v>
      </c>
      <c r="D7" s="3918" t="s">
        <v>1205</v>
      </c>
      <c r="E7" s="3919">
        <v>1711.1</v>
      </c>
      <c r="F7" s="3919">
        <v>1873</v>
      </c>
      <c r="G7" s="3920">
        <v>1975.1</v>
      </c>
      <c r="H7" s="3920">
        <v>2148.6999999999998</v>
      </c>
      <c r="I7" s="3921">
        <v>2330.6999999999998</v>
      </c>
      <c r="J7" s="3921">
        <v>2482.6</v>
      </c>
      <c r="K7" s="3920">
        <v>2439.3000000000002</v>
      </c>
      <c r="L7" s="3922">
        <v>2877.1</v>
      </c>
      <c r="M7" s="3923">
        <v>3308.8</v>
      </c>
      <c r="N7" s="3922">
        <v>3476.4</v>
      </c>
      <c r="O7" s="3922"/>
      <c r="P7" s="3922"/>
      <c r="Q7" s="3922"/>
      <c r="R7" s="3922"/>
      <c r="S7" s="3922"/>
    </row>
    <row r="8" spans="1:19">
      <c r="A8" s="4836"/>
      <c r="B8" s="4839"/>
      <c r="C8" s="4842"/>
      <c r="D8" s="3924" t="s">
        <v>1206</v>
      </c>
      <c r="E8" s="3925">
        <v>1804.9</v>
      </c>
      <c r="F8" s="3925">
        <v>1893.4</v>
      </c>
      <c r="G8" s="3926">
        <v>2045.9</v>
      </c>
      <c r="H8" s="3926">
        <v>2180.5</v>
      </c>
      <c r="I8" s="3927">
        <v>2468</v>
      </c>
      <c r="J8" s="3927">
        <v>2652.5</v>
      </c>
      <c r="K8" s="3926">
        <v>2568.5</v>
      </c>
      <c r="L8" s="3926">
        <v>2900.1</v>
      </c>
      <c r="M8" s="3928">
        <v>3656.8</v>
      </c>
      <c r="N8" s="3929">
        <v>3774.2</v>
      </c>
      <c r="O8" s="3929">
        <v>3967.9980060278699</v>
      </c>
      <c r="P8" s="3929">
        <v>4247.6189259627899</v>
      </c>
      <c r="Q8" s="3929">
        <v>4440.0473270232496</v>
      </c>
      <c r="R8" s="3929">
        <v>4632.8506373242399</v>
      </c>
      <c r="S8" s="3929">
        <v>4846.2638236408793</v>
      </c>
    </row>
    <row r="9" spans="1:19">
      <c r="A9" s="4837"/>
      <c r="B9" s="4847"/>
      <c r="C9" s="4843"/>
      <c r="D9" s="3930" t="s">
        <v>1177</v>
      </c>
      <c r="E9" s="3931">
        <v>2764.4</v>
      </c>
      <c r="F9" s="3931">
        <v>2889</v>
      </c>
      <c r="G9" s="3932">
        <v>3027.6</v>
      </c>
      <c r="H9" s="3932">
        <v>3310.4</v>
      </c>
      <c r="I9" s="3933">
        <v>3522.2</v>
      </c>
      <c r="J9" s="3933">
        <v>3855.6</v>
      </c>
      <c r="K9" s="3932">
        <v>4008.5</v>
      </c>
      <c r="L9" s="3932">
        <v>4687.7</v>
      </c>
      <c r="M9" s="3934">
        <v>5643.8</v>
      </c>
      <c r="N9" s="3935">
        <v>5910.7</v>
      </c>
      <c r="O9" s="3935"/>
      <c r="P9" s="3935"/>
      <c r="Q9" s="3935"/>
      <c r="R9" s="3935"/>
      <c r="S9" s="3935"/>
    </row>
    <row r="10" spans="1:19">
      <c r="A10" s="4835" t="s">
        <v>1210</v>
      </c>
      <c r="B10" s="4838" t="s">
        <v>1211</v>
      </c>
      <c r="C10" s="4841" t="s">
        <v>1212</v>
      </c>
      <c r="D10" s="3936" t="s">
        <v>1205</v>
      </c>
      <c r="E10" s="3937">
        <v>1133.9000000000001</v>
      </c>
      <c r="F10" s="3937">
        <v>1182.5</v>
      </c>
      <c r="G10" s="3938">
        <v>1258.7</v>
      </c>
      <c r="H10" s="3938">
        <v>1344.4</v>
      </c>
      <c r="I10" s="3939">
        <v>1411.2</v>
      </c>
      <c r="J10" s="3939">
        <v>1531.6</v>
      </c>
      <c r="K10" s="3938">
        <v>1652.4</v>
      </c>
      <c r="L10" s="3940">
        <v>2146.1999999999998</v>
      </c>
      <c r="M10" s="3941">
        <v>2279.4</v>
      </c>
      <c r="N10" s="3942">
        <v>2390.6999999999998</v>
      </c>
      <c r="O10" s="3942"/>
      <c r="P10" s="3942"/>
      <c r="Q10" s="3942"/>
      <c r="R10" s="3942"/>
      <c r="S10" s="3942"/>
    </row>
    <row r="11" spans="1:19">
      <c r="A11" s="4836"/>
      <c r="B11" s="4839"/>
      <c r="C11" s="4842"/>
      <c r="D11" s="3924" t="s">
        <v>1206</v>
      </c>
      <c r="E11" s="3925">
        <v>1397.3</v>
      </c>
      <c r="F11" s="3925">
        <v>1444.6</v>
      </c>
      <c r="G11" s="3926">
        <v>1587.2</v>
      </c>
      <c r="H11" s="3926">
        <v>1777.1</v>
      </c>
      <c r="I11" s="3927">
        <v>1741.5</v>
      </c>
      <c r="J11" s="3927">
        <v>1978.2</v>
      </c>
      <c r="K11" s="3926">
        <v>1803.9</v>
      </c>
      <c r="L11" s="3926">
        <v>2008</v>
      </c>
      <c r="M11" s="3928">
        <v>2264.5</v>
      </c>
      <c r="N11" s="3929">
        <v>2522.1999999999998</v>
      </c>
      <c r="O11" s="3929">
        <v>2806.3347709999994</v>
      </c>
      <c r="P11" s="3929">
        <v>2726.4879300000002</v>
      </c>
      <c r="Q11" s="3929">
        <v>2861.0333700000001</v>
      </c>
      <c r="R11" s="3929">
        <v>2994.5283979999999</v>
      </c>
      <c r="S11" s="3929">
        <v>3159.8733979999997</v>
      </c>
    </row>
    <row r="12" spans="1:19">
      <c r="A12" s="4837"/>
      <c r="B12" s="4840"/>
      <c r="C12" s="4843"/>
      <c r="D12" s="3943" t="s">
        <v>1177</v>
      </c>
      <c r="E12" s="3931">
        <v>1325.4</v>
      </c>
      <c r="F12" s="3931">
        <v>1439.5</v>
      </c>
      <c r="G12" s="3932">
        <v>1547.4</v>
      </c>
      <c r="H12" s="3932">
        <v>1632.1</v>
      </c>
      <c r="I12" s="3933">
        <v>1847.1</v>
      </c>
      <c r="J12" s="3933">
        <v>3529.3</v>
      </c>
      <c r="K12" s="3932">
        <v>3628.3</v>
      </c>
      <c r="L12" s="3932">
        <v>4214.8</v>
      </c>
      <c r="M12" s="3944">
        <v>5104.8</v>
      </c>
      <c r="N12" s="3945">
        <v>5709.9</v>
      </c>
      <c r="O12" s="3945"/>
      <c r="P12" s="3945"/>
      <c r="Q12" s="3945"/>
      <c r="R12" s="3945"/>
      <c r="S12" s="3945"/>
    </row>
    <row r="13" spans="1:19">
      <c r="A13" s="4835" t="s">
        <v>1213</v>
      </c>
      <c r="B13" s="4838" t="s">
        <v>1214</v>
      </c>
      <c r="C13" s="4841" t="s">
        <v>1215</v>
      </c>
      <c r="D13" s="3936" t="s">
        <v>1205</v>
      </c>
      <c r="E13" s="3937">
        <v>2278.3000000000002</v>
      </c>
      <c r="F13" s="3937">
        <v>2404</v>
      </c>
      <c r="G13" s="3938">
        <v>2554.4</v>
      </c>
      <c r="H13" s="3938">
        <v>2777.7</v>
      </c>
      <c r="I13" s="3939">
        <v>3043.9</v>
      </c>
      <c r="J13" s="3939">
        <v>3329.4</v>
      </c>
      <c r="K13" s="3938">
        <v>3417.1</v>
      </c>
      <c r="L13" s="3940">
        <v>3747.6</v>
      </c>
      <c r="M13" s="3946">
        <v>4229.3999999999996</v>
      </c>
      <c r="N13" s="3947">
        <v>4692.8999999999996</v>
      </c>
      <c r="O13" s="3947"/>
      <c r="P13" s="3947"/>
      <c r="Q13" s="3947"/>
      <c r="R13" s="3947"/>
      <c r="S13" s="3947"/>
    </row>
    <row r="14" spans="1:19">
      <c r="A14" s="4836"/>
      <c r="B14" s="4839"/>
      <c r="C14" s="4842"/>
      <c r="D14" s="3924" t="s">
        <v>1206</v>
      </c>
      <c r="E14" s="3925">
        <v>2054.5</v>
      </c>
      <c r="F14" s="3925">
        <v>2111.5</v>
      </c>
      <c r="G14" s="3926">
        <v>2155.3000000000002</v>
      </c>
      <c r="H14" s="3926">
        <v>2357.4</v>
      </c>
      <c r="I14" s="3927">
        <v>2766.7</v>
      </c>
      <c r="J14" s="3927">
        <v>3059.7</v>
      </c>
      <c r="K14" s="3926">
        <v>3134.6</v>
      </c>
      <c r="L14" s="3926">
        <v>3334.6</v>
      </c>
      <c r="M14" s="3928">
        <v>3777.5</v>
      </c>
      <c r="N14" s="3929">
        <v>4261.8</v>
      </c>
      <c r="O14" s="3929">
        <v>4673.8963577166669</v>
      </c>
      <c r="P14" s="3929">
        <v>5119.4902976666672</v>
      </c>
      <c r="Q14" s="3929">
        <v>5433.3353973333333</v>
      </c>
      <c r="R14" s="3929">
        <v>5705.9530019999993</v>
      </c>
      <c r="S14" s="3929">
        <v>5971.5593357370835</v>
      </c>
    </row>
    <row r="15" spans="1:19" ht="20.399999999999999" customHeight="1">
      <c r="A15" s="4837"/>
      <c r="B15" s="4840"/>
      <c r="C15" s="4843"/>
      <c r="D15" s="3943" t="s">
        <v>1177</v>
      </c>
      <c r="E15" s="3931">
        <v>4207.5</v>
      </c>
      <c r="F15" s="3931">
        <v>4489.7</v>
      </c>
      <c r="G15" s="3932">
        <v>4853.1000000000004</v>
      </c>
      <c r="H15" s="3932">
        <v>5298.1</v>
      </c>
      <c r="I15" s="3933">
        <v>5919.3</v>
      </c>
      <c r="J15" s="3933">
        <v>4898.5</v>
      </c>
      <c r="K15" s="3932">
        <v>5294.3</v>
      </c>
      <c r="L15" s="3932">
        <v>5932.9</v>
      </c>
      <c r="M15" s="3934">
        <v>6870.6</v>
      </c>
      <c r="N15" s="3935">
        <v>7783.7</v>
      </c>
      <c r="O15" s="3935"/>
      <c r="P15" s="3935"/>
      <c r="Q15" s="3935"/>
      <c r="R15" s="3935"/>
      <c r="S15" s="3935"/>
    </row>
    <row r="16" spans="1:19">
      <c r="A16" s="4835" t="s">
        <v>1216</v>
      </c>
      <c r="B16" s="4838" t="s">
        <v>1217</v>
      </c>
      <c r="C16" s="4841" t="s">
        <v>1218</v>
      </c>
      <c r="D16" s="3936" t="s">
        <v>1205</v>
      </c>
      <c r="E16" s="3937">
        <v>907.40000000000009</v>
      </c>
      <c r="F16" s="3937">
        <v>941.30000000000007</v>
      </c>
      <c r="G16" s="3938">
        <v>1076.3</v>
      </c>
      <c r="H16" s="3938">
        <v>1077.5</v>
      </c>
      <c r="I16" s="3939">
        <v>1089.0999999999999</v>
      </c>
      <c r="J16" s="3939">
        <v>1218.4000000000001</v>
      </c>
      <c r="K16" s="3938">
        <v>991.2</v>
      </c>
      <c r="L16" s="3940">
        <v>1081.2</v>
      </c>
      <c r="M16" s="3941">
        <v>1090.6000000000001</v>
      </c>
      <c r="N16" s="3942">
        <v>1110.8999999999999</v>
      </c>
      <c r="O16" s="3942"/>
      <c r="P16" s="3942"/>
      <c r="Q16" s="3942"/>
      <c r="R16" s="3942"/>
      <c r="S16" s="3942"/>
    </row>
    <row r="17" spans="1:19">
      <c r="A17" s="4836"/>
      <c r="B17" s="4839"/>
      <c r="C17" s="4842"/>
      <c r="D17" s="3924" t="s">
        <v>1206</v>
      </c>
      <c r="E17" s="3925">
        <v>752.6</v>
      </c>
      <c r="F17" s="3925">
        <v>798.9</v>
      </c>
      <c r="G17" s="3926">
        <v>864.80000000000007</v>
      </c>
      <c r="H17" s="3926">
        <v>917.59999999999991</v>
      </c>
      <c r="I17" s="3927">
        <v>1045.8</v>
      </c>
      <c r="J17" s="3927">
        <v>1070.4000000000001</v>
      </c>
      <c r="K17" s="3926">
        <v>1066.8</v>
      </c>
      <c r="L17" s="3926">
        <v>1112.8</v>
      </c>
      <c r="M17" s="3928">
        <v>1142</v>
      </c>
      <c r="N17" s="3929">
        <v>1160.5</v>
      </c>
      <c r="O17" s="3929">
        <v>1216.7303994110025</v>
      </c>
      <c r="P17" s="3929">
        <v>1325.4815589493703</v>
      </c>
      <c r="Q17" s="3929">
        <v>1412.5628502474403</v>
      </c>
      <c r="R17" s="3929">
        <v>1429.8649340899694</v>
      </c>
      <c r="S17" s="3929">
        <v>1459.1413477651552</v>
      </c>
    </row>
    <row r="18" spans="1:19">
      <c r="A18" s="4837"/>
      <c r="B18" s="4840"/>
      <c r="C18" s="4843"/>
      <c r="D18" s="3943" t="s">
        <v>1177</v>
      </c>
      <c r="E18" s="3932">
        <v>1055.3000000000002</v>
      </c>
      <c r="F18" s="3932">
        <v>1165.1000000000001</v>
      </c>
      <c r="G18" s="3932">
        <v>1235.8000000000002</v>
      </c>
      <c r="H18" s="3932">
        <v>1338.7</v>
      </c>
      <c r="I18" s="3933">
        <v>1444.4</v>
      </c>
      <c r="J18" s="3933">
        <v>1503.3</v>
      </c>
      <c r="K18" s="3932">
        <v>1569.4</v>
      </c>
      <c r="L18" s="3932">
        <v>1674.8</v>
      </c>
      <c r="M18" s="3944">
        <v>1657</v>
      </c>
      <c r="N18" s="3945">
        <v>1736</v>
      </c>
      <c r="O18" s="3945"/>
      <c r="P18" s="3945"/>
      <c r="Q18" s="3945"/>
      <c r="R18" s="3945"/>
      <c r="S18" s="3945"/>
    </row>
    <row r="19" spans="1:19">
      <c r="A19" s="4835" t="s">
        <v>1219</v>
      </c>
      <c r="B19" s="4838" t="s">
        <v>1220</v>
      </c>
      <c r="C19" s="4841" t="s">
        <v>1221</v>
      </c>
      <c r="D19" s="3936" t="s">
        <v>1205</v>
      </c>
      <c r="E19" s="3937">
        <v>344.7</v>
      </c>
      <c r="F19" s="3937">
        <v>424.3</v>
      </c>
      <c r="G19" s="3938">
        <v>369.1</v>
      </c>
      <c r="H19" s="3938">
        <v>365.6</v>
      </c>
      <c r="I19" s="3939">
        <v>517.9</v>
      </c>
      <c r="J19" s="3939">
        <v>509.1</v>
      </c>
      <c r="K19" s="3938">
        <v>449.5</v>
      </c>
      <c r="L19" s="3940">
        <v>481.2</v>
      </c>
      <c r="M19" s="3941">
        <v>596.1</v>
      </c>
      <c r="N19" s="3942">
        <v>716.9</v>
      </c>
      <c r="O19" s="3942"/>
      <c r="P19" s="3942"/>
      <c r="Q19" s="3942"/>
      <c r="R19" s="3942"/>
      <c r="S19" s="3942"/>
    </row>
    <row r="20" spans="1:19">
      <c r="A20" s="4836"/>
      <c r="B20" s="4839"/>
      <c r="C20" s="4842"/>
      <c r="D20" s="3924" t="s">
        <v>1206</v>
      </c>
      <c r="E20" s="3925">
        <v>363.7</v>
      </c>
      <c r="F20" s="3925">
        <v>388.6</v>
      </c>
      <c r="G20" s="3926">
        <v>424.2</v>
      </c>
      <c r="H20" s="3926">
        <v>427.4</v>
      </c>
      <c r="I20" s="3927">
        <v>163.4</v>
      </c>
      <c r="J20" s="3927">
        <v>180.4</v>
      </c>
      <c r="K20" s="3926">
        <v>259.7</v>
      </c>
      <c r="L20" s="3926">
        <v>339.8</v>
      </c>
      <c r="M20" s="3928">
        <v>413.4</v>
      </c>
      <c r="N20" s="3929">
        <v>541.9</v>
      </c>
      <c r="O20" s="3929">
        <v>702.56089515999997</v>
      </c>
      <c r="P20" s="3929">
        <v>691.70200000000011</v>
      </c>
      <c r="Q20" s="3929">
        <v>688.89400000000001</v>
      </c>
      <c r="R20" s="3929">
        <v>696.30999999999983</v>
      </c>
      <c r="S20" s="3929">
        <v>727.56100000000004</v>
      </c>
    </row>
    <row r="21" spans="1:19">
      <c r="A21" s="4837"/>
      <c r="B21" s="4840"/>
      <c r="C21" s="4843"/>
      <c r="D21" s="3943" t="s">
        <v>1177</v>
      </c>
      <c r="E21" s="3931">
        <v>499.8</v>
      </c>
      <c r="F21" s="3931">
        <v>573.9</v>
      </c>
      <c r="G21" s="3932">
        <v>627.6</v>
      </c>
      <c r="H21" s="3932">
        <v>631</v>
      </c>
      <c r="I21" s="3933">
        <v>691.2</v>
      </c>
      <c r="J21" s="3933">
        <v>759.1</v>
      </c>
      <c r="K21" s="3932">
        <v>824.6</v>
      </c>
      <c r="L21" s="3932">
        <v>1160.5999999999999</v>
      </c>
      <c r="M21" s="3934">
        <v>1573</v>
      </c>
      <c r="N21" s="3935">
        <v>1984.7</v>
      </c>
      <c r="O21" s="3935"/>
      <c r="P21" s="3935"/>
      <c r="Q21" s="3935"/>
      <c r="R21" s="3935"/>
      <c r="S21" s="3935"/>
    </row>
    <row r="22" spans="1:19">
      <c r="A22" s="4844" t="s">
        <v>1222</v>
      </c>
      <c r="B22" s="4838" t="s">
        <v>1223</v>
      </c>
      <c r="C22" s="4841" t="s">
        <v>1224</v>
      </c>
      <c r="D22" s="3936" t="s">
        <v>1205</v>
      </c>
      <c r="E22" s="3937">
        <v>59</v>
      </c>
      <c r="F22" s="3937">
        <v>58</v>
      </c>
      <c r="G22" s="3938">
        <v>59</v>
      </c>
      <c r="H22" s="3938">
        <v>57.6</v>
      </c>
      <c r="I22" s="3939">
        <v>58</v>
      </c>
      <c r="J22" s="3939">
        <v>59.1</v>
      </c>
      <c r="K22" s="3938">
        <v>58.4</v>
      </c>
      <c r="L22" s="3940">
        <v>59.3</v>
      </c>
      <c r="M22" s="3941">
        <v>59</v>
      </c>
      <c r="N22" s="3942">
        <v>59</v>
      </c>
      <c r="O22" s="3942"/>
      <c r="P22" s="3942"/>
      <c r="Q22" s="3942"/>
      <c r="R22" s="3942"/>
      <c r="S22" s="3942"/>
    </row>
    <row r="23" spans="1:19">
      <c r="A23" s="4845"/>
      <c r="B23" s="4839"/>
      <c r="C23" s="4842"/>
      <c r="D23" s="3924" t="s">
        <v>1206</v>
      </c>
      <c r="E23" s="3925">
        <v>191.3</v>
      </c>
      <c r="F23" s="3925">
        <v>197</v>
      </c>
      <c r="G23" s="3926">
        <v>219.9</v>
      </c>
      <c r="H23" s="3926">
        <v>228.2</v>
      </c>
      <c r="I23" s="3927">
        <v>223.1</v>
      </c>
      <c r="J23" s="3927">
        <v>226.4</v>
      </c>
      <c r="K23" s="3926">
        <v>222.2</v>
      </c>
      <c r="L23" s="3926">
        <v>226.2</v>
      </c>
      <c r="M23" s="3928">
        <v>230.6</v>
      </c>
      <c r="N23" s="3929">
        <v>236.5</v>
      </c>
      <c r="O23" s="3929">
        <v>238.9</v>
      </c>
      <c r="P23" s="3929">
        <v>241.19999999999996</v>
      </c>
      <c r="Q23" s="3929">
        <v>243.6</v>
      </c>
      <c r="R23" s="3929">
        <v>246</v>
      </c>
      <c r="S23" s="3929">
        <v>248.5</v>
      </c>
    </row>
    <row r="24" spans="1:19">
      <c r="A24" s="4846"/>
      <c r="B24" s="4847"/>
      <c r="C24" s="4843"/>
      <c r="D24" s="3930" t="s">
        <v>1177</v>
      </c>
      <c r="E24" s="3931">
        <v>107</v>
      </c>
      <c r="F24" s="3931">
        <v>125</v>
      </c>
      <c r="G24" s="3932">
        <v>125.9</v>
      </c>
      <c r="H24" s="3932">
        <v>127.30000000000001</v>
      </c>
      <c r="I24" s="3933">
        <v>135.10000000000002</v>
      </c>
      <c r="J24" s="3933">
        <v>143.5</v>
      </c>
      <c r="K24" s="3932">
        <v>145.19999999999999</v>
      </c>
      <c r="L24" s="3932">
        <v>163.60000000000002</v>
      </c>
      <c r="M24" s="3934">
        <v>190.9</v>
      </c>
      <c r="N24" s="3935">
        <v>216.2</v>
      </c>
      <c r="O24" s="3935"/>
      <c r="P24" s="3935"/>
      <c r="Q24" s="3935"/>
      <c r="R24" s="3935"/>
      <c r="S24" s="3935"/>
    </row>
    <row r="25" spans="1:19">
      <c r="A25" s="3948" t="s">
        <v>1225</v>
      </c>
      <c r="B25" s="3948"/>
      <c r="C25" s="3949"/>
      <c r="D25" s="3950"/>
      <c r="E25" s="3950"/>
      <c r="F25" s="3950"/>
      <c r="G25" s="3951"/>
      <c r="H25" s="3952" t="s">
        <v>1226</v>
      </c>
      <c r="I25" s="3953">
        <v>29153.556</v>
      </c>
      <c r="J25" s="3953">
        <v>30572.868999999999</v>
      </c>
      <c r="K25" s="3953">
        <v>30109.462</v>
      </c>
      <c r="L25" s="3953">
        <v>33348.932000000001</v>
      </c>
      <c r="M25" s="3953">
        <v>38386.186999999998</v>
      </c>
      <c r="N25" s="3953">
        <v>40348.048000000003</v>
      </c>
      <c r="O25" s="3953">
        <v>41894.034198123933</v>
      </c>
      <c r="P25" s="3953">
        <v>44378.638632712005</v>
      </c>
      <c r="Q25" s="3953">
        <v>46835.657101244105</v>
      </c>
      <c r="R25" s="3953">
        <v>49349.397630882871</v>
      </c>
      <c r="S25" s="3953">
        <v>51850.964673733055</v>
      </c>
    </row>
    <row r="26" spans="1:19">
      <c r="A26" s="3954"/>
      <c r="B26" s="3955"/>
      <c r="C26" s="3949"/>
      <c r="D26" s="3950"/>
      <c r="E26" s="3950"/>
      <c r="F26" s="3950"/>
      <c r="G26" s="3951"/>
      <c r="H26" s="3956" t="s">
        <v>1227</v>
      </c>
      <c r="I26" s="3957">
        <v>25932.2</v>
      </c>
      <c r="J26" s="3957">
        <v>27951</v>
      </c>
      <c r="K26" s="3957">
        <v>27430</v>
      </c>
      <c r="L26" s="3957">
        <v>31169</v>
      </c>
      <c r="M26" s="3957">
        <v>36011.200000000004</v>
      </c>
      <c r="N26" s="3957">
        <v>37682.5</v>
      </c>
      <c r="O26" s="3957"/>
      <c r="P26" s="3957"/>
      <c r="Q26" s="3957"/>
      <c r="R26" s="3957"/>
      <c r="S26" s="3957"/>
    </row>
    <row r="27" spans="1:19">
      <c r="A27" s="3954"/>
      <c r="B27" s="3955"/>
      <c r="C27" s="3949"/>
      <c r="D27" s="3950"/>
      <c r="E27" s="3950"/>
      <c r="F27" s="3950"/>
      <c r="G27" s="3951"/>
      <c r="H27" s="3958" t="s">
        <v>1228</v>
      </c>
      <c r="I27" s="3959"/>
      <c r="J27" s="3959"/>
      <c r="K27" s="3959"/>
      <c r="L27" s="3960">
        <v>56478.100000000006</v>
      </c>
      <c r="M27" s="3960">
        <v>67399.099999999991</v>
      </c>
      <c r="N27" s="3960">
        <v>72047.900000000009</v>
      </c>
      <c r="O27" s="3960"/>
      <c r="P27" s="3960"/>
      <c r="Q27" s="3960"/>
    </row>
    <row r="28" spans="1:19">
      <c r="A28" s="3954"/>
      <c r="B28" s="3955"/>
      <c r="C28" s="3949"/>
      <c r="D28" s="3950"/>
      <c r="E28" s="3950"/>
      <c r="F28" s="3950"/>
      <c r="G28" s="3951"/>
      <c r="H28" s="3961"/>
      <c r="I28" s="3962"/>
      <c r="J28" s="3962"/>
      <c r="K28" s="3962"/>
      <c r="L28" s="3962"/>
      <c r="M28" s="3962"/>
      <c r="N28" s="3962"/>
      <c r="O28" s="3962"/>
      <c r="P28" s="3962"/>
    </row>
    <row r="29" spans="1:19">
      <c r="A29" s="3951" t="s">
        <v>1229</v>
      </c>
      <c r="B29" s="3951"/>
      <c r="D29" s="3951"/>
      <c r="E29" s="3963"/>
      <c r="F29" s="3951"/>
      <c r="G29" s="3951"/>
      <c r="H29" s="3951"/>
      <c r="I29" s="3964"/>
      <c r="J29" s="3965"/>
      <c r="K29" s="3951"/>
      <c r="L29" s="3951"/>
      <c r="M29" s="3951"/>
      <c r="N29" s="3951"/>
      <c r="O29" s="3951"/>
      <c r="P29" s="3951"/>
    </row>
    <row r="30" spans="1:19">
      <c r="A30" s="3951" t="s">
        <v>1230</v>
      </c>
      <c r="B30" s="3951"/>
      <c r="D30" s="3951"/>
      <c r="E30" s="3963"/>
      <c r="F30" s="3951"/>
      <c r="G30" s="3951"/>
      <c r="H30" s="3951"/>
      <c r="I30" s="3951"/>
      <c r="J30" s="3951"/>
      <c r="K30" s="3951"/>
      <c r="L30" s="3951"/>
      <c r="M30" s="3951"/>
      <c r="N30" s="3951"/>
      <c r="O30" s="3951"/>
      <c r="P30" s="3951"/>
    </row>
    <row r="31" spans="1:19" ht="27">
      <c r="A31" s="3966" t="s">
        <v>1194</v>
      </c>
      <c r="B31" s="3967"/>
      <c r="C31" s="3967" t="s">
        <v>1195</v>
      </c>
      <c r="D31" s="3967" t="s">
        <v>1196</v>
      </c>
      <c r="E31" s="3968">
        <v>2014</v>
      </c>
      <c r="F31" s="3968">
        <v>2015</v>
      </c>
      <c r="G31" s="3968">
        <v>2016</v>
      </c>
      <c r="H31" s="3968">
        <v>2017</v>
      </c>
      <c r="I31" s="3968">
        <v>2018</v>
      </c>
      <c r="J31" s="3968">
        <v>2019</v>
      </c>
      <c r="K31" s="3969">
        <v>2020</v>
      </c>
      <c r="L31" s="3969">
        <v>2021</v>
      </c>
      <c r="M31" s="3969">
        <f>M3</f>
        <v>2022</v>
      </c>
      <c r="N31" s="3969">
        <f t="shared" ref="N31:S31" si="0">N3</f>
        <v>2023</v>
      </c>
      <c r="O31" s="3969" t="str">
        <f t="shared" si="0"/>
        <v>2024 forecast</v>
      </c>
      <c r="P31" s="3969" t="str">
        <f t="shared" si="0"/>
        <v>2025 forecast</v>
      </c>
      <c r="Q31" s="3969" t="str">
        <f t="shared" si="0"/>
        <v>2026 forecast</v>
      </c>
      <c r="R31" s="3969" t="str">
        <f t="shared" si="0"/>
        <v>2027 forecast</v>
      </c>
      <c r="S31" s="3969" t="str">
        <f t="shared" si="0"/>
        <v>2028 forecast</v>
      </c>
    </row>
    <row r="32" spans="1:19" ht="29.4" customHeight="1">
      <c r="A32" s="4850" t="s">
        <v>1202</v>
      </c>
      <c r="B32" s="4853" t="s">
        <v>1231</v>
      </c>
      <c r="C32" s="4856" t="s">
        <v>1232</v>
      </c>
      <c r="D32" s="3970" t="s">
        <v>1205</v>
      </c>
      <c r="E32" s="3913">
        <v>32.200000000000003</v>
      </c>
      <c r="F32" s="3913">
        <v>33.299999999999997</v>
      </c>
      <c r="G32" s="3913">
        <v>33.4</v>
      </c>
      <c r="H32" s="3913">
        <v>32.5</v>
      </c>
      <c r="I32" s="3913">
        <v>32.5</v>
      </c>
      <c r="J32" s="3913">
        <v>33</v>
      </c>
      <c r="K32" s="3913">
        <v>33.1</v>
      </c>
      <c r="L32" s="3913">
        <v>33.799999999999997</v>
      </c>
      <c r="M32" s="3913">
        <v>32.799999999999997</v>
      </c>
      <c r="N32" s="3913">
        <v>33.700000000000003</v>
      </c>
      <c r="O32" s="3913"/>
      <c r="P32" s="3913"/>
      <c r="Q32" s="3913"/>
      <c r="R32" s="3913"/>
      <c r="S32" s="3913"/>
    </row>
    <row r="33" spans="1:19" ht="34.35" customHeight="1">
      <c r="A33" s="4851"/>
      <c r="B33" s="4854"/>
      <c r="C33" s="4857"/>
      <c r="D33" s="3915" t="s">
        <v>1206</v>
      </c>
      <c r="E33" s="3913">
        <v>30.9</v>
      </c>
      <c r="F33" s="3913">
        <v>30.9</v>
      </c>
      <c r="G33" s="3913">
        <v>31.9</v>
      </c>
      <c r="H33" s="3913">
        <v>32.299999999999997</v>
      </c>
      <c r="I33" s="3913">
        <v>31.7</v>
      </c>
      <c r="J33" s="3913">
        <v>32.4</v>
      </c>
      <c r="K33" s="3913">
        <v>32.5</v>
      </c>
      <c r="L33" s="3913">
        <v>32</v>
      </c>
      <c r="M33" s="3913">
        <v>32.799999999999997</v>
      </c>
      <c r="N33" s="3913">
        <v>32.9</v>
      </c>
      <c r="O33" s="3913">
        <v>33.780914720905727</v>
      </c>
      <c r="P33" s="3913">
        <v>33.752649884078032</v>
      </c>
      <c r="Q33" s="3913">
        <v>33.532271893772176</v>
      </c>
      <c r="R33" s="3913">
        <v>33.109949609355013</v>
      </c>
      <c r="S33" s="3913">
        <v>32.653169346467529</v>
      </c>
    </row>
    <row r="34" spans="1:19" ht="38.4" customHeight="1">
      <c r="A34" s="4852"/>
      <c r="B34" s="4855"/>
      <c r="C34" s="4858"/>
      <c r="D34" s="3916" t="s">
        <v>1177</v>
      </c>
      <c r="E34" s="3917">
        <v>27.8</v>
      </c>
      <c r="F34" s="3917">
        <v>29</v>
      </c>
      <c r="G34" s="3917">
        <v>29.8</v>
      </c>
      <c r="H34" s="3917">
        <v>29.6</v>
      </c>
      <c r="I34" s="3917">
        <v>29.9</v>
      </c>
      <c r="J34" s="3917">
        <v>30.3</v>
      </c>
      <c r="K34" s="3917">
        <v>31.2</v>
      </c>
      <c r="L34" s="3917">
        <v>32</v>
      </c>
      <c r="M34" s="3917">
        <v>31.7</v>
      </c>
      <c r="N34" s="3917">
        <v>32.1</v>
      </c>
      <c r="O34" s="3917"/>
      <c r="P34" s="3917"/>
      <c r="Q34" s="3917"/>
      <c r="R34" s="3917"/>
      <c r="S34" s="3917"/>
    </row>
    <row r="35" spans="1:19" ht="15" customHeight="1">
      <c r="A35" s="4848" t="s">
        <v>1207</v>
      </c>
      <c r="B35" s="4838" t="s">
        <v>1208</v>
      </c>
      <c r="C35" s="4849" t="s">
        <v>1209</v>
      </c>
      <c r="D35" s="3971" t="s">
        <v>1205</v>
      </c>
      <c r="E35" s="3937">
        <v>8.4</v>
      </c>
      <c r="F35" s="3937">
        <v>8.9</v>
      </c>
      <c r="G35" s="3938">
        <v>8.9</v>
      </c>
      <c r="H35" s="3938">
        <v>8.8000000000000007</v>
      </c>
      <c r="I35" s="3939">
        <v>8.8000000000000007</v>
      </c>
      <c r="J35" s="3939">
        <v>8.6999999999999993</v>
      </c>
      <c r="K35" s="3938">
        <v>8.8000000000000007</v>
      </c>
      <c r="L35" s="3938">
        <v>9.1</v>
      </c>
      <c r="M35" s="3972">
        <v>9.1</v>
      </c>
      <c r="N35" s="3938">
        <v>9.1</v>
      </c>
      <c r="O35" s="3938"/>
      <c r="P35" s="3938"/>
      <c r="Q35" s="3938"/>
      <c r="R35" s="3938"/>
      <c r="S35" s="3938"/>
    </row>
    <row r="36" spans="1:19">
      <c r="A36" s="4836"/>
      <c r="B36" s="4839"/>
      <c r="C36" s="4842"/>
      <c r="D36" s="3924" t="s">
        <v>1206</v>
      </c>
      <c r="E36" s="3925">
        <v>7.9</v>
      </c>
      <c r="F36" s="3925">
        <v>8</v>
      </c>
      <c r="G36" s="3926">
        <v>8.4</v>
      </c>
      <c r="H36" s="3926">
        <v>8.4</v>
      </c>
      <c r="I36" s="3927">
        <v>8.8000000000000007</v>
      </c>
      <c r="J36" s="3927">
        <v>9</v>
      </c>
      <c r="K36" s="3926">
        <v>8.8000000000000007</v>
      </c>
      <c r="L36" s="3926">
        <v>9</v>
      </c>
      <c r="M36" s="3928">
        <v>10.1</v>
      </c>
      <c r="N36" s="3929">
        <v>9.6999999999999993</v>
      </c>
      <c r="O36" s="3929">
        <v>9.4715108773305055</v>
      </c>
      <c r="P36" s="3929">
        <v>9.5713141656216116</v>
      </c>
      <c r="Q36" s="3929">
        <v>9.4800577206064389</v>
      </c>
      <c r="R36" s="3929">
        <v>9.3878565083538135</v>
      </c>
      <c r="S36" s="3929">
        <v>9.3465258633768986</v>
      </c>
    </row>
    <row r="37" spans="1:19">
      <c r="A37" s="4837"/>
      <c r="B37" s="4847"/>
      <c r="C37" s="4843"/>
      <c r="D37" s="3930" t="s">
        <v>1177</v>
      </c>
      <c r="E37" s="3931">
        <v>7.6</v>
      </c>
      <c r="F37" s="3931">
        <v>7.7</v>
      </c>
      <c r="G37" s="3932">
        <v>7.8</v>
      </c>
      <c r="H37" s="3932">
        <v>7.8</v>
      </c>
      <c r="I37" s="3933">
        <v>7.7</v>
      </c>
      <c r="J37" s="3933">
        <v>7.8</v>
      </c>
      <c r="K37" s="3932">
        <v>8</v>
      </c>
      <c r="L37" s="3932">
        <v>8.3000000000000007</v>
      </c>
      <c r="M37" s="3934">
        <v>8.4</v>
      </c>
      <c r="N37" s="3935">
        <v>8</v>
      </c>
      <c r="O37" s="3935"/>
      <c r="P37" s="3935"/>
      <c r="Q37" s="3935"/>
      <c r="R37" s="3935"/>
      <c r="S37" s="3935"/>
    </row>
    <row r="38" spans="1:19" ht="15" customHeight="1">
      <c r="A38" s="4835" t="s">
        <v>1210</v>
      </c>
      <c r="B38" s="4838" t="s">
        <v>1211</v>
      </c>
      <c r="C38" s="4841" t="s">
        <v>1212</v>
      </c>
      <c r="D38" s="3936" t="s">
        <v>1205</v>
      </c>
      <c r="E38" s="3937">
        <v>5.6</v>
      </c>
      <c r="F38" s="3937">
        <v>5.6</v>
      </c>
      <c r="G38" s="3938">
        <v>5.7</v>
      </c>
      <c r="H38" s="3938">
        <v>5.5</v>
      </c>
      <c r="I38" s="3939">
        <v>5.3</v>
      </c>
      <c r="J38" s="3939">
        <v>5.4</v>
      </c>
      <c r="K38" s="3938">
        <v>5.9</v>
      </c>
      <c r="L38" s="3938">
        <v>6.8</v>
      </c>
      <c r="M38" s="3973">
        <v>6.3</v>
      </c>
      <c r="N38" s="3974">
        <v>6.3</v>
      </c>
      <c r="O38" s="3974"/>
      <c r="P38" s="3974"/>
      <c r="Q38" s="3974"/>
      <c r="R38" s="3974"/>
      <c r="S38" s="3974"/>
    </row>
    <row r="39" spans="1:19">
      <c r="A39" s="4836"/>
      <c r="B39" s="4839"/>
      <c r="C39" s="4842"/>
      <c r="D39" s="3924" t="s">
        <v>1206</v>
      </c>
      <c r="E39" s="3925">
        <v>6.1</v>
      </c>
      <c r="F39" s="3925">
        <v>6.1</v>
      </c>
      <c r="G39" s="3926">
        <v>6.5</v>
      </c>
      <c r="H39" s="3926">
        <v>6.8</v>
      </c>
      <c r="I39" s="3927">
        <v>6.2</v>
      </c>
      <c r="J39" s="3927">
        <v>6.7</v>
      </c>
      <c r="K39" s="3926">
        <v>6.2</v>
      </c>
      <c r="L39" s="3926">
        <v>6.2</v>
      </c>
      <c r="M39" s="3928">
        <v>6.3</v>
      </c>
      <c r="N39" s="3929">
        <v>6.5</v>
      </c>
      <c r="O39" s="3929">
        <v>6.6986501174090094</v>
      </c>
      <c r="P39" s="3929">
        <v>6.1436943854115311</v>
      </c>
      <c r="Q39" s="3929">
        <v>6.1086649511831057</v>
      </c>
      <c r="R39" s="3929">
        <v>6.068014082761616</v>
      </c>
      <c r="S39" s="3929">
        <v>6.0941458232902379</v>
      </c>
    </row>
    <row r="40" spans="1:19">
      <c r="A40" s="4837"/>
      <c r="B40" s="4840"/>
      <c r="C40" s="4843"/>
      <c r="D40" s="3943" t="s">
        <v>1177</v>
      </c>
      <c r="E40" s="3931">
        <v>3.6</v>
      </c>
      <c r="F40" s="3931">
        <v>3.8</v>
      </c>
      <c r="G40" s="3932">
        <v>4</v>
      </c>
      <c r="H40" s="3932">
        <v>3.9</v>
      </c>
      <c r="I40" s="3933">
        <v>4</v>
      </c>
      <c r="J40" s="3933">
        <v>7.2</v>
      </c>
      <c r="K40" s="3932">
        <v>7.2</v>
      </c>
      <c r="L40" s="3932">
        <v>7.4</v>
      </c>
      <c r="M40" s="3944">
        <v>7.6</v>
      </c>
      <c r="N40" s="3945">
        <v>7.7</v>
      </c>
      <c r="O40" s="3945"/>
      <c r="P40" s="3945"/>
      <c r="Q40" s="3945"/>
      <c r="R40" s="3945"/>
      <c r="S40" s="3945"/>
    </row>
    <row r="41" spans="1:19" ht="15" customHeight="1">
      <c r="A41" s="4835" t="s">
        <v>1213</v>
      </c>
      <c r="B41" s="4838" t="s">
        <v>1214</v>
      </c>
      <c r="C41" s="4841" t="s">
        <v>1233</v>
      </c>
      <c r="D41" s="3936" t="s">
        <v>1205</v>
      </c>
      <c r="E41" s="3937">
        <v>11.2</v>
      </c>
      <c r="F41" s="3937">
        <v>11.4</v>
      </c>
      <c r="G41" s="3938">
        <v>11.5</v>
      </c>
      <c r="H41" s="3938">
        <v>11.4</v>
      </c>
      <c r="I41" s="3939">
        <v>11.5</v>
      </c>
      <c r="J41" s="3939">
        <v>11.7</v>
      </c>
      <c r="K41" s="3938">
        <v>12.3</v>
      </c>
      <c r="L41" s="3938">
        <v>11.9</v>
      </c>
      <c r="M41" s="3975">
        <v>11.6</v>
      </c>
      <c r="N41" s="3976">
        <v>12.3</v>
      </c>
      <c r="O41" s="3976"/>
      <c r="P41" s="3976"/>
      <c r="Q41" s="3976"/>
      <c r="R41" s="3976"/>
      <c r="S41" s="3976"/>
    </row>
    <row r="42" spans="1:19">
      <c r="A42" s="4836"/>
      <c r="B42" s="4839"/>
      <c r="C42" s="4842"/>
      <c r="D42" s="3924" t="s">
        <v>1206</v>
      </c>
      <c r="E42" s="3925">
        <v>9</v>
      </c>
      <c r="F42" s="3925">
        <v>8.9</v>
      </c>
      <c r="G42" s="3926">
        <v>8.8000000000000007</v>
      </c>
      <c r="H42" s="3926">
        <v>9.1</v>
      </c>
      <c r="I42" s="3927">
        <v>9.8000000000000007</v>
      </c>
      <c r="J42" s="3927">
        <v>10.3</v>
      </c>
      <c r="K42" s="3926">
        <v>10.7</v>
      </c>
      <c r="L42" s="3926">
        <v>10.3</v>
      </c>
      <c r="M42" s="3928">
        <v>10.5</v>
      </c>
      <c r="N42" s="3929">
        <v>10.9</v>
      </c>
      <c r="O42" s="3929">
        <v>11.156472388438472</v>
      </c>
      <c r="P42" s="3929">
        <v>11.535933627970804</v>
      </c>
      <c r="Q42" s="3929">
        <v>11.600852285659522</v>
      </c>
      <c r="R42" s="3929">
        <v>11.562355927175922</v>
      </c>
      <c r="S42" s="3929">
        <v>11.516775769385422</v>
      </c>
    </row>
    <row r="43" spans="1:19">
      <c r="A43" s="4837"/>
      <c r="B43" s="4840"/>
      <c r="C43" s="4843"/>
      <c r="D43" s="3943" t="s">
        <v>1177</v>
      </c>
      <c r="E43" s="3931">
        <v>11.6</v>
      </c>
      <c r="F43" s="3931">
        <v>12</v>
      </c>
      <c r="G43" s="3932">
        <v>12.5</v>
      </c>
      <c r="H43" s="3932">
        <v>12.5</v>
      </c>
      <c r="I43" s="3933">
        <v>12.9</v>
      </c>
      <c r="J43" s="3933">
        <v>9.9</v>
      </c>
      <c r="K43" s="3932">
        <v>10.5</v>
      </c>
      <c r="L43" s="3932">
        <v>10.5</v>
      </c>
      <c r="M43" s="3934">
        <v>10.199999999999999</v>
      </c>
      <c r="N43" s="3935">
        <v>10.5</v>
      </c>
      <c r="O43" s="3935"/>
      <c r="P43" s="3935"/>
      <c r="Q43" s="3935"/>
      <c r="R43" s="3935"/>
      <c r="S43" s="3935"/>
    </row>
    <row r="44" spans="1:19" ht="15" customHeight="1">
      <c r="A44" s="4835" t="s">
        <v>1216</v>
      </c>
      <c r="B44" s="4838" t="s">
        <v>1217</v>
      </c>
      <c r="C44" s="4841" t="s">
        <v>1218</v>
      </c>
      <c r="D44" s="3936" t="s">
        <v>1205</v>
      </c>
      <c r="E44" s="3937">
        <v>4.5</v>
      </c>
      <c r="F44" s="3937">
        <v>4.5</v>
      </c>
      <c r="G44" s="3938">
        <v>4.8</v>
      </c>
      <c r="H44" s="3938">
        <v>4.3999999999999995</v>
      </c>
      <c r="I44" s="3939">
        <v>4.0999999999999996</v>
      </c>
      <c r="J44" s="3939">
        <v>4.3</v>
      </c>
      <c r="K44" s="3938">
        <v>3.5</v>
      </c>
      <c r="L44" s="3938">
        <v>3.4</v>
      </c>
      <c r="M44" s="3973">
        <v>2.9000000000000004</v>
      </c>
      <c r="N44" s="3974">
        <v>2.9000000000000004</v>
      </c>
      <c r="O44" s="3974"/>
      <c r="P44" s="3974"/>
      <c r="Q44" s="3974"/>
      <c r="R44" s="3974"/>
      <c r="S44" s="3974"/>
    </row>
    <row r="45" spans="1:19">
      <c r="A45" s="4836"/>
      <c r="B45" s="4839"/>
      <c r="C45" s="4842"/>
      <c r="D45" s="3924" t="s">
        <v>1206</v>
      </c>
      <c r="E45" s="3925">
        <v>2.8</v>
      </c>
      <c r="F45" s="3925">
        <v>3.1</v>
      </c>
      <c r="G45" s="3926">
        <v>3.2</v>
      </c>
      <c r="H45" s="3926">
        <v>3.1</v>
      </c>
      <c r="I45" s="3927">
        <v>3.1</v>
      </c>
      <c r="J45" s="3927">
        <v>3</v>
      </c>
      <c r="K45" s="3926">
        <v>3.1</v>
      </c>
      <c r="L45" s="3926">
        <v>2.9</v>
      </c>
      <c r="M45" s="3928">
        <v>2.4</v>
      </c>
      <c r="N45" s="3929">
        <v>2.2999999999999998</v>
      </c>
      <c r="O45" s="3929">
        <v>2.9043046884835197</v>
      </c>
      <c r="P45" s="3929">
        <v>2.9867557901434645</v>
      </c>
      <c r="Q45" s="3929">
        <v>3.0159987874066108</v>
      </c>
      <c r="R45" s="3929">
        <v>2.8974313826176457</v>
      </c>
      <c r="S45" s="3929">
        <v>2.8141064625251513</v>
      </c>
    </row>
    <row r="46" spans="1:19">
      <c r="A46" s="4837"/>
      <c r="B46" s="4840"/>
      <c r="C46" s="4843"/>
      <c r="D46" s="3943" t="s">
        <v>1177</v>
      </c>
      <c r="E46" s="3932">
        <v>3.3</v>
      </c>
      <c r="F46" s="3932">
        <v>3.4</v>
      </c>
      <c r="G46" s="3932">
        <v>3.5</v>
      </c>
      <c r="H46" s="3932">
        <v>3.5</v>
      </c>
      <c r="I46" s="3933">
        <v>3.7</v>
      </c>
      <c r="J46" s="3933">
        <v>3.6</v>
      </c>
      <c r="K46" s="3932">
        <v>3.6</v>
      </c>
      <c r="L46" s="3932">
        <v>3.4</v>
      </c>
      <c r="M46" s="3944">
        <v>3.2</v>
      </c>
      <c r="N46" s="3945">
        <v>3</v>
      </c>
      <c r="O46" s="3945"/>
      <c r="P46" s="3945"/>
      <c r="Q46" s="3945"/>
      <c r="R46" s="3945"/>
      <c r="S46" s="3945"/>
    </row>
    <row r="47" spans="1:19" ht="15" customHeight="1">
      <c r="A47" s="4835" t="s">
        <v>1219</v>
      </c>
      <c r="B47" s="4838" t="s">
        <v>1220</v>
      </c>
      <c r="C47" s="4841" t="s">
        <v>1221</v>
      </c>
      <c r="D47" s="3936" t="s">
        <v>1205</v>
      </c>
      <c r="E47" s="3937">
        <v>1.7</v>
      </c>
      <c r="F47" s="3937">
        <v>2</v>
      </c>
      <c r="G47" s="3938">
        <v>1.7</v>
      </c>
      <c r="H47" s="3938">
        <v>1.5</v>
      </c>
      <c r="I47" s="3939">
        <v>2</v>
      </c>
      <c r="J47" s="3939">
        <v>1.8</v>
      </c>
      <c r="K47" s="3938">
        <v>1.6</v>
      </c>
      <c r="L47" s="3938">
        <v>1.5</v>
      </c>
      <c r="M47" s="3973">
        <v>1.6</v>
      </c>
      <c r="N47" s="3974">
        <v>1.9</v>
      </c>
      <c r="O47" s="3974"/>
      <c r="P47" s="3974"/>
      <c r="Q47" s="3974"/>
      <c r="R47" s="3974"/>
      <c r="S47" s="3974"/>
    </row>
    <row r="48" spans="1:19">
      <c r="A48" s="4836"/>
      <c r="B48" s="4839"/>
      <c r="C48" s="4842"/>
      <c r="D48" s="3924" t="s">
        <v>1206</v>
      </c>
      <c r="E48" s="3925">
        <v>1.6</v>
      </c>
      <c r="F48" s="3925">
        <v>1.6</v>
      </c>
      <c r="G48" s="3926">
        <v>1.7</v>
      </c>
      <c r="H48" s="3926">
        <v>1.6</v>
      </c>
      <c r="I48" s="3927">
        <v>0.6</v>
      </c>
      <c r="J48" s="3927">
        <v>0.6</v>
      </c>
      <c r="K48" s="3926">
        <v>0.9</v>
      </c>
      <c r="L48" s="3926">
        <v>1.1000000000000001</v>
      </c>
      <c r="M48" s="3928">
        <v>1.1000000000000001</v>
      </c>
      <c r="N48" s="3929">
        <v>1.4</v>
      </c>
      <c r="O48" s="3929">
        <v>1.6769950867884229</v>
      </c>
      <c r="P48" s="3929">
        <v>1.5586372662863492</v>
      </c>
      <c r="Q48" s="3929">
        <v>1.4708750610903689</v>
      </c>
      <c r="R48" s="3929">
        <v>1.410979735169551</v>
      </c>
      <c r="S48" s="3929">
        <v>1.4031773653163522</v>
      </c>
    </row>
    <row r="49" spans="1:19">
      <c r="A49" s="4837"/>
      <c r="B49" s="4840"/>
      <c r="C49" s="4843"/>
      <c r="D49" s="3943" t="s">
        <v>1177</v>
      </c>
      <c r="E49" s="3931">
        <v>1.4</v>
      </c>
      <c r="F49" s="3931">
        <v>1.5</v>
      </c>
      <c r="G49" s="3932">
        <v>1.6</v>
      </c>
      <c r="H49" s="3932">
        <v>1.5</v>
      </c>
      <c r="I49" s="3933">
        <v>1.5</v>
      </c>
      <c r="J49" s="3933">
        <v>1.5</v>
      </c>
      <c r="K49" s="3932">
        <v>1.6</v>
      </c>
      <c r="L49" s="3932">
        <v>2</v>
      </c>
      <c r="M49" s="3934">
        <v>2.2999999999999998</v>
      </c>
      <c r="N49" s="3935">
        <v>2.7</v>
      </c>
      <c r="O49" s="3935"/>
      <c r="P49" s="3935"/>
      <c r="Q49" s="3935"/>
      <c r="R49" s="3935"/>
      <c r="S49" s="3935"/>
    </row>
    <row r="50" spans="1:19" ht="15" customHeight="1">
      <c r="A50" s="4844" t="s">
        <v>1222</v>
      </c>
      <c r="B50" s="4838" t="s">
        <v>1223</v>
      </c>
      <c r="C50" s="4841" t="s">
        <v>1224</v>
      </c>
      <c r="D50" s="3936" t="s">
        <v>1205</v>
      </c>
      <c r="E50" s="3937">
        <v>0.3</v>
      </c>
      <c r="F50" s="3937">
        <v>0.3</v>
      </c>
      <c r="G50" s="3938">
        <v>0.3</v>
      </c>
      <c r="H50" s="3938">
        <v>0.2</v>
      </c>
      <c r="I50" s="3939">
        <v>0.2</v>
      </c>
      <c r="J50" s="3939">
        <v>0.2</v>
      </c>
      <c r="K50" s="3938">
        <v>0.2</v>
      </c>
      <c r="L50" s="3938">
        <v>0.2</v>
      </c>
      <c r="M50" s="3973">
        <v>0.2</v>
      </c>
      <c r="N50" s="3974">
        <v>0.2</v>
      </c>
      <c r="O50" s="3974"/>
      <c r="P50" s="3974"/>
      <c r="Q50" s="3974"/>
      <c r="R50" s="3974"/>
      <c r="S50" s="3974"/>
    </row>
    <row r="51" spans="1:19">
      <c r="A51" s="4845"/>
      <c r="B51" s="4839"/>
      <c r="C51" s="4842"/>
      <c r="D51" s="3924" t="s">
        <v>1206</v>
      </c>
      <c r="E51" s="3925">
        <v>0.8</v>
      </c>
      <c r="F51" s="3925">
        <v>0.8</v>
      </c>
      <c r="G51" s="3926">
        <v>0.9</v>
      </c>
      <c r="H51" s="3926">
        <v>0.9</v>
      </c>
      <c r="I51" s="3927">
        <v>0.8</v>
      </c>
      <c r="J51" s="3927">
        <v>0.8</v>
      </c>
      <c r="K51" s="3926">
        <v>0.8</v>
      </c>
      <c r="L51" s="3926">
        <v>0.7</v>
      </c>
      <c r="M51" s="3928">
        <v>0.6</v>
      </c>
      <c r="N51" s="3929">
        <v>0.6</v>
      </c>
      <c r="O51" s="3929">
        <v>0.57024825747313268</v>
      </c>
      <c r="P51" s="3929">
        <v>0.54350472982334497</v>
      </c>
      <c r="Q51" s="3929">
        <v>0.52011654170542043</v>
      </c>
      <c r="R51" s="3929">
        <v>0.49848632771568641</v>
      </c>
      <c r="S51" s="3929">
        <v>0.47925820004248931</v>
      </c>
    </row>
    <row r="52" spans="1:19">
      <c r="A52" s="4846"/>
      <c r="B52" s="4847"/>
      <c r="C52" s="4843"/>
      <c r="D52" s="3930" t="s">
        <v>1177</v>
      </c>
      <c r="E52" s="3931">
        <v>0.3</v>
      </c>
      <c r="F52" s="3931">
        <v>0.3</v>
      </c>
      <c r="G52" s="3932">
        <v>0.3</v>
      </c>
      <c r="H52" s="3932">
        <v>0.30000000000000004</v>
      </c>
      <c r="I52" s="3933">
        <v>0.30000000000000004</v>
      </c>
      <c r="J52" s="3933">
        <v>0.30000000000000004</v>
      </c>
      <c r="K52" s="3932">
        <v>0.30000000000000004</v>
      </c>
      <c r="L52" s="3932">
        <v>0.30000000000000004</v>
      </c>
      <c r="M52" s="3934">
        <v>0.30000000000000004</v>
      </c>
      <c r="N52" s="3935">
        <v>0.30000000000000004</v>
      </c>
      <c r="O52" s="3935"/>
      <c r="P52" s="3935"/>
      <c r="Q52" s="3935"/>
      <c r="R52" s="3935"/>
      <c r="S52" s="3935"/>
    </row>
    <row r="53" spans="1:19">
      <c r="A53" s="3948" t="s">
        <v>1225</v>
      </c>
    </row>
  </sheetData>
  <mergeCells count="42">
    <mergeCell ref="A4:A6"/>
    <mergeCell ref="B4:B6"/>
    <mergeCell ref="C4:C6"/>
    <mergeCell ref="A7:A9"/>
    <mergeCell ref="B7:B9"/>
    <mergeCell ref="C7:C9"/>
    <mergeCell ref="A10:A12"/>
    <mergeCell ref="B10:B12"/>
    <mergeCell ref="C10:C12"/>
    <mergeCell ref="A13:A15"/>
    <mergeCell ref="B13:B15"/>
    <mergeCell ref="C13:C15"/>
    <mergeCell ref="A16:A18"/>
    <mergeCell ref="B16:B18"/>
    <mergeCell ref="C16:C18"/>
    <mergeCell ref="A19:A21"/>
    <mergeCell ref="B19:B21"/>
    <mergeCell ref="C19:C21"/>
    <mergeCell ref="A22:A24"/>
    <mergeCell ref="B22:B24"/>
    <mergeCell ref="C22:C24"/>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0:A52"/>
    <mergeCell ref="B50:B52"/>
    <mergeCell ref="C50:C52"/>
  </mergeCells>
  <pageMargins left="0" right="0" top="0" bottom="0" header="0.31496062992125984" footer="0.31496062992125984"/>
  <pageSetup paperSize="9" scale="78" orientation="landscape" r:id="rId1"/>
  <legacyDrawing r:id="rId2"/>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LATVIJA_LATVIA</vt:lpstr>
      <vt:lpstr>IGAUNIJA_ESTONIA</vt:lpstr>
      <vt:lpstr>LIETUVA_LITHUANIA</vt:lpstr>
      <vt:lpstr>Salary_calculator_2024_2026</vt:lpstr>
      <vt:lpstr>Baltic_states_revenue</vt:lpstr>
      <vt:lpstr>Baltic_states_revenue!Print_Area</vt:lpstr>
      <vt:lpstr>IGAUNIJA_ESTONIA!Print_Area</vt:lpstr>
      <vt:lpstr>LATVIJA_LATVIA!Print_Area</vt:lpstr>
      <vt:lpstr>LIETUVA_LITHUANIA!Print_Area</vt:lpstr>
      <vt:lpstr>Salary_calculator_2024_2026!Print_Area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Līga Gudēvica-Liepiņa</dc:creator>
  <cp:lastModifiedBy>Līga Gudēvica-Liepiņa</cp:lastModifiedBy>
  <dcterms:created xsi:type="dcterms:W3CDTF">2025-01-17T08:58:49Z</dcterms:created>
  <dcterms:modified xsi:type="dcterms:W3CDTF">2025-01-17T09:48:27Z</dcterms:modified>
</cp:coreProperties>
</file>