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66002/files/1/"/>
    </mc:Choice>
  </mc:AlternateContent>
  <bookViews>
    <workbookView xWindow="2460" yWindow="495" windowWidth="39480" windowHeight="25695"/>
  </bookViews>
  <sheets>
    <sheet name="Ratsioon 1-4 (dehüdreeritud HS)" sheetId="7" r:id="rId1"/>
    <sheet name="Ratsioon 5-8 (wet pouch HS)" sheetId="3" r:id="rId2"/>
    <sheet name="Ratsioon 9-16 (dehüdreeritud L)" sheetId="1" r:id="rId3"/>
    <sheet name="Ratsioon 17-24 (wet pouch LÕ)" sheetId="2" r:id="rId4"/>
    <sheet name="Ratsioon V1-V8 (vegetaarne)" sheetId="10" r:id="rId5"/>
    <sheet name="Ratsioon GV1-GV8" sheetId="12" r:id="rId6"/>
    <sheet name="Ratsioon LV1-LV8" sheetId="13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3" l="1"/>
  <c r="K86" i="3"/>
  <c r="U76" i="3"/>
  <c r="S76" i="3"/>
  <c r="Q76" i="3"/>
  <c r="O76" i="3"/>
  <c r="U72" i="3"/>
  <c r="S72" i="3"/>
  <c r="Q72" i="3"/>
  <c r="O72" i="3"/>
  <c r="U68" i="3"/>
  <c r="S68" i="3"/>
  <c r="Q68" i="3"/>
  <c r="O68" i="3"/>
  <c r="U66" i="3"/>
  <c r="S66" i="3"/>
  <c r="Q66" i="3"/>
  <c r="Q86" i="3" s="1"/>
  <c r="O66" i="3"/>
  <c r="O86" i="3" s="1"/>
  <c r="M85" i="7"/>
  <c r="K85" i="7"/>
  <c r="U75" i="7"/>
  <c r="S75" i="7"/>
  <c r="Q75" i="7"/>
  <c r="O75" i="7"/>
  <c r="U73" i="7"/>
  <c r="S73" i="7"/>
  <c r="Q73" i="7"/>
  <c r="O73" i="7"/>
  <c r="U69" i="7"/>
  <c r="S69" i="7"/>
  <c r="Q69" i="7"/>
  <c r="O69" i="7"/>
  <c r="S86" i="3" l="1"/>
  <c r="U86" i="3"/>
  <c r="Q85" i="7"/>
  <c r="S85" i="7"/>
  <c r="U85" i="7"/>
  <c r="O85" i="7"/>
  <c r="O153" i="13"/>
  <c r="M153" i="13"/>
  <c r="K153" i="13"/>
  <c r="U143" i="13"/>
  <c r="U153" i="13" s="1"/>
  <c r="S143" i="13"/>
  <c r="S153" i="13" s="1"/>
  <c r="Q143" i="13"/>
  <c r="O143" i="13"/>
  <c r="Q141" i="13"/>
  <c r="M136" i="13"/>
  <c r="K136" i="13"/>
  <c r="U128" i="13"/>
  <c r="S128" i="13"/>
  <c r="Q128" i="13"/>
  <c r="O128" i="13"/>
  <c r="U126" i="13"/>
  <c r="S126" i="13"/>
  <c r="Q126" i="13"/>
  <c r="O126" i="13"/>
  <c r="Q124" i="13"/>
  <c r="O124" i="13"/>
  <c r="O136" i="13" s="1"/>
  <c r="M119" i="13"/>
  <c r="K119" i="13"/>
  <c r="U111" i="13"/>
  <c r="S111" i="13"/>
  <c r="Q111" i="13"/>
  <c r="O111" i="13"/>
  <c r="O119" i="13" s="1"/>
  <c r="U109" i="13"/>
  <c r="U119" i="13" s="1"/>
  <c r="S109" i="13"/>
  <c r="S119" i="13" s="1"/>
  <c r="Q109" i="13"/>
  <c r="O109" i="13"/>
  <c r="Q107" i="13"/>
  <c r="S102" i="13"/>
  <c r="M102" i="13"/>
  <c r="K102" i="13"/>
  <c r="U92" i="13"/>
  <c r="U102" i="13" s="1"/>
  <c r="S92" i="13"/>
  <c r="Q92" i="13"/>
  <c r="O92" i="13"/>
  <c r="Q90" i="13"/>
  <c r="Q102" i="13" s="1"/>
  <c r="O90" i="13"/>
  <c r="O102" i="13" s="1"/>
  <c r="S85" i="13"/>
  <c r="M85" i="13"/>
  <c r="K85" i="13"/>
  <c r="S75" i="13"/>
  <c r="Q75" i="13"/>
  <c r="O75" i="13"/>
  <c r="U73" i="13"/>
  <c r="U85" i="13" s="1"/>
  <c r="S73" i="13"/>
  <c r="Q73" i="13"/>
  <c r="O73" i="13"/>
  <c r="O85" i="13" s="1"/>
  <c r="Q71" i="13"/>
  <c r="Q85" i="13" s="1"/>
  <c r="M66" i="13"/>
  <c r="K66" i="13"/>
  <c r="S56" i="13"/>
  <c r="Q56" i="13"/>
  <c r="O56" i="13"/>
  <c r="U54" i="13"/>
  <c r="U66" i="13" s="1"/>
  <c r="S54" i="13"/>
  <c r="S66" i="13" s="1"/>
  <c r="Q54" i="13"/>
  <c r="O54" i="13"/>
  <c r="Q52" i="13"/>
  <c r="O52" i="13"/>
  <c r="O66" i="13" s="1"/>
  <c r="M47" i="13"/>
  <c r="K47" i="13"/>
  <c r="S37" i="13"/>
  <c r="Q37" i="13"/>
  <c r="O37" i="13"/>
  <c r="U35" i="13"/>
  <c r="U47" i="13" s="1"/>
  <c r="S35" i="13"/>
  <c r="Q35" i="13"/>
  <c r="O35" i="13"/>
  <c r="O47" i="13" s="1"/>
  <c r="Q33" i="13"/>
  <c r="M28" i="13"/>
  <c r="K28" i="13"/>
  <c r="S18" i="13"/>
  <c r="Q18" i="13"/>
  <c r="O18" i="13"/>
  <c r="U16" i="13"/>
  <c r="U28" i="13" s="1"/>
  <c r="S16" i="13"/>
  <c r="S28" i="13" s="1"/>
  <c r="Q16" i="13"/>
  <c r="O16" i="13"/>
  <c r="Q14" i="13"/>
  <c r="Q28" i="13" s="1"/>
  <c r="O14" i="13"/>
  <c r="O10" i="13"/>
  <c r="M161" i="12"/>
  <c r="K161" i="12"/>
  <c r="U149" i="12"/>
  <c r="S149" i="12"/>
  <c r="Q149" i="12"/>
  <c r="O149" i="12"/>
  <c r="U145" i="12"/>
  <c r="S145" i="12"/>
  <c r="Q145" i="12"/>
  <c r="O145" i="12"/>
  <c r="M142" i="12"/>
  <c r="K142" i="12"/>
  <c r="U132" i="12"/>
  <c r="S132" i="12"/>
  <c r="Q132" i="12"/>
  <c r="O132" i="12"/>
  <c r="U130" i="12"/>
  <c r="U142" i="12" s="1"/>
  <c r="S130" i="12"/>
  <c r="S142" i="12" s="1"/>
  <c r="Q130" i="12"/>
  <c r="O130" i="12"/>
  <c r="U126" i="12"/>
  <c r="S126" i="12"/>
  <c r="Q126" i="12"/>
  <c r="O126" i="12"/>
  <c r="M123" i="12"/>
  <c r="K123" i="12"/>
  <c r="U113" i="12"/>
  <c r="S113" i="12"/>
  <c r="Q113" i="12"/>
  <c r="O113" i="12"/>
  <c r="U111" i="12"/>
  <c r="S111" i="12"/>
  <c r="Q111" i="12"/>
  <c r="O111" i="12"/>
  <c r="O123" i="12" s="1"/>
  <c r="U107" i="12"/>
  <c r="U123" i="12" s="1"/>
  <c r="S107" i="12"/>
  <c r="S123" i="12" s="1"/>
  <c r="Q107" i="12"/>
  <c r="O107" i="12"/>
  <c r="M104" i="12"/>
  <c r="K104" i="12"/>
  <c r="U94" i="12"/>
  <c r="S94" i="12"/>
  <c r="Q94" i="12"/>
  <c r="O94" i="12"/>
  <c r="U92" i="12"/>
  <c r="S92" i="12"/>
  <c r="Q92" i="12"/>
  <c r="O92" i="12"/>
  <c r="U88" i="12"/>
  <c r="U104" i="12" s="1"/>
  <c r="S88" i="12"/>
  <c r="Q88" i="12"/>
  <c r="O88" i="12"/>
  <c r="M85" i="12"/>
  <c r="K85" i="12"/>
  <c r="U73" i="12"/>
  <c r="S73" i="12"/>
  <c r="Q73" i="12"/>
  <c r="O73" i="12"/>
  <c r="U69" i="12"/>
  <c r="S69" i="12"/>
  <c r="Q69" i="12"/>
  <c r="Q85" i="12" s="1"/>
  <c r="O69" i="12"/>
  <c r="O85" i="12" s="1"/>
  <c r="O67" i="12"/>
  <c r="O66" i="12"/>
  <c r="M66" i="12"/>
  <c r="K66" i="12"/>
  <c r="U54" i="12"/>
  <c r="S54" i="12"/>
  <c r="Q54" i="12"/>
  <c r="O54" i="12"/>
  <c r="U50" i="12"/>
  <c r="U66" i="12" s="1"/>
  <c r="S50" i="12"/>
  <c r="S66" i="12" s="1"/>
  <c r="Q50" i="12"/>
  <c r="Q66" i="12" s="1"/>
  <c r="O50" i="12"/>
  <c r="M47" i="12"/>
  <c r="K47" i="12"/>
  <c r="U35" i="12"/>
  <c r="S35" i="12"/>
  <c r="Q35" i="12"/>
  <c r="O35" i="12"/>
  <c r="U31" i="12"/>
  <c r="U47" i="12" s="1"/>
  <c r="S31" i="12"/>
  <c r="S47" i="12" s="1"/>
  <c r="Q31" i="12"/>
  <c r="O31" i="12"/>
  <c r="M28" i="12"/>
  <c r="K28" i="12"/>
  <c r="U16" i="12"/>
  <c r="S16" i="12"/>
  <c r="Q16" i="12"/>
  <c r="O16" i="12"/>
  <c r="U12" i="12"/>
  <c r="U28" i="12" s="1"/>
  <c r="S12" i="12"/>
  <c r="Q12" i="12"/>
  <c r="O12" i="12"/>
  <c r="O28" i="12" s="1"/>
  <c r="M145" i="10"/>
  <c r="K145" i="10"/>
  <c r="U135" i="10"/>
  <c r="S135" i="10"/>
  <c r="Q135" i="10"/>
  <c r="O135" i="10"/>
  <c r="U131" i="10"/>
  <c r="S131" i="10"/>
  <c r="Q131" i="10"/>
  <c r="Q145" i="10" s="1"/>
  <c r="O131" i="10"/>
  <c r="U145" i="10"/>
  <c r="S145" i="10"/>
  <c r="M128" i="10"/>
  <c r="K128" i="10"/>
  <c r="U118" i="10"/>
  <c r="S118" i="10"/>
  <c r="Q118" i="10"/>
  <c r="O118" i="10"/>
  <c r="U114" i="10"/>
  <c r="U128" i="10" s="1"/>
  <c r="S114" i="10"/>
  <c r="S128" i="10" s="1"/>
  <c r="Q114" i="10"/>
  <c r="O114" i="10"/>
  <c r="U112" i="10"/>
  <c r="S112" i="10"/>
  <c r="Q112" i="10"/>
  <c r="O112" i="10"/>
  <c r="Q111" i="10"/>
  <c r="M111" i="10"/>
  <c r="K111" i="10"/>
  <c r="U101" i="10"/>
  <c r="S101" i="10"/>
  <c r="Q101" i="10"/>
  <c r="O101" i="10"/>
  <c r="U97" i="10"/>
  <c r="U111" i="10" s="1"/>
  <c r="S97" i="10"/>
  <c r="S111" i="10" s="1"/>
  <c r="Q97" i="10"/>
  <c r="O97" i="10"/>
  <c r="U95" i="10"/>
  <c r="S95" i="10"/>
  <c r="Q95" i="10"/>
  <c r="O95" i="10"/>
  <c r="O111" i="10" s="1"/>
  <c r="M94" i="10"/>
  <c r="K94" i="10"/>
  <c r="U84" i="10"/>
  <c r="S84" i="10"/>
  <c r="Q84" i="10"/>
  <c r="O84" i="10"/>
  <c r="U80" i="10"/>
  <c r="U94" i="10" s="1"/>
  <c r="S80" i="10"/>
  <c r="S94" i="10" s="1"/>
  <c r="Q80" i="10"/>
  <c r="O80" i="10"/>
  <c r="U78" i="10"/>
  <c r="S78" i="10"/>
  <c r="Q78" i="10"/>
  <c r="Q94" i="10" s="1"/>
  <c r="O78" i="10"/>
  <c r="O94" i="10" s="1"/>
  <c r="M77" i="10"/>
  <c r="K77" i="10"/>
  <c r="S69" i="10"/>
  <c r="Q69" i="10"/>
  <c r="O69" i="10"/>
  <c r="U67" i="10"/>
  <c r="S67" i="10"/>
  <c r="Q67" i="10"/>
  <c r="O67" i="10"/>
  <c r="U63" i="10"/>
  <c r="S63" i="10"/>
  <c r="Q63" i="10"/>
  <c r="O63" i="10"/>
  <c r="U61" i="10"/>
  <c r="S61" i="10"/>
  <c r="S77" i="10" s="1"/>
  <c r="Q61" i="10"/>
  <c r="Q77" i="10" s="1"/>
  <c r="O61" i="10"/>
  <c r="O77" i="10" s="1"/>
  <c r="M60" i="10"/>
  <c r="K60" i="10"/>
  <c r="S52" i="10"/>
  <c r="Q52" i="10"/>
  <c r="O52" i="10"/>
  <c r="U50" i="10"/>
  <c r="S50" i="10"/>
  <c r="Q50" i="10"/>
  <c r="O50" i="10"/>
  <c r="U46" i="10"/>
  <c r="S46" i="10"/>
  <c r="Q46" i="10"/>
  <c r="O46" i="10"/>
  <c r="U44" i="10"/>
  <c r="U60" i="10" s="1"/>
  <c r="S44" i="10"/>
  <c r="S60" i="10" s="1"/>
  <c r="Q44" i="10"/>
  <c r="Q60" i="10" s="1"/>
  <c r="O44" i="10"/>
  <c r="M43" i="10"/>
  <c r="K43" i="10"/>
  <c r="S35" i="10"/>
  <c r="Q35" i="10"/>
  <c r="O35" i="10"/>
  <c r="U33" i="10"/>
  <c r="S33" i="10"/>
  <c r="S43" i="10" s="1"/>
  <c r="Q33" i="10"/>
  <c r="O33" i="10"/>
  <c r="U29" i="10"/>
  <c r="S29" i="10"/>
  <c r="Q29" i="10"/>
  <c r="O29" i="10"/>
  <c r="M26" i="10"/>
  <c r="K26" i="10"/>
  <c r="S18" i="10"/>
  <c r="Q18" i="10"/>
  <c r="O18" i="10"/>
  <c r="U16" i="10"/>
  <c r="S16" i="10"/>
  <c r="S26" i="10" s="1"/>
  <c r="Q16" i="10"/>
  <c r="Q26" i="10" s="1"/>
  <c r="O16" i="10"/>
  <c r="O26" i="10" s="1"/>
  <c r="U12" i="10"/>
  <c r="S12" i="10"/>
  <c r="Q12" i="10"/>
  <c r="O12" i="10"/>
  <c r="M160" i="2"/>
  <c r="K160" i="2"/>
  <c r="U148" i="2"/>
  <c r="S148" i="2"/>
  <c r="Q148" i="2"/>
  <c r="O148" i="2"/>
  <c r="U144" i="2"/>
  <c r="S144" i="2"/>
  <c r="Q144" i="2"/>
  <c r="O144" i="2"/>
  <c r="O160" i="2" s="1"/>
  <c r="Q141" i="2"/>
  <c r="M141" i="2"/>
  <c r="K141" i="2"/>
  <c r="U133" i="2"/>
  <c r="S133" i="2"/>
  <c r="Q133" i="2"/>
  <c r="O133" i="2"/>
  <c r="U129" i="2"/>
  <c r="U141" i="2" s="1"/>
  <c r="S129" i="2"/>
  <c r="S141" i="2" s="1"/>
  <c r="Q129" i="2"/>
  <c r="O129" i="2"/>
  <c r="U125" i="2"/>
  <c r="S125" i="2"/>
  <c r="Q125" i="2"/>
  <c r="O125" i="2"/>
  <c r="U122" i="2"/>
  <c r="M122" i="2"/>
  <c r="K122" i="2"/>
  <c r="U114" i="2"/>
  <c r="S114" i="2"/>
  <c r="Q114" i="2"/>
  <c r="O114" i="2"/>
  <c r="U110" i="2"/>
  <c r="S110" i="2"/>
  <c r="S122" i="2" s="1"/>
  <c r="Q110" i="2"/>
  <c r="O110" i="2"/>
  <c r="U106" i="2"/>
  <c r="S106" i="2"/>
  <c r="Q106" i="2"/>
  <c r="O106" i="2"/>
  <c r="M103" i="2"/>
  <c r="K103" i="2"/>
  <c r="U95" i="2"/>
  <c r="S95" i="2"/>
  <c r="Q95" i="2"/>
  <c r="O95" i="2"/>
  <c r="U91" i="2"/>
  <c r="S91" i="2"/>
  <c r="Q91" i="2"/>
  <c r="O91" i="2"/>
  <c r="O103" i="2" s="1"/>
  <c r="U87" i="2"/>
  <c r="S87" i="2"/>
  <c r="Q87" i="2"/>
  <c r="O87" i="2"/>
  <c r="M84" i="2"/>
  <c r="K84" i="2"/>
  <c r="U72" i="2"/>
  <c r="S72" i="2"/>
  <c r="Q72" i="2"/>
  <c r="O72" i="2"/>
  <c r="U68" i="2"/>
  <c r="S68" i="2"/>
  <c r="Q68" i="2"/>
  <c r="O68" i="2"/>
  <c r="M65" i="2"/>
  <c r="K65" i="2"/>
  <c r="U57" i="2"/>
  <c r="S57" i="2"/>
  <c r="Q57" i="2"/>
  <c r="O57" i="2"/>
  <c r="U53" i="2"/>
  <c r="S53" i="2"/>
  <c r="Q53" i="2"/>
  <c r="O53" i="2"/>
  <c r="O65" i="2" s="1"/>
  <c r="U49" i="2"/>
  <c r="S49" i="2"/>
  <c r="Q49" i="2"/>
  <c r="O49" i="2"/>
  <c r="U46" i="2"/>
  <c r="S46" i="2"/>
  <c r="O46" i="2"/>
  <c r="M46" i="2"/>
  <c r="K46" i="2"/>
  <c r="U30" i="2"/>
  <c r="S30" i="2"/>
  <c r="Q30" i="2"/>
  <c r="Q46" i="2" s="1"/>
  <c r="O30" i="2"/>
  <c r="S27" i="2"/>
  <c r="M27" i="2"/>
  <c r="K27" i="2"/>
  <c r="U11" i="2"/>
  <c r="U27" i="2" s="1"/>
  <c r="S11" i="2"/>
  <c r="Q11" i="2"/>
  <c r="Q27" i="2" s="1"/>
  <c r="O11" i="2"/>
  <c r="O27" i="2" s="1"/>
  <c r="M144" i="1"/>
  <c r="K144" i="1"/>
  <c r="U136" i="1"/>
  <c r="S136" i="1"/>
  <c r="Q136" i="1"/>
  <c r="O136" i="1"/>
  <c r="U134" i="1"/>
  <c r="S134" i="1"/>
  <c r="Q134" i="1"/>
  <c r="O134" i="1"/>
  <c r="O144" i="1" s="1"/>
  <c r="U130" i="1"/>
  <c r="S130" i="1"/>
  <c r="S144" i="1" s="1"/>
  <c r="Q130" i="1"/>
  <c r="O130" i="1"/>
  <c r="M127" i="1"/>
  <c r="K127" i="1"/>
  <c r="U119" i="1"/>
  <c r="S119" i="1"/>
  <c r="Q119" i="1"/>
  <c r="O119" i="1"/>
  <c r="U117" i="1"/>
  <c r="U127" i="1" s="1"/>
  <c r="S117" i="1"/>
  <c r="Q117" i="1"/>
  <c r="O117" i="1"/>
  <c r="U113" i="1"/>
  <c r="S113" i="1"/>
  <c r="Q113" i="1"/>
  <c r="O113" i="1"/>
  <c r="M110" i="1"/>
  <c r="K110" i="1"/>
  <c r="U102" i="1"/>
  <c r="S102" i="1"/>
  <c r="Q102" i="1"/>
  <c r="O102" i="1"/>
  <c r="U100" i="1"/>
  <c r="U110" i="1" s="1"/>
  <c r="S100" i="1"/>
  <c r="S110" i="1" s="1"/>
  <c r="Q100" i="1"/>
  <c r="O100" i="1"/>
  <c r="U96" i="1"/>
  <c r="S96" i="1"/>
  <c r="Q96" i="1"/>
  <c r="O96" i="1"/>
  <c r="M93" i="1"/>
  <c r="K93" i="1"/>
  <c r="U85" i="1"/>
  <c r="S85" i="1"/>
  <c r="Q85" i="1"/>
  <c r="O85" i="1"/>
  <c r="U83" i="1"/>
  <c r="S83" i="1"/>
  <c r="Q83" i="1"/>
  <c r="Q93" i="1" s="1"/>
  <c r="O83" i="1"/>
  <c r="O93" i="1" s="1"/>
  <c r="U79" i="1"/>
  <c r="S79" i="1"/>
  <c r="Q79" i="1"/>
  <c r="O79" i="1"/>
  <c r="M76" i="1"/>
  <c r="K76" i="1"/>
  <c r="U68" i="1"/>
  <c r="S68" i="1"/>
  <c r="Q68" i="1"/>
  <c r="O68" i="1"/>
  <c r="U66" i="1"/>
  <c r="S66" i="1"/>
  <c r="Q66" i="1"/>
  <c r="O66" i="1"/>
  <c r="O76" i="1" s="1"/>
  <c r="U62" i="1"/>
  <c r="S62" i="1"/>
  <c r="Q62" i="1"/>
  <c r="O62" i="1"/>
  <c r="M59" i="1"/>
  <c r="K59" i="1"/>
  <c r="U51" i="1"/>
  <c r="S51" i="1"/>
  <c r="Q51" i="1"/>
  <c r="O51" i="1"/>
  <c r="U49" i="1"/>
  <c r="U59" i="1" s="1"/>
  <c r="S49" i="1"/>
  <c r="Q49" i="1"/>
  <c r="O49" i="1"/>
  <c r="U45" i="1"/>
  <c r="S45" i="1"/>
  <c r="Q45" i="1"/>
  <c r="Q59" i="1" s="1"/>
  <c r="O45" i="1"/>
  <c r="O59" i="1" s="1"/>
  <c r="M42" i="1"/>
  <c r="K42" i="1"/>
  <c r="U32" i="1"/>
  <c r="S32" i="1"/>
  <c r="Q32" i="1"/>
  <c r="O32" i="1"/>
  <c r="U28" i="1"/>
  <c r="U42" i="1" s="1"/>
  <c r="S28" i="1"/>
  <c r="S42" i="1" s="1"/>
  <c r="Q28" i="1"/>
  <c r="O28" i="1"/>
  <c r="Q26" i="1"/>
  <c r="M25" i="1"/>
  <c r="K25" i="1"/>
  <c r="U17" i="1"/>
  <c r="S17" i="1"/>
  <c r="Q17" i="1"/>
  <c r="O17" i="1"/>
  <c r="U15" i="1"/>
  <c r="S15" i="1"/>
  <c r="Q15" i="1"/>
  <c r="O15" i="1"/>
  <c r="U11" i="1"/>
  <c r="S11" i="1"/>
  <c r="S25" i="1" s="1"/>
  <c r="Q11" i="1"/>
  <c r="Q25" i="1" s="1"/>
  <c r="O11" i="1"/>
  <c r="K65" i="3"/>
  <c r="M59" i="3"/>
  <c r="M65" i="3" s="1"/>
  <c r="U53" i="3"/>
  <c r="S53" i="3"/>
  <c r="Q53" i="3"/>
  <c r="O53" i="3"/>
  <c r="U49" i="3"/>
  <c r="S49" i="3"/>
  <c r="Q49" i="3"/>
  <c r="O49" i="3"/>
  <c r="U47" i="3"/>
  <c r="S47" i="3"/>
  <c r="Q47" i="3"/>
  <c r="O47" i="3"/>
  <c r="K46" i="3"/>
  <c r="M40" i="3"/>
  <c r="M46" i="3" s="1"/>
  <c r="U36" i="3"/>
  <c r="S36" i="3"/>
  <c r="Q36" i="3"/>
  <c r="O36" i="3"/>
  <c r="U34" i="3"/>
  <c r="S34" i="3"/>
  <c r="Q34" i="3"/>
  <c r="O34" i="3"/>
  <c r="U30" i="3"/>
  <c r="S30" i="3"/>
  <c r="Q30" i="3"/>
  <c r="O30" i="3"/>
  <c r="U28" i="3"/>
  <c r="S28" i="3"/>
  <c r="Q28" i="3"/>
  <c r="O28" i="3"/>
  <c r="M27" i="3"/>
  <c r="K27" i="3"/>
  <c r="M21" i="3"/>
  <c r="O21" i="3" s="1"/>
  <c r="U15" i="3"/>
  <c r="S15" i="3"/>
  <c r="Q15" i="3"/>
  <c r="O15" i="3"/>
  <c r="U11" i="3"/>
  <c r="S11" i="3"/>
  <c r="Q11" i="3"/>
  <c r="O11" i="3"/>
  <c r="U9" i="3"/>
  <c r="S9" i="3"/>
  <c r="Q9" i="3"/>
  <c r="O9" i="3"/>
  <c r="K66" i="7"/>
  <c r="M60" i="7"/>
  <c r="U60" i="7" s="1"/>
  <c r="U56" i="7"/>
  <c r="S56" i="7"/>
  <c r="Q56" i="7"/>
  <c r="O56" i="7"/>
  <c r="U54" i="7"/>
  <c r="S54" i="7"/>
  <c r="Q54" i="7"/>
  <c r="O54" i="7"/>
  <c r="U50" i="7"/>
  <c r="S50" i="7"/>
  <c r="Q50" i="7"/>
  <c r="O50" i="7"/>
  <c r="K47" i="7"/>
  <c r="M41" i="7"/>
  <c r="M47" i="7" s="1"/>
  <c r="U35" i="7"/>
  <c r="S35" i="7"/>
  <c r="Q35" i="7"/>
  <c r="O35" i="7"/>
  <c r="U31" i="7"/>
  <c r="S31" i="7"/>
  <c r="Q31" i="7"/>
  <c r="O31" i="7"/>
  <c r="K28" i="7"/>
  <c r="M22" i="7"/>
  <c r="Q22" i="7" s="1"/>
  <c r="U18" i="7"/>
  <c r="S18" i="7"/>
  <c r="Q18" i="7"/>
  <c r="O18" i="7"/>
  <c r="U16" i="7"/>
  <c r="S16" i="7"/>
  <c r="Q16" i="7"/>
  <c r="O16" i="7"/>
  <c r="U12" i="7"/>
  <c r="S12" i="7"/>
  <c r="Q12" i="7"/>
  <c r="O12" i="7"/>
  <c r="O145" i="10" l="1"/>
  <c r="Q76" i="1"/>
  <c r="Q110" i="1"/>
  <c r="Q65" i="2"/>
  <c r="Q103" i="2"/>
  <c r="O141" i="2"/>
  <c r="Q160" i="2"/>
  <c r="U26" i="10"/>
  <c r="U77" i="10"/>
  <c r="Q127" i="1"/>
  <c r="U22" i="7"/>
  <c r="U28" i="7" s="1"/>
  <c r="O127" i="1"/>
  <c r="O84" i="2"/>
  <c r="O122" i="2"/>
  <c r="S160" i="2"/>
  <c r="U43" i="10"/>
  <c r="Q28" i="12"/>
  <c r="O104" i="12"/>
  <c r="O142" i="12"/>
  <c r="O161" i="12"/>
  <c r="Q47" i="13"/>
  <c r="Q136" i="13"/>
  <c r="U144" i="1"/>
  <c r="Q84" i="2"/>
  <c r="Q122" i="2"/>
  <c r="U160" i="2"/>
  <c r="O43" i="10"/>
  <c r="O128" i="10"/>
  <c r="S28" i="12"/>
  <c r="Q104" i="12"/>
  <c r="Q142" i="12"/>
  <c r="Q161" i="12"/>
  <c r="S47" i="13"/>
  <c r="S136" i="13"/>
  <c r="O42" i="1"/>
  <c r="M28" i="7"/>
  <c r="S93" i="1"/>
  <c r="S127" i="1"/>
  <c r="Q43" i="10"/>
  <c r="O60" i="10"/>
  <c r="Q128" i="10"/>
  <c r="O47" i="12"/>
  <c r="S85" i="12"/>
  <c r="S104" i="12"/>
  <c r="S161" i="12"/>
  <c r="U136" i="13"/>
  <c r="Q153" i="13"/>
  <c r="Q47" i="12"/>
  <c r="U85" i="12"/>
  <c r="Q123" i="12"/>
  <c r="U161" i="12"/>
  <c r="O28" i="13"/>
  <c r="Q66" i="13"/>
  <c r="Q119" i="13"/>
  <c r="S84" i="2"/>
  <c r="U84" i="2"/>
  <c r="S65" i="2"/>
  <c r="S103" i="2"/>
  <c r="U21" i="3"/>
  <c r="U27" i="3" s="1"/>
  <c r="U65" i="2"/>
  <c r="U103" i="2"/>
  <c r="S21" i="3"/>
  <c r="O59" i="3"/>
  <c r="O65" i="3" s="1"/>
  <c r="S27" i="3"/>
  <c r="Q59" i="3"/>
  <c r="Q65" i="3" s="1"/>
  <c r="S59" i="3"/>
  <c r="S65" i="3" s="1"/>
  <c r="Q21" i="3"/>
  <c r="Q27" i="3" s="1"/>
  <c r="S59" i="1"/>
  <c r="S76" i="1"/>
  <c r="U76" i="1"/>
  <c r="U93" i="1"/>
  <c r="Q144" i="1"/>
  <c r="U25" i="1"/>
  <c r="O25" i="1"/>
  <c r="Q42" i="1"/>
  <c r="O110" i="1"/>
  <c r="M66" i="7"/>
  <c r="U66" i="7"/>
  <c r="S22" i="7"/>
  <c r="S28" i="7" s="1"/>
  <c r="O60" i="7"/>
  <c r="O66" i="7" s="1"/>
  <c r="Q28" i="7"/>
  <c r="Q60" i="7"/>
  <c r="Q66" i="7" s="1"/>
  <c r="S60" i="7"/>
  <c r="S66" i="7" s="1"/>
  <c r="O27" i="3"/>
  <c r="O40" i="3"/>
  <c r="O46" i="3" s="1"/>
  <c r="Q40" i="3"/>
  <c r="Q46" i="3" s="1"/>
  <c r="S40" i="3"/>
  <c r="S46" i="3" s="1"/>
  <c r="U59" i="3"/>
  <c r="U65" i="3" s="1"/>
  <c r="U40" i="3"/>
  <c r="U46" i="3" s="1"/>
  <c r="S41" i="7"/>
  <c r="S47" i="7" s="1"/>
  <c r="U41" i="7"/>
  <c r="U47" i="7" s="1"/>
  <c r="O22" i="7"/>
  <c r="O28" i="7" s="1"/>
  <c r="O41" i="7"/>
  <c r="O47" i="7" s="1"/>
  <c r="Q41" i="7"/>
  <c r="Q47" i="7" s="1"/>
</calcChain>
</file>

<file path=xl/sharedStrings.xml><?xml version="1.0" encoding="utf-8"?>
<sst xmlns="http://schemas.openxmlformats.org/spreadsheetml/2006/main" count="976" uniqueCount="118">
  <si>
    <t>Ratsiooni nr.</t>
  </si>
  <si>
    <t>Pearoog</t>
  </si>
  <si>
    <t>Teraviljatoode</t>
  </si>
  <si>
    <t>Võileivakate</t>
  </si>
  <si>
    <t>Magustoit</t>
  </si>
  <si>
    <t>Vahepala</t>
  </si>
  <si>
    <t>Energiarikas toode</t>
  </si>
  <si>
    <t>Des. Salvrätt</t>
  </si>
  <si>
    <t>Pakend</t>
  </si>
  <si>
    <t>Toote nimetus</t>
  </si>
  <si>
    <t>EAN kood</t>
  </si>
  <si>
    <t>Netomass,g</t>
  </si>
  <si>
    <t>Toote kaloraaž, kcal</t>
  </si>
  <si>
    <t>Süsivesikud,g</t>
  </si>
  <si>
    <t>Valgud,g</t>
  </si>
  <si>
    <t>Rasvad,g</t>
  </si>
  <si>
    <t>Kokku</t>
  </si>
  <si>
    <t>Kuum Jook</t>
  </si>
  <si>
    <t>Tellitav kogus</t>
  </si>
  <si>
    <t>Brutomass, g</t>
  </si>
  <si>
    <t>SOOLANE KREEKER</t>
  </si>
  <si>
    <t>VM SEALIHAGA</t>
  </si>
  <si>
    <t>VM SEALIHA/TOMAT</t>
  </si>
  <si>
    <t>VM SEALIHA / HIRVELIHA</t>
  </si>
  <si>
    <t>PÄHKLIVÕI</t>
  </si>
  <si>
    <t>MAAPÄHKEL KOORITUD</t>
  </si>
  <si>
    <t>KOHV 3 in 1</t>
  </si>
  <si>
    <t>Näts</t>
  </si>
  <si>
    <t>NÄTS 4tk</t>
  </si>
  <si>
    <t>VÕILEIVAMÄÄRE SEALIHA MIX</t>
  </si>
  <si>
    <t>ISO APELSIN-MANGO</t>
  </si>
  <si>
    <t>ISO MUSTSÕSTAR</t>
  </si>
  <si>
    <t>ISO SIDRUN</t>
  </si>
  <si>
    <t>ISO APELSIN</t>
  </si>
  <si>
    <t>Brutomass,g</t>
  </si>
  <si>
    <t>Kuum jook</t>
  </si>
  <si>
    <t>VEISELIHAPADA</t>
  </si>
  <si>
    <t>CHILLI CON CARNE</t>
  </si>
  <si>
    <t>KANA RIISI KÖÖGIVILJAROOG</t>
  </si>
  <si>
    <t>PASTA BOLOGNESE</t>
  </si>
  <si>
    <t>LIHAPALLID PASTAGA</t>
  </si>
  <si>
    <t>PASTAROOG HAKKLIHA JA SEENTEGA</t>
  </si>
  <si>
    <t>KANAKARRI RIISIGA</t>
  </si>
  <si>
    <t>PILAFF</t>
  </si>
  <si>
    <t>MAAPÄHKEL KRÕBE BBQ</t>
  </si>
  <si>
    <t>ENERGIAGEEL STRAWBERRY</t>
  </si>
  <si>
    <t>ENERGIAGEEL LEMON</t>
  </si>
  <si>
    <t>ENERGIAGEEL AMARENA CHERRY</t>
  </si>
  <si>
    <t>ENERGIAGEEL PEACH MARACUJA</t>
  </si>
  <si>
    <t>VÕILEIVAMÄÄRE TOMATI JA OREGANOGA</t>
  </si>
  <si>
    <t>VÕILEIVAMÄÄRE UBADE JA JUURVILJADEGA</t>
  </si>
  <si>
    <t>VÕILEIVAMÄÄRE JUURVILJADEGA</t>
  </si>
  <si>
    <t>VÕILEIVAMÄÄRE SEENTEGA</t>
  </si>
  <si>
    <t>GEEL STRAWBERRY</t>
  </si>
  <si>
    <t>GEEL LEMON</t>
  </si>
  <si>
    <t>GEEL AMARENA CHERRY</t>
  </si>
  <si>
    <t>ISOTOONILINE JOOGIPULBER – LEMON</t>
  </si>
  <si>
    <t>VM MAKSAPASTEET SEALIHA</t>
  </si>
  <si>
    <t>VM MAKSAPASTEET SEA- JA LINNULIHA</t>
  </si>
  <si>
    <t>Parim enne</t>
  </si>
  <si>
    <t>PUUVILJAMARMELAADI MIX</t>
  </si>
  <si>
    <t>RANGER MIX (PÄHKEL, ROSIN, CHOCOLATE CHIPS)</t>
  </si>
  <si>
    <t>NUUDLID KANAGA</t>
  </si>
  <si>
    <t>NUUDLID LOOMALIHAGA</t>
  </si>
  <si>
    <t>MAASIKAMOOS</t>
  </si>
  <si>
    <t>MIXED FRUIT JAM</t>
  </si>
  <si>
    <t>Des. Salvrätt (ilma parfüümita)</t>
  </si>
  <si>
    <t>ŠOKOLAADI ENERGIABAR</t>
  </si>
  <si>
    <t>KARAMELLIKOOK</t>
  </si>
  <si>
    <t>ŠOKOLAADIKOOK BROWNIE</t>
  </si>
  <si>
    <t>CHOCOLATE CHOC CHIP BISCUITS</t>
  </si>
  <si>
    <t>FRUITY OAT BISCUITS</t>
  </si>
  <si>
    <t>WHOLEWHEAT CRACKER</t>
  </si>
  <si>
    <t>FLAPJACKS FRUIT AND NUT</t>
  </si>
  <si>
    <t>DIGESTIVE BISCUITS</t>
  </si>
  <si>
    <t>KARTULI VORSTIROOG KASTMES</t>
  </si>
  <si>
    <t>RIISI VORSTIROOG KASTMES</t>
  </si>
  <si>
    <t>PEANUT BUTTER OAT BISCUITS</t>
  </si>
  <si>
    <t>CHOCOLATE NUT SPREAD</t>
  </si>
  <si>
    <t>TATRAPUDER PEEKONIGA</t>
  </si>
  <si>
    <t>FLAPJACK CHOCOLATE AND CRANBERRY</t>
  </si>
  <si>
    <t>OAD TOMATI- JA VORSTIKASTMES</t>
  </si>
  <si>
    <t>MUST TEE ENGLISH BREAKFAST</t>
  </si>
  <si>
    <t>TEE ROOIBOS</t>
  </si>
  <si>
    <t>TEE MINT</t>
  </si>
  <si>
    <t>TEE RED BERRY</t>
  </si>
  <si>
    <t>NUUDLID TOMATIKASTMES</t>
  </si>
  <si>
    <t>NUUDLID JUURVILJAKASTMES</t>
  </si>
  <si>
    <t>PILAFF (VEGAN)</t>
  </si>
  <si>
    <t>KAUNVILJAKAUSS KINOAGA</t>
  </si>
  <si>
    <t>CHILLI SIN CARNE</t>
  </si>
  <si>
    <t>VEISELIHA KARRI RIISIGA</t>
  </si>
  <si>
    <t>KARTULIPÜREE BROKKOLI JA KODUJUUSTUGA</t>
  </si>
  <si>
    <t>KÖÖGIVILJAKARRI RIISIGA</t>
  </si>
  <si>
    <t>ISOTOONILINE JOOGIPULBER –  MUSTSÕSTAR</t>
  </si>
  <si>
    <t>ISOTOONILINE JOOGIPULBER – APELSIN</t>
  </si>
  <si>
    <t>ISOTOONILINE JOOGIPULBER –  APELSIN-MANGO</t>
  </si>
  <si>
    <t>PASTA VEISELIHAGA TOMATIKASTMES</t>
  </si>
  <si>
    <t>KANA JA RIISI PAJAROOG</t>
  </si>
  <si>
    <t>TÄISTERA KREEKER</t>
  </si>
  <si>
    <t>GEEL PEACH MARACUJA</t>
  </si>
  <si>
    <t>SARDIINID TAIMSES ÕLIS</t>
  </si>
  <si>
    <t>TUUNIKALA TAIMSES ÕLIS</t>
  </si>
  <si>
    <t>KARTULIPÜREE VEISELIHA</t>
  </si>
  <si>
    <t>PARMESANI KANA RIISI JA BROKKOLIGA</t>
  </si>
  <si>
    <t>KARTULIPÜREE KANAGA</t>
  </si>
  <si>
    <t>NUUDLID SINGI JA MUNAGA</t>
  </si>
  <si>
    <t>KAERAHELBEPUDER KLASSIKALINE</t>
  </si>
  <si>
    <t>MAC &amp; CHEESE with MUSHROOMS</t>
  </si>
  <si>
    <t>PASTA BOLOGNESE VEISELIHAGA</t>
  </si>
  <si>
    <t>ARRABIATA PASTA KANAGA</t>
  </si>
  <si>
    <t>VÜRTSIKAS KANAKARRI RIISIGA</t>
  </si>
  <si>
    <t>RIISIROOG KÖÖGIVILJADEGA</t>
  </si>
  <si>
    <t xml:space="preserve">ASUTUSESISESEKS KASUTAMISEKS Teabevaldaja: Riigi Kaitseinvesteeringute Keskus </t>
  </si>
  <si>
    <t>Märge tehtud: 25.03.2025</t>
  </si>
  <si>
    <t xml:space="preserve">Juurdepääsupiirang kehtib kuni: 25.03.2035 </t>
  </si>
  <si>
    <t>Alus: avaliku teabe seadus AvTS § 35 lg 1 p 6²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</si>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</sst>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  <charset val="186"/>
    </font>
    <font>
      <sz val="11"/>
      <color rgb="FFFF0000"/>
      <name val="Arial"/>
      <family val="2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1"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left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4" fontId="0" fillId="0" borderId="0" xfId="0" applyNumberFormat="1"/>
    <xf numFmtId="4" fontId="12" fillId="0" borderId="0" xfId="0" applyNumberFormat="1" applyFont="1"/>
    <xf numFmtId="0" fontId="12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9" fillId="7" borderId="4" xfId="0" applyNumberFormat="1" applyFont="1" applyFill="1" applyBorder="1" applyAlignment="1">
      <alignment horizontal="center" vertical="center"/>
    </xf>
    <xf numFmtId="1" fontId="9" fillId="7" borderId="11" xfId="0" applyNumberFormat="1" applyFont="1" applyFill="1" applyBorder="1" applyAlignment="1">
      <alignment horizontal="center" vertical="center"/>
    </xf>
    <xf numFmtId="0" fontId="15" fillId="0" borderId="0" xfId="0" applyFont="1"/>
    <xf numFmtId="1" fontId="9" fillId="5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  <xf numFmtId="4" fontId="9" fillId="5" borderId="8" xfId="0" applyNumberFormat="1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center" vertical="center"/>
    </xf>
    <xf numFmtId="4" fontId="9" fillId="7" borderId="5" xfId="0" applyNumberFormat="1" applyFont="1" applyFill="1" applyBorder="1" applyAlignment="1">
      <alignment horizontal="center" vertical="center"/>
    </xf>
    <xf numFmtId="4" fontId="9" fillId="7" borderId="7" xfId="0" applyNumberFormat="1" applyFont="1" applyFill="1" applyBorder="1" applyAlignment="1">
      <alignment horizontal="center" vertical="center"/>
    </xf>
    <xf numFmtId="4" fontId="9" fillId="7" borderId="8" xfId="0" applyNumberFormat="1" applyFont="1" applyFill="1" applyBorder="1" applyAlignment="1">
      <alignment horizontal="center" vertical="center"/>
    </xf>
    <xf numFmtId="4" fontId="9" fillId="7" borderId="10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" fontId="9" fillId="5" borderId="7" xfId="0" applyNumberFormat="1" applyFont="1" applyFill="1" applyBorder="1" applyAlignment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2" fontId="9" fillId="7" borderId="5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 vertical="center"/>
    </xf>
    <xf numFmtId="2" fontId="9" fillId="7" borderId="10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3" borderId="12" xfId="0" applyNumberFormat="1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9" fillId="7" borderId="7" xfId="0" applyNumberFormat="1" applyFont="1" applyFill="1" applyBorder="1" applyAlignment="1">
      <alignment horizontal="center" vertical="center"/>
    </xf>
    <xf numFmtId="1" fontId="9" fillId="7" borderId="8" xfId="0" applyNumberFormat="1" applyFont="1" applyFill="1" applyBorder="1" applyAlignment="1">
      <alignment horizontal="center" vertical="center"/>
    </xf>
    <xf numFmtId="1" fontId="9" fillId="7" borderId="10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" fontId="9" fillId="7" borderId="11" xfId="0" applyNumberFormat="1" applyFon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1" fontId="9" fillId="5" borderId="8" xfId="0" applyNumberFormat="1" applyFont="1" applyFill="1" applyBorder="1" applyAlignment="1">
      <alignment horizontal="center" vertical="center" wrapText="1"/>
    </xf>
    <xf numFmtId="1" fontId="9" fillId="5" borderId="10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9" fillId="5" borderId="11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3" fontId="0" fillId="7" borderId="5" xfId="0" applyNumberForma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4" fontId="9" fillId="3" borderId="14" xfId="0" applyNumberFormat="1" applyFont="1" applyFill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/>
    </xf>
    <xf numFmtId="1" fontId="11" fillId="7" borderId="8" xfId="0" applyNumberFormat="1" applyFont="1" applyFill="1" applyBorder="1" applyAlignment="1">
      <alignment horizontal="center" vertical="center"/>
    </xf>
    <xf numFmtId="1" fontId="11" fillId="7" borderId="10" xfId="0" applyNumberFormat="1" applyFont="1" applyFill="1" applyBorder="1" applyAlignment="1">
      <alignment horizontal="center" vertical="center"/>
    </xf>
    <xf numFmtId="4" fontId="9" fillId="8" borderId="5" xfId="0" applyNumberFormat="1" applyFont="1" applyFill="1" applyBorder="1" applyAlignment="1">
      <alignment horizontal="center" vertical="center"/>
    </xf>
    <xf numFmtId="4" fontId="9" fillId="8" borderId="7" xfId="0" applyNumberFormat="1" applyFont="1" applyFill="1" applyBorder="1" applyAlignment="1">
      <alignment horizontal="center" vertical="center"/>
    </xf>
    <xf numFmtId="4" fontId="9" fillId="8" borderId="8" xfId="0" applyNumberFormat="1" applyFont="1" applyFill="1" applyBorder="1" applyAlignment="1">
      <alignment horizontal="center" vertical="center"/>
    </xf>
    <xf numFmtId="4" fontId="9" fillId="8" borderId="10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9" fillId="6" borderId="7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1" fontId="9" fillId="6" borderId="10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" fontId="9" fillId="6" borderId="10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9" fillId="8" borderId="7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/>
    </xf>
    <xf numFmtId="1" fontId="9" fillId="8" borderId="10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2" fontId="9" fillId="8" borderId="7" xfId="0" applyNumberFormat="1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0" xfId="0" applyNumberFormat="1" applyFont="1" applyFill="1" applyBorder="1" applyAlignment="1">
      <alignment horizontal="center" vertical="center"/>
    </xf>
    <xf numFmtId="3" fontId="0" fillId="8" borderId="5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7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11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2" fontId="9" fillId="6" borderId="1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" fontId="9" fillId="8" borderId="4" xfId="0" applyNumberFormat="1" applyFont="1" applyFill="1" applyBorder="1" applyAlignment="1">
      <alignment horizontal="center" vertical="center"/>
    </xf>
    <xf numFmtId="1" fontId="9" fillId="8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1" fontId="9" fillId="7" borderId="7" xfId="0" applyNumberFormat="1" applyFont="1" applyFill="1" applyBorder="1" applyAlignment="1">
      <alignment horizontal="center" vertical="center" wrapText="1"/>
    </xf>
    <xf numFmtId="1" fontId="9" fillId="7" borderId="8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4" borderId="0" xfId="0" applyNumberFormat="1" applyFill="1" applyAlignment="1">
      <alignment horizont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164" fontId="9" fillId="8" borderId="7" xfId="0" applyNumberFormat="1" applyFont="1" applyFill="1" applyBorder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164" fontId="9" fillId="8" borderId="10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horizontal="center" vertical="center" wrapText="1"/>
    </xf>
    <xf numFmtId="1" fontId="9" fillId="8" borderId="8" xfId="0" applyNumberFormat="1" applyFont="1" applyFill="1" applyBorder="1" applyAlignment="1">
      <alignment horizontal="center" vertical="center" wrapText="1"/>
    </xf>
    <xf numFmtId="1" fontId="9" fillId="8" borderId="10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291352</xdr:colOff>
      <xdr:row>0</xdr:row>
      <xdr:rowOff>11206</xdr:rowOff>
    </xdr:from>
    <xdr:to>
      <xdr:col>25</xdr:col>
      <xdr:colOff>587193</xdr:colOff>
      <xdr:row>4</xdr:row>
      <xdr:rowOff>89647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04793" y="11206"/>
          <a:ext cx="2436165" cy="840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t-E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ASUTUSESISESEKS KASUTAMISEKS</a:t>
          </a:r>
          <a:r>
            <a:rPr lang="et-EE" sz="900"/>
            <a:t> </a:t>
          </a:r>
          <a:r>
            <a:rPr lang="et-E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Teabevaldaja: Riigi Kaitseinvesteeringute Keskus</a:t>
          </a:r>
          <a:r>
            <a:rPr lang="et-EE" sz="900"/>
            <a:t> </a:t>
          </a:r>
        </a:p>
        <a:p>
          <a:pPr algn="r"/>
          <a:r>
            <a:rPr lang="et-E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Märge tehtud: 27.03.2025</a:t>
          </a:r>
        </a:p>
        <a:p>
          <a:pPr algn="r"/>
          <a:r>
            <a:rPr lang="et-E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Juurdepääsupiirang kehtib kuni: 27.03.2035</a:t>
          </a:r>
          <a:r>
            <a:rPr lang="et-EE" sz="900"/>
            <a:t> </a:t>
          </a:r>
        </a:p>
        <a:p>
          <a:pPr algn="r"/>
          <a:r>
            <a:rPr lang="et-E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Alus: avaliku teabe seadus AvTS § 35 lg 1 p 6²</a:t>
          </a:r>
          <a:endParaRPr lang="et-E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zoomScale="85" zoomScaleNormal="85" workbookViewId="0">
      <selection activeCell="AE15" sqref="AE15"/>
    </sheetView>
  </sheetViews>
  <sheetFormatPr defaultColWidth="8.85546875" defaultRowHeight="15" x14ac:dyDescent="0.25"/>
  <cols>
    <col min="9" max="9" width="14.140625" bestFit="1" customWidth="1"/>
    <col min="23" max="23" width="14.28515625" customWidth="1"/>
    <col min="28" max="29" width="10.140625" bestFit="1" customWidth="1"/>
  </cols>
  <sheetData>
    <row r="1" spans="1:28" x14ac:dyDescent="0.25">
      <c r="Z1" s="4"/>
    </row>
    <row r="2" spans="1:28" x14ac:dyDescent="0.25">
      <c r="A2" s="8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8"/>
      <c r="Z2" s="4"/>
    </row>
    <row r="3" spans="1:28" x14ac:dyDescent="0.25">
      <c r="Z3" s="4"/>
    </row>
    <row r="4" spans="1:28" x14ac:dyDescent="0.25">
      <c r="Z4" s="4"/>
    </row>
    <row r="5" spans="1:28" x14ac:dyDescent="0.25">
      <c r="Z5" s="4"/>
    </row>
    <row r="6" spans="1:28" ht="15.75" thickBot="1" x14ac:dyDescent="0.3">
      <c r="Z6" s="360" t="s">
        <v>117</v>
      </c>
    </row>
    <row r="7" spans="1:28" x14ac:dyDescent="0.25">
      <c r="A7" s="120" t="s">
        <v>0</v>
      </c>
      <c r="B7" s="123"/>
      <c r="C7" s="124"/>
      <c r="D7" s="125"/>
      <c r="E7" s="68" t="s">
        <v>9</v>
      </c>
      <c r="F7" s="129"/>
      <c r="G7" s="129"/>
      <c r="H7" s="69"/>
      <c r="I7" s="68" t="s">
        <v>10</v>
      </c>
      <c r="J7" s="69"/>
      <c r="K7" s="68" t="s">
        <v>19</v>
      </c>
      <c r="L7" s="69"/>
      <c r="M7" s="68" t="s">
        <v>11</v>
      </c>
      <c r="N7" s="69"/>
      <c r="O7" s="68" t="s">
        <v>12</v>
      </c>
      <c r="P7" s="69"/>
      <c r="Q7" s="68" t="s">
        <v>13</v>
      </c>
      <c r="R7" s="69"/>
      <c r="S7" s="68" t="s">
        <v>14</v>
      </c>
      <c r="T7" s="69"/>
      <c r="U7" s="68" t="s">
        <v>15</v>
      </c>
      <c r="V7" s="69"/>
      <c r="W7" s="111" t="s">
        <v>59</v>
      </c>
      <c r="X7" s="102" t="s">
        <v>18</v>
      </c>
      <c r="Y7" s="103"/>
      <c r="Z7" s="104"/>
    </row>
    <row r="8" spans="1:28" x14ac:dyDescent="0.25">
      <c r="A8" s="121"/>
      <c r="B8" s="123"/>
      <c r="C8" s="124"/>
      <c r="D8" s="125"/>
      <c r="E8" s="70"/>
      <c r="F8" s="130"/>
      <c r="G8" s="13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112"/>
      <c r="X8" s="105"/>
      <c r="Y8" s="106"/>
      <c r="Z8" s="107"/>
    </row>
    <row r="9" spans="1:28" ht="15.75" thickBot="1" x14ac:dyDescent="0.3">
      <c r="A9" s="122"/>
      <c r="B9" s="126"/>
      <c r="C9" s="127"/>
      <c r="D9" s="128"/>
      <c r="E9" s="72"/>
      <c r="F9" s="131"/>
      <c r="G9" s="131"/>
      <c r="H9" s="73"/>
      <c r="I9" s="72"/>
      <c r="J9" s="73"/>
      <c r="K9" s="72"/>
      <c r="L9" s="73"/>
      <c r="M9" s="72"/>
      <c r="N9" s="73"/>
      <c r="O9" s="72"/>
      <c r="P9" s="73"/>
      <c r="Q9" s="72"/>
      <c r="R9" s="73"/>
      <c r="S9" s="72"/>
      <c r="T9" s="73"/>
      <c r="U9" s="72"/>
      <c r="V9" s="73"/>
      <c r="W9" s="113"/>
      <c r="X9" s="105"/>
      <c r="Y9" s="106"/>
      <c r="Z9" s="107"/>
    </row>
    <row r="10" spans="1:28" ht="15" customHeight="1" x14ac:dyDescent="0.25">
      <c r="A10" s="88">
        <v>1</v>
      </c>
      <c r="B10" s="44" t="s">
        <v>1</v>
      </c>
      <c r="C10" s="34"/>
      <c r="D10" s="31"/>
      <c r="E10" s="114" t="s">
        <v>106</v>
      </c>
      <c r="F10" s="115"/>
      <c r="G10" s="115"/>
      <c r="H10" s="116"/>
      <c r="I10" s="30"/>
      <c r="J10" s="31"/>
      <c r="K10" s="30">
        <v>110</v>
      </c>
      <c r="L10" s="45"/>
      <c r="M10" s="44">
        <v>90</v>
      </c>
      <c r="N10" s="31"/>
      <c r="O10" s="36">
        <v>311</v>
      </c>
      <c r="P10" s="37"/>
      <c r="Q10" s="36">
        <v>51</v>
      </c>
      <c r="R10" s="37"/>
      <c r="S10" s="36">
        <v>17</v>
      </c>
      <c r="T10" s="37"/>
      <c r="U10" s="36">
        <v>2.6</v>
      </c>
      <c r="V10" s="37"/>
      <c r="W10" s="108"/>
      <c r="X10" s="79">
        <v>26400</v>
      </c>
      <c r="Y10" s="80"/>
      <c r="Z10" s="81"/>
    </row>
    <row r="11" spans="1:28" ht="15.95" customHeight="1" thickBot="1" x14ac:dyDescent="0.3">
      <c r="A11" s="89"/>
      <c r="B11" s="32"/>
      <c r="C11" s="35"/>
      <c r="D11" s="33"/>
      <c r="E11" s="117"/>
      <c r="F11" s="118"/>
      <c r="G11" s="118"/>
      <c r="H11" s="119"/>
      <c r="I11" s="32"/>
      <c r="J11" s="33"/>
      <c r="K11" s="46"/>
      <c r="L11" s="47"/>
      <c r="M11" s="32"/>
      <c r="N11" s="33"/>
      <c r="O11" s="38"/>
      <c r="P11" s="39"/>
      <c r="Q11" s="38"/>
      <c r="R11" s="39"/>
      <c r="S11" s="38"/>
      <c r="T11" s="39"/>
      <c r="U11" s="38"/>
      <c r="V11" s="39"/>
      <c r="W11" s="109"/>
      <c r="X11" s="82"/>
      <c r="Y11" s="83"/>
      <c r="Z11" s="84"/>
    </row>
    <row r="12" spans="1:28" x14ac:dyDescent="0.25">
      <c r="A12" s="89"/>
      <c r="B12" s="44" t="s">
        <v>2</v>
      </c>
      <c r="C12" s="34"/>
      <c r="D12" s="31"/>
      <c r="E12" s="44" t="s">
        <v>20</v>
      </c>
      <c r="F12" s="34"/>
      <c r="G12" s="34"/>
      <c r="H12" s="31"/>
      <c r="I12" s="30"/>
      <c r="J12" s="34"/>
      <c r="K12" s="30">
        <v>55</v>
      </c>
      <c r="L12" s="45"/>
      <c r="M12" s="34">
        <v>50</v>
      </c>
      <c r="N12" s="31"/>
      <c r="O12" s="36">
        <f>444*M12/100</f>
        <v>222</v>
      </c>
      <c r="P12" s="37"/>
      <c r="Q12" s="36">
        <f>66.6*M12/100</f>
        <v>33.299999999999997</v>
      </c>
      <c r="R12" s="37"/>
      <c r="S12" s="36">
        <f>9.7*M12/100</f>
        <v>4.8499999999999996</v>
      </c>
      <c r="T12" s="37"/>
      <c r="U12" s="36">
        <f>16.2*M12/100</f>
        <v>8.1</v>
      </c>
      <c r="V12" s="37"/>
      <c r="W12" s="99"/>
      <c r="X12" s="82"/>
      <c r="Y12" s="83"/>
      <c r="Z12" s="84"/>
    </row>
    <row r="13" spans="1:28" ht="15.75" thickBot="1" x14ac:dyDescent="0.3">
      <c r="A13" s="89"/>
      <c r="B13" s="32"/>
      <c r="C13" s="35"/>
      <c r="D13" s="33"/>
      <c r="E13" s="32"/>
      <c r="F13" s="35"/>
      <c r="G13" s="35"/>
      <c r="H13" s="33"/>
      <c r="I13" s="32"/>
      <c r="J13" s="35"/>
      <c r="K13" s="46"/>
      <c r="L13" s="47"/>
      <c r="M13" s="35"/>
      <c r="N13" s="33"/>
      <c r="O13" s="38"/>
      <c r="P13" s="39"/>
      <c r="Q13" s="38"/>
      <c r="R13" s="39"/>
      <c r="S13" s="38"/>
      <c r="T13" s="39"/>
      <c r="U13" s="38"/>
      <c r="V13" s="39"/>
      <c r="W13" s="110"/>
      <c r="X13" s="82"/>
      <c r="Y13" s="83"/>
      <c r="Z13" s="84"/>
    </row>
    <row r="14" spans="1:28" x14ac:dyDescent="0.25">
      <c r="A14" s="89"/>
      <c r="B14" s="44" t="s">
        <v>3</v>
      </c>
      <c r="C14" s="34"/>
      <c r="D14" s="31"/>
      <c r="E14" s="44" t="s">
        <v>21</v>
      </c>
      <c r="F14" s="34"/>
      <c r="G14" s="34"/>
      <c r="H14" s="31"/>
      <c r="I14" s="30">
        <v>4742870019008</v>
      </c>
      <c r="J14" s="31"/>
      <c r="K14" s="97">
        <v>80</v>
      </c>
      <c r="L14" s="98"/>
      <c r="M14" s="44">
        <v>75</v>
      </c>
      <c r="N14" s="31"/>
      <c r="O14" s="36">
        <v>225</v>
      </c>
      <c r="P14" s="37"/>
      <c r="Q14" s="36">
        <v>1.05</v>
      </c>
      <c r="R14" s="37"/>
      <c r="S14" s="36">
        <v>7.2</v>
      </c>
      <c r="T14" s="37"/>
      <c r="U14" s="36">
        <v>21.23</v>
      </c>
      <c r="V14" s="37"/>
      <c r="W14" s="99"/>
      <c r="X14" s="82"/>
      <c r="Y14" s="83"/>
      <c r="Z14" s="84"/>
    </row>
    <row r="15" spans="1:28" ht="15.75" thickBot="1" x14ac:dyDescent="0.3">
      <c r="A15" s="89"/>
      <c r="B15" s="32"/>
      <c r="C15" s="35"/>
      <c r="D15" s="33"/>
      <c r="E15" s="32"/>
      <c r="F15" s="35"/>
      <c r="G15" s="35"/>
      <c r="H15" s="33"/>
      <c r="I15" s="32"/>
      <c r="J15" s="33"/>
      <c r="K15" s="46"/>
      <c r="L15" s="47"/>
      <c r="M15" s="32"/>
      <c r="N15" s="33"/>
      <c r="O15" s="38"/>
      <c r="P15" s="39"/>
      <c r="Q15" s="38"/>
      <c r="R15" s="39"/>
      <c r="S15" s="38"/>
      <c r="T15" s="39"/>
      <c r="U15" s="38"/>
      <c r="V15" s="39"/>
      <c r="W15" s="100"/>
      <c r="X15" s="82"/>
      <c r="Y15" s="83"/>
      <c r="Z15" s="84"/>
      <c r="AB15" s="24"/>
    </row>
    <row r="16" spans="1:28" x14ac:dyDescent="0.25">
      <c r="A16" s="89"/>
      <c r="B16" s="44" t="s">
        <v>4</v>
      </c>
      <c r="C16" s="34"/>
      <c r="D16" s="31"/>
      <c r="E16" s="44" t="s">
        <v>70</v>
      </c>
      <c r="F16" s="34"/>
      <c r="G16" s="34"/>
      <c r="H16" s="31"/>
      <c r="I16" s="30"/>
      <c r="J16" s="45"/>
      <c r="K16" s="30">
        <v>55</v>
      </c>
      <c r="L16" s="45"/>
      <c r="M16" s="44">
        <v>50</v>
      </c>
      <c r="N16" s="31"/>
      <c r="O16" s="36">
        <f>491*M16/100</f>
        <v>245.5</v>
      </c>
      <c r="P16" s="37"/>
      <c r="Q16" s="36">
        <f>65.6*M16/100</f>
        <v>32.799999999999997</v>
      </c>
      <c r="R16" s="37"/>
      <c r="S16" s="36">
        <f>6.9*M16/100</f>
        <v>3.45</v>
      </c>
      <c r="T16" s="37"/>
      <c r="U16" s="36">
        <f>21.7*M16/100</f>
        <v>10.85</v>
      </c>
      <c r="V16" s="37"/>
      <c r="W16" s="99"/>
      <c r="X16" s="82"/>
      <c r="Y16" s="83"/>
      <c r="Z16" s="84"/>
      <c r="AB16" s="22"/>
    </row>
    <row r="17" spans="1:29" ht="15.75" thickBot="1" x14ac:dyDescent="0.3">
      <c r="A17" s="89"/>
      <c r="B17" s="32"/>
      <c r="C17" s="35"/>
      <c r="D17" s="33"/>
      <c r="E17" s="32"/>
      <c r="F17" s="35"/>
      <c r="G17" s="35"/>
      <c r="H17" s="33"/>
      <c r="I17" s="46"/>
      <c r="J17" s="47"/>
      <c r="K17" s="46"/>
      <c r="L17" s="47"/>
      <c r="M17" s="32"/>
      <c r="N17" s="33"/>
      <c r="O17" s="38"/>
      <c r="P17" s="39"/>
      <c r="Q17" s="38"/>
      <c r="R17" s="39"/>
      <c r="S17" s="38"/>
      <c r="T17" s="39"/>
      <c r="U17" s="38"/>
      <c r="V17" s="39"/>
      <c r="W17" s="100"/>
      <c r="X17" s="82"/>
      <c r="Y17" s="83"/>
      <c r="Z17" s="84"/>
      <c r="AB17" s="22"/>
    </row>
    <row r="18" spans="1:29" x14ac:dyDescent="0.25">
      <c r="A18" s="89"/>
      <c r="B18" s="44" t="s">
        <v>5</v>
      </c>
      <c r="C18" s="34"/>
      <c r="D18" s="31"/>
      <c r="E18" s="44" t="s">
        <v>24</v>
      </c>
      <c r="F18" s="34"/>
      <c r="G18" s="34"/>
      <c r="H18" s="31"/>
      <c r="I18" s="30"/>
      <c r="J18" s="31"/>
      <c r="K18" s="30">
        <v>32</v>
      </c>
      <c r="L18" s="45"/>
      <c r="M18" s="44">
        <v>30</v>
      </c>
      <c r="N18" s="31"/>
      <c r="O18" s="36">
        <f>618*M18/100</f>
        <v>185.4</v>
      </c>
      <c r="P18" s="37"/>
      <c r="Q18" s="36">
        <f>12.4*M18/100</f>
        <v>3.72</v>
      </c>
      <c r="R18" s="37"/>
      <c r="S18" s="36">
        <f>27*M18/100</f>
        <v>8.1</v>
      </c>
      <c r="T18" s="37"/>
      <c r="U18" s="36">
        <f>50.5*M18/100</f>
        <v>15.15</v>
      </c>
      <c r="V18" s="37"/>
      <c r="W18" s="99"/>
      <c r="X18" s="82"/>
      <c r="Y18" s="83"/>
      <c r="Z18" s="84"/>
      <c r="AB18" s="23"/>
    </row>
    <row r="19" spans="1:29" ht="15.75" thickBot="1" x14ac:dyDescent="0.3">
      <c r="A19" s="89"/>
      <c r="B19" s="32"/>
      <c r="C19" s="35"/>
      <c r="D19" s="33"/>
      <c r="E19" s="32"/>
      <c r="F19" s="35"/>
      <c r="G19" s="35"/>
      <c r="H19" s="33"/>
      <c r="I19" s="32"/>
      <c r="J19" s="33"/>
      <c r="K19" s="46"/>
      <c r="L19" s="47"/>
      <c r="M19" s="32"/>
      <c r="N19" s="33"/>
      <c r="O19" s="38"/>
      <c r="P19" s="39"/>
      <c r="Q19" s="38"/>
      <c r="R19" s="39"/>
      <c r="S19" s="38"/>
      <c r="T19" s="39"/>
      <c r="U19" s="38"/>
      <c r="V19" s="39"/>
      <c r="W19" s="100"/>
      <c r="X19" s="82"/>
      <c r="Y19" s="83"/>
      <c r="Z19" s="84"/>
    </row>
    <row r="20" spans="1:29" x14ac:dyDescent="0.25">
      <c r="A20" s="89"/>
      <c r="B20" s="44" t="s">
        <v>17</v>
      </c>
      <c r="C20" s="34"/>
      <c r="D20" s="31"/>
      <c r="E20" s="44" t="s">
        <v>26</v>
      </c>
      <c r="F20" s="34"/>
      <c r="G20" s="34"/>
      <c r="H20" s="31"/>
      <c r="I20" s="30">
        <v>4742870013945</v>
      </c>
      <c r="J20" s="31"/>
      <c r="K20" s="30">
        <v>17</v>
      </c>
      <c r="L20" s="45"/>
      <c r="M20" s="44">
        <v>15</v>
      </c>
      <c r="N20" s="31"/>
      <c r="O20" s="36">
        <v>66</v>
      </c>
      <c r="P20" s="37"/>
      <c r="Q20" s="36">
        <v>11.9</v>
      </c>
      <c r="R20" s="37"/>
      <c r="S20" s="36">
        <v>0.7</v>
      </c>
      <c r="T20" s="37"/>
      <c r="U20" s="36">
        <v>1.6</v>
      </c>
      <c r="V20" s="37"/>
      <c r="W20" s="99"/>
      <c r="X20" s="82"/>
      <c r="Y20" s="83"/>
      <c r="Z20" s="84"/>
      <c r="AB20" s="24"/>
    </row>
    <row r="21" spans="1:29" ht="15.75" thickBot="1" x14ac:dyDescent="0.3">
      <c r="A21" s="89"/>
      <c r="B21" s="32"/>
      <c r="C21" s="35"/>
      <c r="D21" s="33"/>
      <c r="E21" s="32"/>
      <c r="F21" s="35"/>
      <c r="G21" s="35"/>
      <c r="H21" s="33"/>
      <c r="I21" s="32"/>
      <c r="J21" s="33"/>
      <c r="K21" s="46"/>
      <c r="L21" s="47"/>
      <c r="M21" s="32"/>
      <c r="N21" s="33"/>
      <c r="O21" s="38"/>
      <c r="P21" s="39"/>
      <c r="Q21" s="38"/>
      <c r="R21" s="39"/>
      <c r="S21" s="38"/>
      <c r="T21" s="39"/>
      <c r="U21" s="38"/>
      <c r="V21" s="39"/>
      <c r="W21" s="100"/>
      <c r="X21" s="82"/>
      <c r="Y21" s="83"/>
      <c r="Z21" s="84"/>
      <c r="AB21" s="22"/>
    </row>
    <row r="22" spans="1:29" x14ac:dyDescent="0.25">
      <c r="A22" s="89"/>
      <c r="B22" s="44" t="s">
        <v>27</v>
      </c>
      <c r="C22" s="34"/>
      <c r="D22" s="31"/>
      <c r="E22" s="44" t="s">
        <v>28</v>
      </c>
      <c r="F22" s="34"/>
      <c r="G22" s="34"/>
      <c r="H22" s="31"/>
      <c r="I22" s="30"/>
      <c r="J22" s="45"/>
      <c r="K22" s="30">
        <v>7</v>
      </c>
      <c r="L22" s="45"/>
      <c r="M22" s="44">
        <f>4*1.4</f>
        <v>5.6</v>
      </c>
      <c r="N22" s="31"/>
      <c r="O22" s="36">
        <f>222*M22/100</f>
        <v>12.431999999999999</v>
      </c>
      <c r="P22" s="37"/>
      <c r="Q22" s="36">
        <f>73*M22/100</f>
        <v>4.0879999999999992</v>
      </c>
      <c r="R22" s="37"/>
      <c r="S22" s="36">
        <f>0.4*M22/100</f>
        <v>2.2399999999999996E-2</v>
      </c>
      <c r="T22" s="37"/>
      <c r="U22" s="36">
        <f>12.2*M22/100</f>
        <v>0.68319999999999992</v>
      </c>
      <c r="V22" s="37"/>
      <c r="W22" s="99"/>
      <c r="X22" s="82"/>
      <c r="Y22" s="83"/>
      <c r="Z22" s="84"/>
    </row>
    <row r="23" spans="1:29" ht="15.75" thickBot="1" x14ac:dyDescent="0.3">
      <c r="A23" s="89"/>
      <c r="B23" s="32"/>
      <c r="C23" s="35"/>
      <c r="D23" s="33"/>
      <c r="E23" s="32"/>
      <c r="F23" s="35"/>
      <c r="G23" s="35"/>
      <c r="H23" s="33"/>
      <c r="I23" s="46"/>
      <c r="J23" s="47"/>
      <c r="K23" s="46"/>
      <c r="L23" s="47"/>
      <c r="M23" s="32"/>
      <c r="N23" s="33"/>
      <c r="O23" s="38"/>
      <c r="P23" s="39"/>
      <c r="Q23" s="38"/>
      <c r="R23" s="39"/>
      <c r="S23" s="38"/>
      <c r="T23" s="39"/>
      <c r="U23" s="38"/>
      <c r="V23" s="39"/>
      <c r="W23" s="100"/>
      <c r="X23" s="82"/>
      <c r="Y23" s="83"/>
      <c r="Z23" s="84"/>
      <c r="AB23" s="24"/>
    </row>
    <row r="24" spans="1:29" x14ac:dyDescent="0.25">
      <c r="A24" s="89"/>
      <c r="B24" s="44" t="s">
        <v>7</v>
      </c>
      <c r="C24" s="34"/>
      <c r="D24" s="31"/>
      <c r="E24" s="44" t="s">
        <v>66</v>
      </c>
      <c r="F24" s="34"/>
      <c r="G24" s="34"/>
      <c r="H24" s="31"/>
      <c r="I24" s="30"/>
      <c r="J24" s="31"/>
      <c r="K24" s="30">
        <v>4</v>
      </c>
      <c r="L24" s="45"/>
      <c r="M24" s="44">
        <v>2</v>
      </c>
      <c r="N24" s="31"/>
      <c r="O24" s="36">
        <v>0</v>
      </c>
      <c r="P24" s="37"/>
      <c r="Q24" s="36">
        <v>0</v>
      </c>
      <c r="R24" s="37"/>
      <c r="S24" s="36">
        <v>0</v>
      </c>
      <c r="T24" s="37"/>
      <c r="U24" s="36">
        <v>0</v>
      </c>
      <c r="V24" s="37"/>
      <c r="W24" s="101"/>
      <c r="X24" s="82"/>
      <c r="Y24" s="83"/>
      <c r="Z24" s="84"/>
      <c r="AB24" s="22"/>
    </row>
    <row r="25" spans="1:29" ht="15.75" thickBot="1" x14ac:dyDescent="0.3">
      <c r="A25" s="89"/>
      <c r="B25" s="32"/>
      <c r="C25" s="35"/>
      <c r="D25" s="33"/>
      <c r="E25" s="32"/>
      <c r="F25" s="35"/>
      <c r="G25" s="35"/>
      <c r="H25" s="33"/>
      <c r="I25" s="32"/>
      <c r="J25" s="33"/>
      <c r="K25" s="46"/>
      <c r="L25" s="47"/>
      <c r="M25" s="32"/>
      <c r="N25" s="33"/>
      <c r="O25" s="38"/>
      <c r="P25" s="39"/>
      <c r="Q25" s="38"/>
      <c r="R25" s="39"/>
      <c r="S25" s="38"/>
      <c r="T25" s="39"/>
      <c r="U25" s="38"/>
      <c r="V25" s="39"/>
      <c r="W25" s="100"/>
      <c r="X25" s="82"/>
      <c r="Y25" s="83"/>
      <c r="Z25" s="84"/>
    </row>
    <row r="26" spans="1:29" x14ac:dyDescent="0.25">
      <c r="A26" s="89"/>
      <c r="B26" s="44" t="s">
        <v>8</v>
      </c>
      <c r="C26" s="34"/>
      <c r="D26" s="31"/>
      <c r="E26" s="44" t="s">
        <v>8</v>
      </c>
      <c r="F26" s="34"/>
      <c r="G26" s="34"/>
      <c r="H26" s="31"/>
      <c r="I26" s="30"/>
      <c r="J26" s="31"/>
      <c r="K26" s="30"/>
      <c r="L26" s="45"/>
      <c r="M26" s="44"/>
      <c r="N26" s="31"/>
      <c r="O26" s="36"/>
      <c r="P26" s="37"/>
      <c r="Q26" s="36"/>
      <c r="R26" s="37"/>
      <c r="S26" s="36"/>
      <c r="T26" s="37"/>
      <c r="U26" s="36"/>
      <c r="V26" s="37"/>
      <c r="W26" s="101"/>
      <c r="X26" s="82"/>
      <c r="Y26" s="83"/>
      <c r="Z26" s="84"/>
      <c r="AB26" s="22"/>
    </row>
    <row r="27" spans="1:29" ht="15.75" thickBot="1" x14ac:dyDescent="0.3">
      <c r="A27" s="90"/>
      <c r="B27" s="32"/>
      <c r="C27" s="35"/>
      <c r="D27" s="33"/>
      <c r="E27" s="32"/>
      <c r="F27" s="35"/>
      <c r="G27" s="35"/>
      <c r="H27" s="33"/>
      <c r="I27" s="32"/>
      <c r="J27" s="33"/>
      <c r="K27" s="46"/>
      <c r="L27" s="47"/>
      <c r="M27" s="32"/>
      <c r="N27" s="33"/>
      <c r="O27" s="38"/>
      <c r="P27" s="39"/>
      <c r="Q27" s="38"/>
      <c r="R27" s="39"/>
      <c r="S27" s="38"/>
      <c r="T27" s="39"/>
      <c r="U27" s="38"/>
      <c r="V27" s="39"/>
      <c r="W27" s="100"/>
      <c r="X27" s="85"/>
      <c r="Y27" s="86"/>
      <c r="Z27" s="87"/>
      <c r="AB27" s="24"/>
    </row>
    <row r="28" spans="1:29" ht="15.75" thickBot="1" x14ac:dyDescent="0.3">
      <c r="A28" s="1"/>
      <c r="B28" s="65" t="s">
        <v>16</v>
      </c>
      <c r="C28" s="66"/>
      <c r="D28" s="67"/>
      <c r="E28" s="48"/>
      <c r="F28" s="49"/>
      <c r="G28" s="49"/>
      <c r="H28" s="50"/>
      <c r="I28" s="15"/>
      <c r="J28" s="15"/>
      <c r="K28" s="63">
        <f>SUM(K10:L27)</f>
        <v>360</v>
      </c>
      <c r="L28" s="64"/>
      <c r="M28" s="63">
        <f>SUM(M10:N27)</f>
        <v>317.60000000000002</v>
      </c>
      <c r="N28" s="64"/>
      <c r="O28" s="63">
        <f>SUM(O10:P27)</f>
        <v>1267.3320000000001</v>
      </c>
      <c r="P28" s="64"/>
      <c r="Q28" s="63">
        <f>SUM(Q10:R27)</f>
        <v>137.85799999999998</v>
      </c>
      <c r="R28" s="64"/>
      <c r="S28" s="63">
        <f>SUM(S10:T27)</f>
        <v>41.322400000000002</v>
      </c>
      <c r="T28" s="64"/>
      <c r="U28" s="63">
        <f>SUM(U10:V27)</f>
        <v>60.213200000000001</v>
      </c>
      <c r="V28" s="64"/>
      <c r="W28" s="16"/>
      <c r="AB28" s="22"/>
    </row>
    <row r="29" spans="1:29" ht="15" customHeight="1" x14ac:dyDescent="0.25">
      <c r="A29" s="88">
        <v>2</v>
      </c>
      <c r="B29" s="44" t="s">
        <v>1</v>
      </c>
      <c r="C29" s="34"/>
      <c r="D29" s="31"/>
      <c r="E29" s="44" t="s">
        <v>107</v>
      </c>
      <c r="F29" s="34"/>
      <c r="G29" s="34"/>
      <c r="H29" s="31"/>
      <c r="I29" s="30"/>
      <c r="J29" s="31"/>
      <c r="K29" s="91">
        <v>120</v>
      </c>
      <c r="L29" s="92"/>
      <c r="M29" s="44">
        <v>100</v>
      </c>
      <c r="N29" s="31"/>
      <c r="O29" s="36">
        <v>414</v>
      </c>
      <c r="P29" s="37"/>
      <c r="Q29" s="36">
        <v>64.5</v>
      </c>
      <c r="R29" s="37"/>
      <c r="S29" s="36">
        <v>11</v>
      </c>
      <c r="T29" s="37"/>
      <c r="U29" s="36">
        <v>10.9</v>
      </c>
      <c r="V29" s="37"/>
      <c r="W29" s="99"/>
      <c r="X29" s="79">
        <v>26400</v>
      </c>
      <c r="Y29" s="80"/>
      <c r="Z29" s="81"/>
    </row>
    <row r="30" spans="1:29" ht="15.75" thickBot="1" x14ac:dyDescent="0.3">
      <c r="A30" s="89"/>
      <c r="B30" s="32"/>
      <c r="C30" s="35"/>
      <c r="D30" s="33"/>
      <c r="E30" s="32"/>
      <c r="F30" s="35"/>
      <c r="G30" s="35"/>
      <c r="H30" s="33"/>
      <c r="I30" s="32"/>
      <c r="J30" s="33"/>
      <c r="K30" s="95"/>
      <c r="L30" s="96"/>
      <c r="M30" s="32"/>
      <c r="N30" s="33"/>
      <c r="O30" s="38"/>
      <c r="P30" s="39"/>
      <c r="Q30" s="38"/>
      <c r="R30" s="39"/>
      <c r="S30" s="38"/>
      <c r="T30" s="39"/>
      <c r="U30" s="38"/>
      <c r="V30" s="39"/>
      <c r="W30" s="110"/>
      <c r="X30" s="82"/>
      <c r="Y30" s="83"/>
      <c r="Z30" s="84"/>
    </row>
    <row r="31" spans="1:29" x14ac:dyDescent="0.25">
      <c r="A31" s="89"/>
      <c r="B31" s="44" t="s">
        <v>2</v>
      </c>
      <c r="C31" s="34"/>
      <c r="D31" s="31"/>
      <c r="E31" s="44" t="s">
        <v>72</v>
      </c>
      <c r="F31" s="34"/>
      <c r="G31" s="34"/>
      <c r="H31" s="31"/>
      <c r="I31" s="30"/>
      <c r="J31" s="34"/>
      <c r="K31" s="30">
        <v>55</v>
      </c>
      <c r="L31" s="45"/>
      <c r="M31" s="34">
        <v>50</v>
      </c>
      <c r="N31" s="31"/>
      <c r="O31" s="36">
        <f>427*M31/100</f>
        <v>213.5</v>
      </c>
      <c r="P31" s="37"/>
      <c r="Q31" s="36">
        <f>65.7*M31/100</f>
        <v>32.85</v>
      </c>
      <c r="R31" s="37"/>
      <c r="S31" s="36">
        <f>11.4*M31/100</f>
        <v>5.7</v>
      </c>
      <c r="T31" s="37"/>
      <c r="U31" s="36">
        <f>10.6*M31/100</f>
        <v>5.3</v>
      </c>
      <c r="V31" s="37"/>
      <c r="W31" s="99"/>
      <c r="X31" s="82"/>
      <c r="Y31" s="83"/>
      <c r="Z31" s="84"/>
      <c r="AC31" s="22"/>
    </row>
    <row r="32" spans="1:29" ht="15.75" thickBot="1" x14ac:dyDescent="0.3">
      <c r="A32" s="89"/>
      <c r="B32" s="32"/>
      <c r="C32" s="35"/>
      <c r="D32" s="33"/>
      <c r="E32" s="32"/>
      <c r="F32" s="35"/>
      <c r="G32" s="35"/>
      <c r="H32" s="33"/>
      <c r="I32" s="32"/>
      <c r="J32" s="35"/>
      <c r="K32" s="46"/>
      <c r="L32" s="47"/>
      <c r="M32" s="35"/>
      <c r="N32" s="33"/>
      <c r="O32" s="38"/>
      <c r="P32" s="39"/>
      <c r="Q32" s="38"/>
      <c r="R32" s="39"/>
      <c r="S32" s="38"/>
      <c r="T32" s="39"/>
      <c r="U32" s="38"/>
      <c r="V32" s="39"/>
      <c r="W32" s="110"/>
      <c r="X32" s="82"/>
      <c r="Y32" s="83"/>
      <c r="Z32" s="84"/>
    </row>
    <row r="33" spans="1:31" x14ac:dyDescent="0.25">
      <c r="A33" s="89"/>
      <c r="B33" s="44" t="s">
        <v>3</v>
      </c>
      <c r="C33" s="34"/>
      <c r="D33" s="31"/>
      <c r="E33" s="44" t="s">
        <v>22</v>
      </c>
      <c r="F33" s="34"/>
      <c r="G33" s="34"/>
      <c r="H33" s="31"/>
      <c r="I33" s="30">
        <v>4742870019039</v>
      </c>
      <c r="J33" s="31"/>
      <c r="K33" s="30">
        <v>80</v>
      </c>
      <c r="L33" s="45"/>
      <c r="M33" s="44">
        <v>75</v>
      </c>
      <c r="N33" s="31"/>
      <c r="O33" s="36">
        <v>160.05000000000001</v>
      </c>
      <c r="P33" s="37"/>
      <c r="Q33" s="36">
        <v>4.13</v>
      </c>
      <c r="R33" s="37"/>
      <c r="S33" s="36">
        <v>4.05</v>
      </c>
      <c r="T33" s="37"/>
      <c r="U33" s="36">
        <v>14.1</v>
      </c>
      <c r="V33" s="37"/>
      <c r="W33" s="99"/>
      <c r="X33" s="82"/>
      <c r="Y33" s="83"/>
      <c r="Z33" s="84"/>
      <c r="AB33" s="22"/>
      <c r="AD33" s="22"/>
    </row>
    <row r="34" spans="1:31" ht="15.75" thickBot="1" x14ac:dyDescent="0.3">
      <c r="A34" s="89"/>
      <c r="B34" s="32"/>
      <c r="C34" s="35"/>
      <c r="D34" s="33"/>
      <c r="E34" s="32"/>
      <c r="F34" s="35"/>
      <c r="G34" s="35"/>
      <c r="H34" s="33"/>
      <c r="I34" s="32"/>
      <c r="J34" s="33"/>
      <c r="K34" s="46"/>
      <c r="L34" s="47"/>
      <c r="M34" s="32"/>
      <c r="N34" s="33"/>
      <c r="O34" s="38"/>
      <c r="P34" s="39"/>
      <c r="Q34" s="38"/>
      <c r="R34" s="39"/>
      <c r="S34" s="38"/>
      <c r="T34" s="39"/>
      <c r="U34" s="38"/>
      <c r="V34" s="39"/>
      <c r="W34" s="110"/>
      <c r="X34" s="82"/>
      <c r="Y34" s="83"/>
      <c r="Z34" s="84"/>
    </row>
    <row r="35" spans="1:31" ht="15" customHeight="1" x14ac:dyDescent="0.25">
      <c r="A35" s="89"/>
      <c r="B35" s="44" t="s">
        <v>4</v>
      </c>
      <c r="C35" s="34"/>
      <c r="D35" s="31"/>
      <c r="E35" s="44" t="s">
        <v>71</v>
      </c>
      <c r="F35" s="34"/>
      <c r="G35" s="34"/>
      <c r="H35" s="31"/>
      <c r="I35" s="30"/>
      <c r="J35" s="45"/>
      <c r="K35" s="30">
        <v>55</v>
      </c>
      <c r="L35" s="45"/>
      <c r="M35" s="44">
        <v>50</v>
      </c>
      <c r="N35" s="31"/>
      <c r="O35" s="36">
        <f>439*M35/100</f>
        <v>219.5</v>
      </c>
      <c r="P35" s="37"/>
      <c r="Q35" s="36">
        <f>70.7*M35/100</f>
        <v>35.35</v>
      </c>
      <c r="R35" s="37"/>
      <c r="S35" s="36">
        <f>7.9*M35/100</f>
        <v>3.95</v>
      </c>
      <c r="T35" s="37"/>
      <c r="U35" s="36">
        <f>12.3*M35/100</f>
        <v>6.15</v>
      </c>
      <c r="V35" s="37"/>
      <c r="W35" s="108"/>
      <c r="X35" s="82"/>
      <c r="Y35" s="83"/>
      <c r="Z35" s="84"/>
    </row>
    <row r="36" spans="1:31" ht="15.95" customHeight="1" thickBot="1" x14ac:dyDescent="0.3">
      <c r="A36" s="89"/>
      <c r="B36" s="32"/>
      <c r="C36" s="35"/>
      <c r="D36" s="33"/>
      <c r="E36" s="32"/>
      <c r="F36" s="35"/>
      <c r="G36" s="35"/>
      <c r="H36" s="33"/>
      <c r="I36" s="46"/>
      <c r="J36" s="47"/>
      <c r="K36" s="46"/>
      <c r="L36" s="47"/>
      <c r="M36" s="32"/>
      <c r="N36" s="33"/>
      <c r="O36" s="38"/>
      <c r="P36" s="39"/>
      <c r="Q36" s="38"/>
      <c r="R36" s="39"/>
      <c r="S36" s="38"/>
      <c r="T36" s="39"/>
      <c r="U36" s="38"/>
      <c r="V36" s="39"/>
      <c r="W36" s="132"/>
      <c r="X36" s="82"/>
      <c r="Y36" s="83"/>
      <c r="Z36" s="84"/>
    </row>
    <row r="37" spans="1:31" x14ac:dyDescent="0.25">
      <c r="A37" s="89"/>
      <c r="B37" s="44" t="s">
        <v>5</v>
      </c>
      <c r="C37" s="34"/>
      <c r="D37" s="31"/>
      <c r="E37" s="44" t="s">
        <v>25</v>
      </c>
      <c r="F37" s="34"/>
      <c r="G37" s="34"/>
      <c r="H37" s="31"/>
      <c r="I37" s="30">
        <v>4742870011972</v>
      </c>
      <c r="J37" s="31"/>
      <c r="K37" s="30">
        <v>32</v>
      </c>
      <c r="L37" s="45"/>
      <c r="M37" s="44">
        <v>30</v>
      </c>
      <c r="N37" s="31"/>
      <c r="O37" s="36">
        <v>177</v>
      </c>
      <c r="P37" s="37"/>
      <c r="Q37" s="36">
        <v>6.03</v>
      </c>
      <c r="R37" s="37"/>
      <c r="S37" s="36">
        <v>8.8800000000000008</v>
      </c>
      <c r="T37" s="37"/>
      <c r="U37" s="36">
        <v>13.8</v>
      </c>
      <c r="V37" s="37"/>
      <c r="W37" s="99"/>
      <c r="X37" s="82"/>
      <c r="Y37" s="83"/>
      <c r="Z37" s="84"/>
    </row>
    <row r="38" spans="1:31" ht="15.75" thickBot="1" x14ac:dyDescent="0.3">
      <c r="A38" s="89"/>
      <c r="B38" s="32"/>
      <c r="C38" s="35"/>
      <c r="D38" s="33"/>
      <c r="E38" s="32"/>
      <c r="F38" s="35"/>
      <c r="G38" s="35"/>
      <c r="H38" s="33"/>
      <c r="I38" s="32"/>
      <c r="J38" s="33"/>
      <c r="K38" s="46"/>
      <c r="L38" s="47"/>
      <c r="M38" s="32"/>
      <c r="N38" s="33"/>
      <c r="O38" s="38"/>
      <c r="P38" s="39"/>
      <c r="Q38" s="38"/>
      <c r="R38" s="39"/>
      <c r="S38" s="38"/>
      <c r="T38" s="39"/>
      <c r="U38" s="38"/>
      <c r="V38" s="39"/>
      <c r="W38" s="100"/>
      <c r="X38" s="82"/>
      <c r="Y38" s="83"/>
      <c r="Z38" s="84"/>
    </row>
    <row r="39" spans="1:31" x14ac:dyDescent="0.25">
      <c r="A39" s="89"/>
      <c r="B39" s="44" t="s">
        <v>17</v>
      </c>
      <c r="C39" s="34"/>
      <c r="D39" s="31"/>
      <c r="E39" s="44" t="s">
        <v>26</v>
      </c>
      <c r="F39" s="34"/>
      <c r="G39" s="34"/>
      <c r="H39" s="31"/>
      <c r="I39" s="30">
        <v>4742870013945</v>
      </c>
      <c r="J39" s="31"/>
      <c r="K39" s="30">
        <v>17</v>
      </c>
      <c r="L39" s="45"/>
      <c r="M39" s="44">
        <v>15</v>
      </c>
      <c r="N39" s="31"/>
      <c r="O39" s="36">
        <v>66</v>
      </c>
      <c r="P39" s="37"/>
      <c r="Q39" s="36">
        <v>11.9</v>
      </c>
      <c r="R39" s="37"/>
      <c r="S39" s="36">
        <v>0.7</v>
      </c>
      <c r="T39" s="37"/>
      <c r="U39" s="36">
        <v>1.6</v>
      </c>
      <c r="V39" s="37"/>
      <c r="W39" s="99"/>
      <c r="X39" s="82"/>
      <c r="Y39" s="83"/>
      <c r="Z39" s="84"/>
      <c r="AD39" s="22"/>
      <c r="AE39" s="22"/>
    </row>
    <row r="40" spans="1:31" ht="18" customHeight="1" thickBot="1" x14ac:dyDescent="0.3">
      <c r="A40" s="89"/>
      <c r="B40" s="32"/>
      <c r="C40" s="35"/>
      <c r="D40" s="33"/>
      <c r="E40" s="32"/>
      <c r="F40" s="35"/>
      <c r="G40" s="35"/>
      <c r="H40" s="33"/>
      <c r="I40" s="32"/>
      <c r="J40" s="33"/>
      <c r="K40" s="46"/>
      <c r="L40" s="47"/>
      <c r="M40" s="32"/>
      <c r="N40" s="33"/>
      <c r="O40" s="38"/>
      <c r="P40" s="39"/>
      <c r="Q40" s="38"/>
      <c r="R40" s="39"/>
      <c r="S40" s="38"/>
      <c r="T40" s="39"/>
      <c r="U40" s="38"/>
      <c r="V40" s="39"/>
      <c r="W40" s="100"/>
      <c r="X40" s="82"/>
      <c r="Y40" s="83"/>
      <c r="Z40" s="84"/>
      <c r="AC40" s="23"/>
    </row>
    <row r="41" spans="1:31" ht="18" customHeight="1" x14ac:dyDescent="0.25">
      <c r="A41" s="89"/>
      <c r="B41" s="44" t="s">
        <v>27</v>
      </c>
      <c r="C41" s="34"/>
      <c r="D41" s="31"/>
      <c r="E41" s="44" t="s">
        <v>28</v>
      </c>
      <c r="F41" s="34"/>
      <c r="G41" s="34"/>
      <c r="H41" s="31"/>
      <c r="I41" s="30"/>
      <c r="J41" s="45"/>
      <c r="K41" s="30">
        <v>7</v>
      </c>
      <c r="L41" s="45"/>
      <c r="M41" s="44">
        <f>4*1.4</f>
        <v>5.6</v>
      </c>
      <c r="N41" s="31"/>
      <c r="O41" s="36">
        <f>222*M41/100</f>
        <v>12.431999999999999</v>
      </c>
      <c r="P41" s="37"/>
      <c r="Q41" s="36">
        <f>73*M41/100</f>
        <v>4.0879999999999992</v>
      </c>
      <c r="R41" s="37"/>
      <c r="S41" s="36">
        <f>0.4*M41/100</f>
        <v>2.2399999999999996E-2</v>
      </c>
      <c r="T41" s="37"/>
      <c r="U41" s="36">
        <f>12.2*M41/100</f>
        <v>0.68319999999999992</v>
      </c>
      <c r="V41" s="37"/>
      <c r="W41" s="99"/>
      <c r="X41" s="82"/>
      <c r="Y41" s="83"/>
      <c r="Z41" s="84"/>
    </row>
    <row r="42" spans="1:31" ht="18" customHeight="1" thickBot="1" x14ac:dyDescent="0.3">
      <c r="A42" s="89"/>
      <c r="B42" s="32"/>
      <c r="C42" s="35"/>
      <c r="D42" s="33"/>
      <c r="E42" s="32"/>
      <c r="F42" s="35"/>
      <c r="G42" s="35"/>
      <c r="H42" s="33"/>
      <c r="I42" s="46"/>
      <c r="J42" s="47"/>
      <c r="K42" s="46"/>
      <c r="L42" s="47"/>
      <c r="M42" s="32"/>
      <c r="N42" s="33"/>
      <c r="O42" s="38"/>
      <c r="P42" s="39"/>
      <c r="Q42" s="38"/>
      <c r="R42" s="39"/>
      <c r="S42" s="38"/>
      <c r="T42" s="39"/>
      <c r="U42" s="38"/>
      <c r="V42" s="39"/>
      <c r="W42" s="100"/>
      <c r="X42" s="82"/>
      <c r="Y42" s="83"/>
      <c r="Z42" s="84"/>
      <c r="AC42" s="22"/>
    </row>
    <row r="43" spans="1:31" x14ac:dyDescent="0.25">
      <c r="A43" s="89"/>
      <c r="B43" s="44" t="s">
        <v>7</v>
      </c>
      <c r="C43" s="34"/>
      <c r="D43" s="31"/>
      <c r="E43" s="44" t="s">
        <v>66</v>
      </c>
      <c r="F43" s="34"/>
      <c r="G43" s="34"/>
      <c r="H43" s="31"/>
      <c r="I43" s="30"/>
      <c r="J43" s="31"/>
      <c r="K43" s="30">
        <v>4</v>
      </c>
      <c r="L43" s="45"/>
      <c r="M43" s="44">
        <v>2</v>
      </c>
      <c r="N43" s="31"/>
      <c r="O43" s="36">
        <v>0</v>
      </c>
      <c r="P43" s="37"/>
      <c r="Q43" s="36">
        <v>0</v>
      </c>
      <c r="R43" s="37"/>
      <c r="S43" s="36">
        <v>0</v>
      </c>
      <c r="T43" s="37"/>
      <c r="U43" s="36">
        <v>0</v>
      </c>
      <c r="V43" s="37"/>
      <c r="W43" s="101"/>
      <c r="X43" s="82"/>
      <c r="Y43" s="83"/>
      <c r="Z43" s="84"/>
      <c r="AC43" s="22"/>
    </row>
    <row r="44" spans="1:31" ht="15.75" thickBot="1" x14ac:dyDescent="0.3">
      <c r="A44" s="89"/>
      <c r="B44" s="32"/>
      <c r="C44" s="35"/>
      <c r="D44" s="33"/>
      <c r="E44" s="32"/>
      <c r="F44" s="35"/>
      <c r="G44" s="35"/>
      <c r="H44" s="33"/>
      <c r="I44" s="32"/>
      <c r="J44" s="33"/>
      <c r="K44" s="46"/>
      <c r="L44" s="47"/>
      <c r="M44" s="32"/>
      <c r="N44" s="33"/>
      <c r="O44" s="38"/>
      <c r="P44" s="39"/>
      <c r="Q44" s="38"/>
      <c r="R44" s="39"/>
      <c r="S44" s="38"/>
      <c r="T44" s="39"/>
      <c r="U44" s="38"/>
      <c r="V44" s="39"/>
      <c r="W44" s="100"/>
      <c r="X44" s="82"/>
      <c r="Y44" s="83"/>
      <c r="Z44" s="84"/>
      <c r="AC44" s="23"/>
    </row>
    <row r="45" spans="1:31" x14ac:dyDescent="0.25">
      <c r="A45" s="89"/>
      <c r="B45" s="44" t="s">
        <v>8</v>
      </c>
      <c r="C45" s="34"/>
      <c r="D45" s="31"/>
      <c r="E45" s="44" t="s">
        <v>8</v>
      </c>
      <c r="F45" s="34"/>
      <c r="G45" s="34"/>
      <c r="H45" s="31"/>
      <c r="I45" s="30"/>
      <c r="J45" s="31"/>
      <c r="K45" s="30"/>
      <c r="L45" s="45"/>
      <c r="M45" s="44"/>
      <c r="N45" s="31"/>
      <c r="O45" s="36"/>
      <c r="P45" s="37"/>
      <c r="Q45" s="44"/>
      <c r="R45" s="31"/>
      <c r="S45" s="44"/>
      <c r="T45" s="31"/>
      <c r="U45" s="44"/>
      <c r="V45" s="31"/>
      <c r="W45" s="101"/>
      <c r="X45" s="82"/>
      <c r="Y45" s="83"/>
      <c r="Z45" s="84"/>
    </row>
    <row r="46" spans="1:31" ht="15.75" thickBot="1" x14ac:dyDescent="0.3">
      <c r="A46" s="90"/>
      <c r="B46" s="32"/>
      <c r="C46" s="35"/>
      <c r="D46" s="33"/>
      <c r="E46" s="32"/>
      <c r="F46" s="35"/>
      <c r="G46" s="35"/>
      <c r="H46" s="33"/>
      <c r="I46" s="32"/>
      <c r="J46" s="33"/>
      <c r="K46" s="46"/>
      <c r="L46" s="47"/>
      <c r="M46" s="32"/>
      <c r="N46" s="33"/>
      <c r="O46" s="38"/>
      <c r="P46" s="39"/>
      <c r="Q46" s="32"/>
      <c r="R46" s="33"/>
      <c r="S46" s="32"/>
      <c r="T46" s="33"/>
      <c r="U46" s="32"/>
      <c r="V46" s="33"/>
      <c r="W46" s="100"/>
      <c r="X46" s="85"/>
      <c r="Y46" s="86"/>
      <c r="Z46" s="87"/>
    </row>
    <row r="47" spans="1:31" ht="15.75" thickBot="1" x14ac:dyDescent="0.3">
      <c r="A47" s="1"/>
      <c r="B47" s="65" t="s">
        <v>16</v>
      </c>
      <c r="C47" s="66"/>
      <c r="D47" s="67"/>
      <c r="E47" s="48"/>
      <c r="F47" s="49"/>
      <c r="G47" s="49"/>
      <c r="H47" s="50"/>
      <c r="I47" s="15"/>
      <c r="J47" s="15"/>
      <c r="K47" s="63">
        <f>SUM(K29:L46)</f>
        <v>370</v>
      </c>
      <c r="L47" s="64"/>
      <c r="M47" s="63">
        <f>SUM(M29:N46)</f>
        <v>327.60000000000002</v>
      </c>
      <c r="N47" s="64"/>
      <c r="O47" s="63">
        <f>SUM(O29:P46)</f>
        <v>1262.482</v>
      </c>
      <c r="P47" s="64"/>
      <c r="Q47" s="63">
        <f>SUM(Q29:R46)</f>
        <v>158.84799999999998</v>
      </c>
      <c r="R47" s="64"/>
      <c r="S47" s="63">
        <f>SUM(S29:T46)</f>
        <v>34.302399999999999</v>
      </c>
      <c r="T47" s="64"/>
      <c r="U47" s="63">
        <f>SUM(U29:V46)</f>
        <v>52.533200000000001</v>
      </c>
      <c r="V47" s="64"/>
      <c r="W47" s="16"/>
    </row>
    <row r="48" spans="1:31" ht="15" customHeight="1" x14ac:dyDescent="0.25">
      <c r="A48" s="88">
        <v>3</v>
      </c>
      <c r="B48" s="44" t="s">
        <v>1</v>
      </c>
      <c r="C48" s="34"/>
      <c r="D48" s="31"/>
      <c r="E48" s="44" t="s">
        <v>108</v>
      </c>
      <c r="F48" s="34"/>
      <c r="G48" s="34"/>
      <c r="H48" s="31"/>
      <c r="I48" s="30"/>
      <c r="J48" s="31"/>
      <c r="K48" s="91">
        <v>110</v>
      </c>
      <c r="L48" s="92"/>
      <c r="M48" s="44">
        <v>90</v>
      </c>
      <c r="N48" s="31"/>
      <c r="O48" s="36">
        <v>327</v>
      </c>
      <c r="P48" s="37"/>
      <c r="Q48" s="36">
        <v>56</v>
      </c>
      <c r="R48" s="37"/>
      <c r="S48" s="36">
        <v>13</v>
      </c>
      <c r="T48" s="37"/>
      <c r="U48" s="36">
        <v>5.4</v>
      </c>
      <c r="V48" s="37"/>
      <c r="W48" s="108"/>
      <c r="X48" s="79">
        <v>26400</v>
      </c>
      <c r="Y48" s="80"/>
      <c r="Z48" s="81"/>
    </row>
    <row r="49" spans="1:26" ht="15.95" customHeight="1" thickBot="1" x14ac:dyDescent="0.3">
      <c r="A49" s="89"/>
      <c r="B49" s="32"/>
      <c r="C49" s="35"/>
      <c r="D49" s="33"/>
      <c r="E49" s="32"/>
      <c r="F49" s="35"/>
      <c r="G49" s="35"/>
      <c r="H49" s="33"/>
      <c r="I49" s="32"/>
      <c r="J49" s="33"/>
      <c r="K49" s="93"/>
      <c r="L49" s="94"/>
      <c r="M49" s="32"/>
      <c r="N49" s="33"/>
      <c r="O49" s="38"/>
      <c r="P49" s="39"/>
      <c r="Q49" s="38"/>
      <c r="R49" s="39"/>
      <c r="S49" s="38"/>
      <c r="T49" s="39"/>
      <c r="U49" s="38"/>
      <c r="V49" s="39"/>
      <c r="W49" s="109"/>
      <c r="X49" s="82"/>
      <c r="Y49" s="83"/>
      <c r="Z49" s="84"/>
    </row>
    <row r="50" spans="1:26" x14ac:dyDescent="0.25">
      <c r="A50" s="89"/>
      <c r="B50" s="44" t="s">
        <v>2</v>
      </c>
      <c r="C50" s="34"/>
      <c r="D50" s="31"/>
      <c r="E50" s="44" t="s">
        <v>20</v>
      </c>
      <c r="F50" s="34"/>
      <c r="G50" s="34"/>
      <c r="H50" s="31"/>
      <c r="I50" s="30"/>
      <c r="J50" s="34"/>
      <c r="K50" s="30">
        <v>55</v>
      </c>
      <c r="L50" s="45"/>
      <c r="M50" s="34">
        <v>50</v>
      </c>
      <c r="N50" s="31"/>
      <c r="O50" s="36">
        <f>444*M50/100</f>
        <v>222</v>
      </c>
      <c r="P50" s="37"/>
      <c r="Q50" s="36">
        <f>66.6*M50/100</f>
        <v>33.299999999999997</v>
      </c>
      <c r="R50" s="37"/>
      <c r="S50" s="36">
        <f>9.7*M50/100</f>
        <v>4.8499999999999996</v>
      </c>
      <c r="T50" s="37"/>
      <c r="U50" s="36">
        <f>16.2*M50/100</f>
        <v>8.1</v>
      </c>
      <c r="V50" s="37"/>
      <c r="W50" s="99"/>
      <c r="X50" s="82"/>
      <c r="Y50" s="83"/>
      <c r="Z50" s="84"/>
    </row>
    <row r="51" spans="1:26" ht="15.75" thickBot="1" x14ac:dyDescent="0.3">
      <c r="A51" s="89"/>
      <c r="B51" s="32"/>
      <c r="C51" s="35"/>
      <c r="D51" s="33"/>
      <c r="E51" s="32"/>
      <c r="F51" s="35"/>
      <c r="G51" s="35"/>
      <c r="H51" s="33"/>
      <c r="I51" s="32"/>
      <c r="J51" s="35"/>
      <c r="K51" s="46"/>
      <c r="L51" s="47"/>
      <c r="M51" s="35"/>
      <c r="N51" s="33"/>
      <c r="O51" s="38"/>
      <c r="P51" s="39"/>
      <c r="Q51" s="38"/>
      <c r="R51" s="39"/>
      <c r="S51" s="38"/>
      <c r="T51" s="39"/>
      <c r="U51" s="38"/>
      <c r="V51" s="39"/>
      <c r="W51" s="110"/>
      <c r="X51" s="82"/>
      <c r="Y51" s="83"/>
      <c r="Z51" s="84"/>
    </row>
    <row r="52" spans="1:26" x14ac:dyDescent="0.25">
      <c r="A52" s="89"/>
      <c r="B52" s="44" t="s">
        <v>3</v>
      </c>
      <c r="C52" s="34"/>
      <c r="D52" s="31"/>
      <c r="E52" s="44" t="s">
        <v>29</v>
      </c>
      <c r="F52" s="34"/>
      <c r="G52" s="34"/>
      <c r="H52" s="31"/>
      <c r="I52" s="30">
        <v>4742870019022</v>
      </c>
      <c r="J52" s="45"/>
      <c r="K52" s="44">
        <v>80</v>
      </c>
      <c r="L52" s="31"/>
      <c r="M52" s="44">
        <v>75</v>
      </c>
      <c r="N52" s="31"/>
      <c r="O52" s="36">
        <v>190.5</v>
      </c>
      <c r="P52" s="37"/>
      <c r="Q52" s="36">
        <v>2.25</v>
      </c>
      <c r="R52" s="37"/>
      <c r="S52" s="36">
        <v>6.23</v>
      </c>
      <c r="T52" s="37"/>
      <c r="U52" s="36">
        <v>17.329999999999998</v>
      </c>
      <c r="V52" s="37"/>
      <c r="W52" s="99"/>
      <c r="X52" s="82"/>
      <c r="Y52" s="83"/>
      <c r="Z52" s="84"/>
    </row>
    <row r="53" spans="1:26" ht="15.75" thickBot="1" x14ac:dyDescent="0.3">
      <c r="A53" s="89"/>
      <c r="B53" s="32"/>
      <c r="C53" s="35"/>
      <c r="D53" s="33"/>
      <c r="E53" s="32"/>
      <c r="F53" s="35"/>
      <c r="G53" s="35"/>
      <c r="H53" s="33"/>
      <c r="I53" s="46"/>
      <c r="J53" s="47"/>
      <c r="K53" s="32"/>
      <c r="L53" s="33"/>
      <c r="M53" s="32"/>
      <c r="N53" s="33"/>
      <c r="O53" s="38"/>
      <c r="P53" s="39"/>
      <c r="Q53" s="38"/>
      <c r="R53" s="39"/>
      <c r="S53" s="38"/>
      <c r="T53" s="39"/>
      <c r="U53" s="38"/>
      <c r="V53" s="39"/>
      <c r="W53" s="110"/>
      <c r="X53" s="82"/>
      <c r="Y53" s="83"/>
      <c r="Z53" s="84"/>
    </row>
    <row r="54" spans="1:26" x14ac:dyDescent="0.25">
      <c r="A54" s="89"/>
      <c r="B54" s="44" t="s">
        <v>4</v>
      </c>
      <c r="C54" s="34"/>
      <c r="D54" s="31"/>
      <c r="E54" s="44" t="s">
        <v>73</v>
      </c>
      <c r="F54" s="34"/>
      <c r="G54" s="34"/>
      <c r="H54" s="31"/>
      <c r="I54" s="30"/>
      <c r="J54" s="45"/>
      <c r="K54" s="30">
        <v>55</v>
      </c>
      <c r="L54" s="45"/>
      <c r="M54" s="44">
        <v>50</v>
      </c>
      <c r="N54" s="31"/>
      <c r="O54" s="36">
        <f>485*M54/100</f>
        <v>242.5</v>
      </c>
      <c r="P54" s="37"/>
      <c r="Q54" s="36">
        <f>56.2*M54/100</f>
        <v>28.1</v>
      </c>
      <c r="R54" s="37"/>
      <c r="S54" s="36">
        <f>5.8*M54/100</f>
        <v>2.9</v>
      </c>
      <c r="T54" s="37"/>
      <c r="U54" s="36">
        <f>25*M54/100</f>
        <v>12.5</v>
      </c>
      <c r="V54" s="37"/>
      <c r="W54" s="99"/>
      <c r="X54" s="82"/>
      <c r="Y54" s="83"/>
      <c r="Z54" s="84"/>
    </row>
    <row r="55" spans="1:26" ht="15.75" thickBot="1" x14ac:dyDescent="0.3">
      <c r="A55" s="89"/>
      <c r="B55" s="32"/>
      <c r="C55" s="35"/>
      <c r="D55" s="33"/>
      <c r="E55" s="32"/>
      <c r="F55" s="35"/>
      <c r="G55" s="35"/>
      <c r="H55" s="33"/>
      <c r="I55" s="46"/>
      <c r="J55" s="47"/>
      <c r="K55" s="46"/>
      <c r="L55" s="47"/>
      <c r="M55" s="32"/>
      <c r="N55" s="33"/>
      <c r="O55" s="38"/>
      <c r="P55" s="39"/>
      <c r="Q55" s="38"/>
      <c r="R55" s="39"/>
      <c r="S55" s="38"/>
      <c r="T55" s="39"/>
      <c r="U55" s="38"/>
      <c r="V55" s="39"/>
      <c r="W55" s="100"/>
      <c r="X55" s="82"/>
      <c r="Y55" s="83"/>
      <c r="Z55" s="84"/>
    </row>
    <row r="56" spans="1:26" x14ac:dyDescent="0.25">
      <c r="A56" s="89"/>
      <c r="B56" s="44" t="s">
        <v>5</v>
      </c>
      <c r="C56" s="34"/>
      <c r="D56" s="31"/>
      <c r="E56" s="44" t="s">
        <v>24</v>
      </c>
      <c r="F56" s="34"/>
      <c r="G56" s="34"/>
      <c r="H56" s="31"/>
      <c r="I56" s="30"/>
      <c r="J56" s="31"/>
      <c r="K56" s="30">
        <v>32</v>
      </c>
      <c r="L56" s="45"/>
      <c r="M56" s="44">
        <v>30</v>
      </c>
      <c r="N56" s="31"/>
      <c r="O56" s="36">
        <f>618*M56/100</f>
        <v>185.4</v>
      </c>
      <c r="P56" s="37"/>
      <c r="Q56" s="36">
        <f>12.4*M56/100</f>
        <v>3.72</v>
      </c>
      <c r="R56" s="37"/>
      <c r="S56" s="36">
        <f>27*M56/100</f>
        <v>8.1</v>
      </c>
      <c r="T56" s="37"/>
      <c r="U56" s="36">
        <f>50.5*M56/100</f>
        <v>15.15</v>
      </c>
      <c r="V56" s="37"/>
      <c r="W56" s="99"/>
      <c r="X56" s="82"/>
      <c r="Y56" s="83"/>
      <c r="Z56" s="84"/>
    </row>
    <row r="57" spans="1:26" ht="15.75" thickBot="1" x14ac:dyDescent="0.3">
      <c r="A57" s="89"/>
      <c r="B57" s="32"/>
      <c r="C57" s="35"/>
      <c r="D57" s="33"/>
      <c r="E57" s="32"/>
      <c r="F57" s="35"/>
      <c r="G57" s="35"/>
      <c r="H57" s="33"/>
      <c r="I57" s="32"/>
      <c r="J57" s="33"/>
      <c r="K57" s="46"/>
      <c r="L57" s="47"/>
      <c r="M57" s="32"/>
      <c r="N57" s="33"/>
      <c r="O57" s="38"/>
      <c r="P57" s="39"/>
      <c r="Q57" s="38"/>
      <c r="R57" s="39"/>
      <c r="S57" s="38"/>
      <c r="T57" s="39"/>
      <c r="U57" s="38"/>
      <c r="V57" s="39"/>
      <c r="W57" s="100"/>
      <c r="X57" s="82"/>
      <c r="Y57" s="83"/>
      <c r="Z57" s="84"/>
    </row>
    <row r="58" spans="1:26" x14ac:dyDescent="0.25">
      <c r="A58" s="89"/>
      <c r="B58" s="44" t="s">
        <v>17</v>
      </c>
      <c r="C58" s="34"/>
      <c r="D58" s="31"/>
      <c r="E58" s="44" t="s">
        <v>26</v>
      </c>
      <c r="F58" s="34"/>
      <c r="G58" s="34"/>
      <c r="H58" s="31"/>
      <c r="I58" s="30">
        <v>4742870013945</v>
      </c>
      <c r="J58" s="31"/>
      <c r="K58" s="30">
        <v>17</v>
      </c>
      <c r="L58" s="45"/>
      <c r="M58" s="44">
        <v>15</v>
      </c>
      <c r="N58" s="31"/>
      <c r="O58" s="36">
        <v>66</v>
      </c>
      <c r="P58" s="37"/>
      <c r="Q58" s="36">
        <v>11.9</v>
      </c>
      <c r="R58" s="37"/>
      <c r="S58" s="36">
        <v>0.7</v>
      </c>
      <c r="T58" s="37"/>
      <c r="U58" s="36">
        <v>1.6</v>
      </c>
      <c r="V58" s="37"/>
      <c r="W58" s="99"/>
      <c r="X58" s="82"/>
      <c r="Y58" s="83"/>
      <c r="Z58" s="84"/>
    </row>
    <row r="59" spans="1:26" ht="15.75" thickBot="1" x14ac:dyDescent="0.3">
      <c r="A59" s="89"/>
      <c r="B59" s="32"/>
      <c r="C59" s="35"/>
      <c r="D59" s="33"/>
      <c r="E59" s="32"/>
      <c r="F59" s="35"/>
      <c r="G59" s="35"/>
      <c r="H59" s="33"/>
      <c r="I59" s="32"/>
      <c r="J59" s="33"/>
      <c r="K59" s="46"/>
      <c r="L59" s="47"/>
      <c r="M59" s="32"/>
      <c r="N59" s="33"/>
      <c r="O59" s="38"/>
      <c r="P59" s="39"/>
      <c r="Q59" s="38"/>
      <c r="R59" s="39"/>
      <c r="S59" s="38"/>
      <c r="T59" s="39"/>
      <c r="U59" s="38"/>
      <c r="V59" s="39"/>
      <c r="W59" s="100"/>
      <c r="X59" s="82"/>
      <c r="Y59" s="83"/>
      <c r="Z59" s="84"/>
    </row>
    <row r="60" spans="1:26" x14ac:dyDescent="0.25">
      <c r="A60" s="89"/>
      <c r="B60" s="44" t="s">
        <v>27</v>
      </c>
      <c r="C60" s="34"/>
      <c r="D60" s="31"/>
      <c r="E60" s="44" t="s">
        <v>28</v>
      </c>
      <c r="F60" s="34"/>
      <c r="G60" s="34"/>
      <c r="H60" s="31"/>
      <c r="I60" s="30"/>
      <c r="J60" s="45"/>
      <c r="K60" s="30">
        <v>7</v>
      </c>
      <c r="L60" s="45"/>
      <c r="M60" s="44">
        <f>4*1.4</f>
        <v>5.6</v>
      </c>
      <c r="N60" s="31"/>
      <c r="O60" s="36">
        <f>222*M60/100</f>
        <v>12.431999999999999</v>
      </c>
      <c r="P60" s="37"/>
      <c r="Q60" s="36">
        <f>73*M60/100</f>
        <v>4.0879999999999992</v>
      </c>
      <c r="R60" s="37"/>
      <c r="S60" s="36">
        <f>0.4*M60/100</f>
        <v>2.2399999999999996E-2</v>
      </c>
      <c r="T60" s="37"/>
      <c r="U60" s="36">
        <f>12.2*M60/100</f>
        <v>0.68319999999999992</v>
      </c>
      <c r="V60" s="37"/>
      <c r="W60" s="99"/>
      <c r="X60" s="82"/>
      <c r="Y60" s="83"/>
      <c r="Z60" s="84"/>
    </row>
    <row r="61" spans="1:26" ht="15.75" thickBot="1" x14ac:dyDescent="0.3">
      <c r="A61" s="89"/>
      <c r="B61" s="32"/>
      <c r="C61" s="35"/>
      <c r="D61" s="33"/>
      <c r="E61" s="32"/>
      <c r="F61" s="35"/>
      <c r="G61" s="35"/>
      <c r="H61" s="33"/>
      <c r="I61" s="46"/>
      <c r="J61" s="47"/>
      <c r="K61" s="46"/>
      <c r="L61" s="47"/>
      <c r="M61" s="32"/>
      <c r="N61" s="33"/>
      <c r="O61" s="38"/>
      <c r="P61" s="39"/>
      <c r="Q61" s="38"/>
      <c r="R61" s="39"/>
      <c r="S61" s="38"/>
      <c r="T61" s="39"/>
      <c r="U61" s="38"/>
      <c r="V61" s="39"/>
      <c r="W61" s="100"/>
      <c r="X61" s="82"/>
      <c r="Y61" s="83"/>
      <c r="Z61" s="84"/>
    </row>
    <row r="62" spans="1:26" x14ac:dyDescent="0.25">
      <c r="A62" s="89"/>
      <c r="B62" s="44" t="s">
        <v>7</v>
      </c>
      <c r="C62" s="34"/>
      <c r="D62" s="31"/>
      <c r="E62" s="44" t="s">
        <v>66</v>
      </c>
      <c r="F62" s="34"/>
      <c r="G62" s="34"/>
      <c r="H62" s="31"/>
      <c r="I62" s="30"/>
      <c r="J62" s="31"/>
      <c r="K62" s="30">
        <v>4</v>
      </c>
      <c r="L62" s="45"/>
      <c r="M62" s="44">
        <v>2</v>
      </c>
      <c r="N62" s="31"/>
      <c r="O62" s="36">
        <v>0</v>
      </c>
      <c r="P62" s="37"/>
      <c r="Q62" s="36">
        <v>0</v>
      </c>
      <c r="R62" s="37"/>
      <c r="S62" s="36">
        <v>0</v>
      </c>
      <c r="T62" s="37"/>
      <c r="U62" s="36">
        <v>0</v>
      </c>
      <c r="V62" s="37"/>
      <c r="W62" s="101"/>
      <c r="X62" s="82"/>
      <c r="Y62" s="83"/>
      <c r="Z62" s="84"/>
    </row>
    <row r="63" spans="1:26" ht="15.75" thickBot="1" x14ac:dyDescent="0.3">
      <c r="A63" s="89"/>
      <c r="B63" s="32"/>
      <c r="C63" s="35"/>
      <c r="D63" s="33"/>
      <c r="E63" s="32"/>
      <c r="F63" s="35"/>
      <c r="G63" s="35"/>
      <c r="H63" s="33"/>
      <c r="I63" s="32"/>
      <c r="J63" s="33"/>
      <c r="K63" s="46"/>
      <c r="L63" s="47"/>
      <c r="M63" s="32"/>
      <c r="N63" s="33"/>
      <c r="O63" s="38"/>
      <c r="P63" s="39"/>
      <c r="Q63" s="38"/>
      <c r="R63" s="39"/>
      <c r="S63" s="38"/>
      <c r="T63" s="39"/>
      <c r="U63" s="38"/>
      <c r="V63" s="39"/>
      <c r="W63" s="100"/>
      <c r="X63" s="82"/>
      <c r="Y63" s="83"/>
      <c r="Z63" s="84"/>
    </row>
    <row r="64" spans="1:26" x14ac:dyDescent="0.25">
      <c r="A64" s="89"/>
      <c r="B64" s="44" t="s">
        <v>8</v>
      </c>
      <c r="C64" s="34"/>
      <c r="D64" s="31"/>
      <c r="E64" s="44" t="s">
        <v>8</v>
      </c>
      <c r="F64" s="34"/>
      <c r="G64" s="34"/>
      <c r="H64" s="31"/>
      <c r="I64" s="30"/>
      <c r="J64" s="31"/>
      <c r="K64" s="30"/>
      <c r="L64" s="45"/>
      <c r="M64" s="44"/>
      <c r="N64" s="31"/>
      <c r="O64" s="36"/>
      <c r="P64" s="37"/>
      <c r="Q64" s="44"/>
      <c r="R64" s="31"/>
      <c r="S64" s="44"/>
      <c r="T64" s="31"/>
      <c r="U64" s="44"/>
      <c r="V64" s="31"/>
      <c r="W64" s="101"/>
      <c r="X64" s="82"/>
      <c r="Y64" s="83"/>
      <c r="Z64" s="84"/>
    </row>
    <row r="65" spans="1:26" ht="15.75" thickBot="1" x14ac:dyDescent="0.3">
      <c r="A65" s="90"/>
      <c r="B65" s="32"/>
      <c r="C65" s="35"/>
      <c r="D65" s="33"/>
      <c r="E65" s="32"/>
      <c r="F65" s="35"/>
      <c r="G65" s="35"/>
      <c r="H65" s="33"/>
      <c r="I65" s="32"/>
      <c r="J65" s="33"/>
      <c r="K65" s="46"/>
      <c r="L65" s="47"/>
      <c r="M65" s="32"/>
      <c r="N65" s="33"/>
      <c r="O65" s="38"/>
      <c r="P65" s="39"/>
      <c r="Q65" s="32"/>
      <c r="R65" s="33"/>
      <c r="S65" s="32"/>
      <c r="T65" s="33"/>
      <c r="U65" s="32"/>
      <c r="V65" s="33"/>
      <c r="W65" s="100"/>
      <c r="X65" s="85"/>
      <c r="Y65" s="86"/>
      <c r="Z65" s="87"/>
    </row>
    <row r="66" spans="1:26" ht="15.75" thickBot="1" x14ac:dyDescent="0.3">
      <c r="A66" s="1"/>
      <c r="B66" s="65" t="s">
        <v>16</v>
      </c>
      <c r="C66" s="66"/>
      <c r="D66" s="67"/>
      <c r="E66" s="48"/>
      <c r="F66" s="49"/>
      <c r="G66" s="49"/>
      <c r="H66" s="50"/>
      <c r="I66" s="15"/>
      <c r="J66" s="15"/>
      <c r="K66" s="63">
        <f>SUM(K48:L65)</f>
        <v>360</v>
      </c>
      <c r="L66" s="64"/>
      <c r="M66" s="63">
        <f>SUM(M48:N65)</f>
        <v>317.60000000000002</v>
      </c>
      <c r="N66" s="64"/>
      <c r="O66" s="63">
        <f>SUM(O48:P65)</f>
        <v>1245.8320000000001</v>
      </c>
      <c r="P66" s="64"/>
      <c r="Q66" s="63">
        <f>SUM(Q48:R65)</f>
        <v>139.358</v>
      </c>
      <c r="R66" s="64"/>
      <c r="S66" s="63">
        <f>SUM(S48:T65)</f>
        <v>35.802399999999999</v>
      </c>
      <c r="T66" s="64"/>
      <c r="U66" s="63">
        <f>SUM(U48:V65)</f>
        <v>60.763199999999998</v>
      </c>
      <c r="V66" s="64"/>
      <c r="W66" s="16"/>
      <c r="X66" s="6"/>
      <c r="Y66" s="3"/>
      <c r="Z66" s="7"/>
    </row>
    <row r="67" spans="1:26" x14ac:dyDescent="0.25">
      <c r="A67" s="144">
        <v>4</v>
      </c>
      <c r="B67" s="51" t="s">
        <v>1</v>
      </c>
      <c r="C67" s="52"/>
      <c r="D67" s="53"/>
      <c r="E67" s="51" t="s">
        <v>98</v>
      </c>
      <c r="F67" s="52"/>
      <c r="G67" s="52"/>
      <c r="H67" s="53"/>
      <c r="I67" s="167"/>
      <c r="J67" s="168"/>
      <c r="K67" s="51">
        <v>150</v>
      </c>
      <c r="L67" s="53"/>
      <c r="M67" s="51">
        <v>130</v>
      </c>
      <c r="N67" s="53"/>
      <c r="O67" s="57">
        <v>494</v>
      </c>
      <c r="P67" s="58"/>
      <c r="Q67" s="57">
        <v>21</v>
      </c>
      <c r="R67" s="58"/>
      <c r="S67" s="57">
        <v>28</v>
      </c>
      <c r="T67" s="58"/>
      <c r="U67" s="57">
        <v>8.4</v>
      </c>
      <c r="V67" s="58"/>
      <c r="W67" s="135"/>
      <c r="X67" s="147">
        <v>26400</v>
      </c>
      <c r="Y67" s="148"/>
      <c r="Z67" s="149"/>
    </row>
    <row r="68" spans="1:26" ht="15.75" thickBot="1" x14ac:dyDescent="0.3">
      <c r="A68" s="145"/>
      <c r="B68" s="54"/>
      <c r="C68" s="55"/>
      <c r="D68" s="56"/>
      <c r="E68" s="54"/>
      <c r="F68" s="55"/>
      <c r="G68" s="55"/>
      <c r="H68" s="56"/>
      <c r="I68" s="169"/>
      <c r="J68" s="170"/>
      <c r="K68" s="54"/>
      <c r="L68" s="56"/>
      <c r="M68" s="54"/>
      <c r="N68" s="56"/>
      <c r="O68" s="59"/>
      <c r="P68" s="60"/>
      <c r="Q68" s="59"/>
      <c r="R68" s="60"/>
      <c r="S68" s="59"/>
      <c r="T68" s="60"/>
      <c r="U68" s="59"/>
      <c r="V68" s="60"/>
      <c r="W68" s="166"/>
      <c r="X68" s="150"/>
      <c r="Y68" s="151"/>
      <c r="Z68" s="152"/>
    </row>
    <row r="69" spans="1:26" x14ac:dyDescent="0.25">
      <c r="A69" s="145"/>
      <c r="B69" s="51" t="s">
        <v>2</v>
      </c>
      <c r="C69" s="52"/>
      <c r="D69" s="53"/>
      <c r="E69" s="51" t="s">
        <v>72</v>
      </c>
      <c r="F69" s="52"/>
      <c r="G69" s="52"/>
      <c r="H69" s="53"/>
      <c r="I69" s="61"/>
      <c r="J69" s="52"/>
      <c r="K69" s="61">
        <v>55</v>
      </c>
      <c r="L69" s="74"/>
      <c r="M69" s="52">
        <v>50</v>
      </c>
      <c r="N69" s="53"/>
      <c r="O69" s="40">
        <f>427*M69/100</f>
        <v>213.5</v>
      </c>
      <c r="P69" s="41"/>
      <c r="Q69" s="40">
        <f>65.7*M69/100</f>
        <v>32.85</v>
      </c>
      <c r="R69" s="41"/>
      <c r="S69" s="40">
        <f>11.4*M69/100</f>
        <v>5.7</v>
      </c>
      <c r="T69" s="41"/>
      <c r="U69" s="40">
        <f>10.6*M69/100</f>
        <v>5.3</v>
      </c>
      <c r="V69" s="41"/>
      <c r="W69" s="135"/>
      <c r="X69" s="150"/>
      <c r="Y69" s="151"/>
      <c r="Z69" s="152"/>
    </row>
    <row r="70" spans="1:26" ht="15.75" thickBot="1" x14ac:dyDescent="0.3">
      <c r="A70" s="145"/>
      <c r="B70" s="54"/>
      <c r="C70" s="55"/>
      <c r="D70" s="56"/>
      <c r="E70" s="54"/>
      <c r="F70" s="55"/>
      <c r="G70" s="55"/>
      <c r="H70" s="56"/>
      <c r="I70" s="54"/>
      <c r="J70" s="55"/>
      <c r="K70" s="75"/>
      <c r="L70" s="76"/>
      <c r="M70" s="55"/>
      <c r="N70" s="56"/>
      <c r="O70" s="42"/>
      <c r="P70" s="43"/>
      <c r="Q70" s="42"/>
      <c r="R70" s="43"/>
      <c r="S70" s="42"/>
      <c r="T70" s="43"/>
      <c r="U70" s="42"/>
      <c r="V70" s="43"/>
      <c r="W70" s="166"/>
      <c r="X70" s="150"/>
      <c r="Y70" s="151"/>
      <c r="Z70" s="152"/>
    </row>
    <row r="71" spans="1:26" x14ac:dyDescent="0.25">
      <c r="A71" s="145"/>
      <c r="B71" s="51" t="s">
        <v>3</v>
      </c>
      <c r="C71" s="52"/>
      <c r="D71" s="53"/>
      <c r="E71" s="51" t="s">
        <v>21</v>
      </c>
      <c r="F71" s="52"/>
      <c r="G71" s="52"/>
      <c r="H71" s="53"/>
      <c r="I71" s="61">
        <v>4742870019008</v>
      </c>
      <c r="J71" s="53"/>
      <c r="K71" s="77">
        <v>80</v>
      </c>
      <c r="L71" s="78"/>
      <c r="M71" s="51">
        <v>75</v>
      </c>
      <c r="N71" s="53"/>
      <c r="O71" s="40">
        <v>225</v>
      </c>
      <c r="P71" s="41"/>
      <c r="Q71" s="51">
        <v>1.05</v>
      </c>
      <c r="R71" s="53"/>
      <c r="S71" s="51">
        <v>7.2</v>
      </c>
      <c r="T71" s="53"/>
      <c r="U71" s="51">
        <v>21.23</v>
      </c>
      <c r="V71" s="53"/>
      <c r="W71" s="164"/>
      <c r="X71" s="150"/>
      <c r="Y71" s="151"/>
      <c r="Z71" s="152"/>
    </row>
    <row r="72" spans="1:26" ht="15.75" thickBot="1" x14ac:dyDescent="0.3">
      <c r="A72" s="145"/>
      <c r="B72" s="54"/>
      <c r="C72" s="55"/>
      <c r="D72" s="56"/>
      <c r="E72" s="54"/>
      <c r="F72" s="55"/>
      <c r="G72" s="55"/>
      <c r="H72" s="56"/>
      <c r="I72" s="54"/>
      <c r="J72" s="56"/>
      <c r="K72" s="75"/>
      <c r="L72" s="76"/>
      <c r="M72" s="54"/>
      <c r="N72" s="56"/>
      <c r="O72" s="42"/>
      <c r="P72" s="43"/>
      <c r="Q72" s="54"/>
      <c r="R72" s="56"/>
      <c r="S72" s="54"/>
      <c r="T72" s="56"/>
      <c r="U72" s="54"/>
      <c r="V72" s="56"/>
      <c r="W72" s="165"/>
      <c r="X72" s="150"/>
      <c r="Y72" s="151"/>
      <c r="Z72" s="152"/>
    </row>
    <row r="73" spans="1:26" x14ac:dyDescent="0.25">
      <c r="A73" s="145"/>
      <c r="B73" s="51" t="s">
        <v>4</v>
      </c>
      <c r="C73" s="52"/>
      <c r="D73" s="53"/>
      <c r="E73" s="51" t="s">
        <v>73</v>
      </c>
      <c r="F73" s="52"/>
      <c r="G73" s="52"/>
      <c r="H73" s="53"/>
      <c r="I73" s="61"/>
      <c r="J73" s="74"/>
      <c r="K73" s="61">
        <v>55</v>
      </c>
      <c r="L73" s="74"/>
      <c r="M73" s="51">
        <v>50</v>
      </c>
      <c r="N73" s="53"/>
      <c r="O73" s="40">
        <f>485*M73/100</f>
        <v>242.5</v>
      </c>
      <c r="P73" s="41"/>
      <c r="Q73" s="40">
        <f>56.2*M73/100</f>
        <v>28.1</v>
      </c>
      <c r="R73" s="41"/>
      <c r="S73" s="40">
        <f>5.8*M73/100</f>
        <v>2.9</v>
      </c>
      <c r="T73" s="41"/>
      <c r="U73" s="40">
        <f>25*M73/100</f>
        <v>12.5</v>
      </c>
      <c r="V73" s="41"/>
      <c r="W73" s="136"/>
      <c r="X73" s="150"/>
      <c r="Y73" s="151"/>
      <c r="Z73" s="152"/>
    </row>
    <row r="74" spans="1:26" ht="15.75" thickBot="1" x14ac:dyDescent="0.3">
      <c r="A74" s="145"/>
      <c r="B74" s="54"/>
      <c r="C74" s="55"/>
      <c r="D74" s="56"/>
      <c r="E74" s="54"/>
      <c r="F74" s="55"/>
      <c r="G74" s="55"/>
      <c r="H74" s="56"/>
      <c r="I74" s="75"/>
      <c r="J74" s="76"/>
      <c r="K74" s="75"/>
      <c r="L74" s="76"/>
      <c r="M74" s="54"/>
      <c r="N74" s="56"/>
      <c r="O74" s="42"/>
      <c r="P74" s="43"/>
      <c r="Q74" s="42"/>
      <c r="R74" s="43"/>
      <c r="S74" s="42"/>
      <c r="T74" s="43"/>
      <c r="U74" s="42"/>
      <c r="V74" s="43"/>
      <c r="W74" s="137"/>
      <c r="X74" s="150"/>
      <c r="Y74" s="151"/>
      <c r="Z74" s="152"/>
    </row>
    <row r="75" spans="1:26" x14ac:dyDescent="0.25">
      <c r="A75" s="145"/>
      <c r="B75" s="51" t="s">
        <v>5</v>
      </c>
      <c r="C75" s="52"/>
      <c r="D75" s="53"/>
      <c r="E75" s="51" t="s">
        <v>65</v>
      </c>
      <c r="F75" s="52"/>
      <c r="G75" s="52"/>
      <c r="H75" s="53"/>
      <c r="I75" s="61"/>
      <c r="J75" s="74"/>
      <c r="K75" s="51">
        <v>27</v>
      </c>
      <c r="L75" s="53"/>
      <c r="M75" s="51">
        <v>25</v>
      </c>
      <c r="N75" s="53"/>
      <c r="O75" s="57">
        <f>270*M75/100</f>
        <v>67.5</v>
      </c>
      <c r="P75" s="58"/>
      <c r="Q75" s="57">
        <f>65.2*M75/100</f>
        <v>16.3</v>
      </c>
      <c r="R75" s="58"/>
      <c r="S75" s="57">
        <f>0.3*M75/100</f>
        <v>7.4999999999999997E-2</v>
      </c>
      <c r="T75" s="58"/>
      <c r="U75" s="57">
        <f>0.4*M75/100</f>
        <v>0.1</v>
      </c>
      <c r="V75" s="58"/>
      <c r="W75" s="135"/>
      <c r="X75" s="150"/>
      <c r="Y75" s="151"/>
      <c r="Z75" s="152"/>
    </row>
    <row r="76" spans="1:26" ht="15.75" thickBot="1" x14ac:dyDescent="0.3">
      <c r="A76" s="145"/>
      <c r="B76" s="54"/>
      <c r="C76" s="55"/>
      <c r="D76" s="56"/>
      <c r="E76" s="54"/>
      <c r="F76" s="55"/>
      <c r="G76" s="55"/>
      <c r="H76" s="56"/>
      <c r="I76" s="75"/>
      <c r="J76" s="76"/>
      <c r="K76" s="54"/>
      <c r="L76" s="56"/>
      <c r="M76" s="54"/>
      <c r="N76" s="56"/>
      <c r="O76" s="59"/>
      <c r="P76" s="60"/>
      <c r="Q76" s="59"/>
      <c r="R76" s="60"/>
      <c r="S76" s="59"/>
      <c r="T76" s="60"/>
      <c r="U76" s="59"/>
      <c r="V76" s="60"/>
      <c r="W76" s="134"/>
      <c r="X76" s="150"/>
      <c r="Y76" s="151"/>
      <c r="Z76" s="152"/>
    </row>
    <row r="77" spans="1:26" x14ac:dyDescent="0.25">
      <c r="A77" s="145"/>
      <c r="B77" s="51" t="s">
        <v>17</v>
      </c>
      <c r="C77" s="52"/>
      <c r="D77" s="53"/>
      <c r="E77" s="138" t="s">
        <v>26</v>
      </c>
      <c r="F77" s="139"/>
      <c r="G77" s="139"/>
      <c r="H77" s="140"/>
      <c r="I77" s="61">
        <v>4742870013945</v>
      </c>
      <c r="J77" s="74"/>
      <c r="K77" s="51">
        <v>17</v>
      </c>
      <c r="L77" s="53"/>
      <c r="M77" s="51">
        <v>15</v>
      </c>
      <c r="N77" s="53"/>
      <c r="O77" s="57">
        <v>66</v>
      </c>
      <c r="P77" s="58"/>
      <c r="Q77" s="57">
        <v>11.9</v>
      </c>
      <c r="R77" s="58"/>
      <c r="S77" s="57">
        <v>0.7</v>
      </c>
      <c r="T77" s="58"/>
      <c r="U77" s="57">
        <v>1.6</v>
      </c>
      <c r="V77" s="58"/>
      <c r="W77" s="135"/>
      <c r="X77" s="150"/>
      <c r="Y77" s="151"/>
      <c r="Z77" s="152"/>
    </row>
    <row r="78" spans="1:26" ht="15.75" thickBot="1" x14ac:dyDescent="0.3">
      <c r="A78" s="145"/>
      <c r="B78" s="54"/>
      <c r="C78" s="55"/>
      <c r="D78" s="56"/>
      <c r="E78" s="141"/>
      <c r="F78" s="142"/>
      <c r="G78" s="142"/>
      <c r="H78" s="143"/>
      <c r="I78" s="75"/>
      <c r="J78" s="76"/>
      <c r="K78" s="54"/>
      <c r="L78" s="56"/>
      <c r="M78" s="54"/>
      <c r="N78" s="56"/>
      <c r="O78" s="59"/>
      <c r="P78" s="60"/>
      <c r="Q78" s="59"/>
      <c r="R78" s="60"/>
      <c r="S78" s="59"/>
      <c r="T78" s="60"/>
      <c r="U78" s="59"/>
      <c r="V78" s="60"/>
      <c r="W78" s="134"/>
      <c r="X78" s="150"/>
      <c r="Y78" s="151"/>
      <c r="Z78" s="152"/>
    </row>
    <row r="79" spans="1:26" x14ac:dyDescent="0.25">
      <c r="A79" s="145"/>
      <c r="B79" s="51" t="s">
        <v>27</v>
      </c>
      <c r="C79" s="52"/>
      <c r="D79" s="53"/>
      <c r="E79" s="138" t="s">
        <v>28</v>
      </c>
      <c r="F79" s="139"/>
      <c r="G79" s="139"/>
      <c r="H79" s="140"/>
      <c r="I79" s="27"/>
      <c r="J79" s="28"/>
      <c r="K79" s="51">
        <v>7</v>
      </c>
      <c r="L79" s="53"/>
      <c r="M79" s="51">
        <v>5.6</v>
      </c>
      <c r="N79" s="53"/>
      <c r="O79" s="57">
        <v>12.43</v>
      </c>
      <c r="P79" s="58"/>
      <c r="Q79" s="57">
        <v>4.09</v>
      </c>
      <c r="R79" s="58"/>
      <c r="S79" s="57">
        <v>0.02</v>
      </c>
      <c r="T79" s="58"/>
      <c r="U79" s="57">
        <v>0.68</v>
      </c>
      <c r="V79" s="58"/>
      <c r="W79" s="135"/>
      <c r="X79" s="150"/>
      <c r="Y79" s="151"/>
      <c r="Z79" s="152"/>
    </row>
    <row r="80" spans="1:26" ht="15.75" thickBot="1" x14ac:dyDescent="0.3">
      <c r="A80" s="145"/>
      <c r="B80" s="54"/>
      <c r="C80" s="55"/>
      <c r="D80" s="56"/>
      <c r="E80" s="141"/>
      <c r="F80" s="142"/>
      <c r="G80" s="142"/>
      <c r="H80" s="143"/>
      <c r="I80" s="27"/>
      <c r="J80" s="28"/>
      <c r="K80" s="54"/>
      <c r="L80" s="56"/>
      <c r="M80" s="54"/>
      <c r="N80" s="56"/>
      <c r="O80" s="59"/>
      <c r="P80" s="60"/>
      <c r="Q80" s="59"/>
      <c r="R80" s="60"/>
      <c r="S80" s="59"/>
      <c r="T80" s="60"/>
      <c r="U80" s="59"/>
      <c r="V80" s="60"/>
      <c r="W80" s="134"/>
      <c r="X80" s="150"/>
      <c r="Y80" s="151"/>
      <c r="Z80" s="152"/>
    </row>
    <row r="81" spans="1:26" x14ac:dyDescent="0.25">
      <c r="A81" s="145"/>
      <c r="B81" s="51" t="s">
        <v>7</v>
      </c>
      <c r="C81" s="52"/>
      <c r="D81" s="53"/>
      <c r="E81" s="51" t="s">
        <v>66</v>
      </c>
      <c r="F81" s="52"/>
      <c r="G81" s="52"/>
      <c r="H81" s="53"/>
      <c r="I81" s="61"/>
      <c r="J81" s="53"/>
      <c r="K81" s="61">
        <v>4</v>
      </c>
      <c r="L81" s="74"/>
      <c r="M81" s="51">
        <v>2</v>
      </c>
      <c r="N81" s="53"/>
      <c r="O81" s="40">
        <v>0</v>
      </c>
      <c r="P81" s="41"/>
      <c r="Q81" s="40">
        <v>0</v>
      </c>
      <c r="R81" s="41"/>
      <c r="S81" s="40">
        <v>0</v>
      </c>
      <c r="T81" s="41"/>
      <c r="U81" s="40">
        <v>0</v>
      </c>
      <c r="V81" s="41"/>
      <c r="W81" s="133"/>
      <c r="X81" s="150"/>
      <c r="Y81" s="151"/>
      <c r="Z81" s="152"/>
    </row>
    <row r="82" spans="1:26" ht="15.75" thickBot="1" x14ac:dyDescent="0.3">
      <c r="A82" s="145"/>
      <c r="B82" s="54"/>
      <c r="C82" s="55"/>
      <c r="D82" s="56"/>
      <c r="E82" s="54"/>
      <c r="F82" s="55"/>
      <c r="G82" s="55"/>
      <c r="H82" s="56"/>
      <c r="I82" s="54"/>
      <c r="J82" s="56"/>
      <c r="K82" s="75"/>
      <c r="L82" s="76"/>
      <c r="M82" s="54"/>
      <c r="N82" s="56"/>
      <c r="O82" s="42"/>
      <c r="P82" s="43"/>
      <c r="Q82" s="42"/>
      <c r="R82" s="43"/>
      <c r="S82" s="42"/>
      <c r="T82" s="43"/>
      <c r="U82" s="42"/>
      <c r="V82" s="43"/>
      <c r="W82" s="134"/>
      <c r="X82" s="150"/>
      <c r="Y82" s="151"/>
      <c r="Z82" s="152"/>
    </row>
    <row r="83" spans="1:26" x14ac:dyDescent="0.25">
      <c r="A83" s="145"/>
      <c r="B83" s="51" t="s">
        <v>8</v>
      </c>
      <c r="C83" s="52"/>
      <c r="D83" s="53"/>
      <c r="E83" s="51" t="s">
        <v>8</v>
      </c>
      <c r="F83" s="52"/>
      <c r="G83" s="52"/>
      <c r="H83" s="53"/>
      <c r="I83" s="61"/>
      <c r="J83" s="53"/>
      <c r="K83" s="61"/>
      <c r="L83" s="74"/>
      <c r="M83" s="51"/>
      <c r="N83" s="53"/>
      <c r="O83" s="40"/>
      <c r="P83" s="41"/>
      <c r="Q83" s="40"/>
      <c r="R83" s="41"/>
      <c r="S83" s="40"/>
      <c r="T83" s="41"/>
      <c r="U83" s="40"/>
      <c r="V83" s="41"/>
      <c r="W83" s="133"/>
      <c r="X83" s="150"/>
      <c r="Y83" s="151"/>
      <c r="Z83" s="152"/>
    </row>
    <row r="84" spans="1:26" ht="15.75" thickBot="1" x14ac:dyDescent="0.3">
      <c r="A84" s="146"/>
      <c r="B84" s="54"/>
      <c r="C84" s="55"/>
      <c r="D84" s="56"/>
      <c r="E84" s="54"/>
      <c r="F84" s="55"/>
      <c r="G84" s="55"/>
      <c r="H84" s="56"/>
      <c r="I84" s="54"/>
      <c r="J84" s="56"/>
      <c r="K84" s="75"/>
      <c r="L84" s="76"/>
      <c r="M84" s="54"/>
      <c r="N84" s="56"/>
      <c r="O84" s="42"/>
      <c r="P84" s="43"/>
      <c r="Q84" s="42"/>
      <c r="R84" s="43"/>
      <c r="S84" s="42"/>
      <c r="T84" s="43"/>
      <c r="U84" s="42"/>
      <c r="V84" s="43"/>
      <c r="W84" s="134"/>
      <c r="X84" s="153"/>
      <c r="Y84" s="154"/>
      <c r="Z84" s="155"/>
    </row>
    <row r="85" spans="1:26" ht="15.75" thickBot="1" x14ac:dyDescent="0.3">
      <c r="A85" s="2"/>
      <c r="B85" s="156" t="s">
        <v>16</v>
      </c>
      <c r="C85" s="157"/>
      <c r="D85" s="158"/>
      <c r="E85" s="159"/>
      <c r="F85" s="160"/>
      <c r="G85" s="160"/>
      <c r="H85" s="161"/>
      <c r="I85" s="159"/>
      <c r="J85" s="161"/>
      <c r="K85" s="162">
        <f>SUM(K67:L84)</f>
        <v>395</v>
      </c>
      <c r="L85" s="163"/>
      <c r="M85" s="162">
        <f>SUM(M67:N84)</f>
        <v>352.6</v>
      </c>
      <c r="N85" s="163"/>
      <c r="O85" s="162">
        <f>SUM(O67:P84)</f>
        <v>1320.93</v>
      </c>
      <c r="P85" s="163"/>
      <c r="Q85" s="162">
        <f>SUM(Q67:R84)</f>
        <v>115.29</v>
      </c>
      <c r="R85" s="163"/>
      <c r="S85" s="162">
        <f>SUM(S67:T84)</f>
        <v>44.595000000000013</v>
      </c>
      <c r="T85" s="163"/>
      <c r="U85" s="162">
        <f>SUM(U67:V84)</f>
        <v>49.81</v>
      </c>
      <c r="V85" s="163"/>
      <c r="W85" s="20"/>
    </row>
  </sheetData>
  <mergeCells count="413">
    <mergeCell ref="B79:D80"/>
    <mergeCell ref="E79:H80"/>
    <mergeCell ref="K79:L80"/>
    <mergeCell ref="M79:N80"/>
    <mergeCell ref="O79:P80"/>
    <mergeCell ref="Q79:R80"/>
    <mergeCell ref="S79:T80"/>
    <mergeCell ref="U79:V80"/>
    <mergeCell ref="W79:W80"/>
    <mergeCell ref="A67:A84"/>
    <mergeCell ref="X67:Z84"/>
    <mergeCell ref="B85:D85"/>
    <mergeCell ref="E85:H85"/>
    <mergeCell ref="I85:J85"/>
    <mergeCell ref="K85:L85"/>
    <mergeCell ref="M85:N85"/>
    <mergeCell ref="O85:P85"/>
    <mergeCell ref="Q85:R85"/>
    <mergeCell ref="S85:T85"/>
    <mergeCell ref="U85:V85"/>
    <mergeCell ref="E73:H74"/>
    <mergeCell ref="B73:D74"/>
    <mergeCell ref="W71:W72"/>
    <mergeCell ref="I71:J72"/>
    <mergeCell ref="W69:W70"/>
    <mergeCell ref="I69:J70"/>
    <mergeCell ref="W67:W68"/>
    <mergeCell ref="S67:T68"/>
    <mergeCell ref="Q67:R68"/>
    <mergeCell ref="O67:P68"/>
    <mergeCell ref="M67:N68"/>
    <mergeCell ref="K67:L68"/>
    <mergeCell ref="I67:J68"/>
    <mergeCell ref="E67:H68"/>
    <mergeCell ref="B67:D68"/>
    <mergeCell ref="W77:W78"/>
    <mergeCell ref="W75:W76"/>
    <mergeCell ref="S75:T76"/>
    <mergeCell ref="Q75:R76"/>
    <mergeCell ref="I75:J76"/>
    <mergeCell ref="W73:W74"/>
    <mergeCell ref="U73:V74"/>
    <mergeCell ref="M73:N74"/>
    <mergeCell ref="K73:L74"/>
    <mergeCell ref="I73:J74"/>
    <mergeCell ref="B77:D78"/>
    <mergeCell ref="E77:H78"/>
    <mergeCell ref="K77:L78"/>
    <mergeCell ref="M77:N78"/>
    <mergeCell ref="M75:N76"/>
    <mergeCell ref="O75:P76"/>
    <mergeCell ref="I77:J78"/>
    <mergeCell ref="W83:W84"/>
    <mergeCell ref="Q83:R84"/>
    <mergeCell ref="E83:H84"/>
    <mergeCell ref="W81:W82"/>
    <mergeCell ref="S81:T82"/>
    <mergeCell ref="Q81:R82"/>
    <mergeCell ref="O81:P82"/>
    <mergeCell ref="M81:N82"/>
    <mergeCell ref="K81:L82"/>
    <mergeCell ref="K83:L84"/>
    <mergeCell ref="M83:N84"/>
    <mergeCell ref="I83:J84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A10:A27"/>
    <mergeCell ref="B10:D11"/>
    <mergeCell ref="E10:H11"/>
    <mergeCell ref="K10:L11"/>
    <mergeCell ref="M10:N11"/>
    <mergeCell ref="A7:A9"/>
    <mergeCell ref="B7:D9"/>
    <mergeCell ref="E7:H9"/>
    <mergeCell ref="K7:L9"/>
    <mergeCell ref="M7:N9"/>
    <mergeCell ref="B12:D13"/>
    <mergeCell ref="E12:H13"/>
    <mergeCell ref="K12:L13"/>
    <mergeCell ref="M12:N13"/>
    <mergeCell ref="B16:D17"/>
    <mergeCell ref="E16:H17"/>
    <mergeCell ref="K16:L17"/>
    <mergeCell ref="M16:N17"/>
    <mergeCell ref="B14:D15"/>
    <mergeCell ref="E14:H15"/>
    <mergeCell ref="B20:D21"/>
    <mergeCell ref="E20:H21"/>
    <mergeCell ref="K20:L21"/>
    <mergeCell ref="M20:N21"/>
    <mergeCell ref="Q7:R9"/>
    <mergeCell ref="S7:T9"/>
    <mergeCell ref="U7:V9"/>
    <mergeCell ref="X7:Z9"/>
    <mergeCell ref="Q12:R13"/>
    <mergeCell ref="Q10:R11"/>
    <mergeCell ref="S10:T11"/>
    <mergeCell ref="U14:V15"/>
    <mergeCell ref="O7:P9"/>
    <mergeCell ref="O12:P13"/>
    <mergeCell ref="O10:P11"/>
    <mergeCell ref="W10:W11"/>
    <mergeCell ref="W12:W13"/>
    <mergeCell ref="W14:W15"/>
    <mergeCell ref="W7:W9"/>
    <mergeCell ref="S18:T19"/>
    <mergeCell ref="U18:V19"/>
    <mergeCell ref="U10:V11"/>
    <mergeCell ref="X10:Z27"/>
    <mergeCell ref="S12:T13"/>
    <mergeCell ref="U12:V13"/>
    <mergeCell ref="S14:T15"/>
    <mergeCell ref="S16:T17"/>
    <mergeCell ref="U16:V17"/>
    <mergeCell ref="S20:T21"/>
    <mergeCell ref="U20:V21"/>
    <mergeCell ref="S26:T27"/>
    <mergeCell ref="U26:V27"/>
    <mergeCell ref="S24:T25"/>
    <mergeCell ref="U24:V25"/>
    <mergeCell ref="W16:W17"/>
    <mergeCell ref="W18:W19"/>
    <mergeCell ref="W20:W21"/>
    <mergeCell ref="W22:W23"/>
    <mergeCell ref="W24:W25"/>
    <mergeCell ref="W26:W27"/>
    <mergeCell ref="O20:P21"/>
    <mergeCell ref="Q20:R21"/>
    <mergeCell ref="K14:L15"/>
    <mergeCell ref="M14:N15"/>
    <mergeCell ref="O14:P15"/>
    <mergeCell ref="Q14:R15"/>
    <mergeCell ref="B18:D19"/>
    <mergeCell ref="E18:H19"/>
    <mergeCell ref="K18:L19"/>
    <mergeCell ref="M18:N19"/>
    <mergeCell ref="O18:P19"/>
    <mergeCell ref="Q18:R19"/>
    <mergeCell ref="Q16:R17"/>
    <mergeCell ref="O16:P17"/>
    <mergeCell ref="S28:T28"/>
    <mergeCell ref="U28:V28"/>
    <mergeCell ref="B28:D28"/>
    <mergeCell ref="E28:H28"/>
    <mergeCell ref="K28:L28"/>
    <mergeCell ref="M28:N28"/>
    <mergeCell ref="O28:P28"/>
    <mergeCell ref="Q28:R28"/>
    <mergeCell ref="S29:T30"/>
    <mergeCell ref="U29:V30"/>
    <mergeCell ref="S35:T36"/>
    <mergeCell ref="U35:V36"/>
    <mergeCell ref="A29:A46"/>
    <mergeCell ref="B29:D30"/>
    <mergeCell ref="E29:H30"/>
    <mergeCell ref="K29:L30"/>
    <mergeCell ref="M29:N30"/>
    <mergeCell ref="O29:P30"/>
    <mergeCell ref="Q29:R30"/>
    <mergeCell ref="Q35:R36"/>
    <mergeCell ref="B37:D38"/>
    <mergeCell ref="B39:D40"/>
    <mergeCell ref="E39:H40"/>
    <mergeCell ref="K39:L40"/>
    <mergeCell ref="S45:T46"/>
    <mergeCell ref="U45:V46"/>
    <mergeCell ref="U43:V44"/>
    <mergeCell ref="O37:P38"/>
    <mergeCell ref="Q37:R38"/>
    <mergeCell ref="B43:D44"/>
    <mergeCell ref="E43:H44"/>
    <mergeCell ref="K43:L44"/>
    <mergeCell ref="M43:N44"/>
    <mergeCell ref="O43:P44"/>
    <mergeCell ref="X29:Z46"/>
    <mergeCell ref="B31:D32"/>
    <mergeCell ref="E31:H32"/>
    <mergeCell ref="K31:L32"/>
    <mergeCell ref="M31:N32"/>
    <mergeCell ref="O31:P32"/>
    <mergeCell ref="Q31:R32"/>
    <mergeCell ref="S31:T32"/>
    <mergeCell ref="U31:V32"/>
    <mergeCell ref="B33:D34"/>
    <mergeCell ref="E33:H34"/>
    <mergeCell ref="K33:L34"/>
    <mergeCell ref="M33:N34"/>
    <mergeCell ref="O33:P34"/>
    <mergeCell ref="Q33:R34"/>
    <mergeCell ref="S33:T34"/>
    <mergeCell ref="U33:V34"/>
    <mergeCell ref="B35:D36"/>
    <mergeCell ref="E35:H36"/>
    <mergeCell ref="K35:L36"/>
    <mergeCell ref="M35:N36"/>
    <mergeCell ref="O35:P36"/>
    <mergeCell ref="M39:N40"/>
    <mergeCell ref="O39:P40"/>
    <mergeCell ref="Q43:R44"/>
    <mergeCell ref="S43:T44"/>
    <mergeCell ref="S37:T38"/>
    <mergeCell ref="U37:V38"/>
    <mergeCell ref="S39:T40"/>
    <mergeCell ref="U39:V40"/>
    <mergeCell ref="Q39:R40"/>
    <mergeCell ref="B47:D47"/>
    <mergeCell ref="E47:H47"/>
    <mergeCell ref="K47:L47"/>
    <mergeCell ref="M47:N47"/>
    <mergeCell ref="O47:P47"/>
    <mergeCell ref="Q47:R47"/>
    <mergeCell ref="B45:D46"/>
    <mergeCell ref="E45:H46"/>
    <mergeCell ref="K45:L46"/>
    <mergeCell ref="M45:N46"/>
    <mergeCell ref="O45:P46"/>
    <mergeCell ref="Q45:R46"/>
    <mergeCell ref="U47:V47"/>
    <mergeCell ref="S47:T47"/>
    <mergeCell ref="I37:J38"/>
    <mergeCell ref="I39:J40"/>
    <mergeCell ref="I43:J44"/>
    <mergeCell ref="S48:T49"/>
    <mergeCell ref="U48:V49"/>
    <mergeCell ref="O54:P55"/>
    <mergeCell ref="Q54:R55"/>
    <mergeCell ref="S54:T55"/>
    <mergeCell ref="U54:V55"/>
    <mergeCell ref="S58:T59"/>
    <mergeCell ref="U58:V59"/>
    <mergeCell ref="O56:P57"/>
    <mergeCell ref="Q56:R57"/>
    <mergeCell ref="S56:T57"/>
    <mergeCell ref="U56:V57"/>
    <mergeCell ref="O58:P59"/>
    <mergeCell ref="Q58:R59"/>
    <mergeCell ref="O48:P49"/>
    <mergeCell ref="Q48:R49"/>
    <mergeCell ref="B54:D55"/>
    <mergeCell ref="E54:H55"/>
    <mergeCell ref="K54:L55"/>
    <mergeCell ref="M54:N55"/>
    <mergeCell ref="A48:A65"/>
    <mergeCell ref="B48:D49"/>
    <mergeCell ref="E48:H49"/>
    <mergeCell ref="K48:L49"/>
    <mergeCell ref="M48:N49"/>
    <mergeCell ref="B62:D63"/>
    <mergeCell ref="E62:H63"/>
    <mergeCell ref="K62:L63"/>
    <mergeCell ref="M62:N63"/>
    <mergeCell ref="B56:D57"/>
    <mergeCell ref="E56:H57"/>
    <mergeCell ref="K56:L57"/>
    <mergeCell ref="M56:N57"/>
    <mergeCell ref="B58:D59"/>
    <mergeCell ref="E58:H59"/>
    <mergeCell ref="K58:L59"/>
    <mergeCell ref="M58:N59"/>
    <mergeCell ref="I52:J53"/>
    <mergeCell ref="I48:J49"/>
    <mergeCell ref="I50:J51"/>
    <mergeCell ref="X48:Z65"/>
    <mergeCell ref="B50:D51"/>
    <mergeCell ref="E50:H51"/>
    <mergeCell ref="K50:L51"/>
    <mergeCell ref="M50:N51"/>
    <mergeCell ref="O50:P51"/>
    <mergeCell ref="Q50:R51"/>
    <mergeCell ref="S50:T51"/>
    <mergeCell ref="U50:V51"/>
    <mergeCell ref="B52:D53"/>
    <mergeCell ref="E52:H53"/>
    <mergeCell ref="K52:L53"/>
    <mergeCell ref="M52:N53"/>
    <mergeCell ref="O52:P53"/>
    <mergeCell ref="Q52:R53"/>
    <mergeCell ref="S52:T53"/>
    <mergeCell ref="B64:D65"/>
    <mergeCell ref="E64:H65"/>
    <mergeCell ref="K64:L65"/>
    <mergeCell ref="M64:N65"/>
    <mergeCell ref="O64:P65"/>
    <mergeCell ref="Q64:R65"/>
    <mergeCell ref="S64:T65"/>
    <mergeCell ref="U64:V65"/>
    <mergeCell ref="O62:P63"/>
    <mergeCell ref="Q62:R63"/>
    <mergeCell ref="S62:T63"/>
    <mergeCell ref="O73:P74"/>
    <mergeCell ref="Q73:R74"/>
    <mergeCell ref="U75:V76"/>
    <mergeCell ref="B69:D70"/>
    <mergeCell ref="E69:H70"/>
    <mergeCell ref="K69:L70"/>
    <mergeCell ref="M69:N70"/>
    <mergeCell ref="O69:P70"/>
    <mergeCell ref="Q69:R70"/>
    <mergeCell ref="S69:T70"/>
    <mergeCell ref="U69:V70"/>
    <mergeCell ref="B71:D72"/>
    <mergeCell ref="E71:H72"/>
    <mergeCell ref="K71:L72"/>
    <mergeCell ref="M71:N72"/>
    <mergeCell ref="O71:P72"/>
    <mergeCell ref="Q71:R72"/>
    <mergeCell ref="S71:T72"/>
    <mergeCell ref="U71:V72"/>
    <mergeCell ref="S73:T74"/>
    <mergeCell ref="Q66:R66"/>
    <mergeCell ref="B2:S2"/>
    <mergeCell ref="S83:T84"/>
    <mergeCell ref="U83:V84"/>
    <mergeCell ref="B83:D84"/>
    <mergeCell ref="O83:P84"/>
    <mergeCell ref="S66:T66"/>
    <mergeCell ref="U66:V66"/>
    <mergeCell ref="B66:D66"/>
    <mergeCell ref="I7:J9"/>
    <mergeCell ref="I16:J17"/>
    <mergeCell ref="I35:J36"/>
    <mergeCell ref="I54:J55"/>
    <mergeCell ref="U22:V23"/>
    <mergeCell ref="S22:T23"/>
    <mergeCell ref="Q22:R23"/>
    <mergeCell ref="O22:P23"/>
    <mergeCell ref="M22:N23"/>
    <mergeCell ref="K22:L23"/>
    <mergeCell ref="I22:J23"/>
    <mergeCell ref="S41:T42"/>
    <mergeCell ref="U41:V42"/>
    <mergeCell ref="K66:L66"/>
    <mergeCell ref="M66:N66"/>
    <mergeCell ref="O66:P66"/>
    <mergeCell ref="U62:V63"/>
    <mergeCell ref="U52:V53"/>
    <mergeCell ref="E22:H23"/>
    <mergeCell ref="B22:D23"/>
    <mergeCell ref="B41:D42"/>
    <mergeCell ref="E41:H42"/>
    <mergeCell ref="I41:J42"/>
    <mergeCell ref="K41:L42"/>
    <mergeCell ref="M41:N42"/>
    <mergeCell ref="O41:P42"/>
    <mergeCell ref="Q41:R42"/>
    <mergeCell ref="B26:D27"/>
    <mergeCell ref="E26:H27"/>
    <mergeCell ref="K26:L27"/>
    <mergeCell ref="M26:N27"/>
    <mergeCell ref="O26:P27"/>
    <mergeCell ref="Q26:R27"/>
    <mergeCell ref="E37:H38"/>
    <mergeCell ref="K37:L38"/>
    <mergeCell ref="M37:N38"/>
    <mergeCell ref="B24:D25"/>
    <mergeCell ref="E24:H25"/>
    <mergeCell ref="K24:L25"/>
    <mergeCell ref="M24:N25"/>
    <mergeCell ref="O24:P25"/>
    <mergeCell ref="Q24:R25"/>
    <mergeCell ref="U81:V82"/>
    <mergeCell ref="B60:D61"/>
    <mergeCell ref="E60:H61"/>
    <mergeCell ref="I60:J61"/>
    <mergeCell ref="K60:L61"/>
    <mergeCell ref="M60:N61"/>
    <mergeCell ref="O60:P61"/>
    <mergeCell ref="Q60:R61"/>
    <mergeCell ref="S60:T61"/>
    <mergeCell ref="U60:V61"/>
    <mergeCell ref="E66:H66"/>
    <mergeCell ref="B75:D76"/>
    <mergeCell ref="O77:P78"/>
    <mergeCell ref="Q77:R78"/>
    <mergeCell ref="S77:T78"/>
    <mergeCell ref="U77:V78"/>
    <mergeCell ref="B81:D82"/>
    <mergeCell ref="E81:H82"/>
    <mergeCell ref="I81:J82"/>
    <mergeCell ref="U67:V68"/>
    <mergeCell ref="E75:H76"/>
    <mergeCell ref="K75:L76"/>
    <mergeCell ref="I45:J46"/>
    <mergeCell ref="I64:J65"/>
    <mergeCell ref="I56:J57"/>
    <mergeCell ref="I58:J59"/>
    <mergeCell ref="I62:J63"/>
    <mergeCell ref="I10:J11"/>
    <mergeCell ref="I12:J13"/>
    <mergeCell ref="I14:J15"/>
    <mergeCell ref="I18:J19"/>
    <mergeCell ref="I20:J21"/>
    <mergeCell ref="I24:J25"/>
    <mergeCell ref="I29:J30"/>
    <mergeCell ref="I31:J32"/>
    <mergeCell ref="I33:J34"/>
    <mergeCell ref="I26:J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zoomScaleNormal="50" workbookViewId="0">
      <selection activeCell="S2" sqref="S2"/>
    </sheetView>
  </sheetViews>
  <sheetFormatPr defaultColWidth="8.85546875" defaultRowHeight="15" x14ac:dyDescent="0.25"/>
  <cols>
    <col min="8" max="8" width="16" customWidth="1"/>
    <col min="9" max="9" width="14.140625" bestFit="1" customWidth="1"/>
    <col min="22" max="22" width="14.42578125" customWidth="1"/>
    <col min="23" max="23" width="18.28515625" customWidth="1"/>
  </cols>
  <sheetData>
    <row r="1" spans="1:26" x14ac:dyDescent="0.25">
      <c r="W1" s="29" t="s">
        <v>113</v>
      </c>
      <c r="Z1" s="4"/>
    </row>
    <row r="2" spans="1:26" x14ac:dyDescent="0.25">
      <c r="W2" s="29" t="s">
        <v>114</v>
      </c>
      <c r="Z2" s="4"/>
    </row>
    <row r="3" spans="1:26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W3" s="29" t="s">
        <v>115</v>
      </c>
      <c r="Z3" s="4"/>
    </row>
    <row r="4" spans="1:26" x14ac:dyDescent="0.25">
      <c r="W4" s="29" t="s">
        <v>116</v>
      </c>
      <c r="Z4" s="4"/>
    </row>
    <row r="5" spans="1:26" ht="15.75" thickBot="1" x14ac:dyDescent="0.3">
      <c r="Z5" s="4"/>
    </row>
    <row r="6" spans="1:26" x14ac:dyDescent="0.25">
      <c r="A6" s="244" t="s">
        <v>0</v>
      </c>
      <c r="B6" s="123"/>
      <c r="C6" s="124"/>
      <c r="D6" s="125"/>
      <c r="E6" s="233" t="s">
        <v>9</v>
      </c>
      <c r="F6" s="247"/>
      <c r="G6" s="247"/>
      <c r="H6" s="234"/>
      <c r="I6" s="233" t="s">
        <v>10</v>
      </c>
      <c r="J6" s="234"/>
      <c r="K6" s="233" t="s">
        <v>19</v>
      </c>
      <c r="L6" s="234"/>
      <c r="M6" s="233" t="s">
        <v>11</v>
      </c>
      <c r="N6" s="234"/>
      <c r="O6" s="233" t="s">
        <v>12</v>
      </c>
      <c r="P6" s="234"/>
      <c r="Q6" s="233" t="s">
        <v>13</v>
      </c>
      <c r="R6" s="234"/>
      <c r="S6" s="233" t="s">
        <v>14</v>
      </c>
      <c r="T6" s="234"/>
      <c r="U6" s="233" t="s">
        <v>15</v>
      </c>
      <c r="V6" s="234"/>
      <c r="W6" s="239" t="s">
        <v>59</v>
      </c>
      <c r="X6" s="102" t="s">
        <v>18</v>
      </c>
      <c r="Y6" s="103"/>
      <c r="Z6" s="104"/>
    </row>
    <row r="7" spans="1:26" x14ac:dyDescent="0.25">
      <c r="A7" s="245"/>
      <c r="B7" s="123"/>
      <c r="C7" s="124"/>
      <c r="D7" s="125"/>
      <c r="E7" s="235"/>
      <c r="F7" s="248"/>
      <c r="G7" s="248"/>
      <c r="H7" s="236"/>
      <c r="I7" s="235"/>
      <c r="J7" s="236"/>
      <c r="K7" s="235"/>
      <c r="L7" s="236"/>
      <c r="M7" s="235"/>
      <c r="N7" s="236"/>
      <c r="O7" s="235"/>
      <c r="P7" s="236"/>
      <c r="Q7" s="235"/>
      <c r="R7" s="236"/>
      <c r="S7" s="235"/>
      <c r="T7" s="236"/>
      <c r="U7" s="235"/>
      <c r="V7" s="236"/>
      <c r="W7" s="240"/>
      <c r="X7" s="105"/>
      <c r="Y7" s="106"/>
      <c r="Z7" s="107"/>
    </row>
    <row r="8" spans="1:26" ht="15.75" thickBot="1" x14ac:dyDescent="0.3">
      <c r="A8" s="246"/>
      <c r="B8" s="126"/>
      <c r="C8" s="127"/>
      <c r="D8" s="128"/>
      <c r="E8" s="237"/>
      <c r="F8" s="249"/>
      <c r="G8" s="249"/>
      <c r="H8" s="238"/>
      <c r="I8" s="237"/>
      <c r="J8" s="238"/>
      <c r="K8" s="237"/>
      <c r="L8" s="238"/>
      <c r="M8" s="237"/>
      <c r="N8" s="238"/>
      <c r="O8" s="237"/>
      <c r="P8" s="238"/>
      <c r="Q8" s="237"/>
      <c r="R8" s="238"/>
      <c r="S8" s="237"/>
      <c r="T8" s="238"/>
      <c r="U8" s="237"/>
      <c r="V8" s="238"/>
      <c r="W8" s="241"/>
      <c r="X8" s="105"/>
      <c r="Y8" s="106"/>
      <c r="Z8" s="107"/>
    </row>
    <row r="9" spans="1:26" x14ac:dyDescent="0.25">
      <c r="A9" s="224">
        <v>5</v>
      </c>
      <c r="B9" s="192" t="s">
        <v>1</v>
      </c>
      <c r="C9" s="183"/>
      <c r="D9" s="186"/>
      <c r="E9" s="192" t="s">
        <v>76</v>
      </c>
      <c r="F9" s="183"/>
      <c r="G9" s="183"/>
      <c r="H9" s="186"/>
      <c r="I9" s="175"/>
      <c r="J9" s="176"/>
      <c r="K9" s="227">
        <v>325</v>
      </c>
      <c r="L9" s="228"/>
      <c r="M9" s="227">
        <v>300</v>
      </c>
      <c r="N9" s="228"/>
      <c r="O9" s="179">
        <f>125*M9/100</f>
        <v>375</v>
      </c>
      <c r="P9" s="180"/>
      <c r="Q9" s="179">
        <f>12*M9/100</f>
        <v>36</v>
      </c>
      <c r="R9" s="180"/>
      <c r="S9" s="179">
        <f>4.3*M9/100</f>
        <v>12.9</v>
      </c>
      <c r="T9" s="180"/>
      <c r="U9" s="179">
        <f>6.7*M9/100</f>
        <v>20.100000000000001</v>
      </c>
      <c r="V9" s="180"/>
      <c r="W9" s="242"/>
      <c r="X9" s="215">
        <v>26400</v>
      </c>
      <c r="Y9" s="216"/>
      <c r="Z9" s="217"/>
    </row>
    <row r="10" spans="1:26" ht="15.75" thickBot="1" x14ac:dyDescent="0.3">
      <c r="A10" s="225"/>
      <c r="B10" s="184"/>
      <c r="C10" s="185"/>
      <c r="D10" s="187"/>
      <c r="E10" s="184"/>
      <c r="F10" s="185"/>
      <c r="G10" s="185"/>
      <c r="H10" s="187"/>
      <c r="I10" s="177"/>
      <c r="J10" s="178"/>
      <c r="K10" s="229"/>
      <c r="L10" s="230"/>
      <c r="M10" s="229"/>
      <c r="N10" s="230"/>
      <c r="O10" s="181"/>
      <c r="P10" s="182"/>
      <c r="Q10" s="181"/>
      <c r="R10" s="182"/>
      <c r="S10" s="181"/>
      <c r="T10" s="182"/>
      <c r="U10" s="181"/>
      <c r="V10" s="182"/>
      <c r="W10" s="243"/>
      <c r="X10" s="218"/>
      <c r="Y10" s="219"/>
      <c r="Z10" s="220"/>
    </row>
    <row r="11" spans="1:26" x14ac:dyDescent="0.25">
      <c r="A11" s="225"/>
      <c r="B11" s="192" t="s">
        <v>2</v>
      </c>
      <c r="C11" s="183"/>
      <c r="D11" s="186"/>
      <c r="E11" s="192" t="s">
        <v>20</v>
      </c>
      <c r="F11" s="183"/>
      <c r="G11" s="183"/>
      <c r="H11" s="186"/>
      <c r="I11" s="175"/>
      <c r="J11" s="183"/>
      <c r="K11" s="175">
        <v>55</v>
      </c>
      <c r="L11" s="176"/>
      <c r="M11" s="183">
        <v>50</v>
      </c>
      <c r="N11" s="186"/>
      <c r="O11" s="179">
        <f>444*M11/100</f>
        <v>222</v>
      </c>
      <c r="P11" s="180"/>
      <c r="Q11" s="179">
        <f>66.6*M11/100</f>
        <v>33.299999999999997</v>
      </c>
      <c r="R11" s="180"/>
      <c r="S11" s="179">
        <f>9.7*M11/100</f>
        <v>4.8499999999999996</v>
      </c>
      <c r="T11" s="180"/>
      <c r="U11" s="179">
        <f>16.2*M11/100</f>
        <v>8.1</v>
      </c>
      <c r="V11" s="180"/>
      <c r="W11" s="242"/>
      <c r="X11" s="218"/>
      <c r="Y11" s="219"/>
      <c r="Z11" s="220"/>
    </row>
    <row r="12" spans="1:26" ht="15.75" thickBot="1" x14ac:dyDescent="0.3">
      <c r="A12" s="225"/>
      <c r="B12" s="184"/>
      <c r="C12" s="185"/>
      <c r="D12" s="187"/>
      <c r="E12" s="184"/>
      <c r="F12" s="185"/>
      <c r="G12" s="185"/>
      <c r="H12" s="187"/>
      <c r="I12" s="184"/>
      <c r="J12" s="185"/>
      <c r="K12" s="177"/>
      <c r="L12" s="178"/>
      <c r="M12" s="185"/>
      <c r="N12" s="187"/>
      <c r="O12" s="181"/>
      <c r="P12" s="182"/>
      <c r="Q12" s="181"/>
      <c r="R12" s="182"/>
      <c r="S12" s="181"/>
      <c r="T12" s="182"/>
      <c r="U12" s="181"/>
      <c r="V12" s="182"/>
      <c r="W12" s="243"/>
      <c r="X12" s="218"/>
      <c r="Y12" s="219"/>
      <c r="Z12" s="220"/>
    </row>
    <row r="13" spans="1:26" x14ac:dyDescent="0.25">
      <c r="A13" s="225"/>
      <c r="B13" s="192" t="s">
        <v>3</v>
      </c>
      <c r="C13" s="183"/>
      <c r="D13" s="186"/>
      <c r="E13" s="192" t="s">
        <v>21</v>
      </c>
      <c r="F13" s="183"/>
      <c r="G13" s="183"/>
      <c r="H13" s="186"/>
      <c r="I13" s="175">
        <v>4742870019008</v>
      </c>
      <c r="J13" s="186"/>
      <c r="K13" s="231">
        <v>80</v>
      </c>
      <c r="L13" s="232"/>
      <c r="M13" s="227">
        <v>75</v>
      </c>
      <c r="N13" s="228"/>
      <c r="O13" s="179">
        <v>225</v>
      </c>
      <c r="P13" s="180"/>
      <c r="Q13" s="179">
        <v>1.05</v>
      </c>
      <c r="R13" s="180"/>
      <c r="S13" s="179">
        <v>7.2</v>
      </c>
      <c r="T13" s="180"/>
      <c r="U13" s="179">
        <v>21.23</v>
      </c>
      <c r="V13" s="180"/>
      <c r="W13" s="242"/>
      <c r="X13" s="218"/>
      <c r="Y13" s="219"/>
      <c r="Z13" s="220"/>
    </row>
    <row r="14" spans="1:26" ht="15.75" thickBot="1" x14ac:dyDescent="0.3">
      <c r="A14" s="225"/>
      <c r="B14" s="184"/>
      <c r="C14" s="185"/>
      <c r="D14" s="187"/>
      <c r="E14" s="184"/>
      <c r="F14" s="185"/>
      <c r="G14" s="185"/>
      <c r="H14" s="187"/>
      <c r="I14" s="184"/>
      <c r="J14" s="187"/>
      <c r="K14" s="229"/>
      <c r="L14" s="230"/>
      <c r="M14" s="229"/>
      <c r="N14" s="230"/>
      <c r="O14" s="181"/>
      <c r="P14" s="182"/>
      <c r="Q14" s="181"/>
      <c r="R14" s="182"/>
      <c r="S14" s="181"/>
      <c r="T14" s="182"/>
      <c r="U14" s="181"/>
      <c r="V14" s="182"/>
      <c r="W14" s="250"/>
      <c r="X14" s="218"/>
      <c r="Y14" s="219"/>
      <c r="Z14" s="220"/>
    </row>
    <row r="15" spans="1:26" x14ac:dyDescent="0.25">
      <c r="A15" s="225"/>
      <c r="B15" s="192" t="s">
        <v>4</v>
      </c>
      <c r="C15" s="183"/>
      <c r="D15" s="186"/>
      <c r="E15" s="192" t="s">
        <v>77</v>
      </c>
      <c r="F15" s="183"/>
      <c r="G15" s="183"/>
      <c r="H15" s="186"/>
      <c r="I15" s="175"/>
      <c r="J15" s="176"/>
      <c r="K15" s="227">
        <v>55</v>
      </c>
      <c r="L15" s="228"/>
      <c r="M15" s="227">
        <v>50</v>
      </c>
      <c r="N15" s="228"/>
      <c r="O15" s="179">
        <f>514*M15/100</f>
        <v>257</v>
      </c>
      <c r="P15" s="180"/>
      <c r="Q15" s="179">
        <f>53.2*M15/100</f>
        <v>26.6</v>
      </c>
      <c r="R15" s="180"/>
      <c r="S15" s="179">
        <f>11*M15/100</f>
        <v>5.5</v>
      </c>
      <c r="T15" s="180"/>
      <c r="U15" s="179">
        <f>27.4*M15/100</f>
        <v>13.7</v>
      </c>
      <c r="V15" s="180"/>
      <c r="W15" s="242"/>
      <c r="X15" s="218"/>
      <c r="Y15" s="219"/>
      <c r="Z15" s="220"/>
    </row>
    <row r="16" spans="1:26" ht="15.75" thickBot="1" x14ac:dyDescent="0.3">
      <c r="A16" s="225"/>
      <c r="B16" s="184"/>
      <c r="C16" s="185"/>
      <c r="D16" s="187"/>
      <c r="E16" s="184"/>
      <c r="F16" s="185"/>
      <c r="G16" s="185"/>
      <c r="H16" s="187"/>
      <c r="I16" s="177"/>
      <c r="J16" s="178"/>
      <c r="K16" s="229"/>
      <c r="L16" s="230"/>
      <c r="M16" s="229"/>
      <c r="N16" s="230"/>
      <c r="O16" s="181"/>
      <c r="P16" s="182"/>
      <c r="Q16" s="181"/>
      <c r="R16" s="182"/>
      <c r="S16" s="181"/>
      <c r="T16" s="182"/>
      <c r="U16" s="181"/>
      <c r="V16" s="182"/>
      <c r="W16" s="250"/>
      <c r="X16" s="218"/>
      <c r="Y16" s="219"/>
      <c r="Z16" s="220"/>
    </row>
    <row r="17" spans="1:26" x14ac:dyDescent="0.25">
      <c r="A17" s="225"/>
      <c r="B17" s="192" t="s">
        <v>5</v>
      </c>
      <c r="C17" s="183"/>
      <c r="D17" s="186"/>
      <c r="E17" s="192" t="s">
        <v>78</v>
      </c>
      <c r="F17" s="183"/>
      <c r="G17" s="183"/>
      <c r="H17" s="186"/>
      <c r="I17" s="175"/>
      <c r="J17" s="186"/>
      <c r="K17" s="175">
        <v>30</v>
      </c>
      <c r="L17" s="176"/>
      <c r="M17" s="192">
        <v>25</v>
      </c>
      <c r="N17" s="186"/>
      <c r="O17" s="179">
        <v>147</v>
      </c>
      <c r="P17" s="180"/>
      <c r="Q17" s="179">
        <v>7.4</v>
      </c>
      <c r="R17" s="180"/>
      <c r="S17" s="179">
        <v>4.9000000000000004</v>
      </c>
      <c r="T17" s="180"/>
      <c r="U17" s="179">
        <v>10.8</v>
      </c>
      <c r="V17" s="180"/>
      <c r="W17" s="242"/>
      <c r="X17" s="218"/>
      <c r="Y17" s="219"/>
      <c r="Z17" s="220"/>
    </row>
    <row r="18" spans="1:26" ht="15.75" thickBot="1" x14ac:dyDescent="0.3">
      <c r="A18" s="225"/>
      <c r="B18" s="184"/>
      <c r="C18" s="185"/>
      <c r="D18" s="187"/>
      <c r="E18" s="184"/>
      <c r="F18" s="185"/>
      <c r="G18" s="185"/>
      <c r="H18" s="187"/>
      <c r="I18" s="184"/>
      <c r="J18" s="187"/>
      <c r="K18" s="177"/>
      <c r="L18" s="178"/>
      <c r="M18" s="184"/>
      <c r="N18" s="187"/>
      <c r="O18" s="181"/>
      <c r="P18" s="182"/>
      <c r="Q18" s="181"/>
      <c r="R18" s="182"/>
      <c r="S18" s="181"/>
      <c r="T18" s="182"/>
      <c r="U18" s="181"/>
      <c r="V18" s="182"/>
      <c r="W18" s="250"/>
      <c r="X18" s="218"/>
      <c r="Y18" s="219"/>
      <c r="Z18" s="220"/>
    </row>
    <row r="19" spans="1:26" ht="15" customHeight="1" x14ac:dyDescent="0.25">
      <c r="A19" s="225"/>
      <c r="B19" s="192" t="s">
        <v>17</v>
      </c>
      <c r="C19" s="183"/>
      <c r="D19" s="186"/>
      <c r="E19" s="192" t="s">
        <v>26</v>
      </c>
      <c r="F19" s="183"/>
      <c r="G19" s="183"/>
      <c r="H19" s="186"/>
      <c r="I19" s="175">
        <v>4742870013945</v>
      </c>
      <c r="J19" s="186"/>
      <c r="K19" s="227">
        <v>17</v>
      </c>
      <c r="L19" s="228"/>
      <c r="M19" s="227">
        <v>15</v>
      </c>
      <c r="N19" s="228"/>
      <c r="O19" s="179">
        <v>66</v>
      </c>
      <c r="P19" s="180"/>
      <c r="Q19" s="179">
        <v>11.9</v>
      </c>
      <c r="R19" s="180"/>
      <c r="S19" s="179">
        <v>0.7</v>
      </c>
      <c r="T19" s="180"/>
      <c r="U19" s="179">
        <v>1.6</v>
      </c>
      <c r="V19" s="180"/>
      <c r="W19" s="251"/>
      <c r="X19" s="218"/>
      <c r="Y19" s="219"/>
      <c r="Z19" s="220"/>
    </row>
    <row r="20" spans="1:26" ht="15.95" customHeight="1" thickBot="1" x14ac:dyDescent="0.3">
      <c r="A20" s="225"/>
      <c r="B20" s="184"/>
      <c r="C20" s="185"/>
      <c r="D20" s="187"/>
      <c r="E20" s="184"/>
      <c r="F20" s="185"/>
      <c r="G20" s="185"/>
      <c r="H20" s="187"/>
      <c r="I20" s="184"/>
      <c r="J20" s="187"/>
      <c r="K20" s="229"/>
      <c r="L20" s="230"/>
      <c r="M20" s="229"/>
      <c r="N20" s="230"/>
      <c r="O20" s="181"/>
      <c r="P20" s="182"/>
      <c r="Q20" s="181"/>
      <c r="R20" s="182"/>
      <c r="S20" s="181"/>
      <c r="T20" s="182"/>
      <c r="U20" s="181"/>
      <c r="V20" s="182"/>
      <c r="W20" s="252"/>
      <c r="X20" s="218"/>
      <c r="Y20" s="219"/>
      <c r="Z20" s="220"/>
    </row>
    <row r="21" spans="1:26" x14ac:dyDescent="0.25">
      <c r="A21" s="225"/>
      <c r="B21" s="192" t="s">
        <v>27</v>
      </c>
      <c r="C21" s="183"/>
      <c r="D21" s="186"/>
      <c r="E21" s="192" t="s">
        <v>28</v>
      </c>
      <c r="F21" s="183"/>
      <c r="G21" s="183"/>
      <c r="H21" s="186"/>
      <c r="I21" s="175"/>
      <c r="J21" s="176"/>
      <c r="K21" s="175">
        <v>7</v>
      </c>
      <c r="L21" s="176"/>
      <c r="M21" s="192">
        <f>4*1.4</f>
        <v>5.6</v>
      </c>
      <c r="N21" s="186"/>
      <c r="O21" s="179">
        <f>222*M21/100</f>
        <v>12.431999999999999</v>
      </c>
      <c r="P21" s="180"/>
      <c r="Q21" s="179">
        <f>73*M21/100</f>
        <v>4.0879999999999992</v>
      </c>
      <c r="R21" s="180"/>
      <c r="S21" s="179">
        <f>0.4*M21/100</f>
        <v>2.2399999999999996E-2</v>
      </c>
      <c r="T21" s="180"/>
      <c r="U21" s="179">
        <f>12.2*M21/100</f>
        <v>0.68319999999999992</v>
      </c>
      <c r="V21" s="180"/>
      <c r="W21" s="242"/>
      <c r="X21" s="218"/>
      <c r="Y21" s="219"/>
      <c r="Z21" s="220"/>
    </row>
    <row r="22" spans="1:26" ht="15.75" thickBot="1" x14ac:dyDescent="0.3">
      <c r="A22" s="225"/>
      <c r="B22" s="184"/>
      <c r="C22" s="185"/>
      <c r="D22" s="187"/>
      <c r="E22" s="184"/>
      <c r="F22" s="185"/>
      <c r="G22" s="185"/>
      <c r="H22" s="187"/>
      <c r="I22" s="177"/>
      <c r="J22" s="178"/>
      <c r="K22" s="177"/>
      <c r="L22" s="178"/>
      <c r="M22" s="184"/>
      <c r="N22" s="187"/>
      <c r="O22" s="181"/>
      <c r="P22" s="182"/>
      <c r="Q22" s="181"/>
      <c r="R22" s="182"/>
      <c r="S22" s="181"/>
      <c r="T22" s="182"/>
      <c r="U22" s="181"/>
      <c r="V22" s="182"/>
      <c r="W22" s="250"/>
      <c r="X22" s="218"/>
      <c r="Y22" s="219"/>
      <c r="Z22" s="220"/>
    </row>
    <row r="23" spans="1:26" x14ac:dyDescent="0.25">
      <c r="A23" s="225"/>
      <c r="B23" s="192" t="s">
        <v>7</v>
      </c>
      <c r="C23" s="183"/>
      <c r="D23" s="186"/>
      <c r="E23" s="192" t="s">
        <v>66</v>
      </c>
      <c r="F23" s="183"/>
      <c r="G23" s="183"/>
      <c r="H23" s="186"/>
      <c r="I23" s="175"/>
      <c r="J23" s="186"/>
      <c r="K23" s="175">
        <v>4</v>
      </c>
      <c r="L23" s="176"/>
      <c r="M23" s="192">
        <v>2</v>
      </c>
      <c r="N23" s="186"/>
      <c r="O23" s="179">
        <v>0</v>
      </c>
      <c r="P23" s="180"/>
      <c r="Q23" s="179">
        <v>0</v>
      </c>
      <c r="R23" s="180"/>
      <c r="S23" s="179">
        <v>0</v>
      </c>
      <c r="T23" s="180"/>
      <c r="U23" s="179">
        <v>0</v>
      </c>
      <c r="V23" s="180"/>
      <c r="W23" s="253"/>
      <c r="X23" s="218"/>
      <c r="Y23" s="219"/>
      <c r="Z23" s="220"/>
    </row>
    <row r="24" spans="1:26" ht="15.75" thickBot="1" x14ac:dyDescent="0.3">
      <c r="A24" s="225"/>
      <c r="B24" s="184"/>
      <c r="C24" s="185"/>
      <c r="D24" s="187"/>
      <c r="E24" s="184"/>
      <c r="F24" s="185"/>
      <c r="G24" s="185"/>
      <c r="H24" s="187"/>
      <c r="I24" s="184"/>
      <c r="J24" s="187"/>
      <c r="K24" s="177"/>
      <c r="L24" s="178"/>
      <c r="M24" s="184"/>
      <c r="N24" s="187"/>
      <c r="O24" s="181"/>
      <c r="P24" s="182"/>
      <c r="Q24" s="181"/>
      <c r="R24" s="182"/>
      <c r="S24" s="181"/>
      <c r="T24" s="182"/>
      <c r="U24" s="181"/>
      <c r="V24" s="182"/>
      <c r="W24" s="250"/>
      <c r="X24" s="218"/>
      <c r="Y24" s="219"/>
      <c r="Z24" s="220"/>
    </row>
    <row r="25" spans="1:26" x14ac:dyDescent="0.25">
      <c r="A25" s="225"/>
      <c r="B25" s="192" t="s">
        <v>8</v>
      </c>
      <c r="C25" s="183"/>
      <c r="D25" s="186"/>
      <c r="E25" s="192" t="s">
        <v>8</v>
      </c>
      <c r="F25" s="183"/>
      <c r="G25" s="183"/>
      <c r="H25" s="186"/>
      <c r="I25" s="175"/>
      <c r="J25" s="186"/>
      <c r="K25" s="175"/>
      <c r="L25" s="176"/>
      <c r="M25" s="192"/>
      <c r="N25" s="186"/>
      <c r="O25" s="179"/>
      <c r="P25" s="180"/>
      <c r="Q25" s="179"/>
      <c r="R25" s="180"/>
      <c r="S25" s="179"/>
      <c r="T25" s="180"/>
      <c r="U25" s="179"/>
      <c r="V25" s="180"/>
      <c r="W25" s="253"/>
      <c r="X25" s="218"/>
      <c r="Y25" s="219"/>
      <c r="Z25" s="220"/>
    </row>
    <row r="26" spans="1:26" ht="15.75" thickBot="1" x14ac:dyDescent="0.3">
      <c r="A26" s="226"/>
      <c r="B26" s="184"/>
      <c r="C26" s="185"/>
      <c r="D26" s="187"/>
      <c r="E26" s="184"/>
      <c r="F26" s="185"/>
      <c r="G26" s="185"/>
      <c r="H26" s="187"/>
      <c r="I26" s="184"/>
      <c r="J26" s="187"/>
      <c r="K26" s="177"/>
      <c r="L26" s="178"/>
      <c r="M26" s="184"/>
      <c r="N26" s="187"/>
      <c r="O26" s="181"/>
      <c r="P26" s="182"/>
      <c r="Q26" s="181"/>
      <c r="R26" s="182"/>
      <c r="S26" s="181"/>
      <c r="T26" s="182"/>
      <c r="U26" s="181"/>
      <c r="V26" s="182"/>
      <c r="W26" s="250"/>
      <c r="X26" s="221"/>
      <c r="Y26" s="222"/>
      <c r="Z26" s="223"/>
    </row>
    <row r="27" spans="1:26" ht="15.75" thickBot="1" x14ac:dyDescent="0.3">
      <c r="A27" s="1"/>
      <c r="B27" s="159" t="s">
        <v>16</v>
      </c>
      <c r="C27" s="160"/>
      <c r="D27" s="161"/>
      <c r="E27" s="159"/>
      <c r="F27" s="160"/>
      <c r="G27" s="160"/>
      <c r="H27" s="161"/>
      <c r="I27" s="159"/>
      <c r="J27" s="161"/>
      <c r="K27" s="162">
        <f>SUM(K9:L26)</f>
        <v>573</v>
      </c>
      <c r="L27" s="163"/>
      <c r="M27" s="162">
        <f>SUM(M9:N26)</f>
        <v>522.6</v>
      </c>
      <c r="N27" s="163"/>
      <c r="O27" s="162">
        <f>SUM(O9:P26)</f>
        <v>1304.432</v>
      </c>
      <c r="P27" s="163"/>
      <c r="Q27" s="162">
        <f>SUM(Q9:R26)</f>
        <v>120.33799999999999</v>
      </c>
      <c r="R27" s="163"/>
      <c r="S27" s="162">
        <f>SUM(S9:T26)</f>
        <v>36.072400000000002</v>
      </c>
      <c r="T27" s="163"/>
      <c r="U27" s="162">
        <f>SUM(U9:V26)</f>
        <v>76.213200000000001</v>
      </c>
      <c r="V27" s="163"/>
      <c r="W27" s="20"/>
    </row>
    <row r="28" spans="1:26" x14ac:dyDescent="0.25">
      <c r="A28" s="224">
        <v>6</v>
      </c>
      <c r="B28" s="192" t="s">
        <v>1</v>
      </c>
      <c r="C28" s="183"/>
      <c r="D28" s="186"/>
      <c r="E28" s="192" t="s">
        <v>75</v>
      </c>
      <c r="F28" s="183"/>
      <c r="G28" s="183"/>
      <c r="H28" s="186"/>
      <c r="I28" s="175"/>
      <c r="J28" s="176"/>
      <c r="K28" s="227">
        <v>325</v>
      </c>
      <c r="L28" s="228"/>
      <c r="M28" s="227">
        <v>300</v>
      </c>
      <c r="N28" s="228"/>
      <c r="O28" s="179">
        <f>139*M28/100</f>
        <v>417</v>
      </c>
      <c r="P28" s="180"/>
      <c r="Q28" s="179">
        <f>7.7*M28/100</f>
        <v>23.1</v>
      </c>
      <c r="R28" s="180"/>
      <c r="S28" s="179">
        <f>4.1*M28/100</f>
        <v>12.3</v>
      </c>
      <c r="T28" s="180"/>
      <c r="U28" s="179">
        <f>10*M28/100</f>
        <v>30</v>
      </c>
      <c r="V28" s="180"/>
      <c r="W28" s="242"/>
      <c r="X28" s="215">
        <v>26400</v>
      </c>
      <c r="Y28" s="216"/>
      <c r="Z28" s="217"/>
    </row>
    <row r="29" spans="1:26" ht="15.75" thickBot="1" x14ac:dyDescent="0.3">
      <c r="A29" s="225"/>
      <c r="B29" s="184"/>
      <c r="C29" s="185"/>
      <c r="D29" s="187"/>
      <c r="E29" s="184"/>
      <c r="F29" s="185"/>
      <c r="G29" s="185"/>
      <c r="H29" s="187"/>
      <c r="I29" s="177"/>
      <c r="J29" s="178"/>
      <c r="K29" s="229"/>
      <c r="L29" s="230"/>
      <c r="M29" s="229"/>
      <c r="N29" s="230"/>
      <c r="O29" s="181"/>
      <c r="P29" s="182"/>
      <c r="Q29" s="181"/>
      <c r="R29" s="182"/>
      <c r="S29" s="181"/>
      <c r="T29" s="182"/>
      <c r="U29" s="181"/>
      <c r="V29" s="182"/>
      <c r="W29" s="243"/>
      <c r="X29" s="218"/>
      <c r="Y29" s="219"/>
      <c r="Z29" s="220"/>
    </row>
    <row r="30" spans="1:26" x14ac:dyDescent="0.25">
      <c r="A30" s="225"/>
      <c r="B30" s="192" t="s">
        <v>2</v>
      </c>
      <c r="C30" s="183"/>
      <c r="D30" s="186"/>
      <c r="E30" s="192" t="s">
        <v>72</v>
      </c>
      <c r="F30" s="183"/>
      <c r="G30" s="183"/>
      <c r="H30" s="186"/>
      <c r="I30" s="175"/>
      <c r="J30" s="183"/>
      <c r="K30" s="175">
        <v>55</v>
      </c>
      <c r="L30" s="176"/>
      <c r="M30" s="183">
        <v>50</v>
      </c>
      <c r="N30" s="186"/>
      <c r="O30" s="179">
        <f>427*M30/100</f>
        <v>213.5</v>
      </c>
      <c r="P30" s="180"/>
      <c r="Q30" s="179">
        <f>65.7*M30/100</f>
        <v>32.85</v>
      </c>
      <c r="R30" s="180"/>
      <c r="S30" s="179">
        <f>11.4*M30/100</f>
        <v>5.7</v>
      </c>
      <c r="T30" s="180"/>
      <c r="U30" s="179">
        <f>10.6*M30/100</f>
        <v>5.3</v>
      </c>
      <c r="V30" s="180"/>
      <c r="W30" s="242"/>
      <c r="X30" s="218"/>
      <c r="Y30" s="219"/>
      <c r="Z30" s="220"/>
    </row>
    <row r="31" spans="1:26" ht="15.75" thickBot="1" x14ac:dyDescent="0.3">
      <c r="A31" s="225"/>
      <c r="B31" s="184"/>
      <c r="C31" s="185"/>
      <c r="D31" s="187"/>
      <c r="E31" s="184"/>
      <c r="F31" s="185"/>
      <c r="G31" s="185"/>
      <c r="H31" s="187"/>
      <c r="I31" s="184"/>
      <c r="J31" s="185"/>
      <c r="K31" s="177"/>
      <c r="L31" s="178"/>
      <c r="M31" s="185"/>
      <c r="N31" s="187"/>
      <c r="O31" s="181"/>
      <c r="P31" s="182"/>
      <c r="Q31" s="181"/>
      <c r="R31" s="182"/>
      <c r="S31" s="181"/>
      <c r="T31" s="182"/>
      <c r="U31" s="181"/>
      <c r="V31" s="182"/>
      <c r="W31" s="243"/>
      <c r="X31" s="218"/>
      <c r="Y31" s="219"/>
      <c r="Z31" s="220"/>
    </row>
    <row r="32" spans="1:26" x14ac:dyDescent="0.25">
      <c r="A32" s="225"/>
      <c r="B32" s="192" t="s">
        <v>3</v>
      </c>
      <c r="C32" s="183"/>
      <c r="D32" s="186"/>
      <c r="E32" s="192" t="s">
        <v>22</v>
      </c>
      <c r="F32" s="183"/>
      <c r="G32" s="183"/>
      <c r="H32" s="186"/>
      <c r="I32" s="175">
        <v>4742870019039</v>
      </c>
      <c r="J32" s="186"/>
      <c r="K32" s="175">
        <v>80</v>
      </c>
      <c r="L32" s="176"/>
      <c r="M32" s="192">
        <v>75</v>
      </c>
      <c r="N32" s="186"/>
      <c r="O32" s="179">
        <v>160.05000000000001</v>
      </c>
      <c r="P32" s="180"/>
      <c r="Q32" s="179">
        <v>4.13</v>
      </c>
      <c r="R32" s="180"/>
      <c r="S32" s="179">
        <v>4.05</v>
      </c>
      <c r="T32" s="180"/>
      <c r="U32" s="179">
        <v>14.1</v>
      </c>
      <c r="V32" s="180"/>
      <c r="W32" s="242"/>
      <c r="X32" s="218"/>
      <c r="Y32" s="219"/>
      <c r="Z32" s="220"/>
    </row>
    <row r="33" spans="1:26" ht="15.75" thickBot="1" x14ac:dyDescent="0.3">
      <c r="A33" s="225"/>
      <c r="B33" s="184"/>
      <c r="C33" s="185"/>
      <c r="D33" s="187"/>
      <c r="E33" s="184"/>
      <c r="F33" s="185"/>
      <c r="G33" s="185"/>
      <c r="H33" s="187"/>
      <c r="I33" s="184"/>
      <c r="J33" s="187"/>
      <c r="K33" s="177"/>
      <c r="L33" s="178"/>
      <c r="M33" s="184"/>
      <c r="N33" s="187"/>
      <c r="O33" s="181"/>
      <c r="P33" s="182"/>
      <c r="Q33" s="181"/>
      <c r="R33" s="182"/>
      <c r="S33" s="181"/>
      <c r="T33" s="182"/>
      <c r="U33" s="181"/>
      <c r="V33" s="182"/>
      <c r="W33" s="243"/>
      <c r="X33" s="218"/>
      <c r="Y33" s="219"/>
      <c r="Z33" s="220"/>
    </row>
    <row r="34" spans="1:26" x14ac:dyDescent="0.25">
      <c r="A34" s="225"/>
      <c r="B34" s="192" t="s">
        <v>4</v>
      </c>
      <c r="C34" s="183"/>
      <c r="D34" s="186"/>
      <c r="E34" s="192" t="s">
        <v>61</v>
      </c>
      <c r="F34" s="183"/>
      <c r="G34" s="183"/>
      <c r="H34" s="186"/>
      <c r="I34" s="175"/>
      <c r="J34" s="176"/>
      <c r="K34" s="192">
        <v>65</v>
      </c>
      <c r="L34" s="186"/>
      <c r="M34" s="192">
        <v>60</v>
      </c>
      <c r="N34" s="186"/>
      <c r="O34" s="179">
        <f>480*M34/100</f>
        <v>288</v>
      </c>
      <c r="P34" s="180"/>
      <c r="Q34" s="179">
        <f>50.8*M34/100</f>
        <v>30.48</v>
      </c>
      <c r="R34" s="180"/>
      <c r="S34" s="179">
        <f>12.8*M34/100</f>
        <v>7.68</v>
      </c>
      <c r="T34" s="180"/>
      <c r="U34" s="179">
        <f>24.1*M34/100</f>
        <v>14.46</v>
      </c>
      <c r="V34" s="180"/>
      <c r="W34" s="242"/>
      <c r="X34" s="218"/>
      <c r="Y34" s="219"/>
      <c r="Z34" s="220"/>
    </row>
    <row r="35" spans="1:26" ht="15.75" thickBot="1" x14ac:dyDescent="0.3">
      <c r="A35" s="225"/>
      <c r="B35" s="184"/>
      <c r="C35" s="185"/>
      <c r="D35" s="187"/>
      <c r="E35" s="184"/>
      <c r="F35" s="185"/>
      <c r="G35" s="185"/>
      <c r="H35" s="187"/>
      <c r="I35" s="177"/>
      <c r="J35" s="178"/>
      <c r="K35" s="184"/>
      <c r="L35" s="187"/>
      <c r="M35" s="184"/>
      <c r="N35" s="187"/>
      <c r="O35" s="181"/>
      <c r="P35" s="182"/>
      <c r="Q35" s="181"/>
      <c r="R35" s="182"/>
      <c r="S35" s="181"/>
      <c r="T35" s="182"/>
      <c r="U35" s="181"/>
      <c r="V35" s="182"/>
      <c r="W35" s="250"/>
      <c r="X35" s="218"/>
      <c r="Y35" s="219"/>
      <c r="Z35" s="220"/>
    </row>
    <row r="36" spans="1:26" x14ac:dyDescent="0.25">
      <c r="A36" s="225"/>
      <c r="B36" s="192" t="s">
        <v>5</v>
      </c>
      <c r="C36" s="183"/>
      <c r="D36" s="186"/>
      <c r="E36" s="192" t="s">
        <v>60</v>
      </c>
      <c r="F36" s="183"/>
      <c r="G36" s="183"/>
      <c r="H36" s="186"/>
      <c r="I36" s="175"/>
      <c r="J36" s="176"/>
      <c r="K36" s="175">
        <v>32</v>
      </c>
      <c r="L36" s="176"/>
      <c r="M36" s="192">
        <v>30</v>
      </c>
      <c r="N36" s="186"/>
      <c r="O36" s="179">
        <f>230*M36/100</f>
        <v>69</v>
      </c>
      <c r="P36" s="180"/>
      <c r="Q36" s="179">
        <f>30.6*M36/100</f>
        <v>9.18</v>
      </c>
      <c r="R36" s="180"/>
      <c r="S36" s="179">
        <f>4.7*M36/100</f>
        <v>1.41</v>
      </c>
      <c r="T36" s="180"/>
      <c r="U36" s="179">
        <f>9.2*M36/100</f>
        <v>2.76</v>
      </c>
      <c r="V36" s="180"/>
      <c r="W36" s="242"/>
      <c r="X36" s="218"/>
      <c r="Y36" s="219"/>
      <c r="Z36" s="220"/>
    </row>
    <row r="37" spans="1:26" ht="15.75" thickBot="1" x14ac:dyDescent="0.3">
      <c r="A37" s="225"/>
      <c r="B37" s="184"/>
      <c r="C37" s="185"/>
      <c r="D37" s="187"/>
      <c r="E37" s="184"/>
      <c r="F37" s="185"/>
      <c r="G37" s="185"/>
      <c r="H37" s="187"/>
      <c r="I37" s="177"/>
      <c r="J37" s="178"/>
      <c r="K37" s="177"/>
      <c r="L37" s="178"/>
      <c r="M37" s="184"/>
      <c r="N37" s="187"/>
      <c r="O37" s="181"/>
      <c r="P37" s="182"/>
      <c r="Q37" s="181"/>
      <c r="R37" s="182"/>
      <c r="S37" s="181"/>
      <c r="T37" s="182"/>
      <c r="U37" s="181"/>
      <c r="V37" s="182"/>
      <c r="W37" s="250"/>
      <c r="X37" s="218"/>
      <c r="Y37" s="219"/>
      <c r="Z37" s="220"/>
    </row>
    <row r="38" spans="1:26" ht="15" customHeight="1" x14ac:dyDescent="0.25">
      <c r="A38" s="225"/>
      <c r="B38" s="192" t="s">
        <v>17</v>
      </c>
      <c r="C38" s="183"/>
      <c r="D38" s="186"/>
      <c r="E38" s="192" t="s">
        <v>26</v>
      </c>
      <c r="F38" s="183"/>
      <c r="G38" s="183"/>
      <c r="H38" s="186"/>
      <c r="I38" s="175">
        <v>4742870013945</v>
      </c>
      <c r="J38" s="186"/>
      <c r="K38" s="175">
        <v>17</v>
      </c>
      <c r="L38" s="176"/>
      <c r="M38" s="192">
        <v>15</v>
      </c>
      <c r="N38" s="186"/>
      <c r="O38" s="179">
        <v>66</v>
      </c>
      <c r="P38" s="180"/>
      <c r="Q38" s="179">
        <v>11.9</v>
      </c>
      <c r="R38" s="180"/>
      <c r="S38" s="179">
        <v>0.7</v>
      </c>
      <c r="T38" s="180"/>
      <c r="U38" s="179">
        <v>1.6</v>
      </c>
      <c r="V38" s="180"/>
      <c r="W38" s="251"/>
      <c r="X38" s="218"/>
      <c r="Y38" s="219"/>
      <c r="Z38" s="220"/>
    </row>
    <row r="39" spans="1:26" ht="15.95" customHeight="1" thickBot="1" x14ac:dyDescent="0.3">
      <c r="A39" s="225"/>
      <c r="B39" s="184"/>
      <c r="C39" s="185"/>
      <c r="D39" s="187"/>
      <c r="E39" s="184"/>
      <c r="F39" s="185"/>
      <c r="G39" s="185"/>
      <c r="H39" s="187"/>
      <c r="I39" s="184"/>
      <c r="J39" s="187"/>
      <c r="K39" s="177"/>
      <c r="L39" s="178"/>
      <c r="M39" s="184"/>
      <c r="N39" s="187"/>
      <c r="O39" s="181"/>
      <c r="P39" s="182"/>
      <c r="Q39" s="181"/>
      <c r="R39" s="182"/>
      <c r="S39" s="181"/>
      <c r="T39" s="182"/>
      <c r="U39" s="181"/>
      <c r="V39" s="182"/>
      <c r="W39" s="252"/>
      <c r="X39" s="218"/>
      <c r="Y39" s="219"/>
      <c r="Z39" s="220"/>
    </row>
    <row r="40" spans="1:26" x14ac:dyDescent="0.25">
      <c r="A40" s="225"/>
      <c r="B40" s="192" t="s">
        <v>27</v>
      </c>
      <c r="C40" s="183"/>
      <c r="D40" s="186"/>
      <c r="E40" s="192" t="s">
        <v>28</v>
      </c>
      <c r="F40" s="183"/>
      <c r="G40" s="183"/>
      <c r="H40" s="186"/>
      <c r="I40" s="175"/>
      <c r="J40" s="176"/>
      <c r="K40" s="175">
        <v>7</v>
      </c>
      <c r="L40" s="176"/>
      <c r="M40" s="192">
        <f>4*1.4</f>
        <v>5.6</v>
      </c>
      <c r="N40" s="186"/>
      <c r="O40" s="179">
        <f>222*M40/100</f>
        <v>12.431999999999999</v>
      </c>
      <c r="P40" s="180"/>
      <c r="Q40" s="179">
        <f>73*M40/100</f>
        <v>4.0879999999999992</v>
      </c>
      <c r="R40" s="180"/>
      <c r="S40" s="179">
        <f>0.4*M40/100</f>
        <v>2.2399999999999996E-2</v>
      </c>
      <c r="T40" s="180"/>
      <c r="U40" s="179">
        <f>12.2*M40/100</f>
        <v>0.68319999999999992</v>
      </c>
      <c r="V40" s="180"/>
      <c r="W40" s="242"/>
      <c r="X40" s="218"/>
      <c r="Y40" s="219"/>
      <c r="Z40" s="220"/>
    </row>
    <row r="41" spans="1:26" ht="15.75" thickBot="1" x14ac:dyDescent="0.3">
      <c r="A41" s="225"/>
      <c r="B41" s="184"/>
      <c r="C41" s="185"/>
      <c r="D41" s="187"/>
      <c r="E41" s="184"/>
      <c r="F41" s="185"/>
      <c r="G41" s="185"/>
      <c r="H41" s="187"/>
      <c r="I41" s="177"/>
      <c r="J41" s="178"/>
      <c r="K41" s="177"/>
      <c r="L41" s="178"/>
      <c r="M41" s="184"/>
      <c r="N41" s="187"/>
      <c r="O41" s="181"/>
      <c r="P41" s="182"/>
      <c r="Q41" s="181"/>
      <c r="R41" s="182"/>
      <c r="S41" s="181"/>
      <c r="T41" s="182"/>
      <c r="U41" s="181"/>
      <c r="V41" s="182"/>
      <c r="W41" s="250"/>
      <c r="X41" s="218"/>
      <c r="Y41" s="219"/>
      <c r="Z41" s="220"/>
    </row>
    <row r="42" spans="1:26" x14ac:dyDescent="0.25">
      <c r="A42" s="225"/>
      <c r="B42" s="192" t="s">
        <v>7</v>
      </c>
      <c r="C42" s="183"/>
      <c r="D42" s="186"/>
      <c r="E42" s="192" t="s">
        <v>66</v>
      </c>
      <c r="F42" s="183"/>
      <c r="G42" s="183"/>
      <c r="H42" s="186"/>
      <c r="I42" s="175"/>
      <c r="J42" s="186"/>
      <c r="K42" s="175">
        <v>4</v>
      </c>
      <c r="L42" s="176"/>
      <c r="M42" s="192">
        <v>2</v>
      </c>
      <c r="N42" s="186"/>
      <c r="O42" s="179">
        <v>0</v>
      </c>
      <c r="P42" s="180"/>
      <c r="Q42" s="179">
        <v>0</v>
      </c>
      <c r="R42" s="180"/>
      <c r="S42" s="179">
        <v>0</v>
      </c>
      <c r="T42" s="180"/>
      <c r="U42" s="179">
        <v>0</v>
      </c>
      <c r="V42" s="180"/>
      <c r="W42" s="253"/>
      <c r="X42" s="218"/>
      <c r="Y42" s="219"/>
      <c r="Z42" s="220"/>
    </row>
    <row r="43" spans="1:26" ht="15.75" thickBot="1" x14ac:dyDescent="0.3">
      <c r="A43" s="225"/>
      <c r="B43" s="184"/>
      <c r="C43" s="185"/>
      <c r="D43" s="187"/>
      <c r="E43" s="184"/>
      <c r="F43" s="185"/>
      <c r="G43" s="185"/>
      <c r="H43" s="187"/>
      <c r="I43" s="184"/>
      <c r="J43" s="187"/>
      <c r="K43" s="177"/>
      <c r="L43" s="178"/>
      <c r="M43" s="184"/>
      <c r="N43" s="187"/>
      <c r="O43" s="181"/>
      <c r="P43" s="182"/>
      <c r="Q43" s="181"/>
      <c r="R43" s="182"/>
      <c r="S43" s="181"/>
      <c r="T43" s="182"/>
      <c r="U43" s="181"/>
      <c r="V43" s="182"/>
      <c r="W43" s="250"/>
      <c r="X43" s="218"/>
      <c r="Y43" s="219"/>
      <c r="Z43" s="220"/>
    </row>
    <row r="44" spans="1:26" x14ac:dyDescent="0.25">
      <c r="A44" s="225"/>
      <c r="B44" s="192" t="s">
        <v>8</v>
      </c>
      <c r="C44" s="183"/>
      <c r="D44" s="186"/>
      <c r="E44" s="192" t="s">
        <v>8</v>
      </c>
      <c r="F44" s="183"/>
      <c r="G44" s="183"/>
      <c r="H44" s="186"/>
      <c r="I44" s="175"/>
      <c r="J44" s="186"/>
      <c r="K44" s="175"/>
      <c r="L44" s="176"/>
      <c r="M44" s="192"/>
      <c r="N44" s="186"/>
      <c r="O44" s="179"/>
      <c r="P44" s="180"/>
      <c r="Q44" s="179"/>
      <c r="R44" s="180"/>
      <c r="S44" s="179"/>
      <c r="T44" s="180"/>
      <c r="U44" s="179"/>
      <c r="V44" s="180"/>
      <c r="W44" s="253"/>
      <c r="X44" s="218"/>
      <c r="Y44" s="219"/>
      <c r="Z44" s="220"/>
    </row>
    <row r="45" spans="1:26" ht="15.75" thickBot="1" x14ac:dyDescent="0.3">
      <c r="A45" s="226"/>
      <c r="B45" s="184"/>
      <c r="C45" s="185"/>
      <c r="D45" s="187"/>
      <c r="E45" s="184"/>
      <c r="F45" s="185"/>
      <c r="G45" s="185"/>
      <c r="H45" s="187"/>
      <c r="I45" s="184"/>
      <c r="J45" s="187"/>
      <c r="K45" s="177"/>
      <c r="L45" s="178"/>
      <c r="M45" s="184"/>
      <c r="N45" s="187"/>
      <c r="O45" s="181"/>
      <c r="P45" s="182"/>
      <c r="Q45" s="181"/>
      <c r="R45" s="182"/>
      <c r="S45" s="181"/>
      <c r="T45" s="182"/>
      <c r="U45" s="181"/>
      <c r="V45" s="182"/>
      <c r="W45" s="250"/>
      <c r="X45" s="221"/>
      <c r="Y45" s="222"/>
      <c r="Z45" s="223"/>
    </row>
    <row r="46" spans="1:26" ht="15.75" thickBot="1" x14ac:dyDescent="0.3">
      <c r="A46" s="1"/>
      <c r="B46" s="159" t="s">
        <v>16</v>
      </c>
      <c r="C46" s="160"/>
      <c r="D46" s="161"/>
      <c r="E46" s="159"/>
      <c r="F46" s="160"/>
      <c r="G46" s="160"/>
      <c r="H46" s="161"/>
      <c r="I46" s="159"/>
      <c r="J46" s="161"/>
      <c r="K46" s="162">
        <f>SUM(K28:L45)</f>
        <v>585</v>
      </c>
      <c r="L46" s="163"/>
      <c r="M46" s="162">
        <f>SUM(M28:N45)</f>
        <v>537.6</v>
      </c>
      <c r="N46" s="163"/>
      <c r="O46" s="162">
        <f>SUM(O28:P45)</f>
        <v>1225.982</v>
      </c>
      <c r="P46" s="163"/>
      <c r="Q46" s="162">
        <f>SUM(Q28:R45)</f>
        <v>115.72800000000001</v>
      </c>
      <c r="R46" s="163"/>
      <c r="S46" s="162">
        <f>SUM(S28:T45)</f>
        <v>31.862400000000001</v>
      </c>
      <c r="T46" s="163"/>
      <c r="U46" s="162">
        <f>SUM(U28:V45)</f>
        <v>68.903199999999998</v>
      </c>
      <c r="V46" s="163"/>
      <c r="W46" s="20"/>
    </row>
    <row r="47" spans="1:26" x14ac:dyDescent="0.25">
      <c r="A47" s="224">
        <v>7</v>
      </c>
      <c r="B47" s="192" t="s">
        <v>1</v>
      </c>
      <c r="C47" s="183"/>
      <c r="D47" s="186"/>
      <c r="E47" s="192" t="s">
        <v>81</v>
      </c>
      <c r="F47" s="183"/>
      <c r="G47" s="183"/>
      <c r="H47" s="186"/>
      <c r="I47" s="175"/>
      <c r="J47" s="176"/>
      <c r="K47" s="227">
        <v>325</v>
      </c>
      <c r="L47" s="228"/>
      <c r="M47" s="227">
        <v>300</v>
      </c>
      <c r="N47" s="228"/>
      <c r="O47" s="179">
        <f>139*M47/100</f>
        <v>417</v>
      </c>
      <c r="P47" s="180"/>
      <c r="Q47" s="179">
        <f>15*M47/100</f>
        <v>45</v>
      </c>
      <c r="R47" s="180"/>
      <c r="S47" s="179">
        <f>5.6*M47/100</f>
        <v>16.8</v>
      </c>
      <c r="T47" s="180"/>
      <c r="U47" s="179">
        <f>5.5*M47/100</f>
        <v>16.5</v>
      </c>
      <c r="V47" s="180"/>
      <c r="W47" s="242"/>
      <c r="X47" s="215">
        <v>26400</v>
      </c>
      <c r="Y47" s="216"/>
      <c r="Z47" s="217"/>
    </row>
    <row r="48" spans="1:26" ht="15.75" thickBot="1" x14ac:dyDescent="0.3">
      <c r="A48" s="225"/>
      <c r="B48" s="184"/>
      <c r="C48" s="185"/>
      <c r="D48" s="187"/>
      <c r="E48" s="184"/>
      <c r="F48" s="185"/>
      <c r="G48" s="185"/>
      <c r="H48" s="187"/>
      <c r="I48" s="177"/>
      <c r="J48" s="178"/>
      <c r="K48" s="229"/>
      <c r="L48" s="230"/>
      <c r="M48" s="229"/>
      <c r="N48" s="230"/>
      <c r="O48" s="181"/>
      <c r="P48" s="182"/>
      <c r="Q48" s="181"/>
      <c r="R48" s="182"/>
      <c r="S48" s="181"/>
      <c r="T48" s="182"/>
      <c r="U48" s="181"/>
      <c r="V48" s="182"/>
      <c r="W48" s="243"/>
      <c r="X48" s="218"/>
      <c r="Y48" s="219"/>
      <c r="Z48" s="220"/>
    </row>
    <row r="49" spans="1:26" x14ac:dyDescent="0.25">
      <c r="A49" s="225"/>
      <c r="B49" s="192" t="s">
        <v>2</v>
      </c>
      <c r="C49" s="183"/>
      <c r="D49" s="186"/>
      <c r="E49" s="192" t="s">
        <v>20</v>
      </c>
      <c r="F49" s="183"/>
      <c r="G49" s="183"/>
      <c r="H49" s="186"/>
      <c r="I49" s="175"/>
      <c r="J49" s="183"/>
      <c r="K49" s="175">
        <v>55</v>
      </c>
      <c r="L49" s="176"/>
      <c r="M49" s="183">
        <v>50</v>
      </c>
      <c r="N49" s="186"/>
      <c r="O49" s="179">
        <f>444*M49/100</f>
        <v>222</v>
      </c>
      <c r="P49" s="180"/>
      <c r="Q49" s="179">
        <f>66.6*M49/100</f>
        <v>33.299999999999997</v>
      </c>
      <c r="R49" s="180"/>
      <c r="S49" s="179">
        <f>9.7*M49/100</f>
        <v>4.8499999999999996</v>
      </c>
      <c r="T49" s="180"/>
      <c r="U49" s="179">
        <f>16.2*M49/100</f>
        <v>8.1</v>
      </c>
      <c r="V49" s="180"/>
      <c r="W49" s="242"/>
      <c r="X49" s="218"/>
      <c r="Y49" s="219"/>
      <c r="Z49" s="220"/>
    </row>
    <row r="50" spans="1:26" ht="15.75" thickBot="1" x14ac:dyDescent="0.3">
      <c r="A50" s="225"/>
      <c r="B50" s="184"/>
      <c r="C50" s="185"/>
      <c r="D50" s="187"/>
      <c r="E50" s="184"/>
      <c r="F50" s="185"/>
      <c r="G50" s="185"/>
      <c r="H50" s="187"/>
      <c r="I50" s="184"/>
      <c r="J50" s="185"/>
      <c r="K50" s="177"/>
      <c r="L50" s="178"/>
      <c r="M50" s="185"/>
      <c r="N50" s="187"/>
      <c r="O50" s="181"/>
      <c r="P50" s="182"/>
      <c r="Q50" s="181"/>
      <c r="R50" s="182"/>
      <c r="S50" s="181"/>
      <c r="T50" s="182"/>
      <c r="U50" s="181"/>
      <c r="V50" s="182"/>
      <c r="W50" s="243"/>
      <c r="X50" s="218"/>
      <c r="Y50" s="219"/>
      <c r="Z50" s="220"/>
    </row>
    <row r="51" spans="1:26" x14ac:dyDescent="0.25">
      <c r="A51" s="225"/>
      <c r="B51" s="192" t="s">
        <v>3</v>
      </c>
      <c r="C51" s="183"/>
      <c r="D51" s="186"/>
      <c r="E51" s="192" t="s">
        <v>29</v>
      </c>
      <c r="F51" s="183"/>
      <c r="G51" s="183"/>
      <c r="H51" s="186"/>
      <c r="I51" s="175">
        <v>4742870019022</v>
      </c>
      <c r="J51" s="176"/>
      <c r="K51" s="192">
        <v>80</v>
      </c>
      <c r="L51" s="186"/>
      <c r="M51" s="192">
        <v>75</v>
      </c>
      <c r="N51" s="186"/>
      <c r="O51" s="179">
        <v>190.5</v>
      </c>
      <c r="P51" s="180"/>
      <c r="Q51" s="179">
        <v>2.25</v>
      </c>
      <c r="R51" s="180"/>
      <c r="S51" s="179">
        <v>6.23</v>
      </c>
      <c r="T51" s="180"/>
      <c r="U51" s="179">
        <v>17.329999999999998</v>
      </c>
      <c r="V51" s="180"/>
      <c r="W51" s="242"/>
      <c r="X51" s="218"/>
      <c r="Y51" s="219"/>
      <c r="Z51" s="220"/>
    </row>
    <row r="52" spans="1:26" ht="15.75" thickBot="1" x14ac:dyDescent="0.3">
      <c r="A52" s="225"/>
      <c r="B52" s="184"/>
      <c r="C52" s="185"/>
      <c r="D52" s="187"/>
      <c r="E52" s="184"/>
      <c r="F52" s="185"/>
      <c r="G52" s="185"/>
      <c r="H52" s="187"/>
      <c r="I52" s="177"/>
      <c r="J52" s="178"/>
      <c r="K52" s="184"/>
      <c r="L52" s="187"/>
      <c r="M52" s="184"/>
      <c r="N52" s="187"/>
      <c r="O52" s="181"/>
      <c r="P52" s="182"/>
      <c r="Q52" s="181"/>
      <c r="R52" s="182"/>
      <c r="S52" s="181"/>
      <c r="T52" s="182"/>
      <c r="U52" s="181"/>
      <c r="V52" s="182"/>
      <c r="W52" s="250"/>
      <c r="X52" s="218"/>
      <c r="Y52" s="219"/>
      <c r="Z52" s="220"/>
    </row>
    <row r="53" spans="1:26" x14ac:dyDescent="0.25">
      <c r="A53" s="225"/>
      <c r="B53" s="192" t="s">
        <v>4</v>
      </c>
      <c r="C53" s="183"/>
      <c r="D53" s="186"/>
      <c r="E53" s="192" t="s">
        <v>80</v>
      </c>
      <c r="F53" s="183"/>
      <c r="G53" s="183"/>
      <c r="H53" s="186"/>
      <c r="I53" s="175"/>
      <c r="J53" s="176"/>
      <c r="K53" s="192">
        <v>55</v>
      </c>
      <c r="L53" s="186"/>
      <c r="M53" s="192">
        <v>50</v>
      </c>
      <c r="N53" s="186"/>
      <c r="O53" s="179">
        <f>413*M53/100</f>
        <v>206.5</v>
      </c>
      <c r="P53" s="180"/>
      <c r="Q53" s="179">
        <f>54.5*M53/100</f>
        <v>27.25</v>
      </c>
      <c r="R53" s="180"/>
      <c r="S53" s="179">
        <f>7.2*M53/100</f>
        <v>3.6</v>
      </c>
      <c r="T53" s="180"/>
      <c r="U53" s="179">
        <f>17.1*M53/100</f>
        <v>8.5500000000000007</v>
      </c>
      <c r="V53" s="180"/>
      <c r="W53" s="242"/>
      <c r="X53" s="218"/>
      <c r="Y53" s="219"/>
      <c r="Z53" s="220"/>
    </row>
    <row r="54" spans="1:26" ht="15.75" thickBot="1" x14ac:dyDescent="0.3">
      <c r="A54" s="225"/>
      <c r="B54" s="184"/>
      <c r="C54" s="185"/>
      <c r="D54" s="187"/>
      <c r="E54" s="184"/>
      <c r="F54" s="185"/>
      <c r="G54" s="185"/>
      <c r="H54" s="187"/>
      <c r="I54" s="177"/>
      <c r="J54" s="178"/>
      <c r="K54" s="184"/>
      <c r="L54" s="187"/>
      <c r="M54" s="184"/>
      <c r="N54" s="187"/>
      <c r="O54" s="181"/>
      <c r="P54" s="182"/>
      <c r="Q54" s="181"/>
      <c r="R54" s="182"/>
      <c r="S54" s="181"/>
      <c r="T54" s="182"/>
      <c r="U54" s="181"/>
      <c r="V54" s="182"/>
      <c r="W54" s="250"/>
      <c r="X54" s="218"/>
      <c r="Y54" s="219"/>
      <c r="Z54" s="220"/>
    </row>
    <row r="55" spans="1:26" x14ac:dyDescent="0.25">
      <c r="A55" s="225"/>
      <c r="B55" s="192" t="s">
        <v>5</v>
      </c>
      <c r="C55" s="183"/>
      <c r="D55" s="186"/>
      <c r="E55" s="192" t="s">
        <v>78</v>
      </c>
      <c r="F55" s="183"/>
      <c r="G55" s="183"/>
      <c r="H55" s="186"/>
      <c r="I55" s="175"/>
      <c r="J55" s="186"/>
      <c r="K55" s="175">
        <v>30</v>
      </c>
      <c r="L55" s="176"/>
      <c r="M55" s="192">
        <v>25</v>
      </c>
      <c r="N55" s="186"/>
      <c r="O55" s="179">
        <v>147</v>
      </c>
      <c r="P55" s="180"/>
      <c r="Q55" s="179">
        <v>7.4</v>
      </c>
      <c r="R55" s="180"/>
      <c r="S55" s="179">
        <v>4.9000000000000004</v>
      </c>
      <c r="T55" s="180"/>
      <c r="U55" s="179">
        <v>10.8</v>
      </c>
      <c r="V55" s="180"/>
      <c r="W55" s="242"/>
      <c r="X55" s="218"/>
      <c r="Y55" s="219"/>
      <c r="Z55" s="220"/>
    </row>
    <row r="56" spans="1:26" ht="15.75" thickBot="1" x14ac:dyDescent="0.3">
      <c r="A56" s="225"/>
      <c r="B56" s="184"/>
      <c r="C56" s="185"/>
      <c r="D56" s="187"/>
      <c r="E56" s="184"/>
      <c r="F56" s="185"/>
      <c r="G56" s="185"/>
      <c r="H56" s="187"/>
      <c r="I56" s="184"/>
      <c r="J56" s="187"/>
      <c r="K56" s="177"/>
      <c r="L56" s="178"/>
      <c r="M56" s="184"/>
      <c r="N56" s="187"/>
      <c r="O56" s="181"/>
      <c r="P56" s="182"/>
      <c r="Q56" s="181"/>
      <c r="R56" s="182"/>
      <c r="S56" s="181"/>
      <c r="T56" s="182"/>
      <c r="U56" s="181"/>
      <c r="V56" s="182"/>
      <c r="W56" s="250"/>
      <c r="X56" s="218"/>
      <c r="Y56" s="219"/>
      <c r="Z56" s="220"/>
    </row>
    <row r="57" spans="1:26" ht="15" customHeight="1" x14ac:dyDescent="0.25">
      <c r="A57" s="225"/>
      <c r="B57" s="192" t="s">
        <v>17</v>
      </c>
      <c r="C57" s="183"/>
      <c r="D57" s="186"/>
      <c r="E57" s="192" t="s">
        <v>26</v>
      </c>
      <c r="F57" s="183"/>
      <c r="G57" s="183"/>
      <c r="H57" s="186"/>
      <c r="I57" s="175">
        <v>4742870013945</v>
      </c>
      <c r="J57" s="186"/>
      <c r="K57" s="175">
        <v>17</v>
      </c>
      <c r="L57" s="176"/>
      <c r="M57" s="192">
        <v>15</v>
      </c>
      <c r="N57" s="186"/>
      <c r="O57" s="179">
        <v>66</v>
      </c>
      <c r="P57" s="180"/>
      <c r="Q57" s="179">
        <v>11.9</v>
      </c>
      <c r="R57" s="180"/>
      <c r="S57" s="179">
        <v>0.7</v>
      </c>
      <c r="T57" s="180"/>
      <c r="U57" s="179">
        <v>1.6</v>
      </c>
      <c r="V57" s="180"/>
      <c r="W57" s="251"/>
      <c r="X57" s="218"/>
      <c r="Y57" s="219"/>
      <c r="Z57" s="220"/>
    </row>
    <row r="58" spans="1:26" ht="15.95" customHeight="1" thickBot="1" x14ac:dyDescent="0.3">
      <c r="A58" s="225"/>
      <c r="B58" s="184"/>
      <c r="C58" s="185"/>
      <c r="D58" s="187"/>
      <c r="E58" s="184"/>
      <c r="F58" s="185"/>
      <c r="G58" s="185"/>
      <c r="H58" s="187"/>
      <c r="I58" s="184"/>
      <c r="J58" s="187"/>
      <c r="K58" s="177"/>
      <c r="L58" s="178"/>
      <c r="M58" s="184"/>
      <c r="N58" s="187"/>
      <c r="O58" s="181"/>
      <c r="P58" s="182"/>
      <c r="Q58" s="181"/>
      <c r="R58" s="182"/>
      <c r="S58" s="181"/>
      <c r="T58" s="182"/>
      <c r="U58" s="181"/>
      <c r="V58" s="182"/>
      <c r="W58" s="252"/>
      <c r="X58" s="218"/>
      <c r="Y58" s="219"/>
      <c r="Z58" s="220"/>
    </row>
    <row r="59" spans="1:26" x14ac:dyDescent="0.25">
      <c r="A59" s="225"/>
      <c r="B59" s="192" t="s">
        <v>27</v>
      </c>
      <c r="C59" s="183"/>
      <c r="D59" s="186"/>
      <c r="E59" s="192" t="s">
        <v>28</v>
      </c>
      <c r="F59" s="183"/>
      <c r="G59" s="183"/>
      <c r="H59" s="186"/>
      <c r="I59" s="175"/>
      <c r="J59" s="176"/>
      <c r="K59" s="175">
        <v>7</v>
      </c>
      <c r="L59" s="176"/>
      <c r="M59" s="192">
        <f>4*1.4</f>
        <v>5.6</v>
      </c>
      <c r="N59" s="186"/>
      <c r="O59" s="179">
        <f>222*M59/100</f>
        <v>12.431999999999999</v>
      </c>
      <c r="P59" s="180"/>
      <c r="Q59" s="179">
        <f>73*M59/100</f>
        <v>4.0879999999999992</v>
      </c>
      <c r="R59" s="180"/>
      <c r="S59" s="179">
        <f>0.4*M59/100</f>
        <v>2.2399999999999996E-2</v>
      </c>
      <c r="T59" s="180"/>
      <c r="U59" s="179">
        <f>12.2*M59/100</f>
        <v>0.68319999999999992</v>
      </c>
      <c r="V59" s="180"/>
      <c r="W59" s="242"/>
      <c r="X59" s="218"/>
      <c r="Y59" s="219"/>
      <c r="Z59" s="220"/>
    </row>
    <row r="60" spans="1:26" ht="15.75" thickBot="1" x14ac:dyDescent="0.3">
      <c r="A60" s="225"/>
      <c r="B60" s="184"/>
      <c r="C60" s="185"/>
      <c r="D60" s="187"/>
      <c r="E60" s="184"/>
      <c r="F60" s="185"/>
      <c r="G60" s="185"/>
      <c r="H60" s="187"/>
      <c r="I60" s="177"/>
      <c r="J60" s="178"/>
      <c r="K60" s="177"/>
      <c r="L60" s="178"/>
      <c r="M60" s="184"/>
      <c r="N60" s="187"/>
      <c r="O60" s="181"/>
      <c r="P60" s="182"/>
      <c r="Q60" s="181"/>
      <c r="R60" s="182"/>
      <c r="S60" s="181"/>
      <c r="T60" s="182"/>
      <c r="U60" s="181"/>
      <c r="V60" s="182"/>
      <c r="W60" s="250"/>
      <c r="X60" s="218"/>
      <c r="Y60" s="219"/>
      <c r="Z60" s="220"/>
    </row>
    <row r="61" spans="1:26" x14ac:dyDescent="0.25">
      <c r="A61" s="225"/>
      <c r="B61" s="192" t="s">
        <v>7</v>
      </c>
      <c r="C61" s="183"/>
      <c r="D61" s="186"/>
      <c r="E61" s="192" t="s">
        <v>66</v>
      </c>
      <c r="F61" s="183"/>
      <c r="G61" s="183"/>
      <c r="H61" s="186"/>
      <c r="I61" s="175"/>
      <c r="J61" s="186"/>
      <c r="K61" s="175">
        <v>4</v>
      </c>
      <c r="L61" s="176"/>
      <c r="M61" s="192">
        <v>2</v>
      </c>
      <c r="N61" s="186"/>
      <c r="O61" s="179">
        <v>0</v>
      </c>
      <c r="P61" s="180"/>
      <c r="Q61" s="179">
        <v>0</v>
      </c>
      <c r="R61" s="180"/>
      <c r="S61" s="179">
        <v>0</v>
      </c>
      <c r="T61" s="180"/>
      <c r="U61" s="179">
        <v>0</v>
      </c>
      <c r="V61" s="180"/>
      <c r="W61" s="253"/>
      <c r="X61" s="218"/>
      <c r="Y61" s="219"/>
      <c r="Z61" s="220"/>
    </row>
    <row r="62" spans="1:26" ht="15.75" thickBot="1" x14ac:dyDescent="0.3">
      <c r="A62" s="225"/>
      <c r="B62" s="184"/>
      <c r="C62" s="185"/>
      <c r="D62" s="187"/>
      <c r="E62" s="184"/>
      <c r="F62" s="185"/>
      <c r="G62" s="185"/>
      <c r="H62" s="187"/>
      <c r="I62" s="184"/>
      <c r="J62" s="187"/>
      <c r="K62" s="177"/>
      <c r="L62" s="178"/>
      <c r="M62" s="184"/>
      <c r="N62" s="187"/>
      <c r="O62" s="181"/>
      <c r="P62" s="182"/>
      <c r="Q62" s="181"/>
      <c r="R62" s="182"/>
      <c r="S62" s="181"/>
      <c r="T62" s="182"/>
      <c r="U62" s="181"/>
      <c r="V62" s="182"/>
      <c r="W62" s="250"/>
      <c r="X62" s="218"/>
      <c r="Y62" s="219"/>
      <c r="Z62" s="220"/>
    </row>
    <row r="63" spans="1:26" x14ac:dyDescent="0.25">
      <c r="A63" s="225"/>
      <c r="B63" s="192" t="s">
        <v>8</v>
      </c>
      <c r="C63" s="183"/>
      <c r="D63" s="186"/>
      <c r="E63" s="192" t="s">
        <v>8</v>
      </c>
      <c r="F63" s="183"/>
      <c r="G63" s="183"/>
      <c r="H63" s="186"/>
      <c r="I63" s="175"/>
      <c r="J63" s="186"/>
      <c r="K63" s="175"/>
      <c r="L63" s="176"/>
      <c r="M63" s="192"/>
      <c r="N63" s="186"/>
      <c r="O63" s="179"/>
      <c r="P63" s="180"/>
      <c r="Q63" s="179"/>
      <c r="R63" s="180"/>
      <c r="S63" s="179"/>
      <c r="T63" s="180"/>
      <c r="U63" s="179"/>
      <c r="V63" s="180"/>
      <c r="W63" s="253"/>
      <c r="X63" s="218"/>
      <c r="Y63" s="219"/>
      <c r="Z63" s="220"/>
    </row>
    <row r="64" spans="1:26" ht="15.75" thickBot="1" x14ac:dyDescent="0.3">
      <c r="A64" s="226"/>
      <c r="B64" s="184"/>
      <c r="C64" s="185"/>
      <c r="D64" s="187"/>
      <c r="E64" s="184"/>
      <c r="F64" s="185"/>
      <c r="G64" s="185"/>
      <c r="H64" s="187"/>
      <c r="I64" s="184"/>
      <c r="J64" s="187"/>
      <c r="K64" s="177"/>
      <c r="L64" s="178"/>
      <c r="M64" s="184"/>
      <c r="N64" s="187"/>
      <c r="O64" s="181"/>
      <c r="P64" s="182"/>
      <c r="Q64" s="181"/>
      <c r="R64" s="182"/>
      <c r="S64" s="181"/>
      <c r="T64" s="182"/>
      <c r="U64" s="181"/>
      <c r="V64" s="182"/>
      <c r="W64" s="250"/>
      <c r="X64" s="221"/>
      <c r="Y64" s="222"/>
      <c r="Z64" s="223"/>
    </row>
    <row r="65" spans="1:26" ht="15.75" thickBot="1" x14ac:dyDescent="0.3">
      <c r="A65" s="1"/>
      <c r="B65" s="159" t="s">
        <v>16</v>
      </c>
      <c r="C65" s="160"/>
      <c r="D65" s="161"/>
      <c r="E65" s="159"/>
      <c r="F65" s="160"/>
      <c r="G65" s="160"/>
      <c r="H65" s="161"/>
      <c r="I65" s="159"/>
      <c r="J65" s="161"/>
      <c r="K65" s="162">
        <f>SUM(K47:L64)</f>
        <v>573</v>
      </c>
      <c r="L65" s="163"/>
      <c r="M65" s="162">
        <f>SUM(M47:N64)</f>
        <v>522.6</v>
      </c>
      <c r="N65" s="163"/>
      <c r="O65" s="162">
        <f>SUM(O47:P64)</f>
        <v>1261.432</v>
      </c>
      <c r="P65" s="163"/>
      <c r="Q65" s="162">
        <f>SUM(Q47:R64)</f>
        <v>131.18800000000002</v>
      </c>
      <c r="R65" s="163"/>
      <c r="S65" s="162">
        <f>SUM(S47:T64)</f>
        <v>37.102400000000003</v>
      </c>
      <c r="T65" s="163"/>
      <c r="U65" s="162">
        <f>SUM(U47:V64)</f>
        <v>63.563200000000002</v>
      </c>
      <c r="V65" s="163"/>
      <c r="W65" s="20"/>
    </row>
    <row r="66" spans="1:26" x14ac:dyDescent="0.25">
      <c r="A66" s="212">
        <v>8</v>
      </c>
      <c r="B66" s="193" t="s">
        <v>1</v>
      </c>
      <c r="C66" s="194"/>
      <c r="D66" s="195"/>
      <c r="E66" s="193" t="s">
        <v>79</v>
      </c>
      <c r="F66" s="194"/>
      <c r="G66" s="194"/>
      <c r="H66" s="195"/>
      <c r="I66" s="188"/>
      <c r="J66" s="189"/>
      <c r="K66" s="199">
        <v>325</v>
      </c>
      <c r="L66" s="200"/>
      <c r="M66" s="199">
        <v>300</v>
      </c>
      <c r="N66" s="200"/>
      <c r="O66" s="171">
        <f>133*M66/100</f>
        <v>399</v>
      </c>
      <c r="P66" s="172"/>
      <c r="Q66" s="171">
        <f>14*M66/100</f>
        <v>42</v>
      </c>
      <c r="R66" s="172"/>
      <c r="S66" s="171">
        <f>5.2*M66/100</f>
        <v>15.6</v>
      </c>
      <c r="T66" s="172"/>
      <c r="U66" s="171">
        <f>5.7*M66/100</f>
        <v>17.100000000000001</v>
      </c>
      <c r="V66" s="172"/>
      <c r="W66" s="256"/>
      <c r="X66" s="203">
        <v>26400</v>
      </c>
      <c r="Y66" s="204"/>
      <c r="Z66" s="205"/>
    </row>
    <row r="67" spans="1:26" ht="15.75" thickBot="1" x14ac:dyDescent="0.3">
      <c r="A67" s="213"/>
      <c r="B67" s="196"/>
      <c r="C67" s="197"/>
      <c r="D67" s="198"/>
      <c r="E67" s="196"/>
      <c r="F67" s="197"/>
      <c r="G67" s="197"/>
      <c r="H67" s="198"/>
      <c r="I67" s="190"/>
      <c r="J67" s="191"/>
      <c r="K67" s="201"/>
      <c r="L67" s="202"/>
      <c r="M67" s="201"/>
      <c r="N67" s="202"/>
      <c r="O67" s="173"/>
      <c r="P67" s="174"/>
      <c r="Q67" s="173"/>
      <c r="R67" s="174"/>
      <c r="S67" s="173"/>
      <c r="T67" s="174"/>
      <c r="U67" s="173"/>
      <c r="V67" s="174"/>
      <c r="W67" s="257"/>
      <c r="X67" s="206"/>
      <c r="Y67" s="207"/>
      <c r="Z67" s="208"/>
    </row>
    <row r="68" spans="1:26" x14ac:dyDescent="0.25">
      <c r="A68" s="213"/>
      <c r="B68" s="193" t="s">
        <v>2</v>
      </c>
      <c r="C68" s="194"/>
      <c r="D68" s="195"/>
      <c r="E68" s="193" t="s">
        <v>72</v>
      </c>
      <c r="F68" s="194"/>
      <c r="G68" s="194"/>
      <c r="H68" s="195"/>
      <c r="I68" s="188"/>
      <c r="J68" s="189"/>
      <c r="K68" s="188">
        <v>55</v>
      </c>
      <c r="L68" s="189"/>
      <c r="M68" s="193">
        <v>50</v>
      </c>
      <c r="N68" s="195"/>
      <c r="O68" s="171">
        <f>427*M68/100</f>
        <v>213.5</v>
      </c>
      <c r="P68" s="172"/>
      <c r="Q68" s="171">
        <f>65.7*M68/100</f>
        <v>32.85</v>
      </c>
      <c r="R68" s="172"/>
      <c r="S68" s="171">
        <f>11.4*M68/100</f>
        <v>5.7</v>
      </c>
      <c r="T68" s="172"/>
      <c r="U68" s="171">
        <f>10.6*M68/100</f>
        <v>5.3</v>
      </c>
      <c r="V68" s="172"/>
      <c r="W68" s="258"/>
      <c r="X68" s="206"/>
      <c r="Y68" s="207"/>
      <c r="Z68" s="208"/>
    </row>
    <row r="69" spans="1:26" ht="15.75" thickBot="1" x14ac:dyDescent="0.3">
      <c r="A69" s="213"/>
      <c r="B69" s="196"/>
      <c r="C69" s="197"/>
      <c r="D69" s="198"/>
      <c r="E69" s="196"/>
      <c r="F69" s="197"/>
      <c r="G69" s="197"/>
      <c r="H69" s="198"/>
      <c r="I69" s="190"/>
      <c r="J69" s="191"/>
      <c r="K69" s="190"/>
      <c r="L69" s="191"/>
      <c r="M69" s="196"/>
      <c r="N69" s="198"/>
      <c r="O69" s="173"/>
      <c r="P69" s="174"/>
      <c r="Q69" s="173"/>
      <c r="R69" s="174"/>
      <c r="S69" s="173"/>
      <c r="T69" s="174"/>
      <c r="U69" s="173"/>
      <c r="V69" s="174"/>
      <c r="W69" s="259"/>
      <c r="X69" s="206"/>
      <c r="Y69" s="207"/>
      <c r="Z69" s="208"/>
    </row>
    <row r="70" spans="1:26" x14ac:dyDescent="0.25">
      <c r="A70" s="213"/>
      <c r="B70" s="193" t="s">
        <v>3</v>
      </c>
      <c r="C70" s="194"/>
      <c r="D70" s="195"/>
      <c r="E70" s="193" t="s">
        <v>21</v>
      </c>
      <c r="F70" s="194"/>
      <c r="G70" s="194"/>
      <c r="H70" s="195"/>
      <c r="I70" s="188">
        <v>4742870019008</v>
      </c>
      <c r="J70" s="195"/>
      <c r="K70" s="260">
        <v>80</v>
      </c>
      <c r="L70" s="261"/>
      <c r="M70" s="193">
        <v>75</v>
      </c>
      <c r="N70" s="195"/>
      <c r="O70" s="199">
        <v>225</v>
      </c>
      <c r="P70" s="200"/>
      <c r="Q70" s="199">
        <v>1.05</v>
      </c>
      <c r="R70" s="200"/>
      <c r="S70" s="199">
        <v>7.2</v>
      </c>
      <c r="T70" s="200"/>
      <c r="U70" s="199">
        <v>21.23</v>
      </c>
      <c r="V70" s="200"/>
      <c r="W70" s="258"/>
      <c r="X70" s="206"/>
      <c r="Y70" s="207"/>
      <c r="Z70" s="208"/>
    </row>
    <row r="71" spans="1:26" ht="15.75" thickBot="1" x14ac:dyDescent="0.3">
      <c r="A71" s="213"/>
      <c r="B71" s="196"/>
      <c r="C71" s="197"/>
      <c r="D71" s="198"/>
      <c r="E71" s="196"/>
      <c r="F71" s="197"/>
      <c r="G71" s="197"/>
      <c r="H71" s="198"/>
      <c r="I71" s="196"/>
      <c r="J71" s="198"/>
      <c r="K71" s="190"/>
      <c r="L71" s="191"/>
      <c r="M71" s="196"/>
      <c r="N71" s="198"/>
      <c r="O71" s="201"/>
      <c r="P71" s="202"/>
      <c r="Q71" s="201"/>
      <c r="R71" s="202"/>
      <c r="S71" s="201"/>
      <c r="T71" s="202"/>
      <c r="U71" s="201"/>
      <c r="V71" s="202"/>
      <c r="W71" s="259"/>
      <c r="X71" s="206"/>
      <c r="Y71" s="207"/>
      <c r="Z71" s="208"/>
    </row>
    <row r="72" spans="1:26" x14ac:dyDescent="0.25">
      <c r="A72" s="213"/>
      <c r="B72" s="193" t="s">
        <v>4</v>
      </c>
      <c r="C72" s="194"/>
      <c r="D72" s="195"/>
      <c r="E72" s="193" t="s">
        <v>71</v>
      </c>
      <c r="F72" s="194"/>
      <c r="G72" s="194"/>
      <c r="H72" s="195"/>
      <c r="I72" s="188"/>
      <c r="J72" s="189"/>
      <c r="K72" s="188">
        <v>55</v>
      </c>
      <c r="L72" s="189"/>
      <c r="M72" s="193">
        <v>50</v>
      </c>
      <c r="N72" s="195"/>
      <c r="O72" s="171">
        <f>439*M72/100</f>
        <v>219.5</v>
      </c>
      <c r="P72" s="172"/>
      <c r="Q72" s="171">
        <f>70.7*M72/100</f>
        <v>35.35</v>
      </c>
      <c r="R72" s="172"/>
      <c r="S72" s="171">
        <f>7.9*M72/100</f>
        <v>3.95</v>
      </c>
      <c r="T72" s="172"/>
      <c r="U72" s="171">
        <f>12.3*M72/100</f>
        <v>6.15</v>
      </c>
      <c r="V72" s="172"/>
      <c r="W72" s="258"/>
      <c r="X72" s="206"/>
      <c r="Y72" s="207"/>
      <c r="Z72" s="208"/>
    </row>
    <row r="73" spans="1:26" ht="15.75" thickBot="1" x14ac:dyDescent="0.3">
      <c r="A73" s="213"/>
      <c r="B73" s="196"/>
      <c r="C73" s="197"/>
      <c r="D73" s="198"/>
      <c r="E73" s="196"/>
      <c r="F73" s="197"/>
      <c r="G73" s="197"/>
      <c r="H73" s="198"/>
      <c r="I73" s="190"/>
      <c r="J73" s="191"/>
      <c r="K73" s="190"/>
      <c r="L73" s="191"/>
      <c r="M73" s="196"/>
      <c r="N73" s="198"/>
      <c r="O73" s="173"/>
      <c r="P73" s="174"/>
      <c r="Q73" s="173"/>
      <c r="R73" s="174"/>
      <c r="S73" s="173"/>
      <c r="T73" s="174"/>
      <c r="U73" s="173"/>
      <c r="V73" s="174"/>
      <c r="W73" s="255"/>
      <c r="X73" s="206"/>
      <c r="Y73" s="207"/>
      <c r="Z73" s="208"/>
    </row>
    <row r="74" spans="1:26" x14ac:dyDescent="0.25">
      <c r="A74" s="213"/>
      <c r="B74" s="193" t="s">
        <v>35</v>
      </c>
      <c r="C74" s="194"/>
      <c r="D74" s="195"/>
      <c r="E74" s="193" t="s">
        <v>82</v>
      </c>
      <c r="F74" s="194"/>
      <c r="G74" s="194"/>
      <c r="H74" s="195"/>
      <c r="I74" s="188"/>
      <c r="J74" s="189"/>
      <c r="K74" s="193">
        <v>3</v>
      </c>
      <c r="L74" s="195"/>
      <c r="M74" s="193">
        <v>2</v>
      </c>
      <c r="N74" s="195"/>
      <c r="O74" s="199">
        <v>5.4</v>
      </c>
      <c r="P74" s="200"/>
      <c r="Q74" s="199">
        <v>0.4</v>
      </c>
      <c r="R74" s="200"/>
      <c r="S74" s="199">
        <v>0.4</v>
      </c>
      <c r="T74" s="200"/>
      <c r="U74" s="199">
        <v>0</v>
      </c>
      <c r="V74" s="200"/>
      <c r="W74" s="258"/>
      <c r="X74" s="206"/>
      <c r="Y74" s="207"/>
      <c r="Z74" s="208"/>
    </row>
    <row r="75" spans="1:26" ht="15.75" thickBot="1" x14ac:dyDescent="0.3">
      <c r="A75" s="213"/>
      <c r="B75" s="196"/>
      <c r="C75" s="197"/>
      <c r="D75" s="198"/>
      <c r="E75" s="196"/>
      <c r="F75" s="197"/>
      <c r="G75" s="197"/>
      <c r="H75" s="198"/>
      <c r="I75" s="190"/>
      <c r="J75" s="191"/>
      <c r="K75" s="196"/>
      <c r="L75" s="198"/>
      <c r="M75" s="196"/>
      <c r="N75" s="198"/>
      <c r="O75" s="201"/>
      <c r="P75" s="202"/>
      <c r="Q75" s="201"/>
      <c r="R75" s="202"/>
      <c r="S75" s="201"/>
      <c r="T75" s="202"/>
      <c r="U75" s="201"/>
      <c r="V75" s="202"/>
      <c r="W75" s="255"/>
      <c r="X75" s="206"/>
      <c r="Y75" s="207"/>
      <c r="Z75" s="208"/>
    </row>
    <row r="76" spans="1:26" x14ac:dyDescent="0.25">
      <c r="A76" s="213"/>
      <c r="B76" s="193" t="s">
        <v>5</v>
      </c>
      <c r="C76" s="194"/>
      <c r="D76" s="195"/>
      <c r="E76" s="193" t="s">
        <v>64</v>
      </c>
      <c r="F76" s="194"/>
      <c r="G76" s="194"/>
      <c r="H76" s="195"/>
      <c r="I76" s="188"/>
      <c r="J76" s="189"/>
      <c r="K76" s="193">
        <v>27</v>
      </c>
      <c r="L76" s="195"/>
      <c r="M76" s="193">
        <v>25</v>
      </c>
      <c r="N76" s="195"/>
      <c r="O76" s="193">
        <f>267*M76/100</f>
        <v>66.75</v>
      </c>
      <c r="P76" s="195"/>
      <c r="Q76" s="193">
        <f>65.6*M76/100</f>
        <v>16.399999999999999</v>
      </c>
      <c r="R76" s="195"/>
      <c r="S76" s="193">
        <f>0.3*M76/100</f>
        <v>7.4999999999999997E-2</v>
      </c>
      <c r="T76" s="195"/>
      <c r="U76" s="193">
        <f>0.1*M76/100</f>
        <v>2.5000000000000001E-2</v>
      </c>
      <c r="V76" s="195"/>
      <c r="W76" s="258"/>
      <c r="X76" s="206"/>
      <c r="Y76" s="207"/>
      <c r="Z76" s="208"/>
    </row>
    <row r="77" spans="1:26" ht="15.75" thickBot="1" x14ac:dyDescent="0.3">
      <c r="A77" s="213"/>
      <c r="B77" s="196"/>
      <c r="C77" s="197"/>
      <c r="D77" s="198"/>
      <c r="E77" s="196"/>
      <c r="F77" s="197"/>
      <c r="G77" s="197"/>
      <c r="H77" s="198"/>
      <c r="I77" s="190"/>
      <c r="J77" s="191"/>
      <c r="K77" s="196"/>
      <c r="L77" s="198"/>
      <c r="M77" s="196"/>
      <c r="N77" s="198"/>
      <c r="O77" s="196"/>
      <c r="P77" s="198"/>
      <c r="Q77" s="196"/>
      <c r="R77" s="198"/>
      <c r="S77" s="196"/>
      <c r="T77" s="198"/>
      <c r="U77" s="196"/>
      <c r="V77" s="198"/>
      <c r="W77" s="255"/>
      <c r="X77" s="206"/>
      <c r="Y77" s="207"/>
      <c r="Z77" s="208"/>
    </row>
    <row r="78" spans="1:26" x14ac:dyDescent="0.25">
      <c r="A78" s="213"/>
      <c r="B78" s="193" t="s">
        <v>17</v>
      </c>
      <c r="C78" s="194"/>
      <c r="D78" s="195"/>
      <c r="E78" s="193" t="s">
        <v>26</v>
      </c>
      <c r="F78" s="194"/>
      <c r="G78" s="194"/>
      <c r="H78" s="195"/>
      <c r="I78" s="188">
        <v>4742870013945</v>
      </c>
      <c r="J78" s="189"/>
      <c r="K78" s="193">
        <v>17</v>
      </c>
      <c r="L78" s="195"/>
      <c r="M78" s="193">
        <v>15</v>
      </c>
      <c r="N78" s="195"/>
      <c r="O78" s="199">
        <v>66</v>
      </c>
      <c r="P78" s="200"/>
      <c r="Q78" s="199">
        <v>11.9</v>
      </c>
      <c r="R78" s="200"/>
      <c r="S78" s="199">
        <v>0.7</v>
      </c>
      <c r="T78" s="200"/>
      <c r="U78" s="199">
        <v>1.6</v>
      </c>
      <c r="V78" s="200"/>
      <c r="W78" s="258"/>
      <c r="X78" s="206"/>
      <c r="Y78" s="207"/>
      <c r="Z78" s="208"/>
    </row>
    <row r="79" spans="1:26" ht="15.75" thickBot="1" x14ac:dyDescent="0.3">
      <c r="A79" s="213"/>
      <c r="B79" s="196"/>
      <c r="C79" s="197"/>
      <c r="D79" s="198"/>
      <c r="E79" s="196"/>
      <c r="F79" s="197"/>
      <c r="G79" s="197"/>
      <c r="H79" s="198"/>
      <c r="I79" s="190"/>
      <c r="J79" s="191"/>
      <c r="K79" s="196"/>
      <c r="L79" s="198"/>
      <c r="M79" s="196"/>
      <c r="N79" s="198"/>
      <c r="O79" s="201"/>
      <c r="P79" s="202"/>
      <c r="Q79" s="201"/>
      <c r="R79" s="202"/>
      <c r="S79" s="201"/>
      <c r="T79" s="202"/>
      <c r="U79" s="201"/>
      <c r="V79" s="202"/>
      <c r="W79" s="255"/>
      <c r="X79" s="206"/>
      <c r="Y79" s="207"/>
      <c r="Z79" s="208"/>
    </row>
    <row r="80" spans="1:26" x14ac:dyDescent="0.25">
      <c r="A80" s="213"/>
      <c r="B80" s="193" t="s">
        <v>27</v>
      </c>
      <c r="C80" s="194"/>
      <c r="D80" s="195"/>
      <c r="E80" s="193" t="s">
        <v>28</v>
      </c>
      <c r="F80" s="194"/>
      <c r="G80" s="194"/>
      <c r="H80" s="195"/>
      <c r="I80" s="188"/>
      <c r="J80" s="189"/>
      <c r="K80" s="193">
        <v>7</v>
      </c>
      <c r="L80" s="195"/>
      <c r="M80" s="193">
        <v>5.6</v>
      </c>
      <c r="N80" s="195"/>
      <c r="O80" s="199">
        <v>12.43</v>
      </c>
      <c r="P80" s="200"/>
      <c r="Q80" s="199">
        <v>4.09</v>
      </c>
      <c r="R80" s="200"/>
      <c r="S80" s="199">
        <v>0.02</v>
      </c>
      <c r="T80" s="200"/>
      <c r="U80" s="199">
        <v>0.68</v>
      </c>
      <c r="V80" s="200"/>
      <c r="W80" s="258"/>
      <c r="X80" s="206"/>
      <c r="Y80" s="207"/>
      <c r="Z80" s="208"/>
    </row>
    <row r="81" spans="1:26" ht="15.75" thickBot="1" x14ac:dyDescent="0.3">
      <c r="A81" s="213"/>
      <c r="B81" s="196"/>
      <c r="C81" s="197"/>
      <c r="D81" s="198"/>
      <c r="E81" s="196"/>
      <c r="F81" s="197"/>
      <c r="G81" s="197"/>
      <c r="H81" s="198"/>
      <c r="I81" s="190"/>
      <c r="J81" s="191"/>
      <c r="K81" s="196"/>
      <c r="L81" s="198"/>
      <c r="M81" s="196"/>
      <c r="N81" s="198"/>
      <c r="O81" s="201"/>
      <c r="P81" s="202"/>
      <c r="Q81" s="201"/>
      <c r="R81" s="202"/>
      <c r="S81" s="201"/>
      <c r="T81" s="202"/>
      <c r="U81" s="201"/>
      <c r="V81" s="202"/>
      <c r="W81" s="255"/>
      <c r="X81" s="206"/>
      <c r="Y81" s="207"/>
      <c r="Z81" s="208"/>
    </row>
    <row r="82" spans="1:26" x14ac:dyDescent="0.25">
      <c r="A82" s="213"/>
      <c r="B82" s="193" t="s">
        <v>7</v>
      </c>
      <c r="C82" s="194"/>
      <c r="D82" s="195"/>
      <c r="E82" s="193" t="s">
        <v>66</v>
      </c>
      <c r="F82" s="194"/>
      <c r="G82" s="194"/>
      <c r="H82" s="195"/>
      <c r="I82" s="188"/>
      <c r="J82" s="195"/>
      <c r="K82" s="188">
        <v>4</v>
      </c>
      <c r="L82" s="189"/>
      <c r="M82" s="193">
        <v>2</v>
      </c>
      <c r="N82" s="195"/>
      <c r="O82" s="171">
        <v>0</v>
      </c>
      <c r="P82" s="172"/>
      <c r="Q82" s="171">
        <v>0</v>
      </c>
      <c r="R82" s="172"/>
      <c r="S82" s="171">
        <v>0</v>
      </c>
      <c r="T82" s="172"/>
      <c r="U82" s="171">
        <v>0</v>
      </c>
      <c r="V82" s="172"/>
      <c r="W82" s="254"/>
      <c r="X82" s="206"/>
      <c r="Y82" s="207"/>
      <c r="Z82" s="208"/>
    </row>
    <row r="83" spans="1:26" ht="15.75" thickBot="1" x14ac:dyDescent="0.3">
      <c r="A83" s="213"/>
      <c r="B83" s="196"/>
      <c r="C83" s="197"/>
      <c r="D83" s="198"/>
      <c r="E83" s="196"/>
      <c r="F83" s="197"/>
      <c r="G83" s="197"/>
      <c r="H83" s="198"/>
      <c r="I83" s="196"/>
      <c r="J83" s="198"/>
      <c r="K83" s="190"/>
      <c r="L83" s="191"/>
      <c r="M83" s="196"/>
      <c r="N83" s="198"/>
      <c r="O83" s="173"/>
      <c r="P83" s="174"/>
      <c r="Q83" s="173"/>
      <c r="R83" s="174"/>
      <c r="S83" s="173"/>
      <c r="T83" s="174"/>
      <c r="U83" s="173"/>
      <c r="V83" s="174"/>
      <c r="W83" s="255"/>
      <c r="X83" s="206"/>
      <c r="Y83" s="207"/>
      <c r="Z83" s="208"/>
    </row>
    <row r="84" spans="1:26" x14ac:dyDescent="0.25">
      <c r="A84" s="213"/>
      <c r="B84" s="193" t="s">
        <v>8</v>
      </c>
      <c r="C84" s="194"/>
      <c r="D84" s="195"/>
      <c r="E84" s="193" t="s">
        <v>8</v>
      </c>
      <c r="F84" s="194"/>
      <c r="G84" s="194"/>
      <c r="H84" s="195"/>
      <c r="I84" s="188"/>
      <c r="J84" s="195"/>
      <c r="K84" s="188"/>
      <c r="L84" s="189"/>
      <c r="M84" s="193"/>
      <c r="N84" s="195"/>
      <c r="O84" s="171"/>
      <c r="P84" s="172"/>
      <c r="Q84" s="171"/>
      <c r="R84" s="172"/>
      <c r="S84" s="171"/>
      <c r="T84" s="172"/>
      <c r="U84" s="171"/>
      <c r="V84" s="172"/>
      <c r="W84" s="254"/>
      <c r="X84" s="206"/>
      <c r="Y84" s="207"/>
      <c r="Z84" s="208"/>
    </row>
    <row r="85" spans="1:26" ht="15.75" thickBot="1" x14ac:dyDescent="0.3">
      <c r="A85" s="214"/>
      <c r="B85" s="196"/>
      <c r="C85" s="197"/>
      <c r="D85" s="198"/>
      <c r="E85" s="196"/>
      <c r="F85" s="197"/>
      <c r="G85" s="197"/>
      <c r="H85" s="198"/>
      <c r="I85" s="196"/>
      <c r="J85" s="198"/>
      <c r="K85" s="190"/>
      <c r="L85" s="191"/>
      <c r="M85" s="196"/>
      <c r="N85" s="198"/>
      <c r="O85" s="173"/>
      <c r="P85" s="174"/>
      <c r="Q85" s="173"/>
      <c r="R85" s="174"/>
      <c r="S85" s="173"/>
      <c r="T85" s="174"/>
      <c r="U85" s="173"/>
      <c r="V85" s="174"/>
      <c r="W85" s="255"/>
      <c r="X85" s="209"/>
      <c r="Y85" s="210"/>
      <c r="Z85" s="211"/>
    </row>
    <row r="86" spans="1:26" ht="15.75" thickBot="1" x14ac:dyDescent="0.3">
      <c r="A86" s="2"/>
      <c r="B86" s="156" t="s">
        <v>16</v>
      </c>
      <c r="C86" s="157"/>
      <c r="D86" s="158"/>
      <c r="E86" s="159"/>
      <c r="F86" s="160"/>
      <c r="G86" s="160"/>
      <c r="H86" s="161"/>
      <c r="I86" s="159"/>
      <c r="J86" s="161"/>
      <c r="K86" s="162">
        <f>SUM(K66:L85)</f>
        <v>573</v>
      </c>
      <c r="L86" s="163"/>
      <c r="M86" s="162">
        <f>SUM(M66:N85)</f>
        <v>524.6</v>
      </c>
      <c r="N86" s="163"/>
      <c r="O86" s="162">
        <f>SUM(O66:P85)</f>
        <v>1207.5800000000002</v>
      </c>
      <c r="P86" s="163"/>
      <c r="Q86" s="162">
        <f>SUM(Q66:R85)</f>
        <v>144.04000000000002</v>
      </c>
      <c r="R86" s="163"/>
      <c r="S86" s="162">
        <f>SUM(S66:T85)</f>
        <v>33.64500000000001</v>
      </c>
      <c r="T86" s="163"/>
      <c r="U86" s="162">
        <f>SUM(U66:V85)</f>
        <v>52.085000000000001</v>
      </c>
      <c r="V86" s="163"/>
      <c r="W86" s="20"/>
    </row>
  </sheetData>
  <mergeCells count="427">
    <mergeCell ref="E70:H71"/>
    <mergeCell ref="I70:J71"/>
    <mergeCell ref="K70:L71"/>
    <mergeCell ref="B74:D75"/>
    <mergeCell ref="E74:H75"/>
    <mergeCell ref="B86:D86"/>
    <mergeCell ref="E86:H86"/>
    <mergeCell ref="I86:J86"/>
    <mergeCell ref="K86:L86"/>
    <mergeCell ref="B82:D83"/>
    <mergeCell ref="B80:D81"/>
    <mergeCell ref="E80:H81"/>
    <mergeCell ref="I80:J81"/>
    <mergeCell ref="K80:L81"/>
    <mergeCell ref="E78:H79"/>
    <mergeCell ref="I78:J79"/>
    <mergeCell ref="K78:L79"/>
    <mergeCell ref="W51:W52"/>
    <mergeCell ref="W53:W54"/>
    <mergeCell ref="W55:W56"/>
    <mergeCell ref="W57:W58"/>
    <mergeCell ref="W59:W60"/>
    <mergeCell ref="W61:W62"/>
    <mergeCell ref="W84:W85"/>
    <mergeCell ref="W63:W64"/>
    <mergeCell ref="W66:W67"/>
    <mergeCell ref="W68:W69"/>
    <mergeCell ref="W70:W71"/>
    <mergeCell ref="W72:W73"/>
    <mergeCell ref="W74:W75"/>
    <mergeCell ref="W76:W77"/>
    <mergeCell ref="W78:W79"/>
    <mergeCell ref="W82:W83"/>
    <mergeCell ref="W80:W81"/>
    <mergeCell ref="W32:W33"/>
    <mergeCell ref="W34:W35"/>
    <mergeCell ref="W36:W37"/>
    <mergeCell ref="W38:W39"/>
    <mergeCell ref="W40:W41"/>
    <mergeCell ref="W42:W43"/>
    <mergeCell ref="W44:W45"/>
    <mergeCell ref="W47:W48"/>
    <mergeCell ref="W49:W50"/>
    <mergeCell ref="W13:W14"/>
    <mergeCell ref="W15:W16"/>
    <mergeCell ref="W17:W18"/>
    <mergeCell ref="W19:W20"/>
    <mergeCell ref="W21:W22"/>
    <mergeCell ref="W23:W24"/>
    <mergeCell ref="W25:W26"/>
    <mergeCell ref="W28:W29"/>
    <mergeCell ref="W30:W31"/>
    <mergeCell ref="U46:V46"/>
    <mergeCell ref="B38:D39"/>
    <mergeCell ref="E38:H39"/>
    <mergeCell ref="K38:L39"/>
    <mergeCell ref="M38:N39"/>
    <mergeCell ref="O38:P39"/>
    <mergeCell ref="B44:D45"/>
    <mergeCell ref="E44:H45"/>
    <mergeCell ref="K44:L45"/>
    <mergeCell ref="M44:N45"/>
    <mergeCell ref="B40:D41"/>
    <mergeCell ref="E40:H41"/>
    <mergeCell ref="I40:J41"/>
    <mergeCell ref="B46:D46"/>
    <mergeCell ref="E46:H46"/>
    <mergeCell ref="I46:J46"/>
    <mergeCell ref="K46:L46"/>
    <mergeCell ref="M46:N46"/>
    <mergeCell ref="U44:V45"/>
    <mergeCell ref="I38:J39"/>
    <mergeCell ref="Q40:R41"/>
    <mergeCell ref="U38:V39"/>
    <mergeCell ref="A28:A45"/>
    <mergeCell ref="B28:D29"/>
    <mergeCell ref="E28:H29"/>
    <mergeCell ref="I28:J29"/>
    <mergeCell ref="K28:L29"/>
    <mergeCell ref="M28:N29"/>
    <mergeCell ref="B30:D31"/>
    <mergeCell ref="E30:H31"/>
    <mergeCell ref="K30:L31"/>
    <mergeCell ref="M30:N31"/>
    <mergeCell ref="B42:D43"/>
    <mergeCell ref="E42:H43"/>
    <mergeCell ref="I42:J43"/>
    <mergeCell ref="K42:L43"/>
    <mergeCell ref="M42:N43"/>
    <mergeCell ref="B36:D37"/>
    <mergeCell ref="E36:H37"/>
    <mergeCell ref="K40:L41"/>
    <mergeCell ref="M40:N41"/>
    <mergeCell ref="I36:J37"/>
    <mergeCell ref="K36:L37"/>
    <mergeCell ref="M36:N37"/>
    <mergeCell ref="B34:D35"/>
    <mergeCell ref="E34:H35"/>
    <mergeCell ref="A6:A8"/>
    <mergeCell ref="B6:D8"/>
    <mergeCell ref="E6:H8"/>
    <mergeCell ref="I6:J8"/>
    <mergeCell ref="K6:L8"/>
    <mergeCell ref="M6:N8"/>
    <mergeCell ref="A9:A26"/>
    <mergeCell ref="B9:D10"/>
    <mergeCell ref="E9:H10"/>
    <mergeCell ref="I9:J10"/>
    <mergeCell ref="K9:L10"/>
    <mergeCell ref="M9:N10"/>
    <mergeCell ref="B15:D16"/>
    <mergeCell ref="B19:D20"/>
    <mergeCell ref="E19:H20"/>
    <mergeCell ref="K19:L20"/>
    <mergeCell ref="M19:N20"/>
    <mergeCell ref="K11:L12"/>
    <mergeCell ref="M11:N12"/>
    <mergeCell ref="I11:J12"/>
    <mergeCell ref="B11:D12"/>
    <mergeCell ref="E11:H12"/>
    <mergeCell ref="B23:D24"/>
    <mergeCell ref="E23:H24"/>
    <mergeCell ref="X6:Z8"/>
    <mergeCell ref="X28:Z45"/>
    <mergeCell ref="X9:Z26"/>
    <mergeCell ref="O6:P8"/>
    <mergeCell ref="Q6:R8"/>
    <mergeCell ref="S6:T8"/>
    <mergeCell ref="U6:V8"/>
    <mergeCell ref="O9:P10"/>
    <mergeCell ref="Q9:R10"/>
    <mergeCell ref="S9:T10"/>
    <mergeCell ref="O19:P20"/>
    <mergeCell ref="Q19:R20"/>
    <mergeCell ref="U9:V10"/>
    <mergeCell ref="O11:P12"/>
    <mergeCell ref="Q11:R12"/>
    <mergeCell ref="S11:T12"/>
    <mergeCell ref="U11:V12"/>
    <mergeCell ref="O42:P43"/>
    <mergeCell ref="Q42:R43"/>
    <mergeCell ref="U42:V43"/>
    <mergeCell ref="S40:T41"/>
    <mergeCell ref="W6:W8"/>
    <mergeCell ref="W9:W10"/>
    <mergeCell ref="W11:W12"/>
    <mergeCell ref="O13:P14"/>
    <mergeCell ref="Q13:R14"/>
    <mergeCell ref="B13:D14"/>
    <mergeCell ref="K32:L33"/>
    <mergeCell ref="E17:H18"/>
    <mergeCell ref="K17:L18"/>
    <mergeCell ref="M17:N18"/>
    <mergeCell ref="E27:H27"/>
    <mergeCell ref="E32:H33"/>
    <mergeCell ref="B32:D33"/>
    <mergeCell ref="K13:L14"/>
    <mergeCell ref="M13:N14"/>
    <mergeCell ref="I13:J14"/>
    <mergeCell ref="I30:J31"/>
    <mergeCell ref="I32:J33"/>
    <mergeCell ref="M32:N33"/>
    <mergeCell ref="E13:H14"/>
    <mergeCell ref="O15:P16"/>
    <mergeCell ref="B21:D22"/>
    <mergeCell ref="E15:H16"/>
    <mergeCell ref="I15:J16"/>
    <mergeCell ref="K15:L16"/>
    <mergeCell ref="M15:N16"/>
    <mergeCell ref="I27:J27"/>
    <mergeCell ref="U13:V14"/>
    <mergeCell ref="U32:V33"/>
    <mergeCell ref="S19:T20"/>
    <mergeCell ref="U19:V20"/>
    <mergeCell ref="Q23:R24"/>
    <mergeCell ref="S23:T24"/>
    <mergeCell ref="U23:V24"/>
    <mergeCell ref="U25:V26"/>
    <mergeCell ref="U28:V29"/>
    <mergeCell ref="U30:V31"/>
    <mergeCell ref="U21:V22"/>
    <mergeCell ref="S21:T22"/>
    <mergeCell ref="Q21:R22"/>
    <mergeCell ref="S27:T27"/>
    <mergeCell ref="U27:V27"/>
    <mergeCell ref="S13:T14"/>
    <mergeCell ref="K27:L27"/>
    <mergeCell ref="B25:D26"/>
    <mergeCell ref="O21:P22"/>
    <mergeCell ref="M21:N22"/>
    <mergeCell ref="K21:L22"/>
    <mergeCell ref="I21:J22"/>
    <mergeCell ref="B17:D18"/>
    <mergeCell ref="B27:D27"/>
    <mergeCell ref="I17:J18"/>
    <mergeCell ref="I19:J20"/>
    <mergeCell ref="I23:J24"/>
    <mergeCell ref="K23:L24"/>
    <mergeCell ref="M23:N24"/>
    <mergeCell ref="O27:P27"/>
    <mergeCell ref="O17:P18"/>
    <mergeCell ref="E25:H26"/>
    <mergeCell ref="Q34:R35"/>
    <mergeCell ref="S34:T35"/>
    <mergeCell ref="M34:N35"/>
    <mergeCell ref="U40:V41"/>
    <mergeCell ref="Q38:R39"/>
    <mergeCell ref="S38:T39"/>
    <mergeCell ref="S36:T37"/>
    <mergeCell ref="Q15:R16"/>
    <mergeCell ref="U15:V16"/>
    <mergeCell ref="Q17:R18"/>
    <mergeCell ref="Q27:R27"/>
    <mergeCell ref="S15:T16"/>
    <mergeCell ref="O34:P35"/>
    <mergeCell ref="U17:V18"/>
    <mergeCell ref="S25:T26"/>
    <mergeCell ref="O23:P24"/>
    <mergeCell ref="M27:N27"/>
    <mergeCell ref="O30:P31"/>
    <mergeCell ref="Q30:R31"/>
    <mergeCell ref="S30:T31"/>
    <mergeCell ref="U36:V37"/>
    <mergeCell ref="U34:V35"/>
    <mergeCell ref="O36:P37"/>
    <mergeCell ref="Q36:R37"/>
    <mergeCell ref="I34:J35"/>
    <mergeCell ref="K34:L35"/>
    <mergeCell ref="Q32:R33"/>
    <mergeCell ref="S32:T33"/>
    <mergeCell ref="I25:J26"/>
    <mergeCell ref="A47:A64"/>
    <mergeCell ref="B47:D48"/>
    <mergeCell ref="E47:H48"/>
    <mergeCell ref="I47:J48"/>
    <mergeCell ref="K47:L48"/>
    <mergeCell ref="M47:N48"/>
    <mergeCell ref="M55:N56"/>
    <mergeCell ref="B61:D62"/>
    <mergeCell ref="E61:H62"/>
    <mergeCell ref="I61:J62"/>
    <mergeCell ref="B59:D60"/>
    <mergeCell ref="E59:H60"/>
    <mergeCell ref="I59:J60"/>
    <mergeCell ref="I44:J45"/>
    <mergeCell ref="O57:P58"/>
    <mergeCell ref="Q57:R58"/>
    <mergeCell ref="S63:T64"/>
    <mergeCell ref="Q63:R64"/>
    <mergeCell ref="O32:P33"/>
    <mergeCell ref="B65:D65"/>
    <mergeCell ref="E65:H65"/>
    <mergeCell ref="I65:J65"/>
    <mergeCell ref="K65:L65"/>
    <mergeCell ref="B57:D58"/>
    <mergeCell ref="E57:H58"/>
    <mergeCell ref="K57:L58"/>
    <mergeCell ref="M57:N58"/>
    <mergeCell ref="K59:L60"/>
    <mergeCell ref="M63:N64"/>
    <mergeCell ref="X47:Z64"/>
    <mergeCell ref="B49:D50"/>
    <mergeCell ref="E49:H50"/>
    <mergeCell ref="K49:L50"/>
    <mergeCell ref="M49:N50"/>
    <mergeCell ref="O49:P50"/>
    <mergeCell ref="Q49:R50"/>
    <mergeCell ref="S49:T50"/>
    <mergeCell ref="U49:V50"/>
    <mergeCell ref="B51:D52"/>
    <mergeCell ref="E51:H52"/>
    <mergeCell ref="K51:L52"/>
    <mergeCell ref="M51:N52"/>
    <mergeCell ref="O51:P52"/>
    <mergeCell ref="Q51:R52"/>
    <mergeCell ref="S51:T52"/>
    <mergeCell ref="U51:V52"/>
    <mergeCell ref="B55:D56"/>
    <mergeCell ref="E55:H56"/>
    <mergeCell ref="I55:J56"/>
    <mergeCell ref="K55:L56"/>
    <mergeCell ref="B63:D64"/>
    <mergeCell ref="E63:H64"/>
    <mergeCell ref="U63:V64"/>
    <mergeCell ref="A66:A85"/>
    <mergeCell ref="B66:D67"/>
    <mergeCell ref="E66:H67"/>
    <mergeCell ref="I66:J67"/>
    <mergeCell ref="K66:L67"/>
    <mergeCell ref="M66:N67"/>
    <mergeCell ref="O66:P67"/>
    <mergeCell ref="Q66:R67"/>
    <mergeCell ref="S66:T67"/>
    <mergeCell ref="O74:P75"/>
    <mergeCell ref="Q74:R75"/>
    <mergeCell ref="S74:T75"/>
    <mergeCell ref="K76:L77"/>
    <mergeCell ref="M76:N77"/>
    <mergeCell ref="O76:P77"/>
    <mergeCell ref="Q76:R77"/>
    <mergeCell ref="S76:T77"/>
    <mergeCell ref="M74:N75"/>
    <mergeCell ref="B76:D77"/>
    <mergeCell ref="B70:D71"/>
    <mergeCell ref="B84:D85"/>
    <mergeCell ref="E84:H85"/>
    <mergeCell ref="B78:D79"/>
    <mergeCell ref="S72:T73"/>
    <mergeCell ref="U74:V75"/>
    <mergeCell ref="X66:Z85"/>
    <mergeCell ref="B68:D69"/>
    <mergeCell ref="E68:H69"/>
    <mergeCell ref="K68:L69"/>
    <mergeCell ref="M68:N69"/>
    <mergeCell ref="O68:P69"/>
    <mergeCell ref="Q68:R69"/>
    <mergeCell ref="S68:T69"/>
    <mergeCell ref="U68:V69"/>
    <mergeCell ref="B72:D73"/>
    <mergeCell ref="E72:H73"/>
    <mergeCell ref="I72:J73"/>
    <mergeCell ref="K72:L73"/>
    <mergeCell ref="M72:N73"/>
    <mergeCell ref="O72:P73"/>
    <mergeCell ref="Q72:R73"/>
    <mergeCell ref="U72:V73"/>
    <mergeCell ref="M70:N71"/>
    <mergeCell ref="O70:P71"/>
    <mergeCell ref="Q70:R71"/>
    <mergeCell ref="S70:T71"/>
    <mergeCell ref="U84:V85"/>
    <mergeCell ref="M78:N79"/>
    <mergeCell ref="Q78:R79"/>
    <mergeCell ref="S78:T79"/>
    <mergeCell ref="U78:V79"/>
    <mergeCell ref="O78:P79"/>
    <mergeCell ref="K84:L85"/>
    <mergeCell ref="E82:H83"/>
    <mergeCell ref="I82:J83"/>
    <mergeCell ref="K82:L83"/>
    <mergeCell ref="M82:N83"/>
    <mergeCell ref="O82:P83"/>
    <mergeCell ref="Q82:R83"/>
    <mergeCell ref="S82:T83"/>
    <mergeCell ref="M80:N81"/>
    <mergeCell ref="O80:P81"/>
    <mergeCell ref="Q80:R81"/>
    <mergeCell ref="S80:T81"/>
    <mergeCell ref="U80:V81"/>
    <mergeCell ref="I84:J85"/>
    <mergeCell ref="U82:V83"/>
    <mergeCell ref="M84:N85"/>
    <mergeCell ref="O84:P85"/>
    <mergeCell ref="Q84:R85"/>
    <mergeCell ref="S84:T85"/>
    <mergeCell ref="M86:N86"/>
    <mergeCell ref="O86:P86"/>
    <mergeCell ref="Q86:R86"/>
    <mergeCell ref="S86:T86"/>
    <mergeCell ref="E76:H77"/>
    <mergeCell ref="U57:V58"/>
    <mergeCell ref="M61:N62"/>
    <mergeCell ref="O61:P62"/>
    <mergeCell ref="Q61:R62"/>
    <mergeCell ref="I74:J75"/>
    <mergeCell ref="K74:L75"/>
    <mergeCell ref="U86:V86"/>
    <mergeCell ref="M59:N60"/>
    <mergeCell ref="O59:P60"/>
    <mergeCell ref="Q59:R60"/>
    <mergeCell ref="S59:T60"/>
    <mergeCell ref="U59:V60"/>
    <mergeCell ref="U70:V71"/>
    <mergeCell ref="M65:N65"/>
    <mergeCell ref="O65:P65"/>
    <mergeCell ref="Q65:R65"/>
    <mergeCell ref="S65:T65"/>
    <mergeCell ref="U65:V65"/>
    <mergeCell ref="U76:V77"/>
    <mergeCell ref="B3:Q3"/>
    <mergeCell ref="B53:D54"/>
    <mergeCell ref="E53:H54"/>
    <mergeCell ref="I53:J54"/>
    <mergeCell ref="K53:L54"/>
    <mergeCell ref="M53:N54"/>
    <mergeCell ref="O53:P54"/>
    <mergeCell ref="Q53:R54"/>
    <mergeCell ref="S53:T54"/>
    <mergeCell ref="K25:L26"/>
    <mergeCell ref="M25:N26"/>
    <mergeCell ref="E21:H22"/>
    <mergeCell ref="S17:T18"/>
    <mergeCell ref="S42:T43"/>
    <mergeCell ref="O46:P46"/>
    <mergeCell ref="Q46:R46"/>
    <mergeCell ref="S46:T46"/>
    <mergeCell ref="O40:P41"/>
    <mergeCell ref="O28:P29"/>
    <mergeCell ref="Q28:R29"/>
    <mergeCell ref="S28:T29"/>
    <mergeCell ref="O44:P45"/>
    <mergeCell ref="Q44:R45"/>
    <mergeCell ref="S44:T45"/>
    <mergeCell ref="U66:V67"/>
    <mergeCell ref="K63:L64"/>
    <mergeCell ref="O25:P26"/>
    <mergeCell ref="Q25:R26"/>
    <mergeCell ref="I49:J50"/>
    <mergeCell ref="I51:J52"/>
    <mergeCell ref="I57:J58"/>
    <mergeCell ref="I68:J69"/>
    <mergeCell ref="I76:J77"/>
    <mergeCell ref="K61:L62"/>
    <mergeCell ref="S61:T62"/>
    <mergeCell ref="U61:V62"/>
    <mergeCell ref="U47:V48"/>
    <mergeCell ref="U55:V56"/>
    <mergeCell ref="U53:V54"/>
    <mergeCell ref="O47:P48"/>
    <mergeCell ref="Q47:R48"/>
    <mergeCell ref="S47:T48"/>
    <mergeCell ref="O63:P64"/>
    <mergeCell ref="O55:P56"/>
    <mergeCell ref="Q55:R56"/>
    <mergeCell ref="S57:T58"/>
    <mergeCell ref="S55:T56"/>
    <mergeCell ref="I63:J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4"/>
  <sheetViews>
    <sheetView zoomScale="50" zoomScaleNormal="50" workbookViewId="0">
      <selection activeCell="Z1" sqref="Z1:Z4"/>
    </sheetView>
  </sheetViews>
  <sheetFormatPr defaultColWidth="8.85546875" defaultRowHeight="15" x14ac:dyDescent="0.25"/>
  <cols>
    <col min="8" max="8" width="11.28515625" customWidth="1"/>
    <col min="9" max="9" width="14.140625" bestFit="1" customWidth="1"/>
    <col min="23" max="23" width="16.140625" customWidth="1"/>
  </cols>
  <sheetData>
    <row r="1" spans="1:27" x14ac:dyDescent="0.25">
      <c r="Y1" s="4"/>
      <c r="Z1" s="29" t="s">
        <v>113</v>
      </c>
      <c r="AA1" s="5"/>
    </row>
    <row r="2" spans="1:27" x14ac:dyDescent="0.25">
      <c r="Y2" s="4"/>
      <c r="Z2" s="29" t="s">
        <v>114</v>
      </c>
      <c r="AA2" s="5"/>
    </row>
    <row r="3" spans="1:27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Y3" s="4"/>
      <c r="Z3" s="29" t="s">
        <v>115</v>
      </c>
      <c r="AA3" s="5"/>
    </row>
    <row r="4" spans="1:27" x14ac:dyDescent="0.25">
      <c r="Y4" s="4"/>
      <c r="Z4" s="29" t="s">
        <v>116</v>
      </c>
      <c r="AA4" s="5"/>
    </row>
    <row r="5" spans="1:27" ht="15.75" thickBot="1" x14ac:dyDescent="0.3">
      <c r="Y5" s="4"/>
      <c r="Z5" s="4"/>
      <c r="AA5" s="5"/>
    </row>
    <row r="6" spans="1:27" x14ac:dyDescent="0.25">
      <c r="A6" s="120" t="s">
        <v>0</v>
      </c>
      <c r="B6" s="123"/>
      <c r="C6" s="124"/>
      <c r="D6" s="125"/>
      <c r="E6" s="68" t="s">
        <v>9</v>
      </c>
      <c r="F6" s="129"/>
      <c r="G6" s="129"/>
      <c r="H6" s="69"/>
      <c r="I6" s="68" t="s">
        <v>10</v>
      </c>
      <c r="J6" s="69"/>
      <c r="K6" s="68" t="s">
        <v>19</v>
      </c>
      <c r="L6" s="69"/>
      <c r="M6" s="68" t="s">
        <v>11</v>
      </c>
      <c r="N6" s="69"/>
      <c r="O6" s="68" t="s">
        <v>12</v>
      </c>
      <c r="P6" s="69"/>
      <c r="Q6" s="68" t="s">
        <v>13</v>
      </c>
      <c r="R6" s="69"/>
      <c r="S6" s="68" t="s">
        <v>14</v>
      </c>
      <c r="T6" s="69"/>
      <c r="U6" s="68" t="s">
        <v>15</v>
      </c>
      <c r="V6" s="69"/>
      <c r="W6" s="111" t="s">
        <v>59</v>
      </c>
      <c r="X6" s="264" t="s">
        <v>18</v>
      </c>
      <c r="Y6" s="265"/>
      <c r="Z6" s="266"/>
    </row>
    <row r="7" spans="1:27" x14ac:dyDescent="0.25">
      <c r="A7" s="121"/>
      <c r="B7" s="123"/>
      <c r="C7" s="124"/>
      <c r="D7" s="125"/>
      <c r="E7" s="70"/>
      <c r="F7" s="130"/>
      <c r="G7" s="13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112"/>
      <c r="X7" s="267"/>
      <c r="Y7" s="268"/>
      <c r="Z7" s="269"/>
    </row>
    <row r="8" spans="1:27" ht="15.75" thickBot="1" x14ac:dyDescent="0.3">
      <c r="A8" s="122"/>
      <c r="B8" s="126"/>
      <c r="C8" s="127"/>
      <c r="D8" s="128"/>
      <c r="E8" s="72"/>
      <c r="F8" s="131"/>
      <c r="G8" s="131"/>
      <c r="H8" s="73"/>
      <c r="I8" s="72"/>
      <c r="J8" s="73"/>
      <c r="K8" s="72"/>
      <c r="L8" s="73"/>
      <c r="M8" s="72"/>
      <c r="N8" s="73"/>
      <c r="O8" s="72"/>
      <c r="P8" s="73"/>
      <c r="Q8" s="72"/>
      <c r="R8" s="73"/>
      <c r="S8" s="72"/>
      <c r="T8" s="73"/>
      <c r="U8" s="72"/>
      <c r="V8" s="73"/>
      <c r="W8" s="113"/>
      <c r="X8" s="267"/>
      <c r="Y8" s="268"/>
      <c r="Z8" s="269"/>
    </row>
    <row r="9" spans="1:27" x14ac:dyDescent="0.25">
      <c r="A9" s="144">
        <v>9</v>
      </c>
      <c r="B9" s="51" t="s">
        <v>1</v>
      </c>
      <c r="C9" s="52"/>
      <c r="D9" s="53"/>
      <c r="E9" s="51" t="s">
        <v>63</v>
      </c>
      <c r="F9" s="52"/>
      <c r="G9" s="52"/>
      <c r="H9" s="53"/>
      <c r="I9" s="270"/>
      <c r="J9" s="271"/>
      <c r="K9" s="51">
        <v>150</v>
      </c>
      <c r="L9" s="53"/>
      <c r="M9" s="51">
        <v>130</v>
      </c>
      <c r="N9" s="53"/>
      <c r="O9" s="51">
        <v>470</v>
      </c>
      <c r="P9" s="53"/>
      <c r="Q9" s="51">
        <v>82</v>
      </c>
      <c r="R9" s="53"/>
      <c r="S9" s="51">
        <v>21</v>
      </c>
      <c r="T9" s="53"/>
      <c r="U9" s="51">
        <v>4.7</v>
      </c>
      <c r="V9" s="53"/>
      <c r="W9" s="135"/>
      <c r="X9" s="147">
        <v>26400</v>
      </c>
      <c r="Y9" s="148"/>
      <c r="Z9" s="149"/>
    </row>
    <row r="10" spans="1:27" ht="15.75" thickBot="1" x14ac:dyDescent="0.3">
      <c r="A10" s="145"/>
      <c r="B10" s="54"/>
      <c r="C10" s="55"/>
      <c r="D10" s="56"/>
      <c r="E10" s="54"/>
      <c r="F10" s="55"/>
      <c r="G10" s="55"/>
      <c r="H10" s="56"/>
      <c r="I10" s="272"/>
      <c r="J10" s="273"/>
      <c r="K10" s="54"/>
      <c r="L10" s="56"/>
      <c r="M10" s="54"/>
      <c r="N10" s="56"/>
      <c r="O10" s="54"/>
      <c r="P10" s="56"/>
      <c r="Q10" s="54"/>
      <c r="R10" s="56"/>
      <c r="S10" s="54"/>
      <c r="T10" s="56"/>
      <c r="U10" s="54"/>
      <c r="V10" s="56"/>
      <c r="W10" s="166"/>
      <c r="X10" s="150"/>
      <c r="Y10" s="151"/>
      <c r="Z10" s="152"/>
    </row>
    <row r="11" spans="1:27" x14ac:dyDescent="0.25">
      <c r="A11" s="145"/>
      <c r="B11" s="51" t="s">
        <v>2</v>
      </c>
      <c r="C11" s="52"/>
      <c r="D11" s="53"/>
      <c r="E11" s="51" t="s">
        <v>20</v>
      </c>
      <c r="F11" s="52"/>
      <c r="G11" s="52"/>
      <c r="H11" s="53"/>
      <c r="I11" s="61"/>
      <c r="J11" s="52"/>
      <c r="K11" s="61">
        <v>55</v>
      </c>
      <c r="L11" s="74"/>
      <c r="M11" s="52">
        <v>50</v>
      </c>
      <c r="N11" s="53"/>
      <c r="O11" s="40">
        <f>444*M11/100</f>
        <v>222</v>
      </c>
      <c r="P11" s="41"/>
      <c r="Q11" s="40">
        <f>66.6*M11/100</f>
        <v>33.299999999999997</v>
      </c>
      <c r="R11" s="41"/>
      <c r="S11" s="40">
        <f>9.7*M11/100</f>
        <v>4.8499999999999996</v>
      </c>
      <c r="T11" s="41"/>
      <c r="U11" s="40">
        <f>16.2*M11/100</f>
        <v>8.1</v>
      </c>
      <c r="V11" s="41"/>
      <c r="W11" s="135"/>
      <c r="X11" s="150"/>
      <c r="Y11" s="151"/>
      <c r="Z11" s="152"/>
    </row>
    <row r="12" spans="1:27" ht="15.75" thickBot="1" x14ac:dyDescent="0.3">
      <c r="A12" s="145"/>
      <c r="B12" s="54"/>
      <c r="C12" s="55"/>
      <c r="D12" s="56"/>
      <c r="E12" s="54"/>
      <c r="F12" s="55"/>
      <c r="G12" s="55"/>
      <c r="H12" s="56"/>
      <c r="I12" s="54"/>
      <c r="J12" s="55"/>
      <c r="K12" s="75"/>
      <c r="L12" s="76"/>
      <c r="M12" s="55"/>
      <c r="N12" s="56"/>
      <c r="O12" s="42"/>
      <c r="P12" s="43"/>
      <c r="Q12" s="42"/>
      <c r="R12" s="43"/>
      <c r="S12" s="42"/>
      <c r="T12" s="43"/>
      <c r="U12" s="42"/>
      <c r="V12" s="43"/>
      <c r="W12" s="166"/>
      <c r="X12" s="150"/>
      <c r="Y12" s="151"/>
      <c r="Z12" s="152"/>
    </row>
    <row r="13" spans="1:27" x14ac:dyDescent="0.25">
      <c r="A13" s="145"/>
      <c r="B13" s="51" t="s">
        <v>3</v>
      </c>
      <c r="C13" s="52"/>
      <c r="D13" s="53"/>
      <c r="E13" s="51" t="s">
        <v>21</v>
      </c>
      <c r="F13" s="52"/>
      <c r="G13" s="52"/>
      <c r="H13" s="53"/>
      <c r="I13" s="61">
        <v>4742870019008</v>
      </c>
      <c r="J13" s="53"/>
      <c r="K13" s="77">
        <v>80</v>
      </c>
      <c r="L13" s="78"/>
      <c r="M13" s="51">
        <v>75</v>
      </c>
      <c r="N13" s="53"/>
      <c r="O13" s="40">
        <v>225</v>
      </c>
      <c r="P13" s="41"/>
      <c r="Q13" s="51">
        <v>1.05</v>
      </c>
      <c r="R13" s="53"/>
      <c r="S13" s="51">
        <v>7.2</v>
      </c>
      <c r="T13" s="53"/>
      <c r="U13" s="51">
        <v>21.23</v>
      </c>
      <c r="V13" s="53"/>
      <c r="W13" s="135"/>
      <c r="X13" s="150"/>
      <c r="Y13" s="151"/>
      <c r="Z13" s="152"/>
    </row>
    <row r="14" spans="1:27" ht="15.75" thickBot="1" x14ac:dyDescent="0.3">
      <c r="A14" s="145"/>
      <c r="B14" s="54"/>
      <c r="C14" s="55"/>
      <c r="D14" s="56"/>
      <c r="E14" s="54"/>
      <c r="F14" s="55"/>
      <c r="G14" s="55"/>
      <c r="H14" s="56"/>
      <c r="I14" s="54"/>
      <c r="J14" s="56"/>
      <c r="K14" s="75"/>
      <c r="L14" s="76"/>
      <c r="M14" s="54"/>
      <c r="N14" s="56"/>
      <c r="O14" s="42"/>
      <c r="P14" s="43"/>
      <c r="Q14" s="54"/>
      <c r="R14" s="56"/>
      <c r="S14" s="54"/>
      <c r="T14" s="56"/>
      <c r="U14" s="54"/>
      <c r="V14" s="56"/>
      <c r="W14" s="134"/>
      <c r="X14" s="150"/>
      <c r="Y14" s="151"/>
      <c r="Z14" s="152"/>
    </row>
    <row r="15" spans="1:27" ht="15" customHeight="1" x14ac:dyDescent="0.25">
      <c r="A15" s="145"/>
      <c r="B15" s="51" t="s">
        <v>4</v>
      </c>
      <c r="C15" s="52"/>
      <c r="D15" s="53"/>
      <c r="E15" s="51" t="s">
        <v>70</v>
      </c>
      <c r="F15" s="52"/>
      <c r="G15" s="52"/>
      <c r="H15" s="53"/>
      <c r="I15" s="61"/>
      <c r="J15" s="74"/>
      <c r="K15" s="61">
        <v>55</v>
      </c>
      <c r="L15" s="74"/>
      <c r="M15" s="51">
        <v>50</v>
      </c>
      <c r="N15" s="53"/>
      <c r="O15" s="40">
        <f>491*M15/100</f>
        <v>245.5</v>
      </c>
      <c r="P15" s="41"/>
      <c r="Q15" s="40">
        <f>65.6*M15/100</f>
        <v>32.799999999999997</v>
      </c>
      <c r="R15" s="41"/>
      <c r="S15" s="40">
        <f>6.9*M15/100</f>
        <v>3.45</v>
      </c>
      <c r="T15" s="41"/>
      <c r="U15" s="40">
        <f>21.7*M15/100</f>
        <v>10.85</v>
      </c>
      <c r="V15" s="41"/>
      <c r="W15" s="164"/>
      <c r="X15" s="150"/>
      <c r="Y15" s="151"/>
      <c r="Z15" s="152"/>
    </row>
    <row r="16" spans="1:27" ht="15.95" customHeight="1" thickBot="1" x14ac:dyDescent="0.3">
      <c r="A16" s="145"/>
      <c r="B16" s="54"/>
      <c r="C16" s="55"/>
      <c r="D16" s="56"/>
      <c r="E16" s="54"/>
      <c r="F16" s="55"/>
      <c r="G16" s="55"/>
      <c r="H16" s="56"/>
      <c r="I16" s="75"/>
      <c r="J16" s="76"/>
      <c r="K16" s="75"/>
      <c r="L16" s="76"/>
      <c r="M16" s="54"/>
      <c r="N16" s="56"/>
      <c r="O16" s="42"/>
      <c r="P16" s="43"/>
      <c r="Q16" s="42"/>
      <c r="R16" s="43"/>
      <c r="S16" s="42"/>
      <c r="T16" s="43"/>
      <c r="U16" s="42"/>
      <c r="V16" s="43"/>
      <c r="W16" s="165"/>
      <c r="X16" s="150"/>
      <c r="Y16" s="151"/>
      <c r="Z16" s="152"/>
    </row>
    <row r="17" spans="1:26" x14ac:dyDescent="0.25">
      <c r="A17" s="145"/>
      <c r="B17" s="51" t="s">
        <v>5</v>
      </c>
      <c r="C17" s="52"/>
      <c r="D17" s="53"/>
      <c r="E17" s="51" t="s">
        <v>64</v>
      </c>
      <c r="F17" s="52"/>
      <c r="G17" s="52"/>
      <c r="H17" s="53"/>
      <c r="I17" s="61"/>
      <c r="J17" s="74"/>
      <c r="K17" s="51">
        <v>27</v>
      </c>
      <c r="L17" s="53"/>
      <c r="M17" s="51">
        <v>25</v>
      </c>
      <c r="N17" s="53"/>
      <c r="O17" s="51">
        <f>267*M17/100</f>
        <v>66.75</v>
      </c>
      <c r="P17" s="53"/>
      <c r="Q17" s="51">
        <f>65.6*M17/100</f>
        <v>16.399999999999999</v>
      </c>
      <c r="R17" s="53"/>
      <c r="S17" s="51">
        <f>0.3*M17/100</f>
        <v>7.4999999999999997E-2</v>
      </c>
      <c r="T17" s="53"/>
      <c r="U17" s="51">
        <f>0.1*M17/100</f>
        <v>2.5000000000000001E-2</v>
      </c>
      <c r="V17" s="53"/>
      <c r="W17" s="135"/>
      <c r="X17" s="150"/>
      <c r="Y17" s="151"/>
      <c r="Z17" s="152"/>
    </row>
    <row r="18" spans="1:26" ht="15.75" thickBot="1" x14ac:dyDescent="0.3">
      <c r="A18" s="145"/>
      <c r="B18" s="54"/>
      <c r="C18" s="55"/>
      <c r="D18" s="56"/>
      <c r="E18" s="54"/>
      <c r="F18" s="55"/>
      <c r="G18" s="55"/>
      <c r="H18" s="56"/>
      <c r="I18" s="75"/>
      <c r="J18" s="76"/>
      <c r="K18" s="54"/>
      <c r="L18" s="56"/>
      <c r="M18" s="54"/>
      <c r="N18" s="56"/>
      <c r="O18" s="54"/>
      <c r="P18" s="56"/>
      <c r="Q18" s="54"/>
      <c r="R18" s="56"/>
      <c r="S18" s="54"/>
      <c r="T18" s="56"/>
      <c r="U18" s="54"/>
      <c r="V18" s="56"/>
      <c r="W18" s="134"/>
      <c r="X18" s="150"/>
      <c r="Y18" s="151"/>
      <c r="Z18" s="152"/>
    </row>
    <row r="19" spans="1:26" ht="15" customHeight="1" x14ac:dyDescent="0.25">
      <c r="A19" s="145"/>
      <c r="B19" s="51" t="s">
        <v>6</v>
      </c>
      <c r="C19" s="52"/>
      <c r="D19" s="53"/>
      <c r="E19" s="138" t="s">
        <v>30</v>
      </c>
      <c r="F19" s="139"/>
      <c r="G19" s="139"/>
      <c r="H19" s="140"/>
      <c r="I19" s="61">
        <v>4742870010579</v>
      </c>
      <c r="J19" s="74"/>
      <c r="K19" s="51">
        <v>22</v>
      </c>
      <c r="L19" s="53"/>
      <c r="M19" s="51">
        <v>20</v>
      </c>
      <c r="N19" s="53"/>
      <c r="O19" s="51">
        <v>66.400000000000006</v>
      </c>
      <c r="P19" s="53"/>
      <c r="Q19" s="57">
        <v>16</v>
      </c>
      <c r="R19" s="58"/>
      <c r="S19" s="51">
        <v>0</v>
      </c>
      <c r="T19" s="53"/>
      <c r="U19" s="51">
        <v>0</v>
      </c>
      <c r="V19" s="53"/>
      <c r="W19" s="135"/>
      <c r="X19" s="150"/>
      <c r="Y19" s="151"/>
      <c r="Z19" s="152"/>
    </row>
    <row r="20" spans="1:26" ht="15.75" thickBot="1" x14ac:dyDescent="0.3">
      <c r="A20" s="145"/>
      <c r="B20" s="54"/>
      <c r="C20" s="55"/>
      <c r="D20" s="56"/>
      <c r="E20" s="141"/>
      <c r="F20" s="142"/>
      <c r="G20" s="142"/>
      <c r="H20" s="143"/>
      <c r="I20" s="75"/>
      <c r="J20" s="76"/>
      <c r="K20" s="54"/>
      <c r="L20" s="56"/>
      <c r="M20" s="54"/>
      <c r="N20" s="56"/>
      <c r="O20" s="54"/>
      <c r="P20" s="56"/>
      <c r="Q20" s="59"/>
      <c r="R20" s="60"/>
      <c r="S20" s="54"/>
      <c r="T20" s="56"/>
      <c r="U20" s="54"/>
      <c r="V20" s="56"/>
      <c r="W20" s="134"/>
      <c r="X20" s="150"/>
      <c r="Y20" s="151"/>
      <c r="Z20" s="152"/>
    </row>
    <row r="21" spans="1:26" x14ac:dyDescent="0.25">
      <c r="A21" s="145"/>
      <c r="B21" s="51" t="s">
        <v>7</v>
      </c>
      <c r="C21" s="52"/>
      <c r="D21" s="53"/>
      <c r="E21" s="51" t="s">
        <v>66</v>
      </c>
      <c r="F21" s="52"/>
      <c r="G21" s="52"/>
      <c r="H21" s="53"/>
      <c r="I21" s="61"/>
      <c r="J21" s="53"/>
      <c r="K21" s="61">
        <v>4</v>
      </c>
      <c r="L21" s="74"/>
      <c r="M21" s="51">
        <v>2</v>
      </c>
      <c r="N21" s="53"/>
      <c r="O21" s="40">
        <v>0</v>
      </c>
      <c r="P21" s="41"/>
      <c r="Q21" s="40">
        <v>0</v>
      </c>
      <c r="R21" s="41"/>
      <c r="S21" s="40">
        <v>0</v>
      </c>
      <c r="T21" s="41"/>
      <c r="U21" s="40">
        <v>0</v>
      </c>
      <c r="V21" s="41"/>
      <c r="W21" s="133"/>
      <c r="X21" s="150"/>
      <c r="Y21" s="151"/>
      <c r="Z21" s="152"/>
    </row>
    <row r="22" spans="1:26" ht="15.75" thickBot="1" x14ac:dyDescent="0.3">
      <c r="A22" s="145"/>
      <c r="B22" s="54"/>
      <c r="C22" s="55"/>
      <c r="D22" s="56"/>
      <c r="E22" s="54"/>
      <c r="F22" s="55"/>
      <c r="G22" s="55"/>
      <c r="H22" s="56"/>
      <c r="I22" s="54"/>
      <c r="J22" s="56"/>
      <c r="K22" s="75"/>
      <c r="L22" s="76"/>
      <c r="M22" s="54"/>
      <c r="N22" s="56"/>
      <c r="O22" s="42"/>
      <c r="P22" s="43"/>
      <c r="Q22" s="42"/>
      <c r="R22" s="43"/>
      <c r="S22" s="42"/>
      <c r="T22" s="43"/>
      <c r="U22" s="42"/>
      <c r="V22" s="43"/>
      <c r="W22" s="134"/>
      <c r="X22" s="150"/>
      <c r="Y22" s="151"/>
      <c r="Z22" s="152"/>
    </row>
    <row r="23" spans="1:26" x14ac:dyDescent="0.25">
      <c r="A23" s="145"/>
      <c r="B23" s="51" t="s">
        <v>8</v>
      </c>
      <c r="C23" s="52"/>
      <c r="D23" s="53"/>
      <c r="E23" s="51" t="s">
        <v>8</v>
      </c>
      <c r="F23" s="52"/>
      <c r="G23" s="52"/>
      <c r="H23" s="53"/>
      <c r="I23" s="61"/>
      <c r="J23" s="53"/>
      <c r="K23" s="61"/>
      <c r="L23" s="74"/>
      <c r="M23" s="51"/>
      <c r="N23" s="53"/>
      <c r="O23" s="40"/>
      <c r="P23" s="41"/>
      <c r="Q23" s="40"/>
      <c r="R23" s="41"/>
      <c r="S23" s="40"/>
      <c r="T23" s="41"/>
      <c r="U23" s="40"/>
      <c r="V23" s="41"/>
      <c r="W23" s="133"/>
      <c r="X23" s="150"/>
      <c r="Y23" s="151"/>
      <c r="Z23" s="152"/>
    </row>
    <row r="24" spans="1:26" ht="15.75" thickBot="1" x14ac:dyDescent="0.3">
      <c r="A24" s="146"/>
      <c r="B24" s="54"/>
      <c r="C24" s="55"/>
      <c r="D24" s="56"/>
      <c r="E24" s="54"/>
      <c r="F24" s="55"/>
      <c r="G24" s="55"/>
      <c r="H24" s="56"/>
      <c r="I24" s="54"/>
      <c r="J24" s="56"/>
      <c r="K24" s="75"/>
      <c r="L24" s="76"/>
      <c r="M24" s="54"/>
      <c r="N24" s="56"/>
      <c r="O24" s="42"/>
      <c r="P24" s="43"/>
      <c r="Q24" s="42"/>
      <c r="R24" s="43"/>
      <c r="S24" s="42"/>
      <c r="T24" s="43"/>
      <c r="U24" s="42"/>
      <c r="V24" s="43"/>
      <c r="W24" s="134"/>
      <c r="X24" s="153"/>
      <c r="Y24" s="154"/>
      <c r="Z24" s="155"/>
    </row>
    <row r="25" spans="1:26" ht="15.75" thickBot="1" x14ac:dyDescent="0.3">
      <c r="A25" s="1"/>
      <c r="B25" s="156" t="s">
        <v>16</v>
      </c>
      <c r="C25" s="157"/>
      <c r="D25" s="158"/>
      <c r="E25" s="159"/>
      <c r="F25" s="160"/>
      <c r="G25" s="160"/>
      <c r="H25" s="161"/>
      <c r="I25" s="262"/>
      <c r="J25" s="263"/>
      <c r="K25" s="162">
        <f>SUM(K9:L24)</f>
        <v>393</v>
      </c>
      <c r="L25" s="163"/>
      <c r="M25" s="162">
        <f>SUM(M9:N24)</f>
        <v>352</v>
      </c>
      <c r="N25" s="163"/>
      <c r="O25" s="162">
        <f>SUM(O9:P24)</f>
        <v>1295.6500000000001</v>
      </c>
      <c r="P25" s="163"/>
      <c r="Q25" s="162">
        <f>SUM(Q9:R24)</f>
        <v>181.54999999999998</v>
      </c>
      <c r="R25" s="163"/>
      <c r="S25" s="162">
        <f>SUM(S9:T24)</f>
        <v>36.57500000000001</v>
      </c>
      <c r="T25" s="163"/>
      <c r="U25" s="162">
        <f>SUM(U9:V24)</f>
        <v>44.905000000000001</v>
      </c>
      <c r="V25" s="163"/>
      <c r="W25" s="20"/>
    </row>
    <row r="26" spans="1:26" x14ac:dyDescent="0.25">
      <c r="A26" s="144">
        <v>10</v>
      </c>
      <c r="B26" s="51" t="s">
        <v>1</v>
      </c>
      <c r="C26" s="52"/>
      <c r="D26" s="53"/>
      <c r="E26" s="51" t="s">
        <v>62</v>
      </c>
      <c r="F26" s="52"/>
      <c r="G26" s="52"/>
      <c r="H26" s="53"/>
      <c r="I26" s="61"/>
      <c r="J26" s="74"/>
      <c r="K26" s="51">
        <v>150</v>
      </c>
      <c r="L26" s="53"/>
      <c r="M26" s="51">
        <v>130</v>
      </c>
      <c r="N26" s="53"/>
      <c r="O26" s="57">
        <v>476</v>
      </c>
      <c r="P26" s="58"/>
      <c r="Q26" s="57">
        <f>60*M26/100</f>
        <v>78</v>
      </c>
      <c r="R26" s="58"/>
      <c r="S26" s="57">
        <v>23</v>
      </c>
      <c r="T26" s="58"/>
      <c r="U26" s="57">
        <v>6.1</v>
      </c>
      <c r="V26" s="58"/>
      <c r="W26" s="135"/>
      <c r="X26" s="147">
        <v>26400</v>
      </c>
      <c r="Y26" s="148"/>
      <c r="Z26" s="149"/>
    </row>
    <row r="27" spans="1:26" ht="15.75" thickBot="1" x14ac:dyDescent="0.3">
      <c r="A27" s="145"/>
      <c r="B27" s="54"/>
      <c r="C27" s="55"/>
      <c r="D27" s="56"/>
      <c r="E27" s="54"/>
      <c r="F27" s="55"/>
      <c r="G27" s="55"/>
      <c r="H27" s="56"/>
      <c r="I27" s="75"/>
      <c r="J27" s="76"/>
      <c r="K27" s="54"/>
      <c r="L27" s="56"/>
      <c r="M27" s="54"/>
      <c r="N27" s="56"/>
      <c r="O27" s="59"/>
      <c r="P27" s="60"/>
      <c r="Q27" s="59"/>
      <c r="R27" s="60"/>
      <c r="S27" s="59"/>
      <c r="T27" s="60"/>
      <c r="U27" s="59"/>
      <c r="V27" s="60"/>
      <c r="W27" s="166"/>
      <c r="X27" s="150"/>
      <c r="Y27" s="151"/>
      <c r="Z27" s="152"/>
    </row>
    <row r="28" spans="1:26" x14ac:dyDescent="0.25">
      <c r="A28" s="145"/>
      <c r="B28" s="51" t="s">
        <v>2</v>
      </c>
      <c r="C28" s="52"/>
      <c r="D28" s="53"/>
      <c r="E28" s="51" t="s">
        <v>72</v>
      </c>
      <c r="F28" s="52"/>
      <c r="G28" s="52"/>
      <c r="H28" s="53"/>
      <c r="I28" s="61"/>
      <c r="J28" s="52"/>
      <c r="K28" s="61">
        <v>55</v>
      </c>
      <c r="L28" s="74"/>
      <c r="M28" s="52">
        <v>50</v>
      </c>
      <c r="N28" s="53"/>
      <c r="O28" s="40">
        <f>427*M28/100</f>
        <v>213.5</v>
      </c>
      <c r="P28" s="41"/>
      <c r="Q28" s="40">
        <f>65.7*M28/100</f>
        <v>32.85</v>
      </c>
      <c r="R28" s="41"/>
      <c r="S28" s="40">
        <f>11.4*M28/100</f>
        <v>5.7</v>
      </c>
      <c r="T28" s="41"/>
      <c r="U28" s="40">
        <f>10.6*M28/100</f>
        <v>5.3</v>
      </c>
      <c r="V28" s="41"/>
      <c r="W28" s="135"/>
      <c r="X28" s="150"/>
      <c r="Y28" s="151"/>
      <c r="Z28" s="152"/>
    </row>
    <row r="29" spans="1:26" ht="15.75" thickBot="1" x14ac:dyDescent="0.3">
      <c r="A29" s="145"/>
      <c r="B29" s="54"/>
      <c r="C29" s="55"/>
      <c r="D29" s="56"/>
      <c r="E29" s="54"/>
      <c r="F29" s="55"/>
      <c r="G29" s="55"/>
      <c r="H29" s="56"/>
      <c r="I29" s="54"/>
      <c r="J29" s="55"/>
      <c r="K29" s="75"/>
      <c r="L29" s="76"/>
      <c r="M29" s="55"/>
      <c r="N29" s="56"/>
      <c r="O29" s="42"/>
      <c r="P29" s="43"/>
      <c r="Q29" s="42"/>
      <c r="R29" s="43"/>
      <c r="S29" s="42"/>
      <c r="T29" s="43"/>
      <c r="U29" s="42"/>
      <c r="V29" s="43"/>
      <c r="W29" s="166"/>
      <c r="X29" s="150"/>
      <c r="Y29" s="151"/>
      <c r="Z29" s="152"/>
    </row>
    <row r="30" spans="1:26" x14ac:dyDescent="0.25">
      <c r="A30" s="145"/>
      <c r="B30" s="51" t="s">
        <v>3</v>
      </c>
      <c r="C30" s="52"/>
      <c r="D30" s="53"/>
      <c r="E30" s="51" t="s">
        <v>22</v>
      </c>
      <c r="F30" s="52"/>
      <c r="G30" s="52"/>
      <c r="H30" s="53"/>
      <c r="I30" s="61">
        <v>4742870019039</v>
      </c>
      <c r="J30" s="53"/>
      <c r="K30" s="61">
        <v>80</v>
      </c>
      <c r="L30" s="74"/>
      <c r="M30" s="51">
        <v>75</v>
      </c>
      <c r="N30" s="53"/>
      <c r="O30" s="57">
        <v>160.05000000000001</v>
      </c>
      <c r="P30" s="58"/>
      <c r="Q30" s="57">
        <v>4.13</v>
      </c>
      <c r="R30" s="58"/>
      <c r="S30" s="57">
        <v>4.05</v>
      </c>
      <c r="T30" s="58"/>
      <c r="U30" s="57">
        <v>14.1</v>
      </c>
      <c r="V30" s="58"/>
      <c r="W30" s="135"/>
      <c r="X30" s="150"/>
      <c r="Y30" s="151"/>
      <c r="Z30" s="152"/>
    </row>
    <row r="31" spans="1:26" ht="15.75" thickBot="1" x14ac:dyDescent="0.3">
      <c r="A31" s="145"/>
      <c r="B31" s="54"/>
      <c r="C31" s="55"/>
      <c r="D31" s="56"/>
      <c r="E31" s="54"/>
      <c r="F31" s="55"/>
      <c r="G31" s="55"/>
      <c r="H31" s="56"/>
      <c r="I31" s="54"/>
      <c r="J31" s="56"/>
      <c r="K31" s="75"/>
      <c r="L31" s="76"/>
      <c r="M31" s="54"/>
      <c r="N31" s="56"/>
      <c r="O31" s="59"/>
      <c r="P31" s="60"/>
      <c r="Q31" s="59"/>
      <c r="R31" s="60"/>
      <c r="S31" s="59"/>
      <c r="T31" s="60"/>
      <c r="U31" s="59"/>
      <c r="V31" s="60"/>
      <c r="W31" s="166"/>
      <c r="X31" s="150"/>
      <c r="Y31" s="151"/>
      <c r="Z31" s="152"/>
    </row>
    <row r="32" spans="1:26" ht="15" customHeight="1" x14ac:dyDescent="0.25">
      <c r="A32" s="145"/>
      <c r="B32" s="51" t="s">
        <v>4</v>
      </c>
      <c r="C32" s="52"/>
      <c r="D32" s="53"/>
      <c r="E32" s="51" t="s">
        <v>73</v>
      </c>
      <c r="F32" s="52"/>
      <c r="G32" s="52"/>
      <c r="H32" s="53"/>
      <c r="I32" s="61"/>
      <c r="J32" s="74"/>
      <c r="K32" s="61">
        <v>55</v>
      </c>
      <c r="L32" s="74"/>
      <c r="M32" s="51">
        <v>50</v>
      </c>
      <c r="N32" s="53"/>
      <c r="O32" s="40">
        <f>485*M32/100</f>
        <v>242.5</v>
      </c>
      <c r="P32" s="41"/>
      <c r="Q32" s="40">
        <f>56.2*M32/100</f>
        <v>28.1</v>
      </c>
      <c r="R32" s="41"/>
      <c r="S32" s="40">
        <f>5.8*M32/100</f>
        <v>2.9</v>
      </c>
      <c r="T32" s="41"/>
      <c r="U32" s="40">
        <f>25*M32/100</f>
        <v>12.5</v>
      </c>
      <c r="V32" s="41"/>
      <c r="W32" s="135"/>
      <c r="X32" s="150"/>
      <c r="Y32" s="151"/>
      <c r="Z32" s="152"/>
    </row>
    <row r="33" spans="1:31" ht="15.75" thickBot="1" x14ac:dyDescent="0.3">
      <c r="A33" s="145"/>
      <c r="B33" s="54"/>
      <c r="C33" s="55"/>
      <c r="D33" s="56"/>
      <c r="E33" s="54"/>
      <c r="F33" s="55"/>
      <c r="G33" s="55"/>
      <c r="H33" s="56"/>
      <c r="I33" s="75"/>
      <c r="J33" s="76"/>
      <c r="K33" s="75"/>
      <c r="L33" s="76"/>
      <c r="M33" s="54"/>
      <c r="N33" s="56"/>
      <c r="O33" s="42"/>
      <c r="P33" s="43"/>
      <c r="Q33" s="42"/>
      <c r="R33" s="43"/>
      <c r="S33" s="42"/>
      <c r="T33" s="43"/>
      <c r="U33" s="42"/>
      <c r="V33" s="43"/>
      <c r="W33" s="134"/>
      <c r="X33" s="150"/>
      <c r="Y33" s="151"/>
      <c r="Z33" s="152"/>
    </row>
    <row r="34" spans="1:31" ht="15" customHeight="1" x14ac:dyDescent="0.25">
      <c r="A34" s="145"/>
      <c r="B34" s="51" t="s">
        <v>5</v>
      </c>
      <c r="C34" s="52"/>
      <c r="D34" s="53"/>
      <c r="E34" s="51" t="s">
        <v>78</v>
      </c>
      <c r="F34" s="52"/>
      <c r="G34" s="52"/>
      <c r="H34" s="53"/>
      <c r="I34" s="61"/>
      <c r="J34" s="53"/>
      <c r="K34" s="61">
        <v>30</v>
      </c>
      <c r="L34" s="74"/>
      <c r="M34" s="51">
        <v>25</v>
      </c>
      <c r="N34" s="53"/>
      <c r="O34" s="40">
        <v>147</v>
      </c>
      <c r="P34" s="41"/>
      <c r="Q34" s="40">
        <v>7.4</v>
      </c>
      <c r="R34" s="41"/>
      <c r="S34" s="40">
        <v>4.9000000000000004</v>
      </c>
      <c r="T34" s="41"/>
      <c r="U34" s="40">
        <v>10.8</v>
      </c>
      <c r="V34" s="41"/>
      <c r="W34" s="164"/>
      <c r="X34" s="150"/>
      <c r="Y34" s="151"/>
      <c r="Z34" s="152"/>
    </row>
    <row r="35" spans="1:31" ht="15.95" customHeight="1" thickBot="1" x14ac:dyDescent="0.3">
      <c r="A35" s="145"/>
      <c r="B35" s="54"/>
      <c r="C35" s="55"/>
      <c r="D35" s="56"/>
      <c r="E35" s="54"/>
      <c r="F35" s="55"/>
      <c r="G35" s="55"/>
      <c r="H35" s="56"/>
      <c r="I35" s="54"/>
      <c r="J35" s="56"/>
      <c r="K35" s="75"/>
      <c r="L35" s="76"/>
      <c r="M35" s="54"/>
      <c r="N35" s="56"/>
      <c r="O35" s="42"/>
      <c r="P35" s="43"/>
      <c r="Q35" s="42"/>
      <c r="R35" s="43"/>
      <c r="S35" s="42"/>
      <c r="T35" s="43"/>
      <c r="U35" s="42"/>
      <c r="V35" s="43"/>
      <c r="W35" s="165"/>
      <c r="X35" s="150"/>
      <c r="Y35" s="151"/>
      <c r="Z35" s="152"/>
    </row>
    <row r="36" spans="1:31" ht="15" customHeight="1" x14ac:dyDescent="0.25">
      <c r="A36" s="145"/>
      <c r="B36" s="51" t="s">
        <v>6</v>
      </c>
      <c r="C36" s="52"/>
      <c r="D36" s="53"/>
      <c r="E36" s="138" t="s">
        <v>31</v>
      </c>
      <c r="F36" s="139"/>
      <c r="G36" s="139"/>
      <c r="H36" s="140"/>
      <c r="I36" s="61">
        <v>4742870010586</v>
      </c>
      <c r="J36" s="74"/>
      <c r="K36" s="51">
        <v>22</v>
      </c>
      <c r="L36" s="53"/>
      <c r="M36" s="51">
        <v>20</v>
      </c>
      <c r="N36" s="53"/>
      <c r="O36" s="57">
        <v>66</v>
      </c>
      <c r="P36" s="58"/>
      <c r="Q36" s="57">
        <v>16</v>
      </c>
      <c r="R36" s="58"/>
      <c r="S36" s="57">
        <v>0</v>
      </c>
      <c r="T36" s="58"/>
      <c r="U36" s="57">
        <v>0</v>
      </c>
      <c r="V36" s="58"/>
      <c r="W36" s="135"/>
      <c r="X36" s="150"/>
      <c r="Y36" s="151"/>
      <c r="Z36" s="152"/>
    </row>
    <row r="37" spans="1:31" ht="15.75" thickBot="1" x14ac:dyDescent="0.3">
      <c r="A37" s="145"/>
      <c r="B37" s="54"/>
      <c r="C37" s="55"/>
      <c r="D37" s="56"/>
      <c r="E37" s="141"/>
      <c r="F37" s="142"/>
      <c r="G37" s="142"/>
      <c r="H37" s="143"/>
      <c r="I37" s="75"/>
      <c r="J37" s="76"/>
      <c r="K37" s="54"/>
      <c r="L37" s="56"/>
      <c r="M37" s="54"/>
      <c r="N37" s="56"/>
      <c r="O37" s="59"/>
      <c r="P37" s="60"/>
      <c r="Q37" s="59"/>
      <c r="R37" s="60"/>
      <c r="S37" s="59"/>
      <c r="T37" s="60"/>
      <c r="U37" s="59"/>
      <c r="V37" s="60"/>
      <c r="W37" s="134"/>
      <c r="X37" s="150"/>
      <c r="Y37" s="151"/>
      <c r="Z37" s="152"/>
    </row>
    <row r="38" spans="1:31" x14ac:dyDescent="0.25">
      <c r="A38" s="145"/>
      <c r="B38" s="51" t="s">
        <v>7</v>
      </c>
      <c r="C38" s="52"/>
      <c r="D38" s="53"/>
      <c r="E38" s="51" t="s">
        <v>66</v>
      </c>
      <c r="F38" s="52"/>
      <c r="G38" s="52"/>
      <c r="H38" s="53"/>
      <c r="I38" s="61"/>
      <c r="J38" s="53"/>
      <c r="K38" s="61">
        <v>4</v>
      </c>
      <c r="L38" s="74"/>
      <c r="M38" s="51">
        <v>2</v>
      </c>
      <c r="N38" s="53"/>
      <c r="O38" s="40">
        <v>0</v>
      </c>
      <c r="P38" s="41"/>
      <c r="Q38" s="40">
        <v>0</v>
      </c>
      <c r="R38" s="41"/>
      <c r="S38" s="40">
        <v>0</v>
      </c>
      <c r="T38" s="41"/>
      <c r="U38" s="40">
        <v>0</v>
      </c>
      <c r="V38" s="41"/>
      <c r="W38" s="133"/>
      <c r="X38" s="150"/>
      <c r="Y38" s="151"/>
      <c r="Z38" s="152"/>
    </row>
    <row r="39" spans="1:31" ht="15.75" thickBot="1" x14ac:dyDescent="0.3">
      <c r="A39" s="145"/>
      <c r="B39" s="54"/>
      <c r="C39" s="55"/>
      <c r="D39" s="56"/>
      <c r="E39" s="54"/>
      <c r="F39" s="55"/>
      <c r="G39" s="55"/>
      <c r="H39" s="56"/>
      <c r="I39" s="54"/>
      <c r="J39" s="56"/>
      <c r="K39" s="75"/>
      <c r="L39" s="76"/>
      <c r="M39" s="54"/>
      <c r="N39" s="56"/>
      <c r="O39" s="42"/>
      <c r="P39" s="43"/>
      <c r="Q39" s="42"/>
      <c r="R39" s="43"/>
      <c r="S39" s="42"/>
      <c r="T39" s="43"/>
      <c r="U39" s="42"/>
      <c r="V39" s="43"/>
      <c r="W39" s="134"/>
      <c r="X39" s="150"/>
      <c r="Y39" s="151"/>
      <c r="Z39" s="152"/>
    </row>
    <row r="40" spans="1:31" x14ac:dyDescent="0.25">
      <c r="A40" s="145"/>
      <c r="B40" s="51" t="s">
        <v>8</v>
      </c>
      <c r="C40" s="52"/>
      <c r="D40" s="53"/>
      <c r="E40" s="51" t="s">
        <v>8</v>
      </c>
      <c r="F40" s="52"/>
      <c r="G40" s="52"/>
      <c r="H40" s="53"/>
      <c r="I40" s="61"/>
      <c r="J40" s="53"/>
      <c r="K40" s="61"/>
      <c r="L40" s="74"/>
      <c r="M40" s="51"/>
      <c r="N40" s="53"/>
      <c r="O40" s="40"/>
      <c r="P40" s="41"/>
      <c r="Q40" s="40"/>
      <c r="R40" s="41"/>
      <c r="S40" s="40"/>
      <c r="T40" s="41"/>
      <c r="U40" s="40"/>
      <c r="V40" s="41"/>
      <c r="W40" s="133"/>
      <c r="X40" s="150"/>
      <c r="Y40" s="151"/>
      <c r="Z40" s="152"/>
    </row>
    <row r="41" spans="1:31" ht="15.75" thickBot="1" x14ac:dyDescent="0.3">
      <c r="A41" s="146"/>
      <c r="B41" s="54"/>
      <c r="C41" s="55"/>
      <c r="D41" s="56"/>
      <c r="E41" s="54"/>
      <c r="F41" s="55"/>
      <c r="G41" s="55"/>
      <c r="H41" s="56"/>
      <c r="I41" s="54"/>
      <c r="J41" s="56"/>
      <c r="K41" s="75"/>
      <c r="L41" s="76"/>
      <c r="M41" s="54"/>
      <c r="N41" s="56"/>
      <c r="O41" s="42"/>
      <c r="P41" s="43"/>
      <c r="Q41" s="42"/>
      <c r="R41" s="43"/>
      <c r="S41" s="42"/>
      <c r="T41" s="43"/>
      <c r="U41" s="42"/>
      <c r="V41" s="43"/>
      <c r="W41" s="134"/>
      <c r="X41" s="153"/>
      <c r="Y41" s="154"/>
      <c r="Z41" s="155"/>
    </row>
    <row r="42" spans="1:31" ht="15.75" thickBot="1" x14ac:dyDescent="0.3">
      <c r="A42" s="1"/>
      <c r="B42" s="156" t="s">
        <v>16</v>
      </c>
      <c r="C42" s="157"/>
      <c r="D42" s="158"/>
      <c r="E42" s="159"/>
      <c r="F42" s="160"/>
      <c r="G42" s="160"/>
      <c r="H42" s="161"/>
      <c r="I42" s="262"/>
      <c r="J42" s="263"/>
      <c r="K42" s="162">
        <f>SUM(K26:L41)</f>
        <v>396</v>
      </c>
      <c r="L42" s="163"/>
      <c r="M42" s="162">
        <f>SUM(M26:N41)</f>
        <v>352</v>
      </c>
      <c r="N42" s="163"/>
      <c r="O42" s="162">
        <f>SUM(O26:P41)</f>
        <v>1305.05</v>
      </c>
      <c r="P42" s="163"/>
      <c r="Q42" s="162">
        <f>SUM(Q26:R41)</f>
        <v>166.48</v>
      </c>
      <c r="R42" s="163"/>
      <c r="S42" s="162">
        <f>SUM(S26:T41)</f>
        <v>40.549999999999997</v>
      </c>
      <c r="T42" s="163"/>
      <c r="U42" s="162">
        <f>SUM(U26:V41)</f>
        <v>48.8</v>
      </c>
      <c r="V42" s="163"/>
      <c r="W42" s="20"/>
    </row>
    <row r="43" spans="1:31" x14ac:dyDescent="0.25">
      <c r="A43" s="144">
        <v>11</v>
      </c>
      <c r="B43" s="51" t="s">
        <v>1</v>
      </c>
      <c r="C43" s="52"/>
      <c r="D43" s="53"/>
      <c r="E43" s="51" t="s">
        <v>104</v>
      </c>
      <c r="F43" s="52"/>
      <c r="G43" s="52"/>
      <c r="H43" s="53"/>
      <c r="I43" s="61"/>
      <c r="J43" s="74"/>
      <c r="K43" s="51">
        <v>150</v>
      </c>
      <c r="L43" s="53"/>
      <c r="M43" s="51">
        <v>130</v>
      </c>
      <c r="N43" s="53"/>
      <c r="O43" s="57">
        <v>482</v>
      </c>
      <c r="P43" s="58"/>
      <c r="Q43" s="57">
        <v>22</v>
      </c>
      <c r="R43" s="58"/>
      <c r="S43" s="57">
        <v>24</v>
      </c>
      <c r="T43" s="58"/>
      <c r="U43" s="57">
        <v>8.3000000000000007</v>
      </c>
      <c r="V43" s="58"/>
      <c r="W43" s="135"/>
      <c r="X43" s="147">
        <v>26400</v>
      </c>
      <c r="Y43" s="148"/>
      <c r="Z43" s="149"/>
    </row>
    <row r="44" spans="1:31" ht="15.75" thickBot="1" x14ac:dyDescent="0.3">
      <c r="A44" s="145"/>
      <c r="B44" s="54"/>
      <c r="C44" s="55"/>
      <c r="D44" s="56"/>
      <c r="E44" s="54"/>
      <c r="F44" s="55"/>
      <c r="G44" s="55"/>
      <c r="H44" s="56"/>
      <c r="I44" s="75"/>
      <c r="J44" s="76"/>
      <c r="K44" s="54"/>
      <c r="L44" s="56"/>
      <c r="M44" s="54"/>
      <c r="N44" s="56"/>
      <c r="O44" s="59"/>
      <c r="P44" s="60"/>
      <c r="Q44" s="59"/>
      <c r="R44" s="60"/>
      <c r="S44" s="59"/>
      <c r="T44" s="60"/>
      <c r="U44" s="59"/>
      <c r="V44" s="60"/>
      <c r="W44" s="166"/>
      <c r="X44" s="150"/>
      <c r="Y44" s="151"/>
      <c r="Z44" s="152"/>
    </row>
    <row r="45" spans="1:31" x14ac:dyDescent="0.25">
      <c r="A45" s="145"/>
      <c r="B45" s="51" t="s">
        <v>2</v>
      </c>
      <c r="C45" s="52"/>
      <c r="D45" s="53"/>
      <c r="E45" s="51" t="s">
        <v>72</v>
      </c>
      <c r="F45" s="52"/>
      <c r="G45" s="52"/>
      <c r="H45" s="53"/>
      <c r="I45" s="61"/>
      <c r="J45" s="52"/>
      <c r="K45" s="61">
        <v>55</v>
      </c>
      <c r="L45" s="74"/>
      <c r="M45" s="52">
        <v>50</v>
      </c>
      <c r="N45" s="53"/>
      <c r="O45" s="40">
        <f>427*M45/100</f>
        <v>213.5</v>
      </c>
      <c r="P45" s="41"/>
      <c r="Q45" s="40">
        <f>65.7*M45/100</f>
        <v>32.85</v>
      </c>
      <c r="R45" s="41"/>
      <c r="S45" s="40">
        <f>11.4*M45/100</f>
        <v>5.7</v>
      </c>
      <c r="T45" s="41"/>
      <c r="U45" s="40">
        <f>10.6*M45/100</f>
        <v>5.3</v>
      </c>
      <c r="V45" s="41"/>
      <c r="W45" s="135"/>
      <c r="X45" s="150"/>
      <c r="Y45" s="151"/>
      <c r="Z45" s="152"/>
    </row>
    <row r="46" spans="1:31" ht="15.75" thickBot="1" x14ac:dyDescent="0.3">
      <c r="A46" s="145"/>
      <c r="B46" s="54"/>
      <c r="C46" s="55"/>
      <c r="D46" s="56"/>
      <c r="E46" s="54"/>
      <c r="F46" s="55"/>
      <c r="G46" s="55"/>
      <c r="H46" s="56"/>
      <c r="I46" s="54"/>
      <c r="J46" s="55"/>
      <c r="K46" s="75"/>
      <c r="L46" s="76"/>
      <c r="M46" s="55"/>
      <c r="N46" s="56"/>
      <c r="O46" s="42"/>
      <c r="P46" s="43"/>
      <c r="Q46" s="42"/>
      <c r="R46" s="43"/>
      <c r="S46" s="42"/>
      <c r="T46" s="43"/>
      <c r="U46" s="42"/>
      <c r="V46" s="43"/>
      <c r="W46" s="166"/>
      <c r="X46" s="150"/>
      <c r="Y46" s="151"/>
      <c r="Z46" s="152"/>
    </row>
    <row r="47" spans="1:31" x14ac:dyDescent="0.25">
      <c r="A47" s="145"/>
      <c r="B47" s="51" t="s">
        <v>3</v>
      </c>
      <c r="C47" s="52"/>
      <c r="D47" s="53"/>
      <c r="E47" s="51" t="s">
        <v>57</v>
      </c>
      <c r="F47" s="52"/>
      <c r="G47" s="52"/>
      <c r="H47" s="53"/>
      <c r="I47" s="61">
        <v>4742870019060</v>
      </c>
      <c r="J47" s="74"/>
      <c r="K47" s="51">
        <v>80</v>
      </c>
      <c r="L47" s="53"/>
      <c r="M47" s="51">
        <v>75</v>
      </c>
      <c r="N47" s="53"/>
      <c r="O47" s="57">
        <v>160.5</v>
      </c>
      <c r="P47" s="58"/>
      <c r="Q47" s="57">
        <v>2.4</v>
      </c>
      <c r="R47" s="58"/>
      <c r="S47" s="57">
        <v>7.5</v>
      </c>
      <c r="T47" s="58"/>
      <c r="U47" s="57">
        <v>13.425000000000001</v>
      </c>
      <c r="V47" s="58"/>
      <c r="W47" s="135"/>
      <c r="X47" s="150"/>
      <c r="Y47" s="151"/>
      <c r="Z47" s="152"/>
      <c r="AB47" s="9"/>
    </row>
    <row r="48" spans="1:31" ht="15.75" thickBot="1" x14ac:dyDescent="0.3">
      <c r="A48" s="145"/>
      <c r="B48" s="54"/>
      <c r="C48" s="55"/>
      <c r="D48" s="56"/>
      <c r="E48" s="54"/>
      <c r="F48" s="55"/>
      <c r="G48" s="55"/>
      <c r="H48" s="56"/>
      <c r="I48" s="75"/>
      <c r="J48" s="76"/>
      <c r="K48" s="54"/>
      <c r="L48" s="56"/>
      <c r="M48" s="54"/>
      <c r="N48" s="56"/>
      <c r="O48" s="59"/>
      <c r="P48" s="60"/>
      <c r="Q48" s="59"/>
      <c r="R48" s="60"/>
      <c r="S48" s="59"/>
      <c r="T48" s="60"/>
      <c r="U48" s="59"/>
      <c r="V48" s="60"/>
      <c r="W48" s="134"/>
      <c r="X48" s="150"/>
      <c r="Y48" s="151"/>
      <c r="Z48" s="152"/>
      <c r="AB48" s="11"/>
      <c r="AC48" s="11"/>
      <c r="AD48" s="11"/>
      <c r="AE48" s="11"/>
    </row>
    <row r="49" spans="1:31" ht="15" customHeight="1" x14ac:dyDescent="0.25">
      <c r="A49" s="145"/>
      <c r="B49" s="51" t="s">
        <v>4</v>
      </c>
      <c r="C49" s="52"/>
      <c r="D49" s="53"/>
      <c r="E49" s="51" t="s">
        <v>74</v>
      </c>
      <c r="F49" s="52"/>
      <c r="G49" s="52"/>
      <c r="H49" s="53"/>
      <c r="I49" s="61"/>
      <c r="J49" s="74"/>
      <c r="K49" s="61">
        <v>55</v>
      </c>
      <c r="L49" s="74"/>
      <c r="M49" s="51">
        <v>50</v>
      </c>
      <c r="N49" s="53"/>
      <c r="O49" s="40">
        <f>460*M49/100</f>
        <v>230</v>
      </c>
      <c r="P49" s="41"/>
      <c r="Q49" s="40">
        <f>61.2*M49/100</f>
        <v>30.6</v>
      </c>
      <c r="R49" s="41"/>
      <c r="S49" s="40">
        <f>9.5*M49/100</f>
        <v>4.75</v>
      </c>
      <c r="T49" s="41"/>
      <c r="U49" s="40">
        <f>18.5*M49/100</f>
        <v>9.25</v>
      </c>
      <c r="V49" s="41"/>
      <c r="W49" s="135"/>
      <c r="X49" s="150"/>
      <c r="Y49" s="151"/>
      <c r="Z49" s="152"/>
      <c r="AB49" s="10"/>
      <c r="AC49" s="10"/>
      <c r="AD49" s="10"/>
      <c r="AE49" s="10"/>
    </row>
    <row r="50" spans="1:31" ht="15.75" thickBot="1" x14ac:dyDescent="0.3">
      <c r="A50" s="145"/>
      <c r="B50" s="54"/>
      <c r="C50" s="55"/>
      <c r="D50" s="56"/>
      <c r="E50" s="54"/>
      <c r="F50" s="55"/>
      <c r="G50" s="55"/>
      <c r="H50" s="56"/>
      <c r="I50" s="75"/>
      <c r="J50" s="76"/>
      <c r="K50" s="75"/>
      <c r="L50" s="76"/>
      <c r="M50" s="54"/>
      <c r="N50" s="56"/>
      <c r="O50" s="42"/>
      <c r="P50" s="43"/>
      <c r="Q50" s="42"/>
      <c r="R50" s="43"/>
      <c r="S50" s="42"/>
      <c r="T50" s="43"/>
      <c r="U50" s="42"/>
      <c r="V50" s="43"/>
      <c r="W50" s="134"/>
      <c r="X50" s="150"/>
      <c r="Y50" s="151"/>
      <c r="Z50" s="152"/>
    </row>
    <row r="51" spans="1:31" ht="15" customHeight="1" x14ac:dyDescent="0.25">
      <c r="A51" s="145"/>
      <c r="B51" s="51" t="s">
        <v>5</v>
      </c>
      <c r="C51" s="52"/>
      <c r="D51" s="53"/>
      <c r="E51" s="51" t="s">
        <v>67</v>
      </c>
      <c r="F51" s="52"/>
      <c r="G51" s="52"/>
      <c r="H51" s="53"/>
      <c r="I51" s="61"/>
      <c r="J51" s="74"/>
      <c r="K51" s="51">
        <v>48</v>
      </c>
      <c r="L51" s="53"/>
      <c r="M51" s="51">
        <v>45</v>
      </c>
      <c r="N51" s="53"/>
      <c r="O51" s="57">
        <f>400*M51/100</f>
        <v>180</v>
      </c>
      <c r="P51" s="58"/>
      <c r="Q51" s="57">
        <f>65.4*M51/100</f>
        <v>29.430000000000003</v>
      </c>
      <c r="R51" s="58"/>
      <c r="S51" s="57">
        <f>11.3*M51/100</f>
        <v>5.0850000000000009</v>
      </c>
      <c r="T51" s="58"/>
      <c r="U51" s="57">
        <f>9*M51/100</f>
        <v>4.05</v>
      </c>
      <c r="V51" s="58"/>
      <c r="W51" s="164"/>
      <c r="X51" s="150"/>
      <c r="Y51" s="151"/>
      <c r="Z51" s="152"/>
    </row>
    <row r="52" spans="1:31" ht="15.95" customHeight="1" thickBot="1" x14ac:dyDescent="0.3">
      <c r="A52" s="145"/>
      <c r="B52" s="54"/>
      <c r="C52" s="55"/>
      <c r="D52" s="56"/>
      <c r="E52" s="54"/>
      <c r="F52" s="55"/>
      <c r="G52" s="55"/>
      <c r="H52" s="56"/>
      <c r="I52" s="75"/>
      <c r="J52" s="76"/>
      <c r="K52" s="54"/>
      <c r="L52" s="56"/>
      <c r="M52" s="54"/>
      <c r="N52" s="56"/>
      <c r="O52" s="59"/>
      <c r="P52" s="60"/>
      <c r="Q52" s="59"/>
      <c r="R52" s="60"/>
      <c r="S52" s="59"/>
      <c r="T52" s="60"/>
      <c r="U52" s="59"/>
      <c r="V52" s="60"/>
      <c r="W52" s="165"/>
      <c r="X52" s="150"/>
      <c r="Y52" s="151"/>
      <c r="Z52" s="152"/>
    </row>
    <row r="53" spans="1:31" ht="15" customHeight="1" x14ac:dyDescent="0.25">
      <c r="A53" s="145"/>
      <c r="B53" s="51" t="s">
        <v>6</v>
      </c>
      <c r="C53" s="52"/>
      <c r="D53" s="53"/>
      <c r="E53" s="138" t="s">
        <v>32</v>
      </c>
      <c r="F53" s="139"/>
      <c r="G53" s="139"/>
      <c r="H53" s="140"/>
      <c r="I53" s="61">
        <v>4742870010562</v>
      </c>
      <c r="J53" s="74"/>
      <c r="K53" s="51">
        <v>22</v>
      </c>
      <c r="L53" s="53"/>
      <c r="M53" s="51">
        <v>20</v>
      </c>
      <c r="N53" s="53"/>
      <c r="O53" s="57">
        <v>66.599999999999994</v>
      </c>
      <c r="P53" s="58"/>
      <c r="Q53" s="57">
        <v>16.2</v>
      </c>
      <c r="R53" s="58"/>
      <c r="S53" s="57">
        <v>0</v>
      </c>
      <c r="T53" s="58"/>
      <c r="U53" s="57">
        <v>0</v>
      </c>
      <c r="V53" s="58"/>
      <c r="W53" s="135"/>
      <c r="X53" s="150"/>
      <c r="Y53" s="151"/>
      <c r="Z53" s="152"/>
    </row>
    <row r="54" spans="1:31" ht="15.75" thickBot="1" x14ac:dyDescent="0.3">
      <c r="A54" s="145"/>
      <c r="B54" s="54"/>
      <c r="C54" s="55"/>
      <c r="D54" s="56"/>
      <c r="E54" s="141"/>
      <c r="F54" s="142"/>
      <c r="G54" s="142"/>
      <c r="H54" s="143"/>
      <c r="I54" s="75"/>
      <c r="J54" s="76"/>
      <c r="K54" s="54"/>
      <c r="L54" s="56"/>
      <c r="M54" s="54"/>
      <c r="N54" s="56"/>
      <c r="O54" s="59"/>
      <c r="P54" s="60"/>
      <c r="Q54" s="59"/>
      <c r="R54" s="60"/>
      <c r="S54" s="59"/>
      <c r="T54" s="60"/>
      <c r="U54" s="59"/>
      <c r="V54" s="60"/>
      <c r="W54" s="134"/>
      <c r="X54" s="150"/>
      <c r="Y54" s="151"/>
      <c r="Z54" s="152"/>
    </row>
    <row r="55" spans="1:31" x14ac:dyDescent="0.25">
      <c r="A55" s="145"/>
      <c r="B55" s="51" t="s">
        <v>7</v>
      </c>
      <c r="C55" s="52"/>
      <c r="D55" s="53"/>
      <c r="E55" s="51" t="s">
        <v>66</v>
      </c>
      <c r="F55" s="52"/>
      <c r="G55" s="52"/>
      <c r="H55" s="53"/>
      <c r="I55" s="61"/>
      <c r="J55" s="53"/>
      <c r="K55" s="61">
        <v>4</v>
      </c>
      <c r="L55" s="74"/>
      <c r="M55" s="51">
        <v>2</v>
      </c>
      <c r="N55" s="53"/>
      <c r="O55" s="40">
        <v>0</v>
      </c>
      <c r="P55" s="41"/>
      <c r="Q55" s="40">
        <v>0</v>
      </c>
      <c r="R55" s="41"/>
      <c r="S55" s="40">
        <v>0</v>
      </c>
      <c r="T55" s="41"/>
      <c r="U55" s="40">
        <v>0</v>
      </c>
      <c r="V55" s="41"/>
      <c r="W55" s="133"/>
      <c r="X55" s="150"/>
      <c r="Y55" s="151"/>
      <c r="Z55" s="152"/>
    </row>
    <row r="56" spans="1:31" ht="15.75" thickBot="1" x14ac:dyDescent="0.3">
      <c r="A56" s="145"/>
      <c r="B56" s="54"/>
      <c r="C56" s="55"/>
      <c r="D56" s="56"/>
      <c r="E56" s="54"/>
      <c r="F56" s="55"/>
      <c r="G56" s="55"/>
      <c r="H56" s="56"/>
      <c r="I56" s="54"/>
      <c r="J56" s="56"/>
      <c r="K56" s="75"/>
      <c r="L56" s="76"/>
      <c r="M56" s="54"/>
      <c r="N56" s="56"/>
      <c r="O56" s="42"/>
      <c r="P56" s="43"/>
      <c r="Q56" s="42"/>
      <c r="R56" s="43"/>
      <c r="S56" s="42"/>
      <c r="T56" s="43"/>
      <c r="U56" s="42"/>
      <c r="V56" s="43"/>
      <c r="W56" s="134"/>
      <c r="X56" s="150"/>
      <c r="Y56" s="151"/>
      <c r="Z56" s="152"/>
    </row>
    <row r="57" spans="1:31" x14ac:dyDescent="0.25">
      <c r="A57" s="145"/>
      <c r="B57" s="51" t="s">
        <v>8</v>
      </c>
      <c r="C57" s="52"/>
      <c r="D57" s="53"/>
      <c r="E57" s="51" t="s">
        <v>8</v>
      </c>
      <c r="F57" s="52"/>
      <c r="G57" s="52"/>
      <c r="H57" s="53"/>
      <c r="I57" s="61"/>
      <c r="J57" s="53"/>
      <c r="K57" s="61"/>
      <c r="L57" s="74"/>
      <c r="M57" s="51"/>
      <c r="N57" s="53"/>
      <c r="O57" s="40"/>
      <c r="P57" s="41"/>
      <c r="Q57" s="40"/>
      <c r="R57" s="41"/>
      <c r="S57" s="40"/>
      <c r="T57" s="41"/>
      <c r="U57" s="40"/>
      <c r="V57" s="41"/>
      <c r="W57" s="133"/>
      <c r="X57" s="150"/>
      <c r="Y57" s="151"/>
      <c r="Z57" s="152"/>
    </row>
    <row r="58" spans="1:31" ht="15.75" thickBot="1" x14ac:dyDescent="0.3">
      <c r="A58" s="146"/>
      <c r="B58" s="54"/>
      <c r="C58" s="55"/>
      <c r="D58" s="56"/>
      <c r="E58" s="54"/>
      <c r="F58" s="55"/>
      <c r="G58" s="55"/>
      <c r="H58" s="56"/>
      <c r="I58" s="54"/>
      <c r="J58" s="56"/>
      <c r="K58" s="75"/>
      <c r="L58" s="76"/>
      <c r="M58" s="54"/>
      <c r="N58" s="56"/>
      <c r="O58" s="42"/>
      <c r="P58" s="43"/>
      <c r="Q58" s="42"/>
      <c r="R58" s="43"/>
      <c r="S58" s="42"/>
      <c r="T58" s="43"/>
      <c r="U58" s="42"/>
      <c r="V58" s="43"/>
      <c r="W58" s="134"/>
      <c r="X58" s="153"/>
      <c r="Y58" s="154"/>
      <c r="Z58" s="155"/>
    </row>
    <row r="59" spans="1:31" ht="15.75" thickBot="1" x14ac:dyDescent="0.3">
      <c r="A59" s="1"/>
      <c r="B59" s="156" t="s">
        <v>16</v>
      </c>
      <c r="C59" s="157"/>
      <c r="D59" s="158"/>
      <c r="E59" s="159"/>
      <c r="F59" s="160"/>
      <c r="G59" s="160"/>
      <c r="H59" s="161"/>
      <c r="I59" s="262"/>
      <c r="J59" s="263"/>
      <c r="K59" s="162">
        <f>SUM(K43:L58)</f>
        <v>414</v>
      </c>
      <c r="L59" s="163"/>
      <c r="M59" s="162">
        <f>SUM(M43:N58)</f>
        <v>372</v>
      </c>
      <c r="N59" s="163"/>
      <c r="O59" s="162">
        <f>SUM(O43:P58)</f>
        <v>1332.6</v>
      </c>
      <c r="P59" s="163"/>
      <c r="Q59" s="162">
        <f>SUM(Q43:R58)</f>
        <v>133.47999999999999</v>
      </c>
      <c r="R59" s="163"/>
      <c r="S59" s="162">
        <f>SUM(S43:T58)</f>
        <v>47.035000000000004</v>
      </c>
      <c r="T59" s="163"/>
      <c r="U59" s="162">
        <f>SUM(U43:V58)</f>
        <v>40.325000000000003</v>
      </c>
      <c r="V59" s="163"/>
      <c r="W59" s="20"/>
    </row>
    <row r="60" spans="1:31" ht="15" customHeight="1" x14ac:dyDescent="0.25">
      <c r="A60" s="144">
        <v>12</v>
      </c>
      <c r="B60" s="51" t="s">
        <v>1</v>
      </c>
      <c r="C60" s="52"/>
      <c r="D60" s="53"/>
      <c r="E60" s="51" t="s">
        <v>109</v>
      </c>
      <c r="F60" s="52"/>
      <c r="G60" s="52"/>
      <c r="H60" s="53"/>
      <c r="I60" s="61"/>
      <c r="J60" s="74"/>
      <c r="K60" s="51">
        <v>135</v>
      </c>
      <c r="L60" s="53"/>
      <c r="M60" s="51">
        <v>115</v>
      </c>
      <c r="N60" s="53"/>
      <c r="O60" s="57">
        <v>507</v>
      </c>
      <c r="P60" s="58"/>
      <c r="Q60" s="57">
        <v>63</v>
      </c>
      <c r="R60" s="58"/>
      <c r="S60" s="57">
        <v>24</v>
      </c>
      <c r="T60" s="58"/>
      <c r="U60" s="57">
        <v>17</v>
      </c>
      <c r="V60" s="58"/>
      <c r="W60" s="135"/>
      <c r="X60" s="147">
        <v>26400</v>
      </c>
      <c r="Y60" s="148"/>
      <c r="Z60" s="149"/>
    </row>
    <row r="61" spans="1:31" ht="15.75" thickBot="1" x14ac:dyDescent="0.3">
      <c r="A61" s="145"/>
      <c r="B61" s="54"/>
      <c r="C61" s="55"/>
      <c r="D61" s="56"/>
      <c r="E61" s="54"/>
      <c r="F61" s="55"/>
      <c r="G61" s="55"/>
      <c r="H61" s="56"/>
      <c r="I61" s="75"/>
      <c r="J61" s="76"/>
      <c r="K61" s="54"/>
      <c r="L61" s="56"/>
      <c r="M61" s="54"/>
      <c r="N61" s="56"/>
      <c r="O61" s="59"/>
      <c r="P61" s="60"/>
      <c r="Q61" s="59"/>
      <c r="R61" s="60"/>
      <c r="S61" s="59"/>
      <c r="T61" s="60"/>
      <c r="U61" s="59"/>
      <c r="V61" s="60"/>
      <c r="W61" s="166"/>
      <c r="X61" s="150"/>
      <c r="Y61" s="151"/>
      <c r="Z61" s="152"/>
    </row>
    <row r="62" spans="1:31" x14ac:dyDescent="0.25">
      <c r="A62" s="145"/>
      <c r="B62" s="51" t="s">
        <v>2</v>
      </c>
      <c r="C62" s="52"/>
      <c r="D62" s="53"/>
      <c r="E62" s="51" t="s">
        <v>20</v>
      </c>
      <c r="F62" s="52"/>
      <c r="G62" s="52"/>
      <c r="H62" s="53"/>
      <c r="I62" s="61"/>
      <c r="J62" s="52"/>
      <c r="K62" s="61">
        <v>55</v>
      </c>
      <c r="L62" s="74"/>
      <c r="M62" s="52">
        <v>50</v>
      </c>
      <c r="N62" s="53"/>
      <c r="O62" s="40">
        <f>444*M62/100</f>
        <v>222</v>
      </c>
      <c r="P62" s="41"/>
      <c r="Q62" s="40">
        <f>66.6*M62/100</f>
        <v>33.299999999999997</v>
      </c>
      <c r="R62" s="41"/>
      <c r="S62" s="40">
        <f>9.7*M62/100</f>
        <v>4.8499999999999996</v>
      </c>
      <c r="T62" s="41"/>
      <c r="U62" s="40">
        <f>16.2*M62/100</f>
        <v>8.1</v>
      </c>
      <c r="V62" s="41"/>
      <c r="W62" s="135"/>
      <c r="X62" s="150"/>
      <c r="Y62" s="151"/>
      <c r="Z62" s="152"/>
    </row>
    <row r="63" spans="1:31" ht="15.75" thickBot="1" x14ac:dyDescent="0.3">
      <c r="A63" s="145"/>
      <c r="B63" s="54"/>
      <c r="C63" s="55"/>
      <c r="D63" s="56"/>
      <c r="E63" s="54"/>
      <c r="F63" s="55"/>
      <c r="G63" s="55"/>
      <c r="H63" s="56"/>
      <c r="I63" s="54"/>
      <c r="J63" s="55"/>
      <c r="K63" s="75"/>
      <c r="L63" s="76"/>
      <c r="M63" s="55"/>
      <c r="N63" s="56"/>
      <c r="O63" s="42"/>
      <c r="P63" s="43"/>
      <c r="Q63" s="42"/>
      <c r="R63" s="43"/>
      <c r="S63" s="42"/>
      <c r="T63" s="43"/>
      <c r="U63" s="42"/>
      <c r="V63" s="43"/>
      <c r="W63" s="166"/>
      <c r="X63" s="150"/>
      <c r="Y63" s="151"/>
      <c r="Z63" s="152"/>
    </row>
    <row r="64" spans="1:31" ht="15" customHeight="1" x14ac:dyDescent="0.25">
      <c r="A64" s="145"/>
      <c r="B64" s="51" t="s">
        <v>3</v>
      </c>
      <c r="C64" s="52"/>
      <c r="D64" s="53"/>
      <c r="E64" s="51" t="s">
        <v>58</v>
      </c>
      <c r="F64" s="52"/>
      <c r="G64" s="52"/>
      <c r="H64" s="53"/>
      <c r="I64" s="61">
        <v>4742870019077</v>
      </c>
      <c r="J64" s="74"/>
      <c r="K64" s="51">
        <v>80</v>
      </c>
      <c r="L64" s="53"/>
      <c r="M64" s="51">
        <v>75</v>
      </c>
      <c r="N64" s="53"/>
      <c r="O64" s="57">
        <v>131.25</v>
      </c>
      <c r="P64" s="58"/>
      <c r="Q64" s="57">
        <v>2.25</v>
      </c>
      <c r="R64" s="58"/>
      <c r="S64" s="57">
        <v>7.13</v>
      </c>
      <c r="T64" s="58"/>
      <c r="U64" s="57">
        <v>10.43</v>
      </c>
      <c r="V64" s="58"/>
      <c r="W64" s="164"/>
      <c r="X64" s="150"/>
      <c r="Y64" s="151"/>
      <c r="Z64" s="152"/>
      <c r="AB64" s="9"/>
    </row>
    <row r="65" spans="1:31" ht="15.95" customHeight="1" thickBot="1" x14ac:dyDescent="0.3">
      <c r="A65" s="145"/>
      <c r="B65" s="54"/>
      <c r="C65" s="55"/>
      <c r="D65" s="56"/>
      <c r="E65" s="54"/>
      <c r="F65" s="55"/>
      <c r="G65" s="55"/>
      <c r="H65" s="56"/>
      <c r="I65" s="75"/>
      <c r="J65" s="76"/>
      <c r="K65" s="54"/>
      <c r="L65" s="56"/>
      <c r="M65" s="54"/>
      <c r="N65" s="56"/>
      <c r="O65" s="59"/>
      <c r="P65" s="60"/>
      <c r="Q65" s="59"/>
      <c r="R65" s="60"/>
      <c r="S65" s="59"/>
      <c r="T65" s="60"/>
      <c r="U65" s="59"/>
      <c r="V65" s="60"/>
      <c r="W65" s="165"/>
      <c r="X65" s="150"/>
      <c r="Y65" s="151"/>
      <c r="Z65" s="152"/>
      <c r="AB65" s="12"/>
      <c r="AC65" s="12"/>
      <c r="AD65" s="12"/>
      <c r="AE65" s="12"/>
    </row>
    <row r="66" spans="1:31" ht="15" customHeight="1" x14ac:dyDescent="0.25">
      <c r="A66" s="145"/>
      <c r="B66" s="51" t="s">
        <v>4</v>
      </c>
      <c r="C66" s="52"/>
      <c r="D66" s="53"/>
      <c r="E66" s="51" t="s">
        <v>77</v>
      </c>
      <c r="F66" s="52"/>
      <c r="G66" s="52"/>
      <c r="H66" s="53"/>
      <c r="I66" s="61"/>
      <c r="J66" s="74"/>
      <c r="K66" s="57">
        <v>55</v>
      </c>
      <c r="L66" s="58"/>
      <c r="M66" s="57">
        <v>50</v>
      </c>
      <c r="N66" s="58"/>
      <c r="O66" s="40">
        <f>514*M66/100</f>
        <v>257</v>
      </c>
      <c r="P66" s="41"/>
      <c r="Q66" s="40">
        <f>53.2*M66/100</f>
        <v>26.6</v>
      </c>
      <c r="R66" s="41"/>
      <c r="S66" s="40">
        <f>11*M66/100</f>
        <v>5.5</v>
      </c>
      <c r="T66" s="41"/>
      <c r="U66" s="40">
        <f>27.4*M66/100</f>
        <v>13.7</v>
      </c>
      <c r="V66" s="41"/>
      <c r="W66" s="136"/>
      <c r="X66" s="150"/>
      <c r="Y66" s="151"/>
      <c r="Z66" s="152"/>
      <c r="AB66" s="10"/>
      <c r="AC66" s="10"/>
      <c r="AD66" s="10"/>
      <c r="AE66" s="10"/>
    </row>
    <row r="67" spans="1:31" ht="15.95" customHeight="1" thickBot="1" x14ac:dyDescent="0.3">
      <c r="A67" s="145"/>
      <c r="B67" s="54"/>
      <c r="C67" s="55"/>
      <c r="D67" s="56"/>
      <c r="E67" s="54"/>
      <c r="F67" s="55"/>
      <c r="G67" s="55"/>
      <c r="H67" s="56"/>
      <c r="I67" s="75"/>
      <c r="J67" s="76"/>
      <c r="K67" s="59"/>
      <c r="L67" s="60"/>
      <c r="M67" s="59"/>
      <c r="N67" s="60"/>
      <c r="O67" s="42"/>
      <c r="P67" s="43"/>
      <c r="Q67" s="42"/>
      <c r="R67" s="43"/>
      <c r="S67" s="42"/>
      <c r="T67" s="43"/>
      <c r="U67" s="42"/>
      <c r="V67" s="43"/>
      <c r="W67" s="137"/>
      <c r="X67" s="150"/>
      <c r="Y67" s="151"/>
      <c r="Z67" s="152"/>
    </row>
    <row r="68" spans="1:31" x14ac:dyDescent="0.25">
      <c r="A68" s="145"/>
      <c r="B68" s="51" t="s">
        <v>5</v>
      </c>
      <c r="C68" s="52"/>
      <c r="D68" s="53"/>
      <c r="E68" s="51" t="s">
        <v>65</v>
      </c>
      <c r="F68" s="52"/>
      <c r="G68" s="52"/>
      <c r="H68" s="53"/>
      <c r="I68" s="61"/>
      <c r="J68" s="74"/>
      <c r="K68" s="51">
        <v>27</v>
      </c>
      <c r="L68" s="53"/>
      <c r="M68" s="51">
        <v>25</v>
      </c>
      <c r="N68" s="53"/>
      <c r="O68" s="57">
        <f>270*M68/100</f>
        <v>67.5</v>
      </c>
      <c r="P68" s="58"/>
      <c r="Q68" s="57">
        <f>65.2*M68/100</f>
        <v>16.3</v>
      </c>
      <c r="R68" s="58"/>
      <c r="S68" s="57">
        <f>0.3*M68/100</f>
        <v>7.4999999999999997E-2</v>
      </c>
      <c r="T68" s="58"/>
      <c r="U68" s="57">
        <f>0.4*M68/100</f>
        <v>0.1</v>
      </c>
      <c r="V68" s="58"/>
      <c r="W68" s="135"/>
      <c r="X68" s="150"/>
      <c r="Y68" s="151"/>
      <c r="Z68" s="152"/>
    </row>
    <row r="69" spans="1:31" ht="15.75" thickBot="1" x14ac:dyDescent="0.3">
      <c r="A69" s="145"/>
      <c r="B69" s="54"/>
      <c r="C69" s="55"/>
      <c r="D69" s="56"/>
      <c r="E69" s="54"/>
      <c r="F69" s="55"/>
      <c r="G69" s="55"/>
      <c r="H69" s="56"/>
      <c r="I69" s="75"/>
      <c r="J69" s="76"/>
      <c r="K69" s="54"/>
      <c r="L69" s="56"/>
      <c r="M69" s="54"/>
      <c r="N69" s="56"/>
      <c r="O69" s="59"/>
      <c r="P69" s="60"/>
      <c r="Q69" s="59"/>
      <c r="R69" s="60"/>
      <c r="S69" s="59"/>
      <c r="T69" s="60"/>
      <c r="U69" s="59"/>
      <c r="V69" s="60"/>
      <c r="W69" s="134"/>
      <c r="X69" s="150"/>
      <c r="Y69" s="151"/>
      <c r="Z69" s="152"/>
    </row>
    <row r="70" spans="1:31" ht="15" customHeight="1" x14ac:dyDescent="0.25">
      <c r="A70" s="145"/>
      <c r="B70" s="51" t="s">
        <v>6</v>
      </c>
      <c r="C70" s="52"/>
      <c r="D70" s="53"/>
      <c r="E70" s="138" t="s">
        <v>33</v>
      </c>
      <c r="F70" s="139"/>
      <c r="G70" s="139"/>
      <c r="H70" s="140"/>
      <c r="I70" s="61">
        <v>4742870010555</v>
      </c>
      <c r="J70" s="74"/>
      <c r="K70" s="51">
        <v>22</v>
      </c>
      <c r="L70" s="53"/>
      <c r="M70" s="51">
        <v>20</v>
      </c>
      <c r="N70" s="53"/>
      <c r="O70" s="57">
        <v>66.8</v>
      </c>
      <c r="P70" s="58"/>
      <c r="Q70" s="57">
        <v>16.2</v>
      </c>
      <c r="R70" s="58"/>
      <c r="S70" s="57">
        <v>0</v>
      </c>
      <c r="T70" s="58"/>
      <c r="U70" s="57">
        <v>0</v>
      </c>
      <c r="V70" s="58"/>
      <c r="W70" s="135"/>
      <c r="X70" s="150"/>
      <c r="Y70" s="151"/>
      <c r="Z70" s="152"/>
    </row>
    <row r="71" spans="1:31" ht="15.75" thickBot="1" x14ac:dyDescent="0.3">
      <c r="A71" s="145"/>
      <c r="B71" s="54"/>
      <c r="C71" s="55"/>
      <c r="D71" s="56"/>
      <c r="E71" s="141"/>
      <c r="F71" s="142"/>
      <c r="G71" s="142"/>
      <c r="H71" s="143"/>
      <c r="I71" s="75"/>
      <c r="J71" s="76"/>
      <c r="K71" s="54"/>
      <c r="L71" s="56"/>
      <c r="M71" s="54"/>
      <c r="N71" s="56"/>
      <c r="O71" s="59"/>
      <c r="P71" s="60"/>
      <c r="Q71" s="59"/>
      <c r="R71" s="60"/>
      <c r="S71" s="59"/>
      <c r="T71" s="60"/>
      <c r="U71" s="59"/>
      <c r="V71" s="60"/>
      <c r="W71" s="134"/>
      <c r="X71" s="150"/>
      <c r="Y71" s="151"/>
      <c r="Z71" s="152"/>
    </row>
    <row r="72" spans="1:31" x14ac:dyDescent="0.25">
      <c r="A72" s="145"/>
      <c r="B72" s="51" t="s">
        <v>7</v>
      </c>
      <c r="C72" s="52"/>
      <c r="D72" s="53"/>
      <c r="E72" s="51" t="s">
        <v>66</v>
      </c>
      <c r="F72" s="52"/>
      <c r="G72" s="52"/>
      <c r="H72" s="53"/>
      <c r="I72" s="61"/>
      <c r="J72" s="53"/>
      <c r="K72" s="61">
        <v>4</v>
      </c>
      <c r="L72" s="74"/>
      <c r="M72" s="51">
        <v>2</v>
      </c>
      <c r="N72" s="53"/>
      <c r="O72" s="40">
        <v>0</v>
      </c>
      <c r="P72" s="41"/>
      <c r="Q72" s="40">
        <v>0</v>
      </c>
      <c r="R72" s="41"/>
      <c r="S72" s="40">
        <v>0</v>
      </c>
      <c r="T72" s="41"/>
      <c r="U72" s="40">
        <v>0</v>
      </c>
      <c r="V72" s="41"/>
      <c r="W72" s="133"/>
      <c r="X72" s="150"/>
      <c r="Y72" s="151"/>
      <c r="Z72" s="152"/>
    </row>
    <row r="73" spans="1:31" ht="15.75" thickBot="1" x14ac:dyDescent="0.3">
      <c r="A73" s="145"/>
      <c r="B73" s="54"/>
      <c r="C73" s="55"/>
      <c r="D73" s="56"/>
      <c r="E73" s="54"/>
      <c r="F73" s="55"/>
      <c r="G73" s="55"/>
      <c r="H73" s="56"/>
      <c r="I73" s="54"/>
      <c r="J73" s="56"/>
      <c r="K73" s="75"/>
      <c r="L73" s="76"/>
      <c r="M73" s="54"/>
      <c r="N73" s="56"/>
      <c r="O73" s="42"/>
      <c r="P73" s="43"/>
      <c r="Q73" s="42"/>
      <c r="R73" s="43"/>
      <c r="S73" s="42"/>
      <c r="T73" s="43"/>
      <c r="U73" s="42"/>
      <c r="V73" s="43"/>
      <c r="W73" s="134"/>
      <c r="X73" s="150"/>
      <c r="Y73" s="151"/>
      <c r="Z73" s="152"/>
    </row>
    <row r="74" spans="1:31" x14ac:dyDescent="0.25">
      <c r="A74" s="145"/>
      <c r="B74" s="51" t="s">
        <v>8</v>
      </c>
      <c r="C74" s="52"/>
      <c r="D74" s="53"/>
      <c r="E74" s="51" t="s">
        <v>8</v>
      </c>
      <c r="F74" s="52"/>
      <c r="G74" s="52"/>
      <c r="H74" s="53"/>
      <c r="I74" s="61"/>
      <c r="J74" s="53"/>
      <c r="K74" s="61"/>
      <c r="L74" s="74"/>
      <c r="M74" s="51"/>
      <c r="N74" s="53"/>
      <c r="O74" s="40"/>
      <c r="P74" s="41"/>
      <c r="Q74" s="40"/>
      <c r="R74" s="41"/>
      <c r="S74" s="40"/>
      <c r="T74" s="41"/>
      <c r="U74" s="40"/>
      <c r="V74" s="41"/>
      <c r="W74" s="133"/>
      <c r="X74" s="150"/>
      <c r="Y74" s="151"/>
      <c r="Z74" s="152"/>
    </row>
    <row r="75" spans="1:31" ht="15.75" thickBot="1" x14ac:dyDescent="0.3">
      <c r="A75" s="146"/>
      <c r="B75" s="54"/>
      <c r="C75" s="55"/>
      <c r="D75" s="56"/>
      <c r="E75" s="54"/>
      <c r="F75" s="55"/>
      <c r="G75" s="55"/>
      <c r="H75" s="56"/>
      <c r="I75" s="54"/>
      <c r="J75" s="56"/>
      <c r="K75" s="75"/>
      <c r="L75" s="76"/>
      <c r="M75" s="54"/>
      <c r="N75" s="56"/>
      <c r="O75" s="42"/>
      <c r="P75" s="43"/>
      <c r="Q75" s="42"/>
      <c r="R75" s="43"/>
      <c r="S75" s="42"/>
      <c r="T75" s="43"/>
      <c r="U75" s="42"/>
      <c r="V75" s="43"/>
      <c r="W75" s="134"/>
      <c r="X75" s="153"/>
      <c r="Y75" s="154"/>
      <c r="Z75" s="155"/>
    </row>
    <row r="76" spans="1:31" ht="15.75" thickBot="1" x14ac:dyDescent="0.3">
      <c r="A76" s="1"/>
      <c r="B76" s="156" t="s">
        <v>16</v>
      </c>
      <c r="C76" s="157"/>
      <c r="D76" s="158"/>
      <c r="E76" s="159"/>
      <c r="F76" s="160"/>
      <c r="G76" s="160"/>
      <c r="H76" s="161"/>
      <c r="I76" s="262"/>
      <c r="J76" s="263"/>
      <c r="K76" s="162">
        <f>SUM(K60:L75)</f>
        <v>378</v>
      </c>
      <c r="L76" s="163"/>
      <c r="M76" s="162">
        <f>SUM(M60:N75)</f>
        <v>337</v>
      </c>
      <c r="N76" s="163"/>
      <c r="O76" s="162">
        <f>SUM(O60:P75)</f>
        <v>1251.55</v>
      </c>
      <c r="P76" s="163"/>
      <c r="Q76" s="162">
        <f>SUM(Q60:R75)</f>
        <v>157.65</v>
      </c>
      <c r="R76" s="163"/>
      <c r="S76" s="162">
        <f>SUM(S60:T75)</f>
        <v>41.555000000000007</v>
      </c>
      <c r="T76" s="163"/>
      <c r="U76" s="162">
        <f>SUM(U60:V75)</f>
        <v>49.330000000000005</v>
      </c>
      <c r="V76" s="163"/>
      <c r="W76" s="20"/>
    </row>
    <row r="77" spans="1:31" x14ac:dyDescent="0.25">
      <c r="A77" s="144">
        <v>13</v>
      </c>
      <c r="B77" s="51" t="s">
        <v>1</v>
      </c>
      <c r="C77" s="52"/>
      <c r="D77" s="53"/>
      <c r="E77" s="51" t="s">
        <v>105</v>
      </c>
      <c r="F77" s="52"/>
      <c r="G77" s="52"/>
      <c r="H77" s="53"/>
      <c r="I77" s="167"/>
      <c r="J77" s="168"/>
      <c r="K77" s="51">
        <v>150</v>
      </c>
      <c r="L77" s="53"/>
      <c r="M77" s="51">
        <v>130</v>
      </c>
      <c r="N77" s="53"/>
      <c r="O77" s="57">
        <v>529</v>
      </c>
      <c r="P77" s="58"/>
      <c r="Q77" s="57">
        <v>22</v>
      </c>
      <c r="R77" s="58"/>
      <c r="S77" s="57">
        <v>24</v>
      </c>
      <c r="T77" s="58"/>
      <c r="U77" s="57">
        <v>28</v>
      </c>
      <c r="V77" s="58"/>
      <c r="W77" s="135"/>
      <c r="X77" s="147">
        <v>26400</v>
      </c>
      <c r="Y77" s="148"/>
      <c r="Z77" s="149"/>
    </row>
    <row r="78" spans="1:31" ht="15.75" thickBot="1" x14ac:dyDescent="0.3">
      <c r="A78" s="145"/>
      <c r="B78" s="54"/>
      <c r="C78" s="55"/>
      <c r="D78" s="56"/>
      <c r="E78" s="54"/>
      <c r="F78" s="55"/>
      <c r="G78" s="55"/>
      <c r="H78" s="56"/>
      <c r="I78" s="169"/>
      <c r="J78" s="170"/>
      <c r="K78" s="54"/>
      <c r="L78" s="56"/>
      <c r="M78" s="54"/>
      <c r="N78" s="56"/>
      <c r="O78" s="59"/>
      <c r="P78" s="60"/>
      <c r="Q78" s="59"/>
      <c r="R78" s="60"/>
      <c r="S78" s="59"/>
      <c r="T78" s="60"/>
      <c r="U78" s="59"/>
      <c r="V78" s="60"/>
      <c r="W78" s="166"/>
      <c r="X78" s="150"/>
      <c r="Y78" s="151"/>
      <c r="Z78" s="152"/>
    </row>
    <row r="79" spans="1:31" x14ac:dyDescent="0.25">
      <c r="A79" s="145"/>
      <c r="B79" s="51" t="s">
        <v>2</v>
      </c>
      <c r="C79" s="52"/>
      <c r="D79" s="53"/>
      <c r="E79" s="51" t="s">
        <v>72</v>
      </c>
      <c r="F79" s="52"/>
      <c r="G79" s="52"/>
      <c r="H79" s="53"/>
      <c r="I79" s="61"/>
      <c r="J79" s="52"/>
      <c r="K79" s="61">
        <v>55</v>
      </c>
      <c r="L79" s="74"/>
      <c r="M79" s="52">
        <v>50</v>
      </c>
      <c r="N79" s="53"/>
      <c r="O79" s="40">
        <f>427*M79/100</f>
        <v>213.5</v>
      </c>
      <c r="P79" s="41"/>
      <c r="Q79" s="40">
        <f>65.7*M79/100</f>
        <v>32.85</v>
      </c>
      <c r="R79" s="41"/>
      <c r="S79" s="40">
        <f>11.4*M79/100</f>
        <v>5.7</v>
      </c>
      <c r="T79" s="41"/>
      <c r="U79" s="40">
        <f>10.6*M79/100</f>
        <v>5.3</v>
      </c>
      <c r="V79" s="41"/>
      <c r="W79" s="135"/>
      <c r="X79" s="150"/>
      <c r="Y79" s="151"/>
      <c r="Z79" s="152"/>
    </row>
    <row r="80" spans="1:31" ht="15.75" thickBot="1" x14ac:dyDescent="0.3">
      <c r="A80" s="145"/>
      <c r="B80" s="54"/>
      <c r="C80" s="55"/>
      <c r="D80" s="56"/>
      <c r="E80" s="54"/>
      <c r="F80" s="55"/>
      <c r="G80" s="55"/>
      <c r="H80" s="56"/>
      <c r="I80" s="54"/>
      <c r="J80" s="55"/>
      <c r="K80" s="75"/>
      <c r="L80" s="76"/>
      <c r="M80" s="55"/>
      <c r="N80" s="56"/>
      <c r="O80" s="42"/>
      <c r="P80" s="43"/>
      <c r="Q80" s="42"/>
      <c r="R80" s="43"/>
      <c r="S80" s="42"/>
      <c r="T80" s="43"/>
      <c r="U80" s="42"/>
      <c r="V80" s="43"/>
      <c r="W80" s="166"/>
      <c r="X80" s="150"/>
      <c r="Y80" s="151"/>
      <c r="Z80" s="152"/>
    </row>
    <row r="81" spans="1:26" ht="15" customHeight="1" x14ac:dyDescent="0.25">
      <c r="A81" s="145"/>
      <c r="B81" s="51" t="s">
        <v>3</v>
      </c>
      <c r="C81" s="52"/>
      <c r="D81" s="53"/>
      <c r="E81" s="51" t="s">
        <v>29</v>
      </c>
      <c r="F81" s="52"/>
      <c r="G81" s="52"/>
      <c r="H81" s="53"/>
      <c r="I81" s="61">
        <v>4742870019022</v>
      </c>
      <c r="J81" s="74"/>
      <c r="K81" s="51">
        <v>80</v>
      </c>
      <c r="L81" s="53"/>
      <c r="M81" s="51">
        <v>75</v>
      </c>
      <c r="N81" s="53"/>
      <c r="O81" s="57">
        <v>190.5</v>
      </c>
      <c r="P81" s="58"/>
      <c r="Q81" s="57">
        <v>2.25</v>
      </c>
      <c r="R81" s="58"/>
      <c r="S81" s="57">
        <v>6.23</v>
      </c>
      <c r="T81" s="58"/>
      <c r="U81" s="57">
        <v>17.329999999999998</v>
      </c>
      <c r="V81" s="58"/>
      <c r="W81" s="164"/>
      <c r="X81" s="150"/>
      <c r="Y81" s="151"/>
      <c r="Z81" s="152"/>
    </row>
    <row r="82" spans="1:26" ht="15.95" customHeight="1" thickBot="1" x14ac:dyDescent="0.3">
      <c r="A82" s="145"/>
      <c r="B82" s="54"/>
      <c r="C82" s="55"/>
      <c r="D82" s="56"/>
      <c r="E82" s="54"/>
      <c r="F82" s="55"/>
      <c r="G82" s="55"/>
      <c r="H82" s="56"/>
      <c r="I82" s="75"/>
      <c r="J82" s="76"/>
      <c r="K82" s="54"/>
      <c r="L82" s="56"/>
      <c r="M82" s="54"/>
      <c r="N82" s="56"/>
      <c r="O82" s="59"/>
      <c r="P82" s="60"/>
      <c r="Q82" s="59"/>
      <c r="R82" s="60"/>
      <c r="S82" s="59"/>
      <c r="T82" s="60"/>
      <c r="U82" s="59"/>
      <c r="V82" s="60"/>
      <c r="W82" s="165"/>
      <c r="X82" s="150"/>
      <c r="Y82" s="151"/>
      <c r="Z82" s="152"/>
    </row>
    <row r="83" spans="1:26" ht="15" customHeight="1" x14ac:dyDescent="0.25">
      <c r="A83" s="145"/>
      <c r="B83" s="51" t="s">
        <v>4</v>
      </c>
      <c r="C83" s="52"/>
      <c r="D83" s="53"/>
      <c r="E83" s="51" t="s">
        <v>70</v>
      </c>
      <c r="F83" s="52"/>
      <c r="G83" s="52"/>
      <c r="H83" s="53"/>
      <c r="I83" s="61"/>
      <c r="J83" s="74"/>
      <c r="K83" s="61">
        <v>55</v>
      </c>
      <c r="L83" s="74"/>
      <c r="M83" s="51">
        <v>50</v>
      </c>
      <c r="N83" s="53"/>
      <c r="O83" s="40">
        <f>491*M83/100</f>
        <v>245.5</v>
      </c>
      <c r="P83" s="41"/>
      <c r="Q83" s="40">
        <f>65.6*M83/100</f>
        <v>32.799999999999997</v>
      </c>
      <c r="R83" s="41"/>
      <c r="S83" s="40">
        <f>6.9*M83/100</f>
        <v>3.45</v>
      </c>
      <c r="T83" s="41"/>
      <c r="U83" s="40">
        <f>21.7*M83/100</f>
        <v>10.85</v>
      </c>
      <c r="V83" s="41"/>
      <c r="W83" s="136"/>
      <c r="X83" s="150"/>
      <c r="Y83" s="151"/>
      <c r="Z83" s="152"/>
    </row>
    <row r="84" spans="1:26" ht="15.95" customHeight="1" thickBot="1" x14ac:dyDescent="0.3">
      <c r="A84" s="145"/>
      <c r="B84" s="54"/>
      <c r="C84" s="55"/>
      <c r="D84" s="56"/>
      <c r="E84" s="54"/>
      <c r="F84" s="55"/>
      <c r="G84" s="55"/>
      <c r="H84" s="56"/>
      <c r="I84" s="75"/>
      <c r="J84" s="76"/>
      <c r="K84" s="75"/>
      <c r="L84" s="76"/>
      <c r="M84" s="54"/>
      <c r="N84" s="56"/>
      <c r="O84" s="42"/>
      <c r="P84" s="43"/>
      <c r="Q84" s="42"/>
      <c r="R84" s="43"/>
      <c r="S84" s="42"/>
      <c r="T84" s="43"/>
      <c r="U84" s="42"/>
      <c r="V84" s="43"/>
      <c r="W84" s="137"/>
      <c r="X84" s="150"/>
      <c r="Y84" s="151"/>
      <c r="Z84" s="152"/>
    </row>
    <row r="85" spans="1:26" x14ac:dyDescent="0.25">
      <c r="A85" s="145"/>
      <c r="B85" s="51" t="s">
        <v>5</v>
      </c>
      <c r="C85" s="52"/>
      <c r="D85" s="53"/>
      <c r="E85" s="51" t="s">
        <v>64</v>
      </c>
      <c r="F85" s="52"/>
      <c r="G85" s="52"/>
      <c r="H85" s="53"/>
      <c r="I85" s="61"/>
      <c r="J85" s="74"/>
      <c r="K85" s="51">
        <v>27</v>
      </c>
      <c r="L85" s="53"/>
      <c r="M85" s="51">
        <v>25</v>
      </c>
      <c r="N85" s="53"/>
      <c r="O85" s="51">
        <f>267*M85/100</f>
        <v>66.75</v>
      </c>
      <c r="P85" s="53"/>
      <c r="Q85" s="51">
        <f>65.6*M85/100</f>
        <v>16.399999999999999</v>
      </c>
      <c r="R85" s="53"/>
      <c r="S85" s="51">
        <f>0.3*M85/100</f>
        <v>7.4999999999999997E-2</v>
      </c>
      <c r="T85" s="53"/>
      <c r="U85" s="51">
        <f>0.1*M85/100</f>
        <v>2.5000000000000001E-2</v>
      </c>
      <c r="V85" s="53"/>
      <c r="W85" s="135"/>
      <c r="X85" s="150"/>
      <c r="Y85" s="151"/>
      <c r="Z85" s="152"/>
    </row>
    <row r="86" spans="1:26" ht="15.75" thickBot="1" x14ac:dyDescent="0.3">
      <c r="A86" s="145"/>
      <c r="B86" s="54"/>
      <c r="C86" s="55"/>
      <c r="D86" s="56"/>
      <c r="E86" s="54"/>
      <c r="F86" s="55"/>
      <c r="G86" s="55"/>
      <c r="H86" s="56"/>
      <c r="I86" s="75"/>
      <c r="J86" s="76"/>
      <c r="K86" s="54"/>
      <c r="L86" s="56"/>
      <c r="M86" s="54"/>
      <c r="N86" s="56"/>
      <c r="O86" s="54"/>
      <c r="P86" s="56"/>
      <c r="Q86" s="54"/>
      <c r="R86" s="56"/>
      <c r="S86" s="54"/>
      <c r="T86" s="56"/>
      <c r="U86" s="54"/>
      <c r="V86" s="56"/>
      <c r="W86" s="134"/>
      <c r="X86" s="150"/>
      <c r="Y86" s="151"/>
      <c r="Z86" s="152"/>
    </row>
    <row r="87" spans="1:26" ht="15" customHeight="1" x14ac:dyDescent="0.25">
      <c r="A87" s="145"/>
      <c r="B87" s="51" t="s">
        <v>6</v>
      </c>
      <c r="C87" s="52"/>
      <c r="D87" s="53"/>
      <c r="E87" s="138" t="s">
        <v>30</v>
      </c>
      <c r="F87" s="139"/>
      <c r="G87" s="139"/>
      <c r="H87" s="140"/>
      <c r="I87" s="61">
        <v>4742870010579</v>
      </c>
      <c r="J87" s="74"/>
      <c r="K87" s="51">
        <v>22</v>
      </c>
      <c r="L87" s="53"/>
      <c r="M87" s="51">
        <v>20</v>
      </c>
      <c r="N87" s="53"/>
      <c r="O87" s="57">
        <v>66.400000000000006</v>
      </c>
      <c r="P87" s="58"/>
      <c r="Q87" s="57">
        <v>16</v>
      </c>
      <c r="R87" s="58"/>
      <c r="S87" s="57">
        <v>0</v>
      </c>
      <c r="T87" s="58"/>
      <c r="U87" s="57">
        <v>0</v>
      </c>
      <c r="V87" s="58"/>
      <c r="W87" s="135"/>
      <c r="X87" s="150"/>
      <c r="Y87" s="151"/>
      <c r="Z87" s="152"/>
    </row>
    <row r="88" spans="1:26" ht="15.75" thickBot="1" x14ac:dyDescent="0.3">
      <c r="A88" s="145"/>
      <c r="B88" s="54"/>
      <c r="C88" s="55"/>
      <c r="D88" s="56"/>
      <c r="E88" s="141"/>
      <c r="F88" s="142"/>
      <c r="G88" s="142"/>
      <c r="H88" s="143"/>
      <c r="I88" s="75"/>
      <c r="J88" s="76"/>
      <c r="K88" s="54"/>
      <c r="L88" s="56"/>
      <c r="M88" s="54"/>
      <c r="N88" s="56"/>
      <c r="O88" s="59"/>
      <c r="P88" s="60"/>
      <c r="Q88" s="59"/>
      <c r="R88" s="60"/>
      <c r="S88" s="59"/>
      <c r="T88" s="60"/>
      <c r="U88" s="59"/>
      <c r="V88" s="60"/>
      <c r="W88" s="134"/>
      <c r="X88" s="150"/>
      <c r="Y88" s="151"/>
      <c r="Z88" s="152"/>
    </row>
    <row r="89" spans="1:26" x14ac:dyDescent="0.25">
      <c r="A89" s="145"/>
      <c r="B89" s="51" t="s">
        <v>7</v>
      </c>
      <c r="C89" s="52"/>
      <c r="D89" s="53"/>
      <c r="E89" s="51" t="s">
        <v>66</v>
      </c>
      <c r="F89" s="52"/>
      <c r="G89" s="52"/>
      <c r="H89" s="53"/>
      <c r="I89" s="61"/>
      <c r="J89" s="53"/>
      <c r="K89" s="61">
        <v>4</v>
      </c>
      <c r="L89" s="74"/>
      <c r="M89" s="51">
        <v>2</v>
      </c>
      <c r="N89" s="53"/>
      <c r="O89" s="40">
        <v>0</v>
      </c>
      <c r="P89" s="41"/>
      <c r="Q89" s="40">
        <v>0</v>
      </c>
      <c r="R89" s="41"/>
      <c r="S89" s="40">
        <v>0</v>
      </c>
      <c r="T89" s="41"/>
      <c r="U89" s="40">
        <v>0</v>
      </c>
      <c r="V89" s="41"/>
      <c r="W89" s="133"/>
      <c r="X89" s="150"/>
      <c r="Y89" s="151"/>
      <c r="Z89" s="152"/>
    </row>
    <row r="90" spans="1:26" ht="15.75" thickBot="1" x14ac:dyDescent="0.3">
      <c r="A90" s="145"/>
      <c r="B90" s="54"/>
      <c r="C90" s="55"/>
      <c r="D90" s="56"/>
      <c r="E90" s="54"/>
      <c r="F90" s="55"/>
      <c r="G90" s="55"/>
      <c r="H90" s="56"/>
      <c r="I90" s="54"/>
      <c r="J90" s="56"/>
      <c r="K90" s="75"/>
      <c r="L90" s="76"/>
      <c r="M90" s="54"/>
      <c r="N90" s="56"/>
      <c r="O90" s="42"/>
      <c r="P90" s="43"/>
      <c r="Q90" s="42"/>
      <c r="R90" s="43"/>
      <c r="S90" s="42"/>
      <c r="T90" s="43"/>
      <c r="U90" s="42"/>
      <c r="V90" s="43"/>
      <c r="W90" s="134"/>
      <c r="X90" s="150"/>
      <c r="Y90" s="151"/>
      <c r="Z90" s="152"/>
    </row>
    <row r="91" spans="1:26" x14ac:dyDescent="0.25">
      <c r="A91" s="145"/>
      <c r="B91" s="51" t="s">
        <v>8</v>
      </c>
      <c r="C91" s="52"/>
      <c r="D91" s="53"/>
      <c r="E91" s="51" t="s">
        <v>8</v>
      </c>
      <c r="F91" s="52"/>
      <c r="G91" s="52"/>
      <c r="H91" s="53"/>
      <c r="I91" s="61"/>
      <c r="J91" s="53"/>
      <c r="K91" s="61"/>
      <c r="L91" s="74"/>
      <c r="M91" s="51"/>
      <c r="N91" s="53"/>
      <c r="O91" s="40"/>
      <c r="P91" s="41"/>
      <c r="Q91" s="40"/>
      <c r="R91" s="41"/>
      <c r="S91" s="40"/>
      <c r="T91" s="41"/>
      <c r="U91" s="40"/>
      <c r="V91" s="41"/>
      <c r="W91" s="133"/>
      <c r="X91" s="150"/>
      <c r="Y91" s="151"/>
      <c r="Z91" s="152"/>
    </row>
    <row r="92" spans="1:26" ht="15.75" thickBot="1" x14ac:dyDescent="0.3">
      <c r="A92" s="146"/>
      <c r="B92" s="54"/>
      <c r="C92" s="55"/>
      <c r="D92" s="56"/>
      <c r="E92" s="54"/>
      <c r="F92" s="55"/>
      <c r="G92" s="55"/>
      <c r="H92" s="56"/>
      <c r="I92" s="54"/>
      <c r="J92" s="56"/>
      <c r="K92" s="75"/>
      <c r="L92" s="76"/>
      <c r="M92" s="54"/>
      <c r="N92" s="56"/>
      <c r="O92" s="42"/>
      <c r="P92" s="43"/>
      <c r="Q92" s="42"/>
      <c r="R92" s="43"/>
      <c r="S92" s="42"/>
      <c r="T92" s="43"/>
      <c r="U92" s="42"/>
      <c r="V92" s="43"/>
      <c r="W92" s="134"/>
      <c r="X92" s="153"/>
      <c r="Y92" s="154"/>
      <c r="Z92" s="155"/>
    </row>
    <row r="93" spans="1:26" ht="15.75" thickBot="1" x14ac:dyDescent="0.3">
      <c r="A93" s="2"/>
      <c r="B93" s="156" t="s">
        <v>16</v>
      </c>
      <c r="C93" s="157"/>
      <c r="D93" s="158"/>
      <c r="E93" s="159"/>
      <c r="F93" s="160"/>
      <c r="G93" s="160"/>
      <c r="H93" s="161"/>
      <c r="I93" s="262"/>
      <c r="J93" s="263"/>
      <c r="K93" s="162">
        <f>SUM(K77:L92)</f>
        <v>393</v>
      </c>
      <c r="L93" s="163"/>
      <c r="M93" s="162">
        <f>SUM(M77:N92)</f>
        <v>352</v>
      </c>
      <c r="N93" s="163"/>
      <c r="O93" s="162">
        <f>SUM(O77:P92)</f>
        <v>1311.65</v>
      </c>
      <c r="P93" s="163"/>
      <c r="Q93" s="162">
        <f>SUM(Q77:R92)</f>
        <v>122.30000000000001</v>
      </c>
      <c r="R93" s="163"/>
      <c r="S93" s="162">
        <f>SUM(S77:T92)</f>
        <v>39.455000000000005</v>
      </c>
      <c r="T93" s="163"/>
      <c r="U93" s="162">
        <f>SUM(U77:V92)</f>
        <v>61.504999999999995</v>
      </c>
      <c r="V93" s="163"/>
      <c r="W93" s="20"/>
    </row>
    <row r="94" spans="1:26" ht="15" customHeight="1" x14ac:dyDescent="0.25">
      <c r="A94" s="144">
        <v>14</v>
      </c>
      <c r="B94" s="51" t="s">
        <v>1</v>
      </c>
      <c r="C94" s="52"/>
      <c r="D94" s="53"/>
      <c r="E94" s="51" t="s">
        <v>103</v>
      </c>
      <c r="F94" s="52"/>
      <c r="G94" s="52"/>
      <c r="H94" s="53"/>
      <c r="I94" s="167"/>
      <c r="J94" s="168"/>
      <c r="K94" s="51">
        <v>150</v>
      </c>
      <c r="L94" s="53"/>
      <c r="M94" s="51">
        <v>130</v>
      </c>
      <c r="N94" s="53"/>
      <c r="O94" s="57">
        <v>480</v>
      </c>
      <c r="P94" s="58"/>
      <c r="Q94" s="57">
        <v>75</v>
      </c>
      <c r="R94" s="58"/>
      <c r="S94" s="57">
        <v>20</v>
      </c>
      <c r="T94" s="58"/>
      <c r="U94" s="57">
        <v>8.8000000000000007</v>
      </c>
      <c r="V94" s="58"/>
      <c r="W94" s="135"/>
      <c r="X94" s="147">
        <v>26400</v>
      </c>
      <c r="Y94" s="148"/>
      <c r="Z94" s="149"/>
    </row>
    <row r="95" spans="1:26" ht="15.75" thickBot="1" x14ac:dyDescent="0.3">
      <c r="A95" s="145"/>
      <c r="B95" s="54"/>
      <c r="C95" s="55"/>
      <c r="D95" s="56"/>
      <c r="E95" s="54"/>
      <c r="F95" s="55"/>
      <c r="G95" s="55"/>
      <c r="H95" s="56"/>
      <c r="I95" s="169"/>
      <c r="J95" s="170"/>
      <c r="K95" s="54"/>
      <c r="L95" s="56"/>
      <c r="M95" s="54"/>
      <c r="N95" s="56"/>
      <c r="O95" s="59"/>
      <c r="P95" s="60"/>
      <c r="Q95" s="59"/>
      <c r="R95" s="60"/>
      <c r="S95" s="59"/>
      <c r="T95" s="60"/>
      <c r="U95" s="59"/>
      <c r="V95" s="60"/>
      <c r="W95" s="166"/>
      <c r="X95" s="150"/>
      <c r="Y95" s="151"/>
      <c r="Z95" s="152"/>
    </row>
    <row r="96" spans="1:26" x14ac:dyDescent="0.25">
      <c r="A96" s="145"/>
      <c r="B96" s="51" t="s">
        <v>2</v>
      </c>
      <c r="C96" s="52"/>
      <c r="D96" s="53"/>
      <c r="E96" s="51" t="s">
        <v>20</v>
      </c>
      <c r="F96" s="52"/>
      <c r="G96" s="52"/>
      <c r="H96" s="53"/>
      <c r="I96" s="61"/>
      <c r="J96" s="52"/>
      <c r="K96" s="61">
        <v>55</v>
      </c>
      <c r="L96" s="74"/>
      <c r="M96" s="52">
        <v>50</v>
      </c>
      <c r="N96" s="53"/>
      <c r="O96" s="40">
        <f>444*M96/100</f>
        <v>222</v>
      </c>
      <c r="P96" s="41"/>
      <c r="Q96" s="40">
        <f>66.6*M96/100</f>
        <v>33.299999999999997</v>
      </c>
      <c r="R96" s="41"/>
      <c r="S96" s="40">
        <f>9.7*M96/100</f>
        <v>4.8499999999999996</v>
      </c>
      <c r="T96" s="41"/>
      <c r="U96" s="40">
        <f>16.2*M96/100</f>
        <v>8.1</v>
      </c>
      <c r="V96" s="41"/>
      <c r="W96" s="135"/>
      <c r="X96" s="150"/>
      <c r="Y96" s="151"/>
      <c r="Z96" s="152"/>
    </row>
    <row r="97" spans="1:26" ht="15.75" thickBot="1" x14ac:dyDescent="0.3">
      <c r="A97" s="145"/>
      <c r="B97" s="54"/>
      <c r="C97" s="55"/>
      <c r="D97" s="56"/>
      <c r="E97" s="54"/>
      <c r="F97" s="55"/>
      <c r="G97" s="55"/>
      <c r="H97" s="56"/>
      <c r="I97" s="54"/>
      <c r="J97" s="55"/>
      <c r="K97" s="75"/>
      <c r="L97" s="76"/>
      <c r="M97" s="55"/>
      <c r="N97" s="56"/>
      <c r="O97" s="42"/>
      <c r="P97" s="43"/>
      <c r="Q97" s="42"/>
      <c r="R97" s="43"/>
      <c r="S97" s="42"/>
      <c r="T97" s="43"/>
      <c r="U97" s="42"/>
      <c r="V97" s="43"/>
      <c r="W97" s="166"/>
      <c r="X97" s="150"/>
      <c r="Y97" s="151"/>
      <c r="Z97" s="152"/>
    </row>
    <row r="98" spans="1:26" ht="15" customHeight="1" x14ac:dyDescent="0.25">
      <c r="A98" s="145"/>
      <c r="B98" s="51" t="s">
        <v>3</v>
      </c>
      <c r="C98" s="52"/>
      <c r="D98" s="53"/>
      <c r="E98" s="51" t="s">
        <v>23</v>
      </c>
      <c r="F98" s="52"/>
      <c r="G98" s="52"/>
      <c r="H98" s="53"/>
      <c r="I98" s="61">
        <v>4742870019015</v>
      </c>
      <c r="J98" s="53"/>
      <c r="K98" s="61">
        <v>80</v>
      </c>
      <c r="L98" s="74"/>
      <c r="M98" s="51">
        <v>75</v>
      </c>
      <c r="N98" s="53"/>
      <c r="O98" s="57">
        <v>168.75</v>
      </c>
      <c r="P98" s="58"/>
      <c r="Q98" s="57">
        <v>1.8</v>
      </c>
      <c r="R98" s="58"/>
      <c r="S98" s="57">
        <v>6.83</v>
      </c>
      <c r="T98" s="58"/>
      <c r="U98" s="57">
        <v>14.93</v>
      </c>
      <c r="V98" s="58"/>
      <c r="W98" s="164"/>
      <c r="X98" s="150"/>
      <c r="Y98" s="151"/>
      <c r="Z98" s="152"/>
    </row>
    <row r="99" spans="1:26" ht="15.95" customHeight="1" thickBot="1" x14ac:dyDescent="0.3">
      <c r="A99" s="145"/>
      <c r="B99" s="54"/>
      <c r="C99" s="55"/>
      <c r="D99" s="56"/>
      <c r="E99" s="54"/>
      <c r="F99" s="55"/>
      <c r="G99" s="55"/>
      <c r="H99" s="56"/>
      <c r="I99" s="54"/>
      <c r="J99" s="56"/>
      <c r="K99" s="75"/>
      <c r="L99" s="76"/>
      <c r="M99" s="54"/>
      <c r="N99" s="56"/>
      <c r="O99" s="59"/>
      <c r="P99" s="60"/>
      <c r="Q99" s="59"/>
      <c r="R99" s="60"/>
      <c r="S99" s="59"/>
      <c r="T99" s="60"/>
      <c r="U99" s="59"/>
      <c r="V99" s="60"/>
      <c r="W99" s="165"/>
      <c r="X99" s="150"/>
      <c r="Y99" s="151"/>
      <c r="Z99" s="152"/>
    </row>
    <row r="100" spans="1:26" ht="15" customHeight="1" x14ac:dyDescent="0.25">
      <c r="A100" s="145"/>
      <c r="B100" s="51" t="s">
        <v>4</v>
      </c>
      <c r="C100" s="52"/>
      <c r="D100" s="53"/>
      <c r="E100" s="51" t="s">
        <v>80</v>
      </c>
      <c r="F100" s="52"/>
      <c r="G100" s="52"/>
      <c r="H100" s="53"/>
      <c r="I100" s="61"/>
      <c r="J100" s="74"/>
      <c r="K100" s="51">
        <v>55</v>
      </c>
      <c r="L100" s="53"/>
      <c r="M100" s="51">
        <v>50</v>
      </c>
      <c r="N100" s="53"/>
      <c r="O100" s="40">
        <f>413*M100/100</f>
        <v>206.5</v>
      </c>
      <c r="P100" s="41"/>
      <c r="Q100" s="40">
        <f>54.5*M100/100</f>
        <v>27.25</v>
      </c>
      <c r="R100" s="41"/>
      <c r="S100" s="40">
        <f>7.2*M100/100</f>
        <v>3.6</v>
      </c>
      <c r="T100" s="41"/>
      <c r="U100" s="40">
        <f>17.1*M100/100</f>
        <v>8.5500000000000007</v>
      </c>
      <c r="V100" s="41"/>
      <c r="W100" s="136"/>
      <c r="X100" s="150"/>
      <c r="Y100" s="151"/>
      <c r="Z100" s="152"/>
    </row>
    <row r="101" spans="1:26" ht="15.95" customHeight="1" thickBot="1" x14ac:dyDescent="0.3">
      <c r="A101" s="145"/>
      <c r="B101" s="54"/>
      <c r="C101" s="55"/>
      <c r="D101" s="56"/>
      <c r="E101" s="54"/>
      <c r="F101" s="55"/>
      <c r="G101" s="55"/>
      <c r="H101" s="56"/>
      <c r="I101" s="75"/>
      <c r="J101" s="76"/>
      <c r="K101" s="54"/>
      <c r="L101" s="56"/>
      <c r="M101" s="54"/>
      <c r="N101" s="56"/>
      <c r="O101" s="42"/>
      <c r="P101" s="43"/>
      <c r="Q101" s="42"/>
      <c r="R101" s="43"/>
      <c r="S101" s="42"/>
      <c r="T101" s="43"/>
      <c r="U101" s="42"/>
      <c r="V101" s="43"/>
      <c r="W101" s="137"/>
      <c r="X101" s="150"/>
      <c r="Y101" s="151"/>
      <c r="Z101" s="152"/>
    </row>
    <row r="102" spans="1:26" ht="15" customHeight="1" x14ac:dyDescent="0.25">
      <c r="A102" s="145"/>
      <c r="B102" s="51" t="s">
        <v>5</v>
      </c>
      <c r="C102" s="52"/>
      <c r="D102" s="53"/>
      <c r="E102" s="51" t="s">
        <v>67</v>
      </c>
      <c r="F102" s="52"/>
      <c r="G102" s="52"/>
      <c r="H102" s="53"/>
      <c r="I102" s="61"/>
      <c r="J102" s="74"/>
      <c r="K102" s="51">
        <v>48</v>
      </c>
      <c r="L102" s="53"/>
      <c r="M102" s="51">
        <v>45</v>
      </c>
      <c r="N102" s="53"/>
      <c r="O102" s="57">
        <f>400*M102/100</f>
        <v>180</v>
      </c>
      <c r="P102" s="58"/>
      <c r="Q102" s="57">
        <f>65.4*M102/100</f>
        <v>29.430000000000003</v>
      </c>
      <c r="R102" s="58"/>
      <c r="S102" s="57">
        <f>11.3*M102/100</f>
        <v>5.0850000000000009</v>
      </c>
      <c r="T102" s="58"/>
      <c r="U102" s="57">
        <f>9*M102/100</f>
        <v>4.05</v>
      </c>
      <c r="V102" s="58"/>
      <c r="W102" s="135"/>
      <c r="X102" s="150"/>
      <c r="Y102" s="151"/>
      <c r="Z102" s="152"/>
    </row>
    <row r="103" spans="1:26" ht="15.95" customHeight="1" thickBot="1" x14ac:dyDescent="0.3">
      <c r="A103" s="145"/>
      <c r="B103" s="54"/>
      <c r="C103" s="55"/>
      <c r="D103" s="56"/>
      <c r="E103" s="54"/>
      <c r="F103" s="55"/>
      <c r="G103" s="55"/>
      <c r="H103" s="56"/>
      <c r="I103" s="75"/>
      <c r="J103" s="76"/>
      <c r="K103" s="54"/>
      <c r="L103" s="56"/>
      <c r="M103" s="54"/>
      <c r="N103" s="56"/>
      <c r="O103" s="59"/>
      <c r="P103" s="60"/>
      <c r="Q103" s="59"/>
      <c r="R103" s="60"/>
      <c r="S103" s="59"/>
      <c r="T103" s="60"/>
      <c r="U103" s="59"/>
      <c r="V103" s="60"/>
      <c r="W103" s="134"/>
      <c r="X103" s="150"/>
      <c r="Y103" s="151"/>
      <c r="Z103" s="152"/>
    </row>
    <row r="104" spans="1:26" ht="15" customHeight="1" x14ac:dyDescent="0.25">
      <c r="A104" s="145"/>
      <c r="B104" s="51" t="s">
        <v>6</v>
      </c>
      <c r="C104" s="52"/>
      <c r="D104" s="53"/>
      <c r="E104" s="138" t="s">
        <v>31</v>
      </c>
      <c r="F104" s="139"/>
      <c r="G104" s="139"/>
      <c r="H104" s="140"/>
      <c r="I104" s="61">
        <v>4742870010586</v>
      </c>
      <c r="J104" s="74"/>
      <c r="K104" s="51">
        <v>22</v>
      </c>
      <c r="L104" s="53"/>
      <c r="M104" s="51">
        <v>20</v>
      </c>
      <c r="N104" s="53"/>
      <c r="O104" s="57">
        <v>66</v>
      </c>
      <c r="P104" s="58"/>
      <c r="Q104" s="57">
        <v>16</v>
      </c>
      <c r="R104" s="58"/>
      <c r="S104" s="57">
        <v>0</v>
      </c>
      <c r="T104" s="58"/>
      <c r="U104" s="57">
        <v>0</v>
      </c>
      <c r="V104" s="58"/>
      <c r="W104" s="135"/>
      <c r="X104" s="150"/>
      <c r="Y104" s="151"/>
      <c r="Z104" s="152"/>
    </row>
    <row r="105" spans="1:26" ht="15.75" thickBot="1" x14ac:dyDescent="0.3">
      <c r="A105" s="145"/>
      <c r="B105" s="54"/>
      <c r="C105" s="55"/>
      <c r="D105" s="56"/>
      <c r="E105" s="141"/>
      <c r="F105" s="142"/>
      <c r="G105" s="142"/>
      <c r="H105" s="143"/>
      <c r="I105" s="75"/>
      <c r="J105" s="76"/>
      <c r="K105" s="54"/>
      <c r="L105" s="56"/>
      <c r="M105" s="54"/>
      <c r="N105" s="56"/>
      <c r="O105" s="59"/>
      <c r="P105" s="60"/>
      <c r="Q105" s="59"/>
      <c r="R105" s="60"/>
      <c r="S105" s="59"/>
      <c r="T105" s="60"/>
      <c r="U105" s="59"/>
      <c r="V105" s="60"/>
      <c r="W105" s="134"/>
      <c r="X105" s="150"/>
      <c r="Y105" s="151"/>
      <c r="Z105" s="152"/>
    </row>
    <row r="106" spans="1:26" x14ac:dyDescent="0.25">
      <c r="A106" s="145"/>
      <c r="B106" s="51" t="s">
        <v>7</v>
      </c>
      <c r="C106" s="52"/>
      <c r="D106" s="53"/>
      <c r="E106" s="51" t="s">
        <v>66</v>
      </c>
      <c r="F106" s="52"/>
      <c r="G106" s="52"/>
      <c r="H106" s="53"/>
      <c r="I106" s="61"/>
      <c r="J106" s="53"/>
      <c r="K106" s="61">
        <v>4</v>
      </c>
      <c r="L106" s="74"/>
      <c r="M106" s="51">
        <v>2</v>
      </c>
      <c r="N106" s="53"/>
      <c r="O106" s="40">
        <v>0</v>
      </c>
      <c r="P106" s="41"/>
      <c r="Q106" s="40">
        <v>0</v>
      </c>
      <c r="R106" s="41"/>
      <c r="S106" s="40">
        <v>0</v>
      </c>
      <c r="T106" s="41"/>
      <c r="U106" s="40">
        <v>0</v>
      </c>
      <c r="V106" s="41"/>
      <c r="W106" s="133"/>
      <c r="X106" s="150"/>
      <c r="Y106" s="151"/>
      <c r="Z106" s="152"/>
    </row>
    <row r="107" spans="1:26" ht="15.75" thickBot="1" x14ac:dyDescent="0.3">
      <c r="A107" s="145"/>
      <c r="B107" s="54"/>
      <c r="C107" s="55"/>
      <c r="D107" s="56"/>
      <c r="E107" s="54"/>
      <c r="F107" s="55"/>
      <c r="G107" s="55"/>
      <c r="H107" s="56"/>
      <c r="I107" s="54"/>
      <c r="J107" s="56"/>
      <c r="K107" s="75"/>
      <c r="L107" s="76"/>
      <c r="M107" s="54"/>
      <c r="N107" s="56"/>
      <c r="O107" s="42"/>
      <c r="P107" s="43"/>
      <c r="Q107" s="42"/>
      <c r="R107" s="43"/>
      <c r="S107" s="42"/>
      <c r="T107" s="43"/>
      <c r="U107" s="42"/>
      <c r="V107" s="43"/>
      <c r="W107" s="134"/>
      <c r="X107" s="150"/>
      <c r="Y107" s="151"/>
      <c r="Z107" s="152"/>
    </row>
    <row r="108" spans="1:26" x14ac:dyDescent="0.25">
      <c r="A108" s="145"/>
      <c r="B108" s="51" t="s">
        <v>8</v>
      </c>
      <c r="C108" s="52"/>
      <c r="D108" s="53"/>
      <c r="E108" s="51" t="s">
        <v>8</v>
      </c>
      <c r="F108" s="52"/>
      <c r="G108" s="52"/>
      <c r="H108" s="53"/>
      <c r="I108" s="61"/>
      <c r="J108" s="53"/>
      <c r="K108" s="61"/>
      <c r="L108" s="74"/>
      <c r="M108" s="51"/>
      <c r="N108" s="53"/>
      <c r="O108" s="40"/>
      <c r="P108" s="41"/>
      <c r="Q108" s="40"/>
      <c r="R108" s="41"/>
      <c r="S108" s="40"/>
      <c r="T108" s="41"/>
      <c r="U108" s="40"/>
      <c r="V108" s="41"/>
      <c r="W108" s="133"/>
      <c r="X108" s="150"/>
      <c r="Y108" s="151"/>
      <c r="Z108" s="152"/>
    </row>
    <row r="109" spans="1:26" ht="15.75" thickBot="1" x14ac:dyDescent="0.3">
      <c r="A109" s="146"/>
      <c r="B109" s="54"/>
      <c r="C109" s="55"/>
      <c r="D109" s="56"/>
      <c r="E109" s="54"/>
      <c r="F109" s="55"/>
      <c r="G109" s="55"/>
      <c r="H109" s="56"/>
      <c r="I109" s="54"/>
      <c r="J109" s="56"/>
      <c r="K109" s="75"/>
      <c r="L109" s="76"/>
      <c r="M109" s="54"/>
      <c r="N109" s="56"/>
      <c r="O109" s="42"/>
      <c r="P109" s="43"/>
      <c r="Q109" s="42"/>
      <c r="R109" s="43"/>
      <c r="S109" s="42"/>
      <c r="T109" s="43"/>
      <c r="U109" s="42"/>
      <c r="V109" s="43"/>
      <c r="W109" s="134"/>
      <c r="X109" s="153"/>
      <c r="Y109" s="154"/>
      <c r="Z109" s="155"/>
    </row>
    <row r="110" spans="1:26" ht="15.75" thickBot="1" x14ac:dyDescent="0.3">
      <c r="A110" s="2"/>
      <c r="B110" s="156" t="s">
        <v>16</v>
      </c>
      <c r="C110" s="157"/>
      <c r="D110" s="158"/>
      <c r="E110" s="159"/>
      <c r="F110" s="160"/>
      <c r="G110" s="160"/>
      <c r="H110" s="161"/>
      <c r="I110" s="262"/>
      <c r="J110" s="263"/>
      <c r="K110" s="162">
        <f>SUM(K94:L109)</f>
        <v>414</v>
      </c>
      <c r="L110" s="163"/>
      <c r="M110" s="162">
        <f>SUM(M94:N109)</f>
        <v>372</v>
      </c>
      <c r="N110" s="163"/>
      <c r="O110" s="162">
        <f>SUM(O94:P109)</f>
        <v>1323.25</v>
      </c>
      <c r="P110" s="163"/>
      <c r="Q110" s="162">
        <f>SUM(Q94:R109)</f>
        <v>182.78</v>
      </c>
      <c r="R110" s="163"/>
      <c r="S110" s="162">
        <f>SUM(S94:T109)</f>
        <v>40.365000000000002</v>
      </c>
      <c r="T110" s="163"/>
      <c r="U110" s="162">
        <f>SUM(U94:V109)</f>
        <v>44.429999999999993</v>
      </c>
      <c r="V110" s="163"/>
      <c r="W110" s="20"/>
    </row>
    <row r="111" spans="1:26" x14ac:dyDescent="0.25">
      <c r="A111" s="144">
        <v>15</v>
      </c>
      <c r="B111" s="51" t="s">
        <v>1</v>
      </c>
      <c r="C111" s="52"/>
      <c r="D111" s="53"/>
      <c r="E111" s="51" t="s">
        <v>110</v>
      </c>
      <c r="F111" s="52"/>
      <c r="G111" s="52"/>
      <c r="H111" s="53"/>
      <c r="I111" s="167"/>
      <c r="J111" s="168"/>
      <c r="K111" s="51">
        <v>135</v>
      </c>
      <c r="L111" s="53"/>
      <c r="M111" s="51">
        <v>115</v>
      </c>
      <c r="N111" s="53"/>
      <c r="O111" s="57">
        <v>511</v>
      </c>
      <c r="P111" s="58"/>
      <c r="Q111" s="57">
        <v>59</v>
      </c>
      <c r="R111" s="58"/>
      <c r="S111" s="57">
        <v>26</v>
      </c>
      <c r="T111" s="58"/>
      <c r="U111" s="57">
        <v>17</v>
      </c>
      <c r="V111" s="58"/>
      <c r="W111" s="135"/>
      <c r="X111" s="147">
        <v>26400</v>
      </c>
      <c r="Y111" s="148"/>
      <c r="Z111" s="149"/>
    </row>
    <row r="112" spans="1:26" ht="15.75" thickBot="1" x14ac:dyDescent="0.3">
      <c r="A112" s="145"/>
      <c r="B112" s="54"/>
      <c r="C112" s="55"/>
      <c r="D112" s="56"/>
      <c r="E112" s="54"/>
      <c r="F112" s="55"/>
      <c r="G112" s="55"/>
      <c r="H112" s="56"/>
      <c r="I112" s="169"/>
      <c r="J112" s="170"/>
      <c r="K112" s="54"/>
      <c r="L112" s="56"/>
      <c r="M112" s="54"/>
      <c r="N112" s="56"/>
      <c r="O112" s="59"/>
      <c r="P112" s="60"/>
      <c r="Q112" s="59"/>
      <c r="R112" s="60"/>
      <c r="S112" s="59"/>
      <c r="T112" s="60"/>
      <c r="U112" s="59"/>
      <c r="V112" s="60"/>
      <c r="W112" s="166"/>
      <c r="X112" s="150"/>
      <c r="Y112" s="151"/>
      <c r="Z112" s="152"/>
    </row>
    <row r="113" spans="1:26" x14ac:dyDescent="0.25">
      <c r="A113" s="145"/>
      <c r="B113" s="51" t="s">
        <v>2</v>
      </c>
      <c r="C113" s="52"/>
      <c r="D113" s="53"/>
      <c r="E113" s="51" t="s">
        <v>72</v>
      </c>
      <c r="F113" s="52"/>
      <c r="G113" s="52"/>
      <c r="H113" s="53"/>
      <c r="I113" s="61"/>
      <c r="J113" s="52"/>
      <c r="K113" s="61">
        <v>55</v>
      </c>
      <c r="L113" s="74"/>
      <c r="M113" s="52">
        <v>50</v>
      </c>
      <c r="N113" s="53"/>
      <c r="O113" s="40">
        <f>427*M113/100</f>
        <v>213.5</v>
      </c>
      <c r="P113" s="41"/>
      <c r="Q113" s="40">
        <f>65.7*M113/100</f>
        <v>32.85</v>
      </c>
      <c r="R113" s="41"/>
      <c r="S113" s="40">
        <f>11.4*M113/100</f>
        <v>5.7</v>
      </c>
      <c r="T113" s="41"/>
      <c r="U113" s="40">
        <f>10.6*M113/100</f>
        <v>5.3</v>
      </c>
      <c r="V113" s="41"/>
      <c r="W113" s="135"/>
      <c r="X113" s="150"/>
      <c r="Y113" s="151"/>
      <c r="Z113" s="152"/>
    </row>
    <row r="114" spans="1:26" ht="15.75" thickBot="1" x14ac:dyDescent="0.3">
      <c r="A114" s="145"/>
      <c r="B114" s="54"/>
      <c r="C114" s="55"/>
      <c r="D114" s="56"/>
      <c r="E114" s="54"/>
      <c r="F114" s="55"/>
      <c r="G114" s="55"/>
      <c r="H114" s="56"/>
      <c r="I114" s="54"/>
      <c r="J114" s="55"/>
      <c r="K114" s="75"/>
      <c r="L114" s="76"/>
      <c r="M114" s="55"/>
      <c r="N114" s="56"/>
      <c r="O114" s="42"/>
      <c r="P114" s="43"/>
      <c r="Q114" s="42"/>
      <c r="R114" s="43"/>
      <c r="S114" s="42"/>
      <c r="T114" s="43"/>
      <c r="U114" s="42"/>
      <c r="V114" s="43"/>
      <c r="W114" s="166"/>
      <c r="X114" s="150"/>
      <c r="Y114" s="151"/>
      <c r="Z114" s="152"/>
    </row>
    <row r="115" spans="1:26" ht="15" customHeight="1" x14ac:dyDescent="0.25">
      <c r="A115" s="145"/>
      <c r="B115" s="51" t="s">
        <v>3</v>
      </c>
      <c r="C115" s="52"/>
      <c r="D115" s="53"/>
      <c r="E115" s="51" t="s">
        <v>22</v>
      </c>
      <c r="F115" s="52"/>
      <c r="G115" s="52"/>
      <c r="H115" s="53"/>
      <c r="I115" s="61">
        <v>4742870019039</v>
      </c>
      <c r="J115" s="53"/>
      <c r="K115" s="61">
        <v>80</v>
      </c>
      <c r="L115" s="74"/>
      <c r="M115" s="51">
        <v>75</v>
      </c>
      <c r="N115" s="53"/>
      <c r="O115" s="57">
        <v>160.05000000000001</v>
      </c>
      <c r="P115" s="58"/>
      <c r="Q115" s="57">
        <v>4.13</v>
      </c>
      <c r="R115" s="58"/>
      <c r="S115" s="57">
        <v>4.05</v>
      </c>
      <c r="T115" s="58"/>
      <c r="U115" s="57">
        <v>14.1</v>
      </c>
      <c r="V115" s="58"/>
      <c r="W115" s="164"/>
      <c r="X115" s="150"/>
      <c r="Y115" s="151"/>
      <c r="Z115" s="152"/>
    </row>
    <row r="116" spans="1:26" ht="15.95" customHeight="1" thickBot="1" x14ac:dyDescent="0.3">
      <c r="A116" s="145"/>
      <c r="B116" s="54"/>
      <c r="C116" s="55"/>
      <c r="D116" s="56"/>
      <c r="E116" s="54"/>
      <c r="F116" s="55"/>
      <c r="G116" s="55"/>
      <c r="H116" s="56"/>
      <c r="I116" s="54"/>
      <c r="J116" s="56"/>
      <c r="K116" s="75"/>
      <c r="L116" s="76"/>
      <c r="M116" s="54"/>
      <c r="N116" s="56"/>
      <c r="O116" s="59"/>
      <c r="P116" s="60"/>
      <c r="Q116" s="59"/>
      <c r="R116" s="60"/>
      <c r="S116" s="59"/>
      <c r="T116" s="60"/>
      <c r="U116" s="59"/>
      <c r="V116" s="60"/>
      <c r="W116" s="165"/>
      <c r="X116" s="150"/>
      <c r="Y116" s="151"/>
      <c r="Z116" s="152"/>
    </row>
    <row r="117" spans="1:26" ht="15" customHeight="1" x14ac:dyDescent="0.25">
      <c r="A117" s="145"/>
      <c r="B117" s="51" t="s">
        <v>4</v>
      </c>
      <c r="C117" s="52"/>
      <c r="D117" s="53"/>
      <c r="E117" s="51" t="s">
        <v>61</v>
      </c>
      <c r="F117" s="52"/>
      <c r="G117" s="52"/>
      <c r="H117" s="53"/>
      <c r="I117" s="61"/>
      <c r="J117" s="74"/>
      <c r="K117" s="51">
        <v>65</v>
      </c>
      <c r="L117" s="53"/>
      <c r="M117" s="51">
        <v>60</v>
      </c>
      <c r="N117" s="53"/>
      <c r="O117" s="40">
        <f>480*M117/100</f>
        <v>288</v>
      </c>
      <c r="P117" s="41"/>
      <c r="Q117" s="40">
        <f>50.8*M117/100</f>
        <v>30.48</v>
      </c>
      <c r="R117" s="41"/>
      <c r="S117" s="40">
        <f>12.8*M117/100</f>
        <v>7.68</v>
      </c>
      <c r="T117" s="41"/>
      <c r="U117" s="40">
        <f>24.1*M117/100</f>
        <v>14.46</v>
      </c>
      <c r="V117" s="41"/>
      <c r="W117" s="136"/>
      <c r="X117" s="150"/>
      <c r="Y117" s="151"/>
      <c r="Z117" s="152"/>
    </row>
    <row r="118" spans="1:26" ht="15.95" customHeight="1" thickBot="1" x14ac:dyDescent="0.3">
      <c r="A118" s="145"/>
      <c r="B118" s="54"/>
      <c r="C118" s="55"/>
      <c r="D118" s="56"/>
      <c r="E118" s="54"/>
      <c r="F118" s="55"/>
      <c r="G118" s="55"/>
      <c r="H118" s="56"/>
      <c r="I118" s="75"/>
      <c r="J118" s="76"/>
      <c r="K118" s="54"/>
      <c r="L118" s="56"/>
      <c r="M118" s="54"/>
      <c r="N118" s="56"/>
      <c r="O118" s="42"/>
      <c r="P118" s="43"/>
      <c r="Q118" s="42"/>
      <c r="R118" s="43"/>
      <c r="S118" s="42"/>
      <c r="T118" s="43"/>
      <c r="U118" s="42"/>
      <c r="V118" s="43"/>
      <c r="W118" s="137"/>
      <c r="X118" s="150"/>
      <c r="Y118" s="151"/>
      <c r="Z118" s="152"/>
    </row>
    <row r="119" spans="1:26" ht="15" customHeight="1" x14ac:dyDescent="0.25">
      <c r="A119" s="145"/>
      <c r="B119" s="51" t="s">
        <v>5</v>
      </c>
      <c r="C119" s="52"/>
      <c r="D119" s="53"/>
      <c r="E119" s="51" t="s">
        <v>60</v>
      </c>
      <c r="F119" s="52"/>
      <c r="G119" s="52"/>
      <c r="H119" s="53"/>
      <c r="I119" s="61"/>
      <c r="J119" s="74"/>
      <c r="K119" s="61">
        <v>32</v>
      </c>
      <c r="L119" s="74"/>
      <c r="M119" s="51">
        <v>30</v>
      </c>
      <c r="N119" s="53"/>
      <c r="O119" s="40">
        <f>230*M119/100</f>
        <v>69</v>
      </c>
      <c r="P119" s="41"/>
      <c r="Q119" s="40">
        <f>30.6*M119/100</f>
        <v>9.18</v>
      </c>
      <c r="R119" s="41"/>
      <c r="S119" s="40">
        <f>4.7*M119/100</f>
        <v>1.41</v>
      </c>
      <c r="T119" s="41"/>
      <c r="U119" s="40">
        <f>9.2*M119/100</f>
        <v>2.76</v>
      </c>
      <c r="V119" s="41"/>
      <c r="W119" s="135"/>
      <c r="X119" s="150"/>
      <c r="Y119" s="151"/>
      <c r="Z119" s="152"/>
    </row>
    <row r="120" spans="1:26" ht="15.95" customHeight="1" thickBot="1" x14ac:dyDescent="0.3">
      <c r="A120" s="145"/>
      <c r="B120" s="54"/>
      <c r="C120" s="55"/>
      <c r="D120" s="56"/>
      <c r="E120" s="54"/>
      <c r="F120" s="55"/>
      <c r="G120" s="55"/>
      <c r="H120" s="56"/>
      <c r="I120" s="75"/>
      <c r="J120" s="76"/>
      <c r="K120" s="75"/>
      <c r="L120" s="76"/>
      <c r="M120" s="54"/>
      <c r="N120" s="56"/>
      <c r="O120" s="42"/>
      <c r="P120" s="43"/>
      <c r="Q120" s="42"/>
      <c r="R120" s="43"/>
      <c r="S120" s="42"/>
      <c r="T120" s="43"/>
      <c r="U120" s="42"/>
      <c r="V120" s="43"/>
      <c r="W120" s="134"/>
      <c r="X120" s="150"/>
      <c r="Y120" s="151"/>
      <c r="Z120" s="152"/>
    </row>
    <row r="121" spans="1:26" ht="15" customHeight="1" x14ac:dyDescent="0.25">
      <c r="A121" s="145"/>
      <c r="B121" s="51" t="s">
        <v>6</v>
      </c>
      <c r="C121" s="52"/>
      <c r="D121" s="53"/>
      <c r="E121" s="138" t="s">
        <v>32</v>
      </c>
      <c r="F121" s="139"/>
      <c r="G121" s="139"/>
      <c r="H121" s="140"/>
      <c r="I121" s="61">
        <v>4742870010562</v>
      </c>
      <c r="J121" s="74"/>
      <c r="K121" s="51">
        <v>22</v>
      </c>
      <c r="L121" s="53"/>
      <c r="M121" s="51">
        <v>20</v>
      </c>
      <c r="N121" s="53"/>
      <c r="O121" s="57">
        <v>66.599999999999994</v>
      </c>
      <c r="P121" s="58"/>
      <c r="Q121" s="57">
        <v>16.2</v>
      </c>
      <c r="R121" s="58"/>
      <c r="S121" s="57">
        <v>0</v>
      </c>
      <c r="T121" s="58"/>
      <c r="U121" s="57">
        <v>0</v>
      </c>
      <c r="V121" s="58"/>
      <c r="W121" s="135"/>
      <c r="X121" s="150"/>
      <c r="Y121" s="151"/>
      <c r="Z121" s="152"/>
    </row>
    <row r="122" spans="1:26" ht="15.75" thickBot="1" x14ac:dyDescent="0.3">
      <c r="A122" s="145"/>
      <c r="B122" s="54"/>
      <c r="C122" s="55"/>
      <c r="D122" s="56"/>
      <c r="E122" s="141"/>
      <c r="F122" s="142"/>
      <c r="G122" s="142"/>
      <c r="H122" s="143"/>
      <c r="I122" s="75"/>
      <c r="J122" s="76"/>
      <c r="K122" s="54"/>
      <c r="L122" s="56"/>
      <c r="M122" s="54"/>
      <c r="N122" s="56"/>
      <c r="O122" s="59"/>
      <c r="P122" s="60"/>
      <c r="Q122" s="59"/>
      <c r="R122" s="60"/>
      <c r="S122" s="59"/>
      <c r="T122" s="60"/>
      <c r="U122" s="59"/>
      <c r="V122" s="60"/>
      <c r="W122" s="134"/>
      <c r="X122" s="150"/>
      <c r="Y122" s="151"/>
      <c r="Z122" s="152"/>
    </row>
    <row r="123" spans="1:26" x14ac:dyDescent="0.25">
      <c r="A123" s="145"/>
      <c r="B123" s="51" t="s">
        <v>7</v>
      </c>
      <c r="C123" s="52"/>
      <c r="D123" s="53"/>
      <c r="E123" s="51" t="s">
        <v>66</v>
      </c>
      <c r="F123" s="52"/>
      <c r="G123" s="52"/>
      <c r="H123" s="53"/>
      <c r="I123" s="61"/>
      <c r="J123" s="53"/>
      <c r="K123" s="61">
        <v>4</v>
      </c>
      <c r="L123" s="74"/>
      <c r="M123" s="51">
        <v>2</v>
      </c>
      <c r="N123" s="53"/>
      <c r="O123" s="40">
        <v>0</v>
      </c>
      <c r="P123" s="41"/>
      <c r="Q123" s="40">
        <v>0</v>
      </c>
      <c r="R123" s="41"/>
      <c r="S123" s="40">
        <v>0</v>
      </c>
      <c r="T123" s="41"/>
      <c r="U123" s="40">
        <v>0</v>
      </c>
      <c r="V123" s="41"/>
      <c r="W123" s="133"/>
      <c r="X123" s="150"/>
      <c r="Y123" s="151"/>
      <c r="Z123" s="152"/>
    </row>
    <row r="124" spans="1:26" ht="15.75" thickBot="1" x14ac:dyDescent="0.3">
      <c r="A124" s="145"/>
      <c r="B124" s="54"/>
      <c r="C124" s="55"/>
      <c r="D124" s="56"/>
      <c r="E124" s="54"/>
      <c r="F124" s="55"/>
      <c r="G124" s="55"/>
      <c r="H124" s="56"/>
      <c r="I124" s="54"/>
      <c r="J124" s="56"/>
      <c r="K124" s="75"/>
      <c r="L124" s="76"/>
      <c r="M124" s="54"/>
      <c r="N124" s="56"/>
      <c r="O124" s="42"/>
      <c r="P124" s="43"/>
      <c r="Q124" s="42"/>
      <c r="R124" s="43"/>
      <c r="S124" s="42"/>
      <c r="T124" s="43"/>
      <c r="U124" s="42"/>
      <c r="V124" s="43"/>
      <c r="W124" s="134"/>
      <c r="X124" s="150"/>
      <c r="Y124" s="151"/>
      <c r="Z124" s="152"/>
    </row>
    <row r="125" spans="1:26" x14ac:dyDescent="0.25">
      <c r="A125" s="145"/>
      <c r="B125" s="51" t="s">
        <v>8</v>
      </c>
      <c r="C125" s="52"/>
      <c r="D125" s="53"/>
      <c r="E125" s="51" t="s">
        <v>8</v>
      </c>
      <c r="F125" s="52"/>
      <c r="G125" s="52"/>
      <c r="H125" s="53"/>
      <c r="I125" s="61"/>
      <c r="J125" s="53"/>
      <c r="K125" s="61"/>
      <c r="L125" s="74"/>
      <c r="M125" s="51"/>
      <c r="N125" s="53"/>
      <c r="O125" s="40"/>
      <c r="P125" s="41"/>
      <c r="Q125" s="40"/>
      <c r="R125" s="41"/>
      <c r="S125" s="40"/>
      <c r="T125" s="41"/>
      <c r="U125" s="40"/>
      <c r="V125" s="41"/>
      <c r="W125" s="133"/>
      <c r="X125" s="150"/>
      <c r="Y125" s="151"/>
      <c r="Z125" s="152"/>
    </row>
    <row r="126" spans="1:26" ht="15.75" thickBot="1" x14ac:dyDescent="0.3">
      <c r="A126" s="146"/>
      <c r="B126" s="54"/>
      <c r="C126" s="55"/>
      <c r="D126" s="56"/>
      <c r="E126" s="54"/>
      <c r="F126" s="55"/>
      <c r="G126" s="55"/>
      <c r="H126" s="56"/>
      <c r="I126" s="54"/>
      <c r="J126" s="56"/>
      <c r="K126" s="75"/>
      <c r="L126" s="76"/>
      <c r="M126" s="54"/>
      <c r="N126" s="56"/>
      <c r="O126" s="42"/>
      <c r="P126" s="43"/>
      <c r="Q126" s="42"/>
      <c r="R126" s="43"/>
      <c r="S126" s="42"/>
      <c r="T126" s="43"/>
      <c r="U126" s="42"/>
      <c r="V126" s="43"/>
      <c r="W126" s="134"/>
      <c r="X126" s="153"/>
      <c r="Y126" s="154"/>
      <c r="Z126" s="155"/>
    </row>
    <row r="127" spans="1:26" ht="15.75" thickBot="1" x14ac:dyDescent="0.3">
      <c r="A127" s="2"/>
      <c r="B127" s="156" t="s">
        <v>16</v>
      </c>
      <c r="C127" s="157"/>
      <c r="D127" s="158"/>
      <c r="E127" s="159"/>
      <c r="F127" s="160"/>
      <c r="G127" s="160"/>
      <c r="H127" s="161"/>
      <c r="I127" s="262"/>
      <c r="J127" s="263"/>
      <c r="K127" s="162">
        <f>SUM(K111:L126)</f>
        <v>393</v>
      </c>
      <c r="L127" s="163"/>
      <c r="M127" s="162">
        <f>SUM(M111:N126)</f>
        <v>352</v>
      </c>
      <c r="N127" s="163"/>
      <c r="O127" s="162">
        <f>SUM(O111:P126)</f>
        <v>1308.1499999999999</v>
      </c>
      <c r="P127" s="163"/>
      <c r="Q127" s="162">
        <f>SUM(Q111:R126)</f>
        <v>151.83999999999997</v>
      </c>
      <c r="R127" s="163"/>
      <c r="S127" s="162">
        <f>SUM(S111:T126)</f>
        <v>44.839999999999996</v>
      </c>
      <c r="T127" s="163"/>
      <c r="U127" s="162">
        <f>SUM(U111:V126)</f>
        <v>53.62</v>
      </c>
      <c r="V127" s="163"/>
      <c r="W127" s="20"/>
    </row>
    <row r="128" spans="1:26" ht="15" customHeight="1" x14ac:dyDescent="0.25">
      <c r="A128" s="144">
        <v>16</v>
      </c>
      <c r="B128" s="51" t="s">
        <v>1</v>
      </c>
      <c r="C128" s="52"/>
      <c r="D128" s="53"/>
      <c r="E128" s="51" t="s">
        <v>111</v>
      </c>
      <c r="F128" s="52"/>
      <c r="G128" s="52"/>
      <c r="H128" s="53"/>
      <c r="I128" s="167"/>
      <c r="J128" s="168"/>
      <c r="K128" s="51">
        <v>140</v>
      </c>
      <c r="L128" s="53"/>
      <c r="M128" s="51">
        <v>120</v>
      </c>
      <c r="N128" s="53"/>
      <c r="O128" s="57">
        <v>514</v>
      </c>
      <c r="P128" s="58"/>
      <c r="Q128" s="57">
        <v>60</v>
      </c>
      <c r="R128" s="58"/>
      <c r="S128" s="57">
        <v>33</v>
      </c>
      <c r="T128" s="58"/>
      <c r="U128" s="57">
        <v>15</v>
      </c>
      <c r="V128" s="58"/>
      <c r="W128" s="135"/>
      <c r="X128" s="147">
        <v>26400</v>
      </c>
      <c r="Y128" s="148"/>
      <c r="Z128" s="149"/>
    </row>
    <row r="129" spans="1:28" ht="15.75" thickBot="1" x14ac:dyDescent="0.3">
      <c r="A129" s="145"/>
      <c r="B129" s="54"/>
      <c r="C129" s="55"/>
      <c r="D129" s="56"/>
      <c r="E129" s="54"/>
      <c r="F129" s="55"/>
      <c r="G129" s="55"/>
      <c r="H129" s="56"/>
      <c r="I129" s="169"/>
      <c r="J129" s="170"/>
      <c r="K129" s="54"/>
      <c r="L129" s="56"/>
      <c r="M129" s="54"/>
      <c r="N129" s="56"/>
      <c r="O129" s="59"/>
      <c r="P129" s="60"/>
      <c r="Q129" s="59"/>
      <c r="R129" s="60"/>
      <c r="S129" s="59"/>
      <c r="T129" s="60"/>
      <c r="U129" s="59"/>
      <c r="V129" s="60"/>
      <c r="W129" s="166"/>
      <c r="X129" s="150"/>
      <c r="Y129" s="151"/>
      <c r="Z129" s="152"/>
      <c r="AB129" s="9"/>
    </row>
    <row r="130" spans="1:28" x14ac:dyDescent="0.25">
      <c r="A130" s="145"/>
      <c r="B130" s="51" t="s">
        <v>2</v>
      </c>
      <c r="C130" s="52"/>
      <c r="D130" s="53"/>
      <c r="E130" s="51" t="s">
        <v>20</v>
      </c>
      <c r="F130" s="52"/>
      <c r="G130" s="52"/>
      <c r="H130" s="53"/>
      <c r="I130" s="61"/>
      <c r="J130" s="52"/>
      <c r="K130" s="61">
        <v>55</v>
      </c>
      <c r="L130" s="74"/>
      <c r="M130" s="52">
        <v>50</v>
      </c>
      <c r="N130" s="53"/>
      <c r="O130" s="40">
        <f>444*M130/100</f>
        <v>222</v>
      </c>
      <c r="P130" s="41"/>
      <c r="Q130" s="40">
        <f>66.6*M130/100</f>
        <v>33.299999999999997</v>
      </c>
      <c r="R130" s="41"/>
      <c r="S130" s="40">
        <f>9.7*M130/100</f>
        <v>4.8499999999999996</v>
      </c>
      <c r="T130" s="41"/>
      <c r="U130" s="40">
        <f>16.2*M130/100</f>
        <v>8.1</v>
      </c>
      <c r="V130" s="41"/>
      <c r="W130" s="135"/>
      <c r="X130" s="150"/>
      <c r="Y130" s="151"/>
      <c r="Z130" s="152"/>
    </row>
    <row r="131" spans="1:28" ht="15.75" thickBot="1" x14ac:dyDescent="0.3">
      <c r="A131" s="145"/>
      <c r="B131" s="54"/>
      <c r="C131" s="55"/>
      <c r="D131" s="56"/>
      <c r="E131" s="54"/>
      <c r="F131" s="55"/>
      <c r="G131" s="55"/>
      <c r="H131" s="56"/>
      <c r="I131" s="54"/>
      <c r="J131" s="55"/>
      <c r="K131" s="75"/>
      <c r="L131" s="76"/>
      <c r="M131" s="55"/>
      <c r="N131" s="56"/>
      <c r="O131" s="42"/>
      <c r="P131" s="43"/>
      <c r="Q131" s="42"/>
      <c r="R131" s="43"/>
      <c r="S131" s="42"/>
      <c r="T131" s="43"/>
      <c r="U131" s="42"/>
      <c r="V131" s="43"/>
      <c r="W131" s="166"/>
      <c r="X131" s="150"/>
      <c r="Y131" s="151"/>
      <c r="Z131" s="152"/>
    </row>
    <row r="132" spans="1:28" ht="15" customHeight="1" x14ac:dyDescent="0.25">
      <c r="A132" s="145"/>
      <c r="B132" s="51" t="s">
        <v>3</v>
      </c>
      <c r="C132" s="52"/>
      <c r="D132" s="53"/>
      <c r="E132" s="51" t="s">
        <v>29</v>
      </c>
      <c r="F132" s="52"/>
      <c r="G132" s="52"/>
      <c r="H132" s="53"/>
      <c r="I132" s="61">
        <v>4742870019022</v>
      </c>
      <c r="J132" s="74"/>
      <c r="K132" s="51">
        <v>80</v>
      </c>
      <c r="L132" s="53"/>
      <c r="M132" s="51">
        <v>75</v>
      </c>
      <c r="N132" s="53"/>
      <c r="O132" s="57">
        <v>190.5</v>
      </c>
      <c r="P132" s="58"/>
      <c r="Q132" s="57">
        <v>2.25</v>
      </c>
      <c r="R132" s="58"/>
      <c r="S132" s="57">
        <v>6.23</v>
      </c>
      <c r="T132" s="58"/>
      <c r="U132" s="57">
        <v>17.329999999999998</v>
      </c>
      <c r="V132" s="58"/>
      <c r="W132" s="164"/>
      <c r="X132" s="150"/>
      <c r="Y132" s="151"/>
      <c r="Z132" s="152"/>
    </row>
    <row r="133" spans="1:28" ht="15.95" customHeight="1" thickBot="1" x14ac:dyDescent="0.3">
      <c r="A133" s="145"/>
      <c r="B133" s="54"/>
      <c r="C133" s="55"/>
      <c r="D133" s="56"/>
      <c r="E133" s="54"/>
      <c r="F133" s="55"/>
      <c r="G133" s="55"/>
      <c r="H133" s="56"/>
      <c r="I133" s="75"/>
      <c r="J133" s="76"/>
      <c r="K133" s="54"/>
      <c r="L133" s="56"/>
      <c r="M133" s="54"/>
      <c r="N133" s="56"/>
      <c r="O133" s="59"/>
      <c r="P133" s="60"/>
      <c r="Q133" s="59"/>
      <c r="R133" s="60"/>
      <c r="S133" s="59"/>
      <c r="T133" s="60"/>
      <c r="U133" s="59"/>
      <c r="V133" s="60"/>
      <c r="W133" s="165"/>
      <c r="X133" s="150"/>
      <c r="Y133" s="151"/>
      <c r="Z133" s="152"/>
    </row>
    <row r="134" spans="1:28" ht="15" customHeight="1" x14ac:dyDescent="0.25">
      <c r="A134" s="145"/>
      <c r="B134" s="51" t="s">
        <v>4</v>
      </c>
      <c r="C134" s="52"/>
      <c r="D134" s="53"/>
      <c r="E134" s="51" t="s">
        <v>71</v>
      </c>
      <c r="F134" s="52"/>
      <c r="G134" s="52"/>
      <c r="H134" s="53"/>
      <c r="I134" s="61"/>
      <c r="J134" s="74"/>
      <c r="K134" s="61">
        <v>55</v>
      </c>
      <c r="L134" s="74"/>
      <c r="M134" s="51">
        <v>50</v>
      </c>
      <c r="N134" s="53"/>
      <c r="O134" s="40">
        <f>439*M134/100</f>
        <v>219.5</v>
      </c>
      <c r="P134" s="41"/>
      <c r="Q134" s="40">
        <f>70.7*M134/100</f>
        <v>35.35</v>
      </c>
      <c r="R134" s="41"/>
      <c r="S134" s="40">
        <f>7.9*M134/100</f>
        <v>3.95</v>
      </c>
      <c r="T134" s="41"/>
      <c r="U134" s="40">
        <f>12.3*M134/100</f>
        <v>6.15</v>
      </c>
      <c r="V134" s="41"/>
      <c r="W134" s="136"/>
      <c r="X134" s="150"/>
      <c r="Y134" s="151"/>
      <c r="Z134" s="152"/>
    </row>
    <row r="135" spans="1:28" ht="15.95" customHeight="1" thickBot="1" x14ac:dyDescent="0.3">
      <c r="A135" s="145"/>
      <c r="B135" s="54"/>
      <c r="C135" s="55"/>
      <c r="D135" s="56"/>
      <c r="E135" s="54"/>
      <c r="F135" s="55"/>
      <c r="G135" s="55"/>
      <c r="H135" s="56"/>
      <c r="I135" s="75"/>
      <c r="J135" s="76"/>
      <c r="K135" s="75"/>
      <c r="L135" s="76"/>
      <c r="M135" s="54"/>
      <c r="N135" s="56"/>
      <c r="O135" s="42"/>
      <c r="P135" s="43"/>
      <c r="Q135" s="42"/>
      <c r="R135" s="43"/>
      <c r="S135" s="42"/>
      <c r="T135" s="43"/>
      <c r="U135" s="42"/>
      <c r="V135" s="43"/>
      <c r="W135" s="137"/>
      <c r="X135" s="150"/>
      <c r="Y135" s="151"/>
      <c r="Z135" s="152"/>
    </row>
    <row r="136" spans="1:28" ht="15" customHeight="1" x14ac:dyDescent="0.25">
      <c r="A136" s="145"/>
      <c r="B136" s="51" t="s">
        <v>5</v>
      </c>
      <c r="C136" s="52"/>
      <c r="D136" s="53"/>
      <c r="E136" s="51" t="s">
        <v>60</v>
      </c>
      <c r="F136" s="52"/>
      <c r="G136" s="52"/>
      <c r="H136" s="53"/>
      <c r="I136" s="61"/>
      <c r="J136" s="74"/>
      <c r="K136" s="61">
        <v>32</v>
      </c>
      <c r="L136" s="74"/>
      <c r="M136" s="51">
        <v>30</v>
      </c>
      <c r="N136" s="53"/>
      <c r="O136" s="40">
        <f>230*M136/100</f>
        <v>69</v>
      </c>
      <c r="P136" s="41"/>
      <c r="Q136" s="40">
        <f>30.6*M136/100</f>
        <v>9.18</v>
      </c>
      <c r="R136" s="41"/>
      <c r="S136" s="40">
        <f>4.7*M136/100</f>
        <v>1.41</v>
      </c>
      <c r="T136" s="41"/>
      <c r="U136" s="40">
        <f>9.2*M136/100</f>
        <v>2.76</v>
      </c>
      <c r="V136" s="41"/>
      <c r="W136" s="135"/>
      <c r="X136" s="150"/>
      <c r="Y136" s="151"/>
      <c r="Z136" s="152"/>
    </row>
    <row r="137" spans="1:28" ht="15.95" customHeight="1" thickBot="1" x14ac:dyDescent="0.3">
      <c r="A137" s="145"/>
      <c r="B137" s="54"/>
      <c r="C137" s="55"/>
      <c r="D137" s="56"/>
      <c r="E137" s="54"/>
      <c r="F137" s="55"/>
      <c r="G137" s="55"/>
      <c r="H137" s="56"/>
      <c r="I137" s="75"/>
      <c r="J137" s="76"/>
      <c r="K137" s="75"/>
      <c r="L137" s="76"/>
      <c r="M137" s="54"/>
      <c r="N137" s="56"/>
      <c r="O137" s="42"/>
      <c r="P137" s="43"/>
      <c r="Q137" s="42"/>
      <c r="R137" s="43"/>
      <c r="S137" s="42"/>
      <c r="T137" s="43"/>
      <c r="U137" s="42"/>
      <c r="V137" s="43"/>
      <c r="W137" s="134"/>
      <c r="X137" s="150"/>
      <c r="Y137" s="151"/>
      <c r="Z137" s="152"/>
    </row>
    <row r="138" spans="1:28" ht="15" customHeight="1" x14ac:dyDescent="0.25">
      <c r="A138" s="145"/>
      <c r="B138" s="51" t="s">
        <v>6</v>
      </c>
      <c r="C138" s="52"/>
      <c r="D138" s="53"/>
      <c r="E138" s="138" t="s">
        <v>33</v>
      </c>
      <c r="F138" s="139"/>
      <c r="G138" s="139"/>
      <c r="H138" s="140"/>
      <c r="I138" s="61">
        <v>4742870010555</v>
      </c>
      <c r="J138" s="74"/>
      <c r="K138" s="51">
        <v>22</v>
      </c>
      <c r="L138" s="53"/>
      <c r="M138" s="51">
        <v>20</v>
      </c>
      <c r="N138" s="53"/>
      <c r="O138" s="57">
        <v>66.8</v>
      </c>
      <c r="P138" s="58"/>
      <c r="Q138" s="57">
        <v>16.2</v>
      </c>
      <c r="R138" s="58"/>
      <c r="S138" s="57">
        <v>0</v>
      </c>
      <c r="T138" s="58"/>
      <c r="U138" s="57">
        <v>0</v>
      </c>
      <c r="V138" s="58"/>
      <c r="W138" s="135"/>
      <c r="X138" s="150"/>
      <c r="Y138" s="151"/>
      <c r="Z138" s="152"/>
    </row>
    <row r="139" spans="1:28" ht="15.75" thickBot="1" x14ac:dyDescent="0.3">
      <c r="A139" s="145"/>
      <c r="B139" s="54"/>
      <c r="C139" s="55"/>
      <c r="D139" s="56"/>
      <c r="E139" s="141"/>
      <c r="F139" s="142"/>
      <c r="G139" s="142"/>
      <c r="H139" s="143"/>
      <c r="I139" s="75"/>
      <c r="J139" s="76"/>
      <c r="K139" s="54"/>
      <c r="L139" s="56"/>
      <c r="M139" s="54"/>
      <c r="N139" s="56"/>
      <c r="O139" s="59"/>
      <c r="P139" s="60"/>
      <c r="Q139" s="59"/>
      <c r="R139" s="60"/>
      <c r="S139" s="59"/>
      <c r="T139" s="60"/>
      <c r="U139" s="59"/>
      <c r="V139" s="60"/>
      <c r="W139" s="134"/>
      <c r="X139" s="150"/>
      <c r="Y139" s="151"/>
      <c r="Z139" s="152"/>
    </row>
    <row r="140" spans="1:28" x14ac:dyDescent="0.25">
      <c r="A140" s="145"/>
      <c r="B140" s="51" t="s">
        <v>7</v>
      </c>
      <c r="C140" s="52"/>
      <c r="D140" s="53"/>
      <c r="E140" s="51" t="s">
        <v>66</v>
      </c>
      <c r="F140" s="52"/>
      <c r="G140" s="52"/>
      <c r="H140" s="53"/>
      <c r="I140" s="61"/>
      <c r="J140" s="53"/>
      <c r="K140" s="61">
        <v>4</v>
      </c>
      <c r="L140" s="74"/>
      <c r="M140" s="51">
        <v>2</v>
      </c>
      <c r="N140" s="53"/>
      <c r="O140" s="40">
        <v>0</v>
      </c>
      <c r="P140" s="41"/>
      <c r="Q140" s="40">
        <v>0</v>
      </c>
      <c r="R140" s="41"/>
      <c r="S140" s="40">
        <v>0</v>
      </c>
      <c r="T140" s="41"/>
      <c r="U140" s="40">
        <v>0</v>
      </c>
      <c r="V140" s="41"/>
      <c r="W140" s="133"/>
      <c r="X140" s="150"/>
      <c r="Y140" s="151"/>
      <c r="Z140" s="152"/>
    </row>
    <row r="141" spans="1:28" ht="15.75" thickBot="1" x14ac:dyDescent="0.3">
      <c r="A141" s="145"/>
      <c r="B141" s="54"/>
      <c r="C141" s="55"/>
      <c r="D141" s="56"/>
      <c r="E141" s="54"/>
      <c r="F141" s="55"/>
      <c r="G141" s="55"/>
      <c r="H141" s="56"/>
      <c r="I141" s="54"/>
      <c r="J141" s="56"/>
      <c r="K141" s="75"/>
      <c r="L141" s="76"/>
      <c r="M141" s="54"/>
      <c r="N141" s="56"/>
      <c r="O141" s="42"/>
      <c r="P141" s="43"/>
      <c r="Q141" s="42"/>
      <c r="R141" s="43"/>
      <c r="S141" s="42"/>
      <c r="T141" s="43"/>
      <c r="U141" s="42"/>
      <c r="V141" s="43"/>
      <c r="W141" s="134"/>
      <c r="X141" s="150"/>
      <c r="Y141" s="151"/>
      <c r="Z141" s="152"/>
    </row>
    <row r="142" spans="1:28" x14ac:dyDescent="0.25">
      <c r="A142" s="145"/>
      <c r="B142" s="51" t="s">
        <v>8</v>
      </c>
      <c r="C142" s="52"/>
      <c r="D142" s="53"/>
      <c r="E142" s="51" t="s">
        <v>8</v>
      </c>
      <c r="F142" s="52"/>
      <c r="G142" s="52"/>
      <c r="H142" s="53"/>
      <c r="I142" s="61"/>
      <c r="J142" s="53"/>
      <c r="K142" s="61"/>
      <c r="L142" s="74"/>
      <c r="M142" s="51"/>
      <c r="N142" s="53"/>
      <c r="O142" s="40"/>
      <c r="P142" s="41"/>
      <c r="Q142" s="40"/>
      <c r="R142" s="41"/>
      <c r="S142" s="40"/>
      <c r="T142" s="41"/>
      <c r="U142" s="40"/>
      <c r="V142" s="41"/>
      <c r="W142" s="133"/>
      <c r="X142" s="150"/>
      <c r="Y142" s="151"/>
      <c r="Z142" s="152"/>
    </row>
    <row r="143" spans="1:28" ht="15.75" thickBot="1" x14ac:dyDescent="0.3">
      <c r="A143" s="146"/>
      <c r="B143" s="54"/>
      <c r="C143" s="55"/>
      <c r="D143" s="56"/>
      <c r="E143" s="54"/>
      <c r="F143" s="55"/>
      <c r="G143" s="55"/>
      <c r="H143" s="56"/>
      <c r="I143" s="54"/>
      <c r="J143" s="56"/>
      <c r="K143" s="75"/>
      <c r="L143" s="76"/>
      <c r="M143" s="54"/>
      <c r="N143" s="56"/>
      <c r="O143" s="42"/>
      <c r="P143" s="43"/>
      <c r="Q143" s="42"/>
      <c r="R143" s="43"/>
      <c r="S143" s="42"/>
      <c r="T143" s="43"/>
      <c r="U143" s="42"/>
      <c r="V143" s="43"/>
      <c r="W143" s="134"/>
      <c r="X143" s="153"/>
      <c r="Y143" s="154"/>
      <c r="Z143" s="155"/>
    </row>
    <row r="144" spans="1:28" ht="15.75" thickBot="1" x14ac:dyDescent="0.3">
      <c r="A144" s="2"/>
      <c r="B144" s="156" t="s">
        <v>16</v>
      </c>
      <c r="C144" s="157"/>
      <c r="D144" s="158"/>
      <c r="E144" s="159"/>
      <c r="F144" s="160"/>
      <c r="G144" s="160"/>
      <c r="H144" s="161"/>
      <c r="I144" s="159"/>
      <c r="J144" s="161"/>
      <c r="K144" s="162">
        <f>SUM(K128:L143)</f>
        <v>388</v>
      </c>
      <c r="L144" s="163"/>
      <c r="M144" s="162">
        <f>SUM(M128:N143)</f>
        <v>347</v>
      </c>
      <c r="N144" s="163"/>
      <c r="O144" s="162">
        <f>SUM(O128:P143)</f>
        <v>1281.8</v>
      </c>
      <c r="P144" s="163"/>
      <c r="Q144" s="162">
        <f>SUM(Q128:R143)</f>
        <v>156.28</v>
      </c>
      <c r="R144" s="163"/>
      <c r="S144" s="162">
        <f>SUM(S128:T143)</f>
        <v>49.44</v>
      </c>
      <c r="T144" s="163"/>
      <c r="U144" s="162">
        <f>SUM(U128:V143)</f>
        <v>49.339999999999996</v>
      </c>
      <c r="V144" s="163"/>
      <c r="W144" s="20"/>
    </row>
  </sheetData>
  <mergeCells count="741">
    <mergeCell ref="W128:W129"/>
    <mergeCell ref="W130:W131"/>
    <mergeCell ref="W132:W133"/>
    <mergeCell ref="W134:W135"/>
    <mergeCell ref="W136:W137"/>
    <mergeCell ref="W138:W139"/>
    <mergeCell ref="W140:W141"/>
    <mergeCell ref="W142:W143"/>
    <mergeCell ref="W111:W112"/>
    <mergeCell ref="W113:W114"/>
    <mergeCell ref="W115:W116"/>
    <mergeCell ref="W117:W118"/>
    <mergeCell ref="W119:W120"/>
    <mergeCell ref="W121:W122"/>
    <mergeCell ref="W123:W124"/>
    <mergeCell ref="W125:W126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83:W84"/>
    <mergeCell ref="W85:W86"/>
    <mergeCell ref="W87:W88"/>
    <mergeCell ref="W89:W90"/>
    <mergeCell ref="W91:W92"/>
    <mergeCell ref="W64:W65"/>
    <mergeCell ref="W66:W67"/>
    <mergeCell ref="W68:W69"/>
    <mergeCell ref="W70:W71"/>
    <mergeCell ref="W72:W73"/>
    <mergeCell ref="W74:W75"/>
    <mergeCell ref="W77:W78"/>
    <mergeCell ref="W79:W80"/>
    <mergeCell ref="W81:W82"/>
    <mergeCell ref="W45:W46"/>
    <mergeCell ref="W47:W48"/>
    <mergeCell ref="W49:W50"/>
    <mergeCell ref="W51:W52"/>
    <mergeCell ref="W53:W54"/>
    <mergeCell ref="W55:W56"/>
    <mergeCell ref="W57:W58"/>
    <mergeCell ref="W60:W61"/>
    <mergeCell ref="W62:W63"/>
    <mergeCell ref="W26:W27"/>
    <mergeCell ref="W28:W29"/>
    <mergeCell ref="W30:W31"/>
    <mergeCell ref="W32:W33"/>
    <mergeCell ref="W34:W35"/>
    <mergeCell ref="W36:W37"/>
    <mergeCell ref="W38:W39"/>
    <mergeCell ref="W40:W41"/>
    <mergeCell ref="W43:W44"/>
    <mergeCell ref="W6:W8"/>
    <mergeCell ref="W9:W10"/>
    <mergeCell ref="W11:W12"/>
    <mergeCell ref="W13:W14"/>
    <mergeCell ref="W15:W16"/>
    <mergeCell ref="W17:W18"/>
    <mergeCell ref="W19:W20"/>
    <mergeCell ref="W21:W22"/>
    <mergeCell ref="W23:W24"/>
    <mergeCell ref="U110:V110"/>
    <mergeCell ref="E64:H65"/>
    <mergeCell ref="I64:J65"/>
    <mergeCell ref="K64:L65"/>
    <mergeCell ref="M64:N65"/>
    <mergeCell ref="O64:P65"/>
    <mergeCell ref="Q64:R65"/>
    <mergeCell ref="S64:T65"/>
    <mergeCell ref="M108:N109"/>
    <mergeCell ref="O108:P109"/>
    <mergeCell ref="Q108:R109"/>
    <mergeCell ref="S108:T109"/>
    <mergeCell ref="U100:V101"/>
    <mergeCell ref="U102:V103"/>
    <mergeCell ref="U106:V107"/>
    <mergeCell ref="Q104:R105"/>
    <mergeCell ref="S104:T105"/>
    <mergeCell ref="M102:N103"/>
    <mergeCell ref="O102:P103"/>
    <mergeCell ref="Q102:R103"/>
    <mergeCell ref="M94:N95"/>
    <mergeCell ref="O94:P95"/>
    <mergeCell ref="Q94:R95"/>
    <mergeCell ref="S94:T95"/>
    <mergeCell ref="B110:D110"/>
    <mergeCell ref="E110:H110"/>
    <mergeCell ref="I110:J110"/>
    <mergeCell ref="K110:L110"/>
    <mergeCell ref="M110:N110"/>
    <mergeCell ref="O110:P110"/>
    <mergeCell ref="Q110:R110"/>
    <mergeCell ref="S110:T110"/>
    <mergeCell ref="S100:T101"/>
    <mergeCell ref="S102:T103"/>
    <mergeCell ref="B106:D107"/>
    <mergeCell ref="E106:H107"/>
    <mergeCell ref="I106:J107"/>
    <mergeCell ref="K106:L107"/>
    <mergeCell ref="M106:N107"/>
    <mergeCell ref="O106:P107"/>
    <mergeCell ref="Q106:R107"/>
    <mergeCell ref="S106:T107"/>
    <mergeCell ref="B104:D105"/>
    <mergeCell ref="E104:H105"/>
    <mergeCell ref="I104:J105"/>
    <mergeCell ref="K104:L105"/>
    <mergeCell ref="M104:N105"/>
    <mergeCell ref="O104:P105"/>
    <mergeCell ref="E96:H97"/>
    <mergeCell ref="K96:L97"/>
    <mergeCell ref="M96:N97"/>
    <mergeCell ref="O96:P97"/>
    <mergeCell ref="Q96:R97"/>
    <mergeCell ref="B100:D101"/>
    <mergeCell ref="E100:H101"/>
    <mergeCell ref="I100:J101"/>
    <mergeCell ref="K100:L101"/>
    <mergeCell ref="M100:N101"/>
    <mergeCell ref="O100:P101"/>
    <mergeCell ref="Q100:R101"/>
    <mergeCell ref="B98:D99"/>
    <mergeCell ref="E98:H99"/>
    <mergeCell ref="K98:L99"/>
    <mergeCell ref="I96:J97"/>
    <mergeCell ref="I98:J99"/>
    <mergeCell ref="K28:L29"/>
    <mergeCell ref="A94:A109"/>
    <mergeCell ref="B94:D95"/>
    <mergeCell ref="E94:H95"/>
    <mergeCell ref="I94:J95"/>
    <mergeCell ref="K94:L95"/>
    <mergeCell ref="B102:D103"/>
    <mergeCell ref="E102:H103"/>
    <mergeCell ref="I102:J103"/>
    <mergeCell ref="K102:L103"/>
    <mergeCell ref="A77:A92"/>
    <mergeCell ref="B85:D86"/>
    <mergeCell ref="B89:D90"/>
    <mergeCell ref="B77:D78"/>
    <mergeCell ref="B93:D93"/>
    <mergeCell ref="K68:L69"/>
    <mergeCell ref="E59:H59"/>
    <mergeCell ref="E60:H61"/>
    <mergeCell ref="E40:H41"/>
    <mergeCell ref="B108:D109"/>
    <mergeCell ref="E108:H109"/>
    <mergeCell ref="K108:L109"/>
    <mergeCell ref="I72:J73"/>
    <mergeCell ref="B96:D97"/>
    <mergeCell ref="E45:H46"/>
    <mergeCell ref="I43:J44"/>
    <mergeCell ref="I47:J48"/>
    <mergeCell ref="A60:A75"/>
    <mergeCell ref="B51:D52"/>
    <mergeCell ref="B55:D56"/>
    <mergeCell ref="B57:D58"/>
    <mergeCell ref="B60:D61"/>
    <mergeCell ref="B62:D63"/>
    <mergeCell ref="B64:D65"/>
    <mergeCell ref="B66:D67"/>
    <mergeCell ref="B72:D73"/>
    <mergeCell ref="B74:D75"/>
    <mergeCell ref="A9:A24"/>
    <mergeCell ref="B19:D20"/>
    <mergeCell ref="B21:D22"/>
    <mergeCell ref="B23:D24"/>
    <mergeCell ref="B17:D18"/>
    <mergeCell ref="E17:H18"/>
    <mergeCell ref="E43:H44"/>
    <mergeCell ref="E38:H39"/>
    <mergeCell ref="E42:H42"/>
    <mergeCell ref="A6:A8"/>
    <mergeCell ref="A26:A41"/>
    <mergeCell ref="B68:D69"/>
    <mergeCell ref="E68:H69"/>
    <mergeCell ref="I68:J69"/>
    <mergeCell ref="B26:D27"/>
    <mergeCell ref="B28:D29"/>
    <mergeCell ref="B30:D31"/>
    <mergeCell ref="B32:D33"/>
    <mergeCell ref="B34:D35"/>
    <mergeCell ref="B38:D39"/>
    <mergeCell ref="B9:D10"/>
    <mergeCell ref="B11:D12"/>
    <mergeCell ref="B13:D14"/>
    <mergeCell ref="B15:D16"/>
    <mergeCell ref="B40:D41"/>
    <mergeCell ref="B43:D44"/>
    <mergeCell ref="B45:D46"/>
    <mergeCell ref="B47:D48"/>
    <mergeCell ref="B49:D50"/>
    <mergeCell ref="A43:A58"/>
    <mergeCell ref="B25:D25"/>
    <mergeCell ref="E25:H25"/>
    <mergeCell ref="I17:J18"/>
    <mergeCell ref="S11:T12"/>
    <mergeCell ref="U11:V12"/>
    <mergeCell ref="M13:N14"/>
    <mergeCell ref="O13:P14"/>
    <mergeCell ref="Q13:R14"/>
    <mergeCell ref="S13:T14"/>
    <mergeCell ref="U13:V14"/>
    <mergeCell ref="E6:H8"/>
    <mergeCell ref="I6:J8"/>
    <mergeCell ref="K6:L8"/>
    <mergeCell ref="M6:N8"/>
    <mergeCell ref="E9:H10"/>
    <mergeCell ref="E11:H12"/>
    <mergeCell ref="E13:H14"/>
    <mergeCell ref="Q6:R8"/>
    <mergeCell ref="S6:T8"/>
    <mergeCell ref="O6:P8"/>
    <mergeCell ref="M9:N10"/>
    <mergeCell ref="O9:P10"/>
    <mergeCell ref="Q9:R10"/>
    <mergeCell ref="S9:T10"/>
    <mergeCell ref="O11:P12"/>
    <mergeCell ref="K9:L10"/>
    <mergeCell ref="K11:L12"/>
    <mergeCell ref="K13:L14"/>
    <mergeCell ref="K15:L16"/>
    <mergeCell ref="K17:L18"/>
    <mergeCell ref="M11:N12"/>
    <mergeCell ref="E34:H35"/>
    <mergeCell ref="Q11:R12"/>
    <mergeCell ref="K26:L27"/>
    <mergeCell ref="K25:L25"/>
    <mergeCell ref="M15:N16"/>
    <mergeCell ref="O15:P16"/>
    <mergeCell ref="Q15:R16"/>
    <mergeCell ref="E32:H33"/>
    <mergeCell ref="K30:L31"/>
    <mergeCell ref="K32:L33"/>
    <mergeCell ref="K34:L35"/>
    <mergeCell ref="M30:N31"/>
    <mergeCell ref="O30:P31"/>
    <mergeCell ref="Q30:R31"/>
    <mergeCell ref="I30:J31"/>
    <mergeCell ref="I32:J33"/>
    <mergeCell ref="I34:J35"/>
    <mergeCell ref="E23:H24"/>
    <mergeCell ref="I11:J12"/>
    <mergeCell ref="I28:J29"/>
    <mergeCell ref="S15:T16"/>
    <mergeCell ref="U15:V16"/>
    <mergeCell ref="M17:N18"/>
    <mergeCell ref="O17:P18"/>
    <mergeCell ref="Q17:R18"/>
    <mergeCell ref="S17:T18"/>
    <mergeCell ref="U17:V18"/>
    <mergeCell ref="K21:L22"/>
    <mergeCell ref="K23:L24"/>
    <mergeCell ref="M21:N22"/>
    <mergeCell ref="O21:P22"/>
    <mergeCell ref="Q21:R22"/>
    <mergeCell ref="S21:T22"/>
    <mergeCell ref="U21:V22"/>
    <mergeCell ref="M23:N24"/>
    <mergeCell ref="O23:P24"/>
    <mergeCell ref="Q23:R24"/>
    <mergeCell ref="S23:T24"/>
    <mergeCell ref="U23:V24"/>
    <mergeCell ref="B91:D92"/>
    <mergeCell ref="B42:D42"/>
    <mergeCell ref="B59:D59"/>
    <mergeCell ref="B76:D76"/>
    <mergeCell ref="E26:H27"/>
    <mergeCell ref="B79:D80"/>
    <mergeCell ref="B81:D82"/>
    <mergeCell ref="B83:D84"/>
    <mergeCell ref="E55:H56"/>
    <mergeCell ref="E57:H58"/>
    <mergeCell ref="B36:D37"/>
    <mergeCell ref="E36:H37"/>
    <mergeCell ref="B53:D54"/>
    <mergeCell ref="E53:H54"/>
    <mergeCell ref="B70:D71"/>
    <mergeCell ref="E70:H71"/>
    <mergeCell ref="B87:D88"/>
    <mergeCell ref="E87:H88"/>
    <mergeCell ref="E28:H29"/>
    <mergeCell ref="E30:H31"/>
    <mergeCell ref="E91:H92"/>
    <mergeCell ref="E47:H48"/>
    <mergeCell ref="E85:H86"/>
    <mergeCell ref="E89:H90"/>
    <mergeCell ref="E93:H93"/>
    <mergeCell ref="I9:J10"/>
    <mergeCell ref="I13:J14"/>
    <mergeCell ref="I15:J16"/>
    <mergeCell ref="E74:H75"/>
    <mergeCell ref="E76:H76"/>
    <mergeCell ref="E77:H78"/>
    <mergeCell ref="E79:H80"/>
    <mergeCell ref="E81:H82"/>
    <mergeCell ref="E83:H84"/>
    <mergeCell ref="E62:H63"/>
    <mergeCell ref="E66:H67"/>
    <mergeCell ref="E72:H73"/>
    <mergeCell ref="E49:H50"/>
    <mergeCell ref="E51:H52"/>
    <mergeCell ref="E21:H22"/>
    <mergeCell ref="I83:J84"/>
    <mergeCell ref="I85:J86"/>
    <mergeCell ref="I77:J78"/>
    <mergeCell ref="I26:J27"/>
    <mergeCell ref="I21:J22"/>
    <mergeCell ref="I36:J37"/>
    <mergeCell ref="E15:H16"/>
    <mergeCell ref="I79:J80"/>
    <mergeCell ref="K36:L37"/>
    <mergeCell ref="I53:J54"/>
    <mergeCell ref="K53:L54"/>
    <mergeCell ref="I70:J71"/>
    <mergeCell ref="K70:L71"/>
    <mergeCell ref="I38:J39"/>
    <mergeCell ref="K49:L50"/>
    <mergeCell ref="K51:L52"/>
    <mergeCell ref="K55:L56"/>
    <mergeCell ref="K57:L58"/>
    <mergeCell ref="K38:L39"/>
    <mergeCell ref="K40:L41"/>
    <mergeCell ref="K42:L42"/>
    <mergeCell ref="K43:L44"/>
    <mergeCell ref="K45:L46"/>
    <mergeCell ref="I66:J67"/>
    <mergeCell ref="I45:J46"/>
    <mergeCell ref="I62:J63"/>
    <mergeCell ref="I49:J50"/>
    <mergeCell ref="I51:J52"/>
    <mergeCell ref="I55:J56"/>
    <mergeCell ref="I60:J61"/>
    <mergeCell ref="K93:L93"/>
    <mergeCell ref="I25:J25"/>
    <mergeCell ref="I42:J42"/>
    <mergeCell ref="I59:J59"/>
    <mergeCell ref="I76:J76"/>
    <mergeCell ref="I93:J93"/>
    <mergeCell ref="K81:L82"/>
    <mergeCell ref="K83:L84"/>
    <mergeCell ref="K85:L86"/>
    <mergeCell ref="K89:L90"/>
    <mergeCell ref="K91:L92"/>
    <mergeCell ref="K72:L73"/>
    <mergeCell ref="K74:L75"/>
    <mergeCell ref="K76:L76"/>
    <mergeCell ref="K77:L78"/>
    <mergeCell ref="K79:L80"/>
    <mergeCell ref="K59:L59"/>
    <mergeCell ref="K62:L63"/>
    <mergeCell ref="K66:L67"/>
    <mergeCell ref="K47:L48"/>
    <mergeCell ref="I89:J90"/>
    <mergeCell ref="I81:J82"/>
    <mergeCell ref="I87:J88"/>
    <mergeCell ref="K87:L88"/>
    <mergeCell ref="Q25:R25"/>
    <mergeCell ref="S25:T25"/>
    <mergeCell ref="U25:V25"/>
    <mergeCell ref="M26:N27"/>
    <mergeCell ref="O26:P27"/>
    <mergeCell ref="Q26:R27"/>
    <mergeCell ref="S26:T27"/>
    <mergeCell ref="U26:V27"/>
    <mergeCell ref="S28:T29"/>
    <mergeCell ref="M38:N39"/>
    <mergeCell ref="O38:P39"/>
    <mergeCell ref="Q38:R39"/>
    <mergeCell ref="S38:T39"/>
    <mergeCell ref="U38:V39"/>
    <mergeCell ref="M40:N41"/>
    <mergeCell ref="O40:P41"/>
    <mergeCell ref="Q40:R41"/>
    <mergeCell ref="S40:T41"/>
    <mergeCell ref="U40:V41"/>
    <mergeCell ref="M42:N42"/>
    <mergeCell ref="O42:P42"/>
    <mergeCell ref="Q42:R42"/>
    <mergeCell ref="S42:T42"/>
    <mergeCell ref="U42:V42"/>
    <mergeCell ref="M43:N44"/>
    <mergeCell ref="O43:P44"/>
    <mergeCell ref="Q43:R44"/>
    <mergeCell ref="S43:T44"/>
    <mergeCell ref="U43:V44"/>
    <mergeCell ref="M45:N46"/>
    <mergeCell ref="O45:P46"/>
    <mergeCell ref="Q45:R46"/>
    <mergeCell ref="S45:T46"/>
    <mergeCell ref="U45:V46"/>
    <mergeCell ref="M47:N48"/>
    <mergeCell ref="O47:P48"/>
    <mergeCell ref="Q47:R48"/>
    <mergeCell ref="S47:T48"/>
    <mergeCell ref="U47:V48"/>
    <mergeCell ref="M49:N50"/>
    <mergeCell ref="O49:P50"/>
    <mergeCell ref="Q49:R50"/>
    <mergeCell ref="S49:T50"/>
    <mergeCell ref="U49:V50"/>
    <mergeCell ref="M51:N52"/>
    <mergeCell ref="O51:P52"/>
    <mergeCell ref="Q51:R52"/>
    <mergeCell ref="S51:T52"/>
    <mergeCell ref="U51:V52"/>
    <mergeCell ref="M55:N56"/>
    <mergeCell ref="O55:P56"/>
    <mergeCell ref="Q55:R56"/>
    <mergeCell ref="S55:T56"/>
    <mergeCell ref="U55:V56"/>
    <mergeCell ref="M57:N58"/>
    <mergeCell ref="O57:P58"/>
    <mergeCell ref="Q57:R58"/>
    <mergeCell ref="S57:T58"/>
    <mergeCell ref="U57:V58"/>
    <mergeCell ref="M59:N59"/>
    <mergeCell ref="O59:P59"/>
    <mergeCell ref="Q59:R59"/>
    <mergeCell ref="S59:T59"/>
    <mergeCell ref="U59:V59"/>
    <mergeCell ref="O60:P61"/>
    <mergeCell ref="Q60:R61"/>
    <mergeCell ref="S60:T61"/>
    <mergeCell ref="U60:V61"/>
    <mergeCell ref="M60:N61"/>
    <mergeCell ref="Q62:R63"/>
    <mergeCell ref="S62:T63"/>
    <mergeCell ref="U62:V63"/>
    <mergeCell ref="M98:N99"/>
    <mergeCell ref="O98:P99"/>
    <mergeCell ref="Q98:R99"/>
    <mergeCell ref="S98:T99"/>
    <mergeCell ref="U64:V65"/>
    <mergeCell ref="M66:N67"/>
    <mergeCell ref="O66:P67"/>
    <mergeCell ref="Q66:R67"/>
    <mergeCell ref="S66:T67"/>
    <mergeCell ref="U66:V67"/>
    <mergeCell ref="M72:N73"/>
    <mergeCell ref="O72:P73"/>
    <mergeCell ref="Q72:R73"/>
    <mergeCell ref="S72:T73"/>
    <mergeCell ref="U72:V73"/>
    <mergeCell ref="O68:P69"/>
    <mergeCell ref="Q68:R69"/>
    <mergeCell ref="S68:T69"/>
    <mergeCell ref="M70:N71"/>
    <mergeCell ref="S96:T97"/>
    <mergeCell ref="S83:T84"/>
    <mergeCell ref="U83:V84"/>
    <mergeCell ref="M74:N75"/>
    <mergeCell ref="O74:P75"/>
    <mergeCell ref="Q74:R75"/>
    <mergeCell ref="S74:T75"/>
    <mergeCell ref="U74:V75"/>
    <mergeCell ref="M76:N76"/>
    <mergeCell ref="O76:P76"/>
    <mergeCell ref="Q76:R76"/>
    <mergeCell ref="S76:T76"/>
    <mergeCell ref="U76:V76"/>
    <mergeCell ref="X111:Z126"/>
    <mergeCell ref="M93:N93"/>
    <mergeCell ref="O93:P93"/>
    <mergeCell ref="Q93:R93"/>
    <mergeCell ref="S93:T93"/>
    <mergeCell ref="U93:V93"/>
    <mergeCell ref="B6:D8"/>
    <mergeCell ref="K60:L61"/>
    <mergeCell ref="M89:N90"/>
    <mergeCell ref="O89:P90"/>
    <mergeCell ref="Q89:R90"/>
    <mergeCell ref="S89:T90"/>
    <mergeCell ref="U89:V90"/>
    <mergeCell ref="M91:N92"/>
    <mergeCell ref="O91:P92"/>
    <mergeCell ref="Q91:R92"/>
    <mergeCell ref="S91:T92"/>
    <mergeCell ref="U91:V92"/>
    <mergeCell ref="M85:N86"/>
    <mergeCell ref="O85:P86"/>
    <mergeCell ref="M79:N80"/>
    <mergeCell ref="O79:P80"/>
    <mergeCell ref="Q79:R80"/>
    <mergeCell ref="S79:T80"/>
    <mergeCell ref="X6:Z8"/>
    <mergeCell ref="X60:Z75"/>
    <mergeCell ref="X43:Z58"/>
    <mergeCell ref="X26:Z41"/>
    <mergeCell ref="X9:Z24"/>
    <mergeCell ref="X94:Z109"/>
    <mergeCell ref="X77:Z92"/>
    <mergeCell ref="U68:V69"/>
    <mergeCell ref="U6:V8"/>
    <mergeCell ref="U94:V95"/>
    <mergeCell ref="U98:V99"/>
    <mergeCell ref="U104:V105"/>
    <mergeCell ref="U79:V80"/>
    <mergeCell ref="U96:V97"/>
    <mergeCell ref="U108:V109"/>
    <mergeCell ref="U70:V71"/>
    <mergeCell ref="U77:V78"/>
    <mergeCell ref="U85:V86"/>
    <mergeCell ref="U81:V82"/>
    <mergeCell ref="U32:V33"/>
    <mergeCell ref="U34:V35"/>
    <mergeCell ref="U9:V10"/>
    <mergeCell ref="U28:V29"/>
    <mergeCell ref="U30:V31"/>
    <mergeCell ref="S36:T37"/>
    <mergeCell ref="U36:V37"/>
    <mergeCell ref="E19:H20"/>
    <mergeCell ref="I19:J20"/>
    <mergeCell ref="K19:L20"/>
    <mergeCell ref="M19:N20"/>
    <mergeCell ref="O19:P20"/>
    <mergeCell ref="Q19:R20"/>
    <mergeCell ref="S19:T20"/>
    <mergeCell ref="U19:V20"/>
    <mergeCell ref="M32:N33"/>
    <mergeCell ref="O32:P33"/>
    <mergeCell ref="Q32:R33"/>
    <mergeCell ref="S32:T33"/>
    <mergeCell ref="M34:N35"/>
    <mergeCell ref="O34:P35"/>
    <mergeCell ref="Q34:R35"/>
    <mergeCell ref="S34:T35"/>
    <mergeCell ref="M28:N29"/>
    <mergeCell ref="O28:P29"/>
    <mergeCell ref="Q28:R29"/>
    <mergeCell ref="S30:T31"/>
    <mergeCell ref="M25:N25"/>
    <mergeCell ref="O25:P25"/>
    <mergeCell ref="S87:T88"/>
    <mergeCell ref="U87:V88"/>
    <mergeCell ref="M53:N54"/>
    <mergeCell ref="O53:P54"/>
    <mergeCell ref="Q53:R54"/>
    <mergeCell ref="S53:T54"/>
    <mergeCell ref="U53:V54"/>
    <mergeCell ref="M77:N78"/>
    <mergeCell ref="O77:P78"/>
    <mergeCell ref="Q77:R78"/>
    <mergeCell ref="S77:T78"/>
    <mergeCell ref="Q85:R86"/>
    <mergeCell ref="S85:T86"/>
    <mergeCell ref="M81:N82"/>
    <mergeCell ref="O81:P82"/>
    <mergeCell ref="Q81:R82"/>
    <mergeCell ref="S81:T82"/>
    <mergeCell ref="M83:N84"/>
    <mergeCell ref="O83:P84"/>
    <mergeCell ref="O70:P71"/>
    <mergeCell ref="Q70:R71"/>
    <mergeCell ref="S70:T71"/>
    <mergeCell ref="M68:N69"/>
    <mergeCell ref="Q83:R84"/>
    <mergeCell ref="A111:A126"/>
    <mergeCell ref="B111:D112"/>
    <mergeCell ref="E111:H112"/>
    <mergeCell ref="I111:J112"/>
    <mergeCell ref="K111:L112"/>
    <mergeCell ref="M111:N112"/>
    <mergeCell ref="O111:P112"/>
    <mergeCell ref="Q111:R112"/>
    <mergeCell ref="B115:D116"/>
    <mergeCell ref="U111:V112"/>
    <mergeCell ref="B113:D114"/>
    <mergeCell ref="E113:H114"/>
    <mergeCell ref="K113:L114"/>
    <mergeCell ref="M113:N114"/>
    <mergeCell ref="O113:P114"/>
    <mergeCell ref="Q113:R114"/>
    <mergeCell ref="S113:T114"/>
    <mergeCell ref="U113:V114"/>
    <mergeCell ref="S111:T112"/>
    <mergeCell ref="I113:J114"/>
    <mergeCell ref="U115:V116"/>
    <mergeCell ref="B117:D118"/>
    <mergeCell ref="E117:H118"/>
    <mergeCell ref="I117:J118"/>
    <mergeCell ref="K117:L118"/>
    <mergeCell ref="M117:N118"/>
    <mergeCell ref="O117:P118"/>
    <mergeCell ref="Q117:R118"/>
    <mergeCell ref="S117:T118"/>
    <mergeCell ref="U117:V118"/>
    <mergeCell ref="E115:H116"/>
    <mergeCell ref="I115:J116"/>
    <mergeCell ref="K115:L116"/>
    <mergeCell ref="M115:N116"/>
    <mergeCell ref="O115:P116"/>
    <mergeCell ref="Q115:R116"/>
    <mergeCell ref="S115:T116"/>
    <mergeCell ref="U119:V120"/>
    <mergeCell ref="B121:D122"/>
    <mergeCell ref="E121:H122"/>
    <mergeCell ref="I121:J122"/>
    <mergeCell ref="K121:L122"/>
    <mergeCell ref="M121:N122"/>
    <mergeCell ref="O121:P122"/>
    <mergeCell ref="Q121:R122"/>
    <mergeCell ref="S121:T122"/>
    <mergeCell ref="U121:V122"/>
    <mergeCell ref="B119:D120"/>
    <mergeCell ref="E119:H120"/>
    <mergeCell ref="I119:J120"/>
    <mergeCell ref="K119:L120"/>
    <mergeCell ref="M119:N120"/>
    <mergeCell ref="O119:P120"/>
    <mergeCell ref="Q119:R120"/>
    <mergeCell ref="S119:T120"/>
    <mergeCell ref="U123:V124"/>
    <mergeCell ref="B125:D126"/>
    <mergeCell ref="E125:H126"/>
    <mergeCell ref="K125:L126"/>
    <mergeCell ref="M125:N126"/>
    <mergeCell ref="O125:P126"/>
    <mergeCell ref="Q125:R126"/>
    <mergeCell ref="S125:T126"/>
    <mergeCell ref="U125:V126"/>
    <mergeCell ref="B123:D124"/>
    <mergeCell ref="E123:H124"/>
    <mergeCell ref="I123:J124"/>
    <mergeCell ref="K123:L124"/>
    <mergeCell ref="M123:N124"/>
    <mergeCell ref="O123:P124"/>
    <mergeCell ref="Q123:R124"/>
    <mergeCell ref="S123:T124"/>
    <mergeCell ref="S127:T127"/>
    <mergeCell ref="U127:V127"/>
    <mergeCell ref="A128:A143"/>
    <mergeCell ref="B128:D129"/>
    <mergeCell ref="E128:H129"/>
    <mergeCell ref="I128:J129"/>
    <mergeCell ref="K128:L129"/>
    <mergeCell ref="M128:N129"/>
    <mergeCell ref="O128:P129"/>
    <mergeCell ref="Q128:R129"/>
    <mergeCell ref="S128:T129"/>
    <mergeCell ref="M134:N135"/>
    <mergeCell ref="O134:P135"/>
    <mergeCell ref="Q134:R135"/>
    <mergeCell ref="S134:T135"/>
    <mergeCell ref="B138:D139"/>
    <mergeCell ref="E138:H139"/>
    <mergeCell ref="I138:J139"/>
    <mergeCell ref="K138:L139"/>
    <mergeCell ref="M138:N139"/>
    <mergeCell ref="O138:P139"/>
    <mergeCell ref="Q138:R139"/>
    <mergeCell ref="S138:T139"/>
    <mergeCell ref="B140:D141"/>
    <mergeCell ref="U128:V129"/>
    <mergeCell ref="Q136:R137"/>
    <mergeCell ref="S136:T137"/>
    <mergeCell ref="U136:V137"/>
    <mergeCell ref="E132:H133"/>
    <mergeCell ref="I132:J133"/>
    <mergeCell ref="K132:L133"/>
    <mergeCell ref="M132:N133"/>
    <mergeCell ref="O132:P133"/>
    <mergeCell ref="Q132:R133"/>
    <mergeCell ref="S132:T133"/>
    <mergeCell ref="I130:J131"/>
    <mergeCell ref="X128:Z143"/>
    <mergeCell ref="B130:D131"/>
    <mergeCell ref="E130:H131"/>
    <mergeCell ref="K130:L131"/>
    <mergeCell ref="M130:N131"/>
    <mergeCell ref="O130:P131"/>
    <mergeCell ref="Q130:R131"/>
    <mergeCell ref="S130:T131"/>
    <mergeCell ref="U130:V131"/>
    <mergeCell ref="B132:D133"/>
    <mergeCell ref="U132:V133"/>
    <mergeCell ref="B134:D135"/>
    <mergeCell ref="E134:H135"/>
    <mergeCell ref="I134:J135"/>
    <mergeCell ref="K134:L135"/>
    <mergeCell ref="U138:V139"/>
    <mergeCell ref="U134:V135"/>
    <mergeCell ref="B136:D137"/>
    <mergeCell ref="E136:H137"/>
    <mergeCell ref="I136:J137"/>
    <mergeCell ref="K136:L137"/>
    <mergeCell ref="M136:N137"/>
    <mergeCell ref="O136:P137"/>
    <mergeCell ref="E140:H141"/>
    <mergeCell ref="U144:V144"/>
    <mergeCell ref="K140:L141"/>
    <mergeCell ref="M140:N141"/>
    <mergeCell ref="O140:P141"/>
    <mergeCell ref="Q140:R141"/>
    <mergeCell ref="S140:T141"/>
    <mergeCell ref="U140:V141"/>
    <mergeCell ref="B142:D143"/>
    <mergeCell ref="E142:H143"/>
    <mergeCell ref="K142:L143"/>
    <mergeCell ref="M142:N143"/>
    <mergeCell ref="O142:P143"/>
    <mergeCell ref="Q142:R143"/>
    <mergeCell ref="S142:T143"/>
    <mergeCell ref="U142:V143"/>
    <mergeCell ref="B144:D144"/>
    <mergeCell ref="E144:H144"/>
    <mergeCell ref="I144:J144"/>
    <mergeCell ref="K144:L144"/>
    <mergeCell ref="M144:N144"/>
    <mergeCell ref="O144:P144"/>
    <mergeCell ref="Q144:R144"/>
    <mergeCell ref="S144:T144"/>
    <mergeCell ref="I140:J141"/>
    <mergeCell ref="I23:J24"/>
    <mergeCell ref="I40:J41"/>
    <mergeCell ref="I57:J58"/>
    <mergeCell ref="I74:J75"/>
    <mergeCell ref="I91:J92"/>
    <mergeCell ref="I108:J109"/>
    <mergeCell ref="I125:J126"/>
    <mergeCell ref="I142:J143"/>
    <mergeCell ref="B3:Q3"/>
    <mergeCell ref="B127:D127"/>
    <mergeCell ref="E127:H127"/>
    <mergeCell ref="I127:J127"/>
    <mergeCell ref="K127:L127"/>
    <mergeCell ref="M127:N127"/>
    <mergeCell ref="O127:P127"/>
    <mergeCell ref="Q127:R127"/>
    <mergeCell ref="M87:N88"/>
    <mergeCell ref="O87:P88"/>
    <mergeCell ref="Q87:R88"/>
    <mergeCell ref="M36:N37"/>
    <mergeCell ref="O36:P37"/>
    <mergeCell ref="Q36:R37"/>
    <mergeCell ref="M62:N63"/>
    <mergeCell ref="O62:P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0"/>
  <sheetViews>
    <sheetView zoomScale="60" zoomScaleNormal="6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Z1" sqref="Z1:Z4"/>
    </sheetView>
  </sheetViews>
  <sheetFormatPr defaultColWidth="8.85546875" defaultRowHeight="15" x14ac:dyDescent="0.25"/>
  <cols>
    <col min="8" max="8" width="12.140625" customWidth="1"/>
    <col min="9" max="9" width="14.140625" bestFit="1" customWidth="1"/>
    <col min="10" max="10" width="10" customWidth="1"/>
    <col min="23" max="23" width="15.28515625" customWidth="1"/>
  </cols>
  <sheetData>
    <row r="1" spans="1:26" x14ac:dyDescent="0.25">
      <c r="Z1" s="29" t="s">
        <v>113</v>
      </c>
    </row>
    <row r="2" spans="1:26" x14ac:dyDescent="0.25">
      <c r="Z2" s="29" t="s">
        <v>114</v>
      </c>
    </row>
    <row r="3" spans="1:26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Z3" s="29" t="s">
        <v>115</v>
      </c>
    </row>
    <row r="4" spans="1:26" x14ac:dyDescent="0.25">
      <c r="Z4" s="29" t="s">
        <v>116</v>
      </c>
    </row>
    <row r="5" spans="1:26" ht="14.45" customHeight="1" thickBot="1" x14ac:dyDescent="0.3">
      <c r="Z5" s="4"/>
    </row>
    <row r="6" spans="1:26" ht="14.45" customHeight="1" x14ac:dyDescent="0.25">
      <c r="A6" s="120" t="s">
        <v>0</v>
      </c>
      <c r="B6" s="123"/>
      <c r="C6" s="124"/>
      <c r="D6" s="125"/>
      <c r="E6" s="68" t="s">
        <v>9</v>
      </c>
      <c r="F6" s="129"/>
      <c r="G6" s="129"/>
      <c r="H6" s="69"/>
      <c r="I6" s="68" t="s">
        <v>10</v>
      </c>
      <c r="J6" s="69"/>
      <c r="K6" s="68" t="s">
        <v>34</v>
      </c>
      <c r="L6" s="69"/>
      <c r="M6" s="68" t="s">
        <v>11</v>
      </c>
      <c r="N6" s="69"/>
      <c r="O6" s="68" t="s">
        <v>12</v>
      </c>
      <c r="P6" s="69"/>
      <c r="Q6" s="68" t="s">
        <v>13</v>
      </c>
      <c r="R6" s="69"/>
      <c r="S6" s="68" t="s">
        <v>14</v>
      </c>
      <c r="T6" s="69"/>
      <c r="U6" s="68" t="s">
        <v>15</v>
      </c>
      <c r="V6" s="69"/>
      <c r="W6" s="111" t="s">
        <v>59</v>
      </c>
      <c r="X6" s="102" t="s">
        <v>18</v>
      </c>
      <c r="Y6" s="103"/>
      <c r="Z6" s="104"/>
    </row>
    <row r="7" spans="1:26" x14ac:dyDescent="0.25">
      <c r="A7" s="121"/>
      <c r="B7" s="123"/>
      <c r="C7" s="124"/>
      <c r="D7" s="125"/>
      <c r="E7" s="70"/>
      <c r="F7" s="130"/>
      <c r="G7" s="13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112"/>
      <c r="X7" s="105"/>
      <c r="Y7" s="106"/>
      <c r="Z7" s="107"/>
    </row>
    <row r="8" spans="1:26" ht="15.75" thickBot="1" x14ac:dyDescent="0.3">
      <c r="A8" s="122"/>
      <c r="B8" s="126"/>
      <c r="C8" s="127"/>
      <c r="D8" s="128"/>
      <c r="E8" s="72"/>
      <c r="F8" s="131"/>
      <c r="G8" s="131"/>
      <c r="H8" s="73"/>
      <c r="I8" s="72"/>
      <c r="J8" s="73"/>
      <c r="K8" s="72"/>
      <c r="L8" s="73"/>
      <c r="M8" s="72"/>
      <c r="N8" s="73"/>
      <c r="O8" s="72"/>
      <c r="P8" s="73"/>
      <c r="Q8" s="72"/>
      <c r="R8" s="73"/>
      <c r="S8" s="72"/>
      <c r="T8" s="73"/>
      <c r="U8" s="72"/>
      <c r="V8" s="73"/>
      <c r="W8" s="113"/>
      <c r="X8" s="284"/>
      <c r="Y8" s="285"/>
      <c r="Z8" s="286"/>
    </row>
    <row r="9" spans="1:26" ht="15" customHeight="1" x14ac:dyDescent="0.25">
      <c r="A9" s="212">
        <v>17</v>
      </c>
      <c r="B9" s="193" t="s">
        <v>1</v>
      </c>
      <c r="C9" s="194"/>
      <c r="D9" s="195"/>
      <c r="E9" s="278" t="s">
        <v>36</v>
      </c>
      <c r="F9" s="279"/>
      <c r="G9" s="279"/>
      <c r="H9" s="280"/>
      <c r="I9" s="291">
        <v>4742870013082</v>
      </c>
      <c r="J9" s="292"/>
      <c r="K9" s="193">
        <v>310</v>
      </c>
      <c r="L9" s="195"/>
      <c r="M9" s="193">
        <v>300</v>
      </c>
      <c r="N9" s="195"/>
      <c r="O9" s="199">
        <v>216</v>
      </c>
      <c r="P9" s="200"/>
      <c r="Q9" s="199">
        <v>27.6</v>
      </c>
      <c r="R9" s="200"/>
      <c r="S9" s="199">
        <v>9.6</v>
      </c>
      <c r="T9" s="200"/>
      <c r="U9" s="199">
        <v>6.3</v>
      </c>
      <c r="V9" s="200"/>
      <c r="W9" s="256"/>
      <c r="X9" s="203">
        <v>26400</v>
      </c>
      <c r="Y9" s="204"/>
      <c r="Z9" s="205"/>
    </row>
    <row r="10" spans="1:26" ht="15.95" customHeight="1" thickBot="1" x14ac:dyDescent="0.3">
      <c r="A10" s="213"/>
      <c r="B10" s="196"/>
      <c r="C10" s="197"/>
      <c r="D10" s="198"/>
      <c r="E10" s="281"/>
      <c r="F10" s="282"/>
      <c r="G10" s="282"/>
      <c r="H10" s="283"/>
      <c r="I10" s="293"/>
      <c r="J10" s="294"/>
      <c r="K10" s="196"/>
      <c r="L10" s="198"/>
      <c r="M10" s="196"/>
      <c r="N10" s="198"/>
      <c r="O10" s="201"/>
      <c r="P10" s="202"/>
      <c r="Q10" s="201"/>
      <c r="R10" s="202"/>
      <c r="S10" s="201"/>
      <c r="T10" s="202"/>
      <c r="U10" s="201"/>
      <c r="V10" s="202"/>
      <c r="W10" s="257"/>
      <c r="X10" s="206"/>
      <c r="Y10" s="207"/>
      <c r="Z10" s="208"/>
    </row>
    <row r="11" spans="1:26" x14ac:dyDescent="0.25">
      <c r="A11" s="213"/>
      <c r="B11" s="193" t="s">
        <v>2</v>
      </c>
      <c r="C11" s="194"/>
      <c r="D11" s="195"/>
      <c r="E11" s="193" t="s">
        <v>20</v>
      </c>
      <c r="F11" s="194"/>
      <c r="G11" s="194"/>
      <c r="H11" s="195"/>
      <c r="I11" s="188"/>
      <c r="J11" s="194"/>
      <c r="K11" s="188">
        <v>55</v>
      </c>
      <c r="L11" s="189"/>
      <c r="M11" s="194">
        <v>50</v>
      </c>
      <c r="N11" s="195"/>
      <c r="O11" s="171">
        <f>444*M11/100</f>
        <v>222</v>
      </c>
      <c r="P11" s="172"/>
      <c r="Q11" s="171">
        <f>66.6*M11/100</f>
        <v>33.299999999999997</v>
      </c>
      <c r="R11" s="172"/>
      <c r="S11" s="171">
        <f>9.7*M11/100</f>
        <v>4.8499999999999996</v>
      </c>
      <c r="T11" s="172"/>
      <c r="U11" s="171">
        <f>16.2*M11/100</f>
        <v>8.1</v>
      </c>
      <c r="V11" s="172"/>
      <c r="W11" s="258"/>
      <c r="X11" s="206"/>
      <c r="Y11" s="207"/>
      <c r="Z11" s="208"/>
    </row>
    <row r="12" spans="1:26" ht="15.75" thickBot="1" x14ac:dyDescent="0.3">
      <c r="A12" s="213"/>
      <c r="B12" s="196"/>
      <c r="C12" s="197"/>
      <c r="D12" s="198"/>
      <c r="E12" s="196"/>
      <c r="F12" s="197"/>
      <c r="G12" s="197"/>
      <c r="H12" s="198"/>
      <c r="I12" s="196"/>
      <c r="J12" s="197"/>
      <c r="K12" s="190"/>
      <c r="L12" s="191"/>
      <c r="M12" s="197"/>
      <c r="N12" s="198"/>
      <c r="O12" s="173"/>
      <c r="P12" s="174"/>
      <c r="Q12" s="173"/>
      <c r="R12" s="174"/>
      <c r="S12" s="173"/>
      <c r="T12" s="174"/>
      <c r="U12" s="173"/>
      <c r="V12" s="174"/>
      <c r="W12" s="259"/>
      <c r="X12" s="206"/>
      <c r="Y12" s="207"/>
      <c r="Z12" s="208"/>
    </row>
    <row r="13" spans="1:26" x14ac:dyDescent="0.25">
      <c r="A13" s="213"/>
      <c r="B13" s="193" t="s">
        <v>3</v>
      </c>
      <c r="C13" s="194"/>
      <c r="D13" s="195"/>
      <c r="E13" s="193" t="s">
        <v>29</v>
      </c>
      <c r="F13" s="194"/>
      <c r="G13" s="194"/>
      <c r="H13" s="195"/>
      <c r="I13" s="188">
        <v>4742870019022</v>
      </c>
      <c r="J13" s="189"/>
      <c r="K13" s="193">
        <v>80</v>
      </c>
      <c r="L13" s="195"/>
      <c r="M13" s="193">
        <v>75</v>
      </c>
      <c r="N13" s="195"/>
      <c r="O13" s="199">
        <v>190.5</v>
      </c>
      <c r="P13" s="200"/>
      <c r="Q13" s="199">
        <v>2.25</v>
      </c>
      <c r="R13" s="200"/>
      <c r="S13" s="199">
        <v>6.23</v>
      </c>
      <c r="T13" s="200"/>
      <c r="U13" s="199">
        <v>17.329999999999998</v>
      </c>
      <c r="V13" s="200"/>
      <c r="W13" s="258"/>
      <c r="X13" s="206"/>
      <c r="Y13" s="207"/>
      <c r="Z13" s="208"/>
    </row>
    <row r="14" spans="1:26" ht="15.75" thickBot="1" x14ac:dyDescent="0.3">
      <c r="A14" s="213"/>
      <c r="B14" s="196"/>
      <c r="C14" s="197"/>
      <c r="D14" s="198"/>
      <c r="E14" s="196"/>
      <c r="F14" s="197"/>
      <c r="G14" s="197"/>
      <c r="H14" s="198"/>
      <c r="I14" s="190"/>
      <c r="J14" s="191"/>
      <c r="K14" s="196"/>
      <c r="L14" s="198"/>
      <c r="M14" s="196"/>
      <c r="N14" s="198"/>
      <c r="O14" s="201"/>
      <c r="P14" s="202"/>
      <c r="Q14" s="201"/>
      <c r="R14" s="202"/>
      <c r="S14" s="201"/>
      <c r="T14" s="202"/>
      <c r="U14" s="201"/>
      <c r="V14" s="202"/>
      <c r="W14" s="255"/>
      <c r="X14" s="206"/>
      <c r="Y14" s="207"/>
      <c r="Z14" s="208"/>
    </row>
    <row r="15" spans="1:26" ht="15" customHeight="1" x14ac:dyDescent="0.25">
      <c r="A15" s="213"/>
      <c r="B15" s="193" t="s">
        <v>4</v>
      </c>
      <c r="C15" s="194"/>
      <c r="D15" s="195"/>
      <c r="E15" s="193" t="s">
        <v>69</v>
      </c>
      <c r="F15" s="194"/>
      <c r="G15" s="194"/>
      <c r="H15" s="195"/>
      <c r="I15" s="188"/>
      <c r="J15" s="189"/>
      <c r="K15" s="193">
        <v>95</v>
      </c>
      <c r="L15" s="195"/>
      <c r="M15" s="193">
        <v>90</v>
      </c>
      <c r="N15" s="195"/>
      <c r="O15" s="199">
        <v>293.25</v>
      </c>
      <c r="P15" s="200"/>
      <c r="Q15" s="199">
        <v>51.4</v>
      </c>
      <c r="R15" s="200"/>
      <c r="S15" s="199">
        <v>2.89</v>
      </c>
      <c r="T15" s="200"/>
      <c r="U15" s="199">
        <v>8.33</v>
      </c>
      <c r="V15" s="200"/>
      <c r="W15" s="258"/>
      <c r="X15" s="206"/>
      <c r="Y15" s="207"/>
      <c r="Z15" s="208"/>
    </row>
    <row r="16" spans="1:26" ht="15.75" thickBot="1" x14ac:dyDescent="0.3">
      <c r="A16" s="213"/>
      <c r="B16" s="196"/>
      <c r="C16" s="197"/>
      <c r="D16" s="198"/>
      <c r="E16" s="196"/>
      <c r="F16" s="197"/>
      <c r="G16" s="197"/>
      <c r="H16" s="198"/>
      <c r="I16" s="190"/>
      <c r="J16" s="191"/>
      <c r="K16" s="196"/>
      <c r="L16" s="198"/>
      <c r="M16" s="196"/>
      <c r="N16" s="198"/>
      <c r="O16" s="201"/>
      <c r="P16" s="202"/>
      <c r="Q16" s="201"/>
      <c r="R16" s="202"/>
      <c r="S16" s="201"/>
      <c r="T16" s="202"/>
      <c r="U16" s="201"/>
      <c r="V16" s="202"/>
      <c r="W16" s="255"/>
      <c r="X16" s="206"/>
      <c r="Y16" s="207"/>
      <c r="Z16" s="208"/>
    </row>
    <row r="17" spans="1:26" x14ac:dyDescent="0.25">
      <c r="A17" s="213"/>
      <c r="B17" s="193" t="s">
        <v>35</v>
      </c>
      <c r="C17" s="194"/>
      <c r="D17" s="195"/>
      <c r="E17" s="193" t="s">
        <v>82</v>
      </c>
      <c r="F17" s="194"/>
      <c r="G17" s="194"/>
      <c r="H17" s="195"/>
      <c r="I17" s="188"/>
      <c r="J17" s="189"/>
      <c r="K17" s="193">
        <v>3</v>
      </c>
      <c r="L17" s="195"/>
      <c r="M17" s="193">
        <v>2</v>
      </c>
      <c r="N17" s="195"/>
      <c r="O17" s="199">
        <v>5.4</v>
      </c>
      <c r="P17" s="200"/>
      <c r="Q17" s="199">
        <v>0.4</v>
      </c>
      <c r="R17" s="200"/>
      <c r="S17" s="199">
        <v>0.4</v>
      </c>
      <c r="T17" s="200"/>
      <c r="U17" s="199">
        <v>0</v>
      </c>
      <c r="V17" s="200"/>
      <c r="W17" s="258"/>
      <c r="X17" s="206"/>
      <c r="Y17" s="207"/>
      <c r="Z17" s="208"/>
    </row>
    <row r="18" spans="1:26" ht="15.75" thickBot="1" x14ac:dyDescent="0.3">
      <c r="A18" s="213"/>
      <c r="B18" s="196"/>
      <c r="C18" s="197"/>
      <c r="D18" s="198"/>
      <c r="E18" s="196"/>
      <c r="F18" s="197"/>
      <c r="G18" s="197"/>
      <c r="H18" s="198"/>
      <c r="I18" s="190"/>
      <c r="J18" s="191"/>
      <c r="K18" s="196"/>
      <c r="L18" s="198"/>
      <c r="M18" s="196"/>
      <c r="N18" s="198"/>
      <c r="O18" s="201"/>
      <c r="P18" s="202"/>
      <c r="Q18" s="201"/>
      <c r="R18" s="202"/>
      <c r="S18" s="201"/>
      <c r="T18" s="202"/>
      <c r="U18" s="201"/>
      <c r="V18" s="202"/>
      <c r="W18" s="255"/>
      <c r="X18" s="206"/>
      <c r="Y18" s="207"/>
      <c r="Z18" s="208"/>
    </row>
    <row r="19" spans="1:26" x14ac:dyDescent="0.25">
      <c r="A19" s="213"/>
      <c r="B19" s="193" t="s">
        <v>5</v>
      </c>
      <c r="C19" s="194"/>
      <c r="D19" s="195"/>
      <c r="E19" s="193" t="s">
        <v>44</v>
      </c>
      <c r="F19" s="194"/>
      <c r="G19" s="194"/>
      <c r="H19" s="195"/>
      <c r="I19" s="188">
        <v>4742870011989</v>
      </c>
      <c r="J19" s="189"/>
      <c r="K19" s="193">
        <v>32</v>
      </c>
      <c r="L19" s="195"/>
      <c r="M19" s="193">
        <v>30</v>
      </c>
      <c r="N19" s="195"/>
      <c r="O19" s="199">
        <v>183.6</v>
      </c>
      <c r="P19" s="200"/>
      <c r="Q19" s="199">
        <v>2.25</v>
      </c>
      <c r="R19" s="200"/>
      <c r="S19" s="199">
        <v>9.4499999999999993</v>
      </c>
      <c r="T19" s="200"/>
      <c r="U19" s="199">
        <v>14.58</v>
      </c>
      <c r="V19" s="200"/>
      <c r="W19" s="258"/>
      <c r="X19" s="206"/>
      <c r="Y19" s="207"/>
      <c r="Z19" s="208"/>
    </row>
    <row r="20" spans="1:26" ht="15.75" thickBot="1" x14ac:dyDescent="0.3">
      <c r="A20" s="213"/>
      <c r="B20" s="196"/>
      <c r="C20" s="197"/>
      <c r="D20" s="198"/>
      <c r="E20" s="196"/>
      <c r="F20" s="197"/>
      <c r="G20" s="197"/>
      <c r="H20" s="198"/>
      <c r="I20" s="190"/>
      <c r="J20" s="191"/>
      <c r="K20" s="196"/>
      <c r="L20" s="198"/>
      <c r="M20" s="196"/>
      <c r="N20" s="198"/>
      <c r="O20" s="201"/>
      <c r="P20" s="202"/>
      <c r="Q20" s="201"/>
      <c r="R20" s="202"/>
      <c r="S20" s="201"/>
      <c r="T20" s="202"/>
      <c r="U20" s="201"/>
      <c r="V20" s="202"/>
      <c r="W20" s="255"/>
      <c r="X20" s="206"/>
      <c r="Y20" s="207"/>
      <c r="Z20" s="208"/>
    </row>
    <row r="21" spans="1:26" x14ac:dyDescent="0.25">
      <c r="A21" s="213"/>
      <c r="B21" s="193" t="s">
        <v>6</v>
      </c>
      <c r="C21" s="194"/>
      <c r="D21" s="195"/>
      <c r="E21" s="193" t="s">
        <v>45</v>
      </c>
      <c r="F21" s="194"/>
      <c r="G21" s="194"/>
      <c r="H21" s="195"/>
      <c r="I21" s="188">
        <v>4742870017790</v>
      </c>
      <c r="J21" s="189"/>
      <c r="K21" s="193">
        <v>42</v>
      </c>
      <c r="L21" s="195"/>
      <c r="M21" s="193">
        <v>40</v>
      </c>
      <c r="N21" s="195"/>
      <c r="O21" s="199">
        <v>109.4</v>
      </c>
      <c r="P21" s="200"/>
      <c r="Q21" s="199">
        <v>27.4</v>
      </c>
      <c r="R21" s="200"/>
      <c r="S21" s="199">
        <v>0</v>
      </c>
      <c r="T21" s="200"/>
      <c r="U21" s="199">
        <v>0</v>
      </c>
      <c r="V21" s="200"/>
      <c r="W21" s="258"/>
      <c r="X21" s="206"/>
      <c r="Y21" s="207"/>
      <c r="Z21" s="208"/>
    </row>
    <row r="22" spans="1:26" ht="15.75" thickBot="1" x14ac:dyDescent="0.3">
      <c r="A22" s="213"/>
      <c r="B22" s="196"/>
      <c r="C22" s="197"/>
      <c r="D22" s="198"/>
      <c r="E22" s="196"/>
      <c r="F22" s="197"/>
      <c r="G22" s="197"/>
      <c r="H22" s="198"/>
      <c r="I22" s="190"/>
      <c r="J22" s="191"/>
      <c r="K22" s="196"/>
      <c r="L22" s="198"/>
      <c r="M22" s="196"/>
      <c r="N22" s="198"/>
      <c r="O22" s="201"/>
      <c r="P22" s="202"/>
      <c r="Q22" s="201"/>
      <c r="R22" s="202"/>
      <c r="S22" s="201"/>
      <c r="T22" s="202"/>
      <c r="U22" s="201"/>
      <c r="V22" s="202"/>
      <c r="W22" s="255"/>
      <c r="X22" s="206"/>
      <c r="Y22" s="207"/>
      <c r="Z22" s="208"/>
    </row>
    <row r="23" spans="1:26" x14ac:dyDescent="0.25">
      <c r="A23" s="213"/>
      <c r="B23" s="193" t="s">
        <v>7</v>
      </c>
      <c r="C23" s="194"/>
      <c r="D23" s="195"/>
      <c r="E23" s="193" t="s">
        <v>66</v>
      </c>
      <c r="F23" s="194"/>
      <c r="G23" s="194"/>
      <c r="H23" s="195"/>
      <c r="I23" s="188"/>
      <c r="J23" s="195"/>
      <c r="K23" s="188">
        <v>4</v>
      </c>
      <c r="L23" s="189"/>
      <c r="M23" s="193">
        <v>2</v>
      </c>
      <c r="N23" s="195"/>
      <c r="O23" s="171">
        <v>0</v>
      </c>
      <c r="P23" s="172"/>
      <c r="Q23" s="171">
        <v>0</v>
      </c>
      <c r="R23" s="172"/>
      <c r="S23" s="171">
        <v>0</v>
      </c>
      <c r="T23" s="172"/>
      <c r="U23" s="171">
        <v>0</v>
      </c>
      <c r="V23" s="172"/>
      <c r="W23" s="254"/>
      <c r="X23" s="206"/>
      <c r="Y23" s="207"/>
      <c r="Z23" s="208"/>
    </row>
    <row r="24" spans="1:26" ht="15.75" thickBot="1" x14ac:dyDescent="0.3">
      <c r="A24" s="213"/>
      <c r="B24" s="196"/>
      <c r="C24" s="197"/>
      <c r="D24" s="198"/>
      <c r="E24" s="196"/>
      <c r="F24" s="197"/>
      <c r="G24" s="197"/>
      <c r="H24" s="198"/>
      <c r="I24" s="196"/>
      <c r="J24" s="198"/>
      <c r="K24" s="190"/>
      <c r="L24" s="191"/>
      <c r="M24" s="196"/>
      <c r="N24" s="198"/>
      <c r="O24" s="173"/>
      <c r="P24" s="174"/>
      <c r="Q24" s="173"/>
      <c r="R24" s="174"/>
      <c r="S24" s="173"/>
      <c r="T24" s="174"/>
      <c r="U24" s="173"/>
      <c r="V24" s="174"/>
      <c r="W24" s="255"/>
      <c r="X24" s="206"/>
      <c r="Y24" s="207"/>
      <c r="Z24" s="208"/>
    </row>
    <row r="25" spans="1:26" x14ac:dyDescent="0.25">
      <c r="A25" s="213"/>
      <c r="B25" s="193" t="s">
        <v>8</v>
      </c>
      <c r="C25" s="194"/>
      <c r="D25" s="195"/>
      <c r="E25" s="193" t="s">
        <v>8</v>
      </c>
      <c r="F25" s="194"/>
      <c r="G25" s="194"/>
      <c r="H25" s="195"/>
      <c r="I25" s="188"/>
      <c r="J25" s="195"/>
      <c r="K25" s="188"/>
      <c r="L25" s="189"/>
      <c r="M25" s="193"/>
      <c r="N25" s="195"/>
      <c r="O25" s="171"/>
      <c r="P25" s="172"/>
      <c r="Q25" s="171"/>
      <c r="R25" s="172"/>
      <c r="S25" s="171"/>
      <c r="T25" s="172"/>
      <c r="U25" s="171"/>
      <c r="V25" s="172"/>
      <c r="W25" s="254"/>
      <c r="X25" s="206"/>
      <c r="Y25" s="207"/>
      <c r="Z25" s="208"/>
    </row>
    <row r="26" spans="1:26" ht="15.75" thickBot="1" x14ac:dyDescent="0.3">
      <c r="A26" s="214"/>
      <c r="B26" s="196"/>
      <c r="C26" s="197"/>
      <c r="D26" s="198"/>
      <c r="E26" s="196"/>
      <c r="F26" s="197"/>
      <c r="G26" s="197"/>
      <c r="H26" s="198"/>
      <c r="I26" s="196"/>
      <c r="J26" s="198"/>
      <c r="K26" s="190"/>
      <c r="L26" s="191"/>
      <c r="M26" s="196"/>
      <c r="N26" s="198"/>
      <c r="O26" s="173"/>
      <c r="P26" s="174"/>
      <c r="Q26" s="173"/>
      <c r="R26" s="174"/>
      <c r="S26" s="173"/>
      <c r="T26" s="174"/>
      <c r="U26" s="173"/>
      <c r="V26" s="174"/>
      <c r="W26" s="255"/>
      <c r="X26" s="209"/>
      <c r="Y26" s="210"/>
      <c r="Z26" s="211"/>
    </row>
    <row r="27" spans="1:26" ht="15.75" thickBot="1" x14ac:dyDescent="0.3">
      <c r="A27" s="1"/>
      <c r="B27" s="156" t="s">
        <v>16</v>
      </c>
      <c r="C27" s="157"/>
      <c r="D27" s="158"/>
      <c r="E27" s="159"/>
      <c r="F27" s="160"/>
      <c r="G27" s="160"/>
      <c r="H27" s="161"/>
      <c r="I27" s="262"/>
      <c r="J27" s="263"/>
      <c r="K27" s="162">
        <f>SUM(K9:L26)</f>
        <v>621</v>
      </c>
      <c r="L27" s="163"/>
      <c r="M27" s="162">
        <f>SUM(M9:N26)</f>
        <v>589</v>
      </c>
      <c r="N27" s="163"/>
      <c r="O27" s="162">
        <f>SUM(O9:P26)</f>
        <v>1220.1500000000001</v>
      </c>
      <c r="P27" s="163"/>
      <c r="Q27" s="162">
        <f>SUM(Q9:R26)</f>
        <v>144.6</v>
      </c>
      <c r="R27" s="163"/>
      <c r="S27" s="162">
        <f>SUM(S9:T26)</f>
        <v>33.42</v>
      </c>
      <c r="T27" s="163"/>
      <c r="U27" s="162">
        <f>SUM(U9:V26)</f>
        <v>54.639999999999993</v>
      </c>
      <c r="V27" s="163"/>
      <c r="W27" s="20"/>
    </row>
    <row r="28" spans="1:26" ht="15" customHeight="1" x14ac:dyDescent="0.25">
      <c r="A28" s="212">
        <v>18</v>
      </c>
      <c r="B28" s="193" t="s">
        <v>1</v>
      </c>
      <c r="C28" s="194"/>
      <c r="D28" s="195"/>
      <c r="E28" s="278" t="s">
        <v>37</v>
      </c>
      <c r="F28" s="279"/>
      <c r="G28" s="279"/>
      <c r="H28" s="280"/>
      <c r="I28" s="188">
        <v>4742870012146</v>
      </c>
      <c r="J28" s="189"/>
      <c r="K28" s="193">
        <v>310</v>
      </c>
      <c r="L28" s="195"/>
      <c r="M28" s="193">
        <v>300</v>
      </c>
      <c r="N28" s="195"/>
      <c r="O28" s="199">
        <v>333</v>
      </c>
      <c r="P28" s="200"/>
      <c r="Q28" s="199">
        <v>42</v>
      </c>
      <c r="R28" s="200"/>
      <c r="S28" s="199">
        <v>15.6</v>
      </c>
      <c r="T28" s="200"/>
      <c r="U28" s="199">
        <v>10.5</v>
      </c>
      <c r="V28" s="200"/>
      <c r="W28" s="256"/>
      <c r="X28" s="203">
        <v>26400</v>
      </c>
      <c r="Y28" s="204"/>
      <c r="Z28" s="205"/>
    </row>
    <row r="29" spans="1:26" ht="15.95" customHeight="1" thickBot="1" x14ac:dyDescent="0.3">
      <c r="A29" s="213"/>
      <c r="B29" s="196"/>
      <c r="C29" s="197"/>
      <c r="D29" s="198"/>
      <c r="E29" s="281"/>
      <c r="F29" s="282"/>
      <c r="G29" s="282"/>
      <c r="H29" s="283"/>
      <c r="I29" s="190"/>
      <c r="J29" s="191"/>
      <c r="K29" s="196"/>
      <c r="L29" s="198"/>
      <c r="M29" s="196"/>
      <c r="N29" s="198"/>
      <c r="O29" s="201"/>
      <c r="P29" s="202"/>
      <c r="Q29" s="201"/>
      <c r="R29" s="202"/>
      <c r="S29" s="201"/>
      <c r="T29" s="202"/>
      <c r="U29" s="201"/>
      <c r="V29" s="202"/>
      <c r="W29" s="257"/>
      <c r="X29" s="206"/>
      <c r="Y29" s="207"/>
      <c r="Z29" s="208"/>
    </row>
    <row r="30" spans="1:26" x14ac:dyDescent="0.25">
      <c r="A30" s="213"/>
      <c r="B30" s="193" t="s">
        <v>2</v>
      </c>
      <c r="C30" s="194"/>
      <c r="D30" s="195"/>
      <c r="E30" s="193" t="s">
        <v>72</v>
      </c>
      <c r="F30" s="194"/>
      <c r="G30" s="194"/>
      <c r="H30" s="195"/>
      <c r="I30" s="188"/>
      <c r="J30" s="194"/>
      <c r="K30" s="188">
        <v>55</v>
      </c>
      <c r="L30" s="189"/>
      <c r="M30" s="194">
        <v>50</v>
      </c>
      <c r="N30" s="195"/>
      <c r="O30" s="171">
        <f>427*M30/100</f>
        <v>213.5</v>
      </c>
      <c r="P30" s="172"/>
      <c r="Q30" s="171">
        <f>65.7*M30/100</f>
        <v>32.85</v>
      </c>
      <c r="R30" s="172"/>
      <c r="S30" s="171">
        <f>11.4*M30/100</f>
        <v>5.7</v>
      </c>
      <c r="T30" s="172"/>
      <c r="U30" s="171">
        <f>10.6*M30/100</f>
        <v>5.3</v>
      </c>
      <c r="V30" s="172"/>
      <c r="W30" s="258"/>
      <c r="X30" s="206"/>
      <c r="Y30" s="207"/>
      <c r="Z30" s="208"/>
    </row>
    <row r="31" spans="1:26" ht="15.75" thickBot="1" x14ac:dyDescent="0.3">
      <c r="A31" s="213"/>
      <c r="B31" s="196"/>
      <c r="C31" s="197"/>
      <c r="D31" s="198"/>
      <c r="E31" s="196"/>
      <c r="F31" s="197"/>
      <c r="G31" s="197"/>
      <c r="H31" s="198"/>
      <c r="I31" s="196"/>
      <c r="J31" s="197"/>
      <c r="K31" s="190"/>
      <c r="L31" s="191"/>
      <c r="M31" s="197"/>
      <c r="N31" s="198"/>
      <c r="O31" s="173"/>
      <c r="P31" s="174"/>
      <c r="Q31" s="173"/>
      <c r="R31" s="174"/>
      <c r="S31" s="173"/>
      <c r="T31" s="174"/>
      <c r="U31" s="173"/>
      <c r="V31" s="174"/>
      <c r="W31" s="259"/>
      <c r="X31" s="206"/>
      <c r="Y31" s="207"/>
      <c r="Z31" s="208"/>
    </row>
    <row r="32" spans="1:26" ht="15" customHeight="1" x14ac:dyDescent="0.25">
      <c r="A32" s="213"/>
      <c r="B32" s="193" t="s">
        <v>3</v>
      </c>
      <c r="C32" s="194"/>
      <c r="D32" s="195"/>
      <c r="E32" s="193" t="s">
        <v>22</v>
      </c>
      <c r="F32" s="194"/>
      <c r="G32" s="194"/>
      <c r="H32" s="195"/>
      <c r="I32" s="188">
        <v>4742870019039</v>
      </c>
      <c r="J32" s="195"/>
      <c r="K32" s="188">
        <v>80</v>
      </c>
      <c r="L32" s="189"/>
      <c r="M32" s="193">
        <v>75</v>
      </c>
      <c r="N32" s="195"/>
      <c r="O32" s="199">
        <v>160.05000000000001</v>
      </c>
      <c r="P32" s="200"/>
      <c r="Q32" s="199">
        <v>4.13</v>
      </c>
      <c r="R32" s="200"/>
      <c r="S32" s="199">
        <v>4.05</v>
      </c>
      <c r="T32" s="200"/>
      <c r="U32" s="199">
        <v>14.1</v>
      </c>
      <c r="V32" s="200"/>
      <c r="W32" s="258"/>
      <c r="X32" s="206"/>
      <c r="Y32" s="207"/>
      <c r="Z32" s="208"/>
    </row>
    <row r="33" spans="1:26" ht="15.75" thickBot="1" x14ac:dyDescent="0.3">
      <c r="A33" s="213"/>
      <c r="B33" s="196"/>
      <c r="C33" s="197"/>
      <c r="D33" s="198"/>
      <c r="E33" s="196"/>
      <c r="F33" s="197"/>
      <c r="G33" s="197"/>
      <c r="H33" s="198"/>
      <c r="I33" s="196"/>
      <c r="J33" s="198"/>
      <c r="K33" s="190"/>
      <c r="L33" s="191"/>
      <c r="M33" s="196"/>
      <c r="N33" s="198"/>
      <c r="O33" s="201"/>
      <c r="P33" s="202"/>
      <c r="Q33" s="201"/>
      <c r="R33" s="202"/>
      <c r="S33" s="201"/>
      <c r="T33" s="202"/>
      <c r="U33" s="201"/>
      <c r="V33" s="202"/>
      <c r="W33" s="259"/>
      <c r="X33" s="206"/>
      <c r="Y33" s="207"/>
      <c r="Z33" s="208"/>
    </row>
    <row r="34" spans="1:26" x14ac:dyDescent="0.25">
      <c r="A34" s="213"/>
      <c r="B34" s="193" t="s">
        <v>4</v>
      </c>
      <c r="C34" s="194"/>
      <c r="D34" s="195"/>
      <c r="E34" s="193" t="s">
        <v>68</v>
      </c>
      <c r="F34" s="194"/>
      <c r="G34" s="194"/>
      <c r="H34" s="195"/>
      <c r="I34" s="188"/>
      <c r="J34" s="189"/>
      <c r="K34" s="193">
        <v>95</v>
      </c>
      <c r="L34" s="195"/>
      <c r="M34" s="287">
        <v>90</v>
      </c>
      <c r="N34" s="288"/>
      <c r="O34" s="199">
        <v>280.5</v>
      </c>
      <c r="P34" s="200"/>
      <c r="Q34" s="199">
        <v>47</v>
      </c>
      <c r="R34" s="200"/>
      <c r="S34" s="199">
        <v>3.48</v>
      </c>
      <c r="T34" s="200"/>
      <c r="U34" s="199">
        <v>8.33</v>
      </c>
      <c r="V34" s="200"/>
      <c r="W34" s="258"/>
      <c r="X34" s="206"/>
      <c r="Y34" s="207"/>
      <c r="Z34" s="208"/>
    </row>
    <row r="35" spans="1:26" ht="15.75" thickBot="1" x14ac:dyDescent="0.3">
      <c r="A35" s="213"/>
      <c r="B35" s="196"/>
      <c r="C35" s="197"/>
      <c r="D35" s="198"/>
      <c r="E35" s="196"/>
      <c r="F35" s="197"/>
      <c r="G35" s="197"/>
      <c r="H35" s="198"/>
      <c r="I35" s="190"/>
      <c r="J35" s="191"/>
      <c r="K35" s="196"/>
      <c r="L35" s="198"/>
      <c r="M35" s="289"/>
      <c r="N35" s="290"/>
      <c r="O35" s="201"/>
      <c r="P35" s="202"/>
      <c r="Q35" s="201"/>
      <c r="R35" s="202"/>
      <c r="S35" s="201"/>
      <c r="T35" s="202"/>
      <c r="U35" s="201"/>
      <c r="V35" s="202"/>
      <c r="W35" s="255"/>
      <c r="X35" s="206"/>
      <c r="Y35" s="207"/>
      <c r="Z35" s="208"/>
    </row>
    <row r="36" spans="1:26" x14ac:dyDescent="0.25">
      <c r="A36" s="213"/>
      <c r="B36" s="193" t="s">
        <v>35</v>
      </c>
      <c r="C36" s="194"/>
      <c r="D36" s="195"/>
      <c r="E36" s="193" t="s">
        <v>83</v>
      </c>
      <c r="F36" s="194"/>
      <c r="G36" s="194"/>
      <c r="H36" s="195"/>
      <c r="I36" s="188"/>
      <c r="J36" s="189"/>
      <c r="K36" s="193">
        <v>3</v>
      </c>
      <c r="L36" s="195"/>
      <c r="M36" s="193">
        <v>2</v>
      </c>
      <c r="N36" s="195"/>
      <c r="O36" s="199">
        <v>5.4</v>
      </c>
      <c r="P36" s="200"/>
      <c r="Q36" s="199">
        <v>0.4</v>
      </c>
      <c r="R36" s="200"/>
      <c r="S36" s="199">
        <v>0.4</v>
      </c>
      <c r="T36" s="200"/>
      <c r="U36" s="199">
        <v>0</v>
      </c>
      <c r="V36" s="200"/>
      <c r="W36" s="258"/>
      <c r="X36" s="206"/>
      <c r="Y36" s="207"/>
      <c r="Z36" s="208"/>
    </row>
    <row r="37" spans="1:26" ht="15.75" thickBot="1" x14ac:dyDescent="0.3">
      <c r="A37" s="213"/>
      <c r="B37" s="196"/>
      <c r="C37" s="197"/>
      <c r="D37" s="198"/>
      <c r="E37" s="196"/>
      <c r="F37" s="197"/>
      <c r="G37" s="197"/>
      <c r="H37" s="198"/>
      <c r="I37" s="190"/>
      <c r="J37" s="191"/>
      <c r="K37" s="196"/>
      <c r="L37" s="198"/>
      <c r="M37" s="196"/>
      <c r="N37" s="198"/>
      <c r="O37" s="201"/>
      <c r="P37" s="202"/>
      <c r="Q37" s="201"/>
      <c r="R37" s="202"/>
      <c r="S37" s="201"/>
      <c r="T37" s="202"/>
      <c r="U37" s="201"/>
      <c r="V37" s="202"/>
      <c r="W37" s="255"/>
      <c r="X37" s="206"/>
      <c r="Y37" s="207"/>
      <c r="Z37" s="208"/>
    </row>
    <row r="38" spans="1:26" x14ac:dyDescent="0.25">
      <c r="A38" s="213"/>
      <c r="B38" s="193" t="s">
        <v>5</v>
      </c>
      <c r="C38" s="194"/>
      <c r="D38" s="195"/>
      <c r="E38" s="193" t="s">
        <v>25</v>
      </c>
      <c r="F38" s="194"/>
      <c r="G38" s="194"/>
      <c r="H38" s="195"/>
      <c r="I38" s="188">
        <v>4742870011972</v>
      </c>
      <c r="J38" s="195"/>
      <c r="K38" s="188">
        <v>32</v>
      </c>
      <c r="L38" s="189"/>
      <c r="M38" s="193">
        <v>30</v>
      </c>
      <c r="N38" s="195"/>
      <c r="O38" s="199">
        <v>177</v>
      </c>
      <c r="P38" s="200"/>
      <c r="Q38" s="199">
        <v>6.03</v>
      </c>
      <c r="R38" s="200"/>
      <c r="S38" s="199">
        <v>8.8800000000000008</v>
      </c>
      <c r="T38" s="200"/>
      <c r="U38" s="199">
        <v>13.8</v>
      </c>
      <c r="V38" s="200"/>
      <c r="W38" s="258"/>
      <c r="X38" s="206"/>
      <c r="Y38" s="207"/>
      <c r="Z38" s="208"/>
    </row>
    <row r="39" spans="1:26" ht="15.75" thickBot="1" x14ac:dyDescent="0.3">
      <c r="A39" s="213"/>
      <c r="B39" s="196"/>
      <c r="C39" s="197"/>
      <c r="D39" s="198"/>
      <c r="E39" s="196"/>
      <c r="F39" s="197"/>
      <c r="G39" s="197"/>
      <c r="H39" s="198"/>
      <c r="I39" s="196"/>
      <c r="J39" s="198"/>
      <c r="K39" s="190"/>
      <c r="L39" s="191"/>
      <c r="M39" s="196"/>
      <c r="N39" s="198"/>
      <c r="O39" s="201"/>
      <c r="P39" s="202"/>
      <c r="Q39" s="201"/>
      <c r="R39" s="202"/>
      <c r="S39" s="201"/>
      <c r="T39" s="202"/>
      <c r="U39" s="201"/>
      <c r="V39" s="202"/>
      <c r="W39" s="255"/>
      <c r="X39" s="206"/>
      <c r="Y39" s="207"/>
      <c r="Z39" s="208"/>
    </row>
    <row r="40" spans="1:26" x14ac:dyDescent="0.25">
      <c r="A40" s="213"/>
      <c r="B40" s="193" t="s">
        <v>6</v>
      </c>
      <c r="C40" s="194"/>
      <c r="D40" s="195"/>
      <c r="E40" s="193" t="s">
        <v>46</v>
      </c>
      <c r="F40" s="194"/>
      <c r="G40" s="194"/>
      <c r="H40" s="195"/>
      <c r="I40" s="188">
        <v>4742870015550</v>
      </c>
      <c r="J40" s="189"/>
      <c r="K40" s="193">
        <v>42</v>
      </c>
      <c r="L40" s="195"/>
      <c r="M40" s="193">
        <v>40</v>
      </c>
      <c r="N40" s="195"/>
      <c r="O40" s="199">
        <v>109.4</v>
      </c>
      <c r="P40" s="200"/>
      <c r="Q40" s="199">
        <v>27.4</v>
      </c>
      <c r="R40" s="200"/>
      <c r="S40" s="199">
        <v>0</v>
      </c>
      <c r="T40" s="200"/>
      <c r="U40" s="199">
        <v>0</v>
      </c>
      <c r="V40" s="200"/>
      <c r="W40" s="258"/>
      <c r="X40" s="206"/>
      <c r="Y40" s="207"/>
      <c r="Z40" s="208"/>
    </row>
    <row r="41" spans="1:26" ht="15.75" thickBot="1" x14ac:dyDescent="0.3">
      <c r="A41" s="213"/>
      <c r="B41" s="196"/>
      <c r="C41" s="197"/>
      <c r="D41" s="198"/>
      <c r="E41" s="196"/>
      <c r="F41" s="197"/>
      <c r="G41" s="197"/>
      <c r="H41" s="198"/>
      <c r="I41" s="190"/>
      <c r="J41" s="191"/>
      <c r="K41" s="196"/>
      <c r="L41" s="198"/>
      <c r="M41" s="196"/>
      <c r="N41" s="198"/>
      <c r="O41" s="201"/>
      <c r="P41" s="202"/>
      <c r="Q41" s="201"/>
      <c r="R41" s="202"/>
      <c r="S41" s="201"/>
      <c r="T41" s="202"/>
      <c r="U41" s="201"/>
      <c r="V41" s="202"/>
      <c r="W41" s="255"/>
      <c r="X41" s="206"/>
      <c r="Y41" s="207"/>
      <c r="Z41" s="208"/>
    </row>
    <row r="42" spans="1:26" x14ac:dyDescent="0.25">
      <c r="A42" s="213"/>
      <c r="B42" s="193" t="s">
        <v>7</v>
      </c>
      <c r="C42" s="194"/>
      <c r="D42" s="195"/>
      <c r="E42" s="193" t="s">
        <v>66</v>
      </c>
      <c r="F42" s="194"/>
      <c r="G42" s="194"/>
      <c r="H42" s="195"/>
      <c r="I42" s="188"/>
      <c r="J42" s="195"/>
      <c r="K42" s="188">
        <v>4</v>
      </c>
      <c r="L42" s="189"/>
      <c r="M42" s="193">
        <v>2</v>
      </c>
      <c r="N42" s="195"/>
      <c r="O42" s="171">
        <v>0</v>
      </c>
      <c r="P42" s="172"/>
      <c r="Q42" s="171">
        <v>0</v>
      </c>
      <c r="R42" s="172"/>
      <c r="S42" s="171">
        <v>0</v>
      </c>
      <c r="T42" s="172"/>
      <c r="U42" s="171">
        <v>0</v>
      </c>
      <c r="V42" s="172"/>
      <c r="W42" s="254"/>
      <c r="X42" s="206"/>
      <c r="Y42" s="207"/>
      <c r="Z42" s="208"/>
    </row>
    <row r="43" spans="1:26" ht="15.75" thickBot="1" x14ac:dyDescent="0.3">
      <c r="A43" s="213"/>
      <c r="B43" s="196"/>
      <c r="C43" s="197"/>
      <c r="D43" s="198"/>
      <c r="E43" s="196"/>
      <c r="F43" s="197"/>
      <c r="G43" s="197"/>
      <c r="H43" s="198"/>
      <c r="I43" s="196"/>
      <c r="J43" s="198"/>
      <c r="K43" s="190"/>
      <c r="L43" s="191"/>
      <c r="M43" s="196"/>
      <c r="N43" s="198"/>
      <c r="O43" s="173"/>
      <c r="P43" s="174"/>
      <c r="Q43" s="173"/>
      <c r="R43" s="174"/>
      <c r="S43" s="173"/>
      <c r="T43" s="174"/>
      <c r="U43" s="173"/>
      <c r="V43" s="174"/>
      <c r="W43" s="255"/>
      <c r="X43" s="206"/>
      <c r="Y43" s="207"/>
      <c r="Z43" s="208"/>
    </row>
    <row r="44" spans="1:26" x14ac:dyDescent="0.25">
      <c r="A44" s="213"/>
      <c r="B44" s="193" t="s">
        <v>8</v>
      </c>
      <c r="C44" s="194"/>
      <c r="D44" s="195"/>
      <c r="E44" s="193" t="s">
        <v>8</v>
      </c>
      <c r="F44" s="194"/>
      <c r="G44" s="194"/>
      <c r="H44" s="195"/>
      <c r="I44" s="188"/>
      <c r="J44" s="195"/>
      <c r="K44" s="188"/>
      <c r="L44" s="189"/>
      <c r="M44" s="193"/>
      <c r="N44" s="195"/>
      <c r="O44" s="171"/>
      <c r="P44" s="172"/>
      <c r="Q44" s="171"/>
      <c r="R44" s="172"/>
      <c r="S44" s="171"/>
      <c r="T44" s="172"/>
      <c r="U44" s="171"/>
      <c r="V44" s="172"/>
      <c r="W44" s="254"/>
      <c r="X44" s="206"/>
      <c r="Y44" s="207"/>
      <c r="Z44" s="208"/>
    </row>
    <row r="45" spans="1:26" ht="15.75" thickBot="1" x14ac:dyDescent="0.3">
      <c r="A45" s="214"/>
      <c r="B45" s="196"/>
      <c r="C45" s="197"/>
      <c r="D45" s="198"/>
      <c r="E45" s="196"/>
      <c r="F45" s="197"/>
      <c r="G45" s="197"/>
      <c r="H45" s="198"/>
      <c r="I45" s="196"/>
      <c r="J45" s="198"/>
      <c r="K45" s="190"/>
      <c r="L45" s="191"/>
      <c r="M45" s="196"/>
      <c r="N45" s="198"/>
      <c r="O45" s="173"/>
      <c r="P45" s="174"/>
      <c r="Q45" s="173"/>
      <c r="R45" s="174"/>
      <c r="S45" s="173"/>
      <c r="T45" s="174"/>
      <c r="U45" s="173"/>
      <c r="V45" s="174"/>
      <c r="W45" s="255"/>
      <c r="X45" s="209"/>
      <c r="Y45" s="210"/>
      <c r="Z45" s="211"/>
    </row>
    <row r="46" spans="1:26" ht="15.75" thickBot="1" x14ac:dyDescent="0.3">
      <c r="A46" s="1"/>
      <c r="B46" s="156" t="s">
        <v>16</v>
      </c>
      <c r="C46" s="157"/>
      <c r="D46" s="158"/>
      <c r="E46" s="159"/>
      <c r="F46" s="160"/>
      <c r="G46" s="160"/>
      <c r="H46" s="161"/>
      <c r="I46" s="262"/>
      <c r="J46" s="263"/>
      <c r="K46" s="162">
        <f>SUM(K28:L45)</f>
        <v>621</v>
      </c>
      <c r="L46" s="163"/>
      <c r="M46" s="162">
        <f>SUM(M28:N45)</f>
        <v>589</v>
      </c>
      <c r="N46" s="163"/>
      <c r="O46" s="162">
        <f>SUM(O28:P45)</f>
        <v>1278.8499999999999</v>
      </c>
      <c r="P46" s="163"/>
      <c r="Q46" s="162">
        <f>SUM(Q28:R45)</f>
        <v>159.81</v>
      </c>
      <c r="R46" s="163"/>
      <c r="S46" s="162">
        <f>SUM(S28:T45)</f>
        <v>38.11</v>
      </c>
      <c r="T46" s="163"/>
      <c r="U46" s="162">
        <f>SUM(U28:V45)</f>
        <v>52.03</v>
      </c>
      <c r="V46" s="163"/>
      <c r="W46" s="20"/>
    </row>
    <row r="47" spans="1:26" ht="15" customHeight="1" x14ac:dyDescent="0.25">
      <c r="A47" s="212">
        <v>19</v>
      </c>
      <c r="B47" s="193" t="s">
        <v>1</v>
      </c>
      <c r="C47" s="194"/>
      <c r="D47" s="195"/>
      <c r="E47" s="278" t="s">
        <v>38</v>
      </c>
      <c r="F47" s="279"/>
      <c r="G47" s="279"/>
      <c r="H47" s="280"/>
      <c r="I47" s="188">
        <v>4742870012153</v>
      </c>
      <c r="J47" s="189"/>
      <c r="K47" s="193">
        <v>310</v>
      </c>
      <c r="L47" s="195"/>
      <c r="M47" s="193">
        <v>300</v>
      </c>
      <c r="N47" s="195"/>
      <c r="O47" s="199">
        <v>276</v>
      </c>
      <c r="P47" s="200"/>
      <c r="Q47" s="199">
        <v>36</v>
      </c>
      <c r="R47" s="200"/>
      <c r="S47" s="199">
        <v>10.5</v>
      </c>
      <c r="T47" s="200"/>
      <c r="U47" s="199">
        <v>7.5</v>
      </c>
      <c r="V47" s="200"/>
      <c r="W47" s="256"/>
      <c r="X47" s="203">
        <v>26400</v>
      </c>
      <c r="Y47" s="204"/>
      <c r="Z47" s="205"/>
    </row>
    <row r="48" spans="1:26" ht="15.95" customHeight="1" thickBot="1" x14ac:dyDescent="0.3">
      <c r="A48" s="213"/>
      <c r="B48" s="196"/>
      <c r="C48" s="197"/>
      <c r="D48" s="198"/>
      <c r="E48" s="281"/>
      <c r="F48" s="282"/>
      <c r="G48" s="282"/>
      <c r="H48" s="283"/>
      <c r="I48" s="190"/>
      <c r="J48" s="191"/>
      <c r="K48" s="196"/>
      <c r="L48" s="198"/>
      <c r="M48" s="196"/>
      <c r="N48" s="198"/>
      <c r="O48" s="201"/>
      <c r="P48" s="202"/>
      <c r="Q48" s="201"/>
      <c r="R48" s="202"/>
      <c r="S48" s="201"/>
      <c r="T48" s="202"/>
      <c r="U48" s="201"/>
      <c r="V48" s="202"/>
      <c r="W48" s="257"/>
      <c r="X48" s="206"/>
      <c r="Y48" s="207"/>
      <c r="Z48" s="208"/>
    </row>
    <row r="49" spans="1:26" ht="15" customHeight="1" x14ac:dyDescent="0.25">
      <c r="A49" s="213"/>
      <c r="B49" s="193" t="s">
        <v>2</v>
      </c>
      <c r="C49" s="194"/>
      <c r="D49" s="195"/>
      <c r="E49" s="193" t="s">
        <v>20</v>
      </c>
      <c r="F49" s="194"/>
      <c r="G49" s="194"/>
      <c r="H49" s="195"/>
      <c r="I49" s="188"/>
      <c r="J49" s="194"/>
      <c r="K49" s="188">
        <v>55</v>
      </c>
      <c r="L49" s="189"/>
      <c r="M49" s="194">
        <v>50</v>
      </c>
      <c r="N49" s="195"/>
      <c r="O49" s="171">
        <f>444*M49/100</f>
        <v>222</v>
      </c>
      <c r="P49" s="172"/>
      <c r="Q49" s="171">
        <f>66.6*M49/100</f>
        <v>33.299999999999997</v>
      </c>
      <c r="R49" s="172"/>
      <c r="S49" s="171">
        <f>9.7*M49/100</f>
        <v>4.8499999999999996</v>
      </c>
      <c r="T49" s="172"/>
      <c r="U49" s="171">
        <f>16.2*M49/100</f>
        <v>8.1</v>
      </c>
      <c r="V49" s="172"/>
      <c r="W49" s="258"/>
      <c r="X49" s="206"/>
      <c r="Y49" s="207"/>
      <c r="Z49" s="208"/>
    </row>
    <row r="50" spans="1:26" ht="15.75" thickBot="1" x14ac:dyDescent="0.3">
      <c r="A50" s="213"/>
      <c r="B50" s="196"/>
      <c r="C50" s="197"/>
      <c r="D50" s="198"/>
      <c r="E50" s="196"/>
      <c r="F50" s="197"/>
      <c r="G50" s="197"/>
      <c r="H50" s="198"/>
      <c r="I50" s="196"/>
      <c r="J50" s="197"/>
      <c r="K50" s="190"/>
      <c r="L50" s="191"/>
      <c r="M50" s="197"/>
      <c r="N50" s="198"/>
      <c r="O50" s="173"/>
      <c r="P50" s="174"/>
      <c r="Q50" s="173"/>
      <c r="R50" s="174"/>
      <c r="S50" s="173"/>
      <c r="T50" s="174"/>
      <c r="U50" s="173"/>
      <c r="V50" s="174"/>
      <c r="W50" s="259"/>
      <c r="X50" s="206"/>
      <c r="Y50" s="207"/>
      <c r="Z50" s="208"/>
    </row>
    <row r="51" spans="1:26" x14ac:dyDescent="0.25">
      <c r="A51" s="213"/>
      <c r="B51" s="193" t="s">
        <v>3</v>
      </c>
      <c r="C51" s="194"/>
      <c r="D51" s="195"/>
      <c r="E51" s="193" t="s">
        <v>58</v>
      </c>
      <c r="F51" s="194"/>
      <c r="G51" s="194"/>
      <c r="H51" s="195"/>
      <c r="I51" s="188">
        <v>4742870019077</v>
      </c>
      <c r="J51" s="189"/>
      <c r="K51" s="193">
        <v>80</v>
      </c>
      <c r="L51" s="195"/>
      <c r="M51" s="193">
        <v>75</v>
      </c>
      <c r="N51" s="195"/>
      <c r="O51" s="199">
        <v>131.25</v>
      </c>
      <c r="P51" s="200"/>
      <c r="Q51" s="199">
        <v>2.25</v>
      </c>
      <c r="R51" s="200"/>
      <c r="S51" s="199">
        <v>7.13</v>
      </c>
      <c r="T51" s="200"/>
      <c r="U51" s="199">
        <v>10.43</v>
      </c>
      <c r="V51" s="200"/>
      <c r="W51" s="258"/>
      <c r="X51" s="206"/>
      <c r="Y51" s="207"/>
      <c r="Z51" s="208"/>
    </row>
    <row r="52" spans="1:26" ht="15.75" thickBot="1" x14ac:dyDescent="0.3">
      <c r="A52" s="213"/>
      <c r="B52" s="196"/>
      <c r="C52" s="197"/>
      <c r="D52" s="198"/>
      <c r="E52" s="196"/>
      <c r="F52" s="197"/>
      <c r="G52" s="197"/>
      <c r="H52" s="198"/>
      <c r="I52" s="190"/>
      <c r="J52" s="191"/>
      <c r="K52" s="196"/>
      <c r="L52" s="198"/>
      <c r="M52" s="196"/>
      <c r="N52" s="198"/>
      <c r="O52" s="201"/>
      <c r="P52" s="202"/>
      <c r="Q52" s="201"/>
      <c r="R52" s="202"/>
      <c r="S52" s="201"/>
      <c r="T52" s="202"/>
      <c r="U52" s="201"/>
      <c r="V52" s="202"/>
      <c r="W52" s="259"/>
      <c r="X52" s="206"/>
      <c r="Y52" s="207"/>
      <c r="Z52" s="208"/>
    </row>
    <row r="53" spans="1:26" x14ac:dyDescent="0.25">
      <c r="A53" s="213"/>
      <c r="B53" s="193" t="s">
        <v>4</v>
      </c>
      <c r="C53" s="194"/>
      <c r="D53" s="195"/>
      <c r="E53" s="193" t="s">
        <v>61</v>
      </c>
      <c r="F53" s="194"/>
      <c r="G53" s="194"/>
      <c r="H53" s="195"/>
      <c r="I53" s="188"/>
      <c r="J53" s="189"/>
      <c r="K53" s="193">
        <v>65</v>
      </c>
      <c r="L53" s="195"/>
      <c r="M53" s="193">
        <v>60</v>
      </c>
      <c r="N53" s="195"/>
      <c r="O53" s="171">
        <f>480*M53/100</f>
        <v>288</v>
      </c>
      <c r="P53" s="172"/>
      <c r="Q53" s="171">
        <f>50.8*M53/100</f>
        <v>30.48</v>
      </c>
      <c r="R53" s="172"/>
      <c r="S53" s="171">
        <f>12.8*M53/100</f>
        <v>7.68</v>
      </c>
      <c r="T53" s="172"/>
      <c r="U53" s="171">
        <f>24.1*M53/100</f>
        <v>14.46</v>
      </c>
      <c r="V53" s="172"/>
      <c r="W53" s="258"/>
      <c r="X53" s="206"/>
      <c r="Y53" s="207"/>
      <c r="Z53" s="208"/>
    </row>
    <row r="54" spans="1:26" ht="15.75" thickBot="1" x14ac:dyDescent="0.3">
      <c r="A54" s="213"/>
      <c r="B54" s="196"/>
      <c r="C54" s="197"/>
      <c r="D54" s="198"/>
      <c r="E54" s="196"/>
      <c r="F54" s="197"/>
      <c r="G54" s="197"/>
      <c r="H54" s="198"/>
      <c r="I54" s="190"/>
      <c r="J54" s="191"/>
      <c r="K54" s="196"/>
      <c r="L54" s="198"/>
      <c r="M54" s="196"/>
      <c r="N54" s="198"/>
      <c r="O54" s="173"/>
      <c r="P54" s="174"/>
      <c r="Q54" s="173"/>
      <c r="R54" s="174"/>
      <c r="S54" s="173"/>
      <c r="T54" s="174"/>
      <c r="U54" s="173"/>
      <c r="V54" s="174"/>
      <c r="W54" s="255"/>
      <c r="X54" s="206"/>
      <c r="Y54" s="207"/>
      <c r="Z54" s="208"/>
    </row>
    <row r="55" spans="1:26" ht="14.45" customHeight="1" x14ac:dyDescent="0.25">
      <c r="A55" s="213"/>
      <c r="B55" s="193" t="s">
        <v>35</v>
      </c>
      <c r="C55" s="194"/>
      <c r="D55" s="195"/>
      <c r="E55" s="278" t="s">
        <v>84</v>
      </c>
      <c r="F55" s="279"/>
      <c r="G55" s="279"/>
      <c r="H55" s="280"/>
      <c r="I55" s="188"/>
      <c r="J55" s="189"/>
      <c r="K55" s="193">
        <v>3</v>
      </c>
      <c r="L55" s="195"/>
      <c r="M55" s="193">
        <v>2</v>
      </c>
      <c r="N55" s="195"/>
      <c r="O55" s="199">
        <v>5.4</v>
      </c>
      <c r="P55" s="200"/>
      <c r="Q55" s="199">
        <v>0.4</v>
      </c>
      <c r="R55" s="200"/>
      <c r="S55" s="199">
        <v>0.4</v>
      </c>
      <c r="T55" s="200"/>
      <c r="U55" s="199">
        <v>0</v>
      </c>
      <c r="V55" s="200"/>
      <c r="W55" s="258"/>
      <c r="X55" s="206"/>
      <c r="Y55" s="207"/>
      <c r="Z55" s="208"/>
    </row>
    <row r="56" spans="1:26" ht="15.75" thickBot="1" x14ac:dyDescent="0.3">
      <c r="A56" s="213"/>
      <c r="B56" s="196"/>
      <c r="C56" s="197"/>
      <c r="D56" s="198"/>
      <c r="E56" s="281"/>
      <c r="F56" s="282"/>
      <c r="G56" s="282"/>
      <c r="H56" s="283"/>
      <c r="I56" s="190"/>
      <c r="J56" s="191"/>
      <c r="K56" s="196"/>
      <c r="L56" s="198"/>
      <c r="M56" s="196"/>
      <c r="N56" s="198"/>
      <c r="O56" s="201"/>
      <c r="P56" s="202"/>
      <c r="Q56" s="201"/>
      <c r="R56" s="202"/>
      <c r="S56" s="201"/>
      <c r="T56" s="202"/>
      <c r="U56" s="201"/>
      <c r="V56" s="202"/>
      <c r="W56" s="255"/>
      <c r="X56" s="206"/>
      <c r="Y56" s="207"/>
      <c r="Z56" s="208"/>
    </row>
    <row r="57" spans="1:26" ht="14.45" customHeight="1" x14ac:dyDescent="0.25">
      <c r="A57" s="213"/>
      <c r="B57" s="193" t="s">
        <v>5</v>
      </c>
      <c r="C57" s="194"/>
      <c r="D57" s="195"/>
      <c r="E57" s="193" t="s">
        <v>24</v>
      </c>
      <c r="F57" s="194"/>
      <c r="G57" s="194"/>
      <c r="H57" s="195"/>
      <c r="I57" s="188"/>
      <c r="J57" s="195"/>
      <c r="K57" s="188">
        <v>32</v>
      </c>
      <c r="L57" s="189"/>
      <c r="M57" s="193">
        <v>30</v>
      </c>
      <c r="N57" s="195"/>
      <c r="O57" s="171">
        <f>618*M57/100</f>
        <v>185.4</v>
      </c>
      <c r="P57" s="172"/>
      <c r="Q57" s="171">
        <f>12.4*M57/100</f>
        <v>3.72</v>
      </c>
      <c r="R57" s="172"/>
      <c r="S57" s="171">
        <f>27*M57/100</f>
        <v>8.1</v>
      </c>
      <c r="T57" s="172"/>
      <c r="U57" s="171">
        <f>50.5*M57/100</f>
        <v>15.15</v>
      </c>
      <c r="V57" s="172"/>
      <c r="W57" s="258"/>
      <c r="X57" s="206"/>
      <c r="Y57" s="207"/>
      <c r="Z57" s="208"/>
    </row>
    <row r="58" spans="1:26" ht="15.75" thickBot="1" x14ac:dyDescent="0.3">
      <c r="A58" s="213"/>
      <c r="B58" s="196"/>
      <c r="C58" s="197"/>
      <c r="D58" s="198"/>
      <c r="E58" s="196"/>
      <c r="F58" s="197"/>
      <c r="G58" s="197"/>
      <c r="H58" s="198"/>
      <c r="I58" s="196"/>
      <c r="J58" s="198"/>
      <c r="K58" s="190"/>
      <c r="L58" s="191"/>
      <c r="M58" s="196"/>
      <c r="N58" s="198"/>
      <c r="O58" s="173"/>
      <c r="P58" s="174"/>
      <c r="Q58" s="173"/>
      <c r="R58" s="174"/>
      <c r="S58" s="173"/>
      <c r="T58" s="174"/>
      <c r="U58" s="173"/>
      <c r="V58" s="174"/>
      <c r="W58" s="255"/>
      <c r="X58" s="206"/>
      <c r="Y58" s="207"/>
      <c r="Z58" s="208"/>
    </row>
    <row r="59" spans="1:26" x14ac:dyDescent="0.25">
      <c r="A59" s="213"/>
      <c r="B59" s="193" t="s">
        <v>6</v>
      </c>
      <c r="C59" s="194"/>
      <c r="D59" s="195"/>
      <c r="E59" s="193" t="s">
        <v>47</v>
      </c>
      <c r="F59" s="194"/>
      <c r="G59" s="194"/>
      <c r="H59" s="195"/>
      <c r="I59" s="188">
        <v>4742870015581</v>
      </c>
      <c r="J59" s="189"/>
      <c r="K59" s="193">
        <v>42</v>
      </c>
      <c r="L59" s="195"/>
      <c r="M59" s="193">
        <v>40</v>
      </c>
      <c r="N59" s="195"/>
      <c r="O59" s="199">
        <v>109.4</v>
      </c>
      <c r="P59" s="200"/>
      <c r="Q59" s="199">
        <v>27.4</v>
      </c>
      <c r="R59" s="200"/>
      <c r="S59" s="199">
        <v>0</v>
      </c>
      <c r="T59" s="200"/>
      <c r="U59" s="199">
        <v>0</v>
      </c>
      <c r="V59" s="200"/>
      <c r="W59" s="258"/>
      <c r="X59" s="206"/>
      <c r="Y59" s="207"/>
      <c r="Z59" s="208"/>
    </row>
    <row r="60" spans="1:26" ht="15.75" thickBot="1" x14ac:dyDescent="0.3">
      <c r="A60" s="213"/>
      <c r="B60" s="196"/>
      <c r="C60" s="197"/>
      <c r="D60" s="198"/>
      <c r="E60" s="196"/>
      <c r="F60" s="197"/>
      <c r="G60" s="197"/>
      <c r="H60" s="198"/>
      <c r="I60" s="190"/>
      <c r="J60" s="191"/>
      <c r="K60" s="196"/>
      <c r="L60" s="198"/>
      <c r="M60" s="196"/>
      <c r="N60" s="198"/>
      <c r="O60" s="201"/>
      <c r="P60" s="202"/>
      <c r="Q60" s="201"/>
      <c r="R60" s="202"/>
      <c r="S60" s="201"/>
      <c r="T60" s="202"/>
      <c r="U60" s="201"/>
      <c r="V60" s="202"/>
      <c r="W60" s="255"/>
      <c r="X60" s="206"/>
      <c r="Y60" s="207"/>
      <c r="Z60" s="208"/>
    </row>
    <row r="61" spans="1:26" x14ac:dyDescent="0.25">
      <c r="A61" s="213"/>
      <c r="B61" s="193" t="s">
        <v>7</v>
      </c>
      <c r="C61" s="194"/>
      <c r="D61" s="195"/>
      <c r="E61" s="193" t="s">
        <v>66</v>
      </c>
      <c r="F61" s="194"/>
      <c r="G61" s="194"/>
      <c r="H61" s="195"/>
      <c r="I61" s="188"/>
      <c r="J61" s="195"/>
      <c r="K61" s="188">
        <v>4</v>
      </c>
      <c r="L61" s="189"/>
      <c r="M61" s="193">
        <v>2</v>
      </c>
      <c r="N61" s="195"/>
      <c r="O61" s="171">
        <v>0</v>
      </c>
      <c r="P61" s="172"/>
      <c r="Q61" s="171">
        <v>0</v>
      </c>
      <c r="R61" s="172"/>
      <c r="S61" s="171">
        <v>0</v>
      </c>
      <c r="T61" s="172"/>
      <c r="U61" s="171">
        <v>0</v>
      </c>
      <c r="V61" s="172"/>
      <c r="W61" s="254"/>
      <c r="X61" s="206"/>
      <c r="Y61" s="207"/>
      <c r="Z61" s="208"/>
    </row>
    <row r="62" spans="1:26" ht="15.75" thickBot="1" x14ac:dyDescent="0.3">
      <c r="A62" s="213"/>
      <c r="B62" s="196"/>
      <c r="C62" s="197"/>
      <c r="D62" s="198"/>
      <c r="E62" s="196"/>
      <c r="F62" s="197"/>
      <c r="G62" s="197"/>
      <c r="H62" s="198"/>
      <c r="I62" s="196"/>
      <c r="J62" s="198"/>
      <c r="K62" s="190"/>
      <c r="L62" s="191"/>
      <c r="M62" s="196"/>
      <c r="N62" s="198"/>
      <c r="O62" s="173"/>
      <c r="P62" s="174"/>
      <c r="Q62" s="173"/>
      <c r="R62" s="174"/>
      <c r="S62" s="173"/>
      <c r="T62" s="174"/>
      <c r="U62" s="173"/>
      <c r="V62" s="174"/>
      <c r="W62" s="255"/>
      <c r="X62" s="206"/>
      <c r="Y62" s="207"/>
      <c r="Z62" s="208"/>
    </row>
    <row r="63" spans="1:26" x14ac:dyDescent="0.25">
      <c r="A63" s="213"/>
      <c r="B63" s="193" t="s">
        <v>8</v>
      </c>
      <c r="C63" s="194"/>
      <c r="D63" s="195"/>
      <c r="E63" s="193" t="s">
        <v>8</v>
      </c>
      <c r="F63" s="194"/>
      <c r="G63" s="194"/>
      <c r="H63" s="195"/>
      <c r="I63" s="188"/>
      <c r="J63" s="195"/>
      <c r="K63" s="188"/>
      <c r="L63" s="189"/>
      <c r="M63" s="193"/>
      <c r="N63" s="195"/>
      <c r="O63" s="171"/>
      <c r="P63" s="172"/>
      <c r="Q63" s="171"/>
      <c r="R63" s="172"/>
      <c r="S63" s="171"/>
      <c r="T63" s="172"/>
      <c r="U63" s="171"/>
      <c r="V63" s="172"/>
      <c r="W63" s="254"/>
      <c r="X63" s="206"/>
      <c r="Y63" s="207"/>
      <c r="Z63" s="208"/>
    </row>
    <row r="64" spans="1:26" ht="15.75" thickBot="1" x14ac:dyDescent="0.3">
      <c r="A64" s="214"/>
      <c r="B64" s="196"/>
      <c r="C64" s="197"/>
      <c r="D64" s="198"/>
      <c r="E64" s="196"/>
      <c r="F64" s="197"/>
      <c r="G64" s="197"/>
      <c r="H64" s="198"/>
      <c r="I64" s="196"/>
      <c r="J64" s="198"/>
      <c r="K64" s="190"/>
      <c r="L64" s="191"/>
      <c r="M64" s="196"/>
      <c r="N64" s="198"/>
      <c r="O64" s="173"/>
      <c r="P64" s="174"/>
      <c r="Q64" s="173"/>
      <c r="R64" s="174"/>
      <c r="S64" s="173"/>
      <c r="T64" s="174"/>
      <c r="U64" s="173"/>
      <c r="V64" s="174"/>
      <c r="W64" s="255"/>
      <c r="X64" s="209"/>
      <c r="Y64" s="210"/>
      <c r="Z64" s="211"/>
    </row>
    <row r="65" spans="1:45" ht="15.75" thickBot="1" x14ac:dyDescent="0.3">
      <c r="A65" s="1"/>
      <c r="B65" s="156" t="s">
        <v>16</v>
      </c>
      <c r="C65" s="157"/>
      <c r="D65" s="158"/>
      <c r="E65" s="159"/>
      <c r="F65" s="160"/>
      <c r="G65" s="160"/>
      <c r="H65" s="161"/>
      <c r="I65" s="262"/>
      <c r="J65" s="263"/>
      <c r="K65" s="162">
        <f>SUM(K47:L64)</f>
        <v>591</v>
      </c>
      <c r="L65" s="163"/>
      <c r="M65" s="162">
        <f>SUM(M47:N64)</f>
        <v>559</v>
      </c>
      <c r="N65" s="163"/>
      <c r="O65" s="162">
        <f>SUM(O47:P64)</f>
        <v>1217.45</v>
      </c>
      <c r="P65" s="163"/>
      <c r="Q65" s="162">
        <f>SUM(Q47:R64)</f>
        <v>133.55000000000001</v>
      </c>
      <c r="R65" s="163"/>
      <c r="S65" s="162">
        <f>SUM(S47:T64)</f>
        <v>38.659999999999997</v>
      </c>
      <c r="T65" s="163"/>
      <c r="U65" s="162">
        <f>SUM(U47:V64)</f>
        <v>55.64</v>
      </c>
      <c r="V65" s="163"/>
      <c r="W65" s="20"/>
    </row>
    <row r="66" spans="1:45" ht="15" customHeight="1" x14ac:dyDescent="0.25">
      <c r="A66" s="212">
        <v>20</v>
      </c>
      <c r="B66" s="193" t="s">
        <v>1</v>
      </c>
      <c r="C66" s="194"/>
      <c r="D66" s="195"/>
      <c r="E66" s="278" t="s">
        <v>43</v>
      </c>
      <c r="F66" s="279"/>
      <c r="G66" s="279"/>
      <c r="H66" s="280"/>
      <c r="I66" s="188">
        <v>4742870012160</v>
      </c>
      <c r="J66" s="189"/>
      <c r="K66" s="193">
        <v>310</v>
      </c>
      <c r="L66" s="195"/>
      <c r="M66" s="193">
        <v>300</v>
      </c>
      <c r="N66" s="195"/>
      <c r="O66" s="199">
        <v>399</v>
      </c>
      <c r="P66" s="200"/>
      <c r="Q66" s="199">
        <v>49.2</v>
      </c>
      <c r="R66" s="200"/>
      <c r="S66" s="199">
        <v>12.9</v>
      </c>
      <c r="T66" s="200"/>
      <c r="U66" s="199">
        <v>15.6</v>
      </c>
      <c r="V66" s="200"/>
      <c r="W66" s="256"/>
      <c r="X66" s="203">
        <v>26400</v>
      </c>
      <c r="Y66" s="204"/>
      <c r="Z66" s="205"/>
    </row>
    <row r="67" spans="1:45" ht="15.95" customHeight="1" thickBot="1" x14ac:dyDescent="0.3">
      <c r="A67" s="213"/>
      <c r="B67" s="196"/>
      <c r="C67" s="197"/>
      <c r="D67" s="198"/>
      <c r="E67" s="281"/>
      <c r="F67" s="282"/>
      <c r="G67" s="282"/>
      <c r="H67" s="283"/>
      <c r="I67" s="190"/>
      <c r="J67" s="191"/>
      <c r="K67" s="196"/>
      <c r="L67" s="198"/>
      <c r="M67" s="196"/>
      <c r="N67" s="198"/>
      <c r="O67" s="201"/>
      <c r="P67" s="202"/>
      <c r="Q67" s="201"/>
      <c r="R67" s="202"/>
      <c r="S67" s="201"/>
      <c r="T67" s="202"/>
      <c r="U67" s="201"/>
      <c r="V67" s="202"/>
      <c r="W67" s="257"/>
      <c r="X67" s="206"/>
      <c r="Y67" s="207"/>
      <c r="Z67" s="208"/>
    </row>
    <row r="68" spans="1:45" x14ac:dyDescent="0.25">
      <c r="A68" s="213"/>
      <c r="B68" s="193" t="s">
        <v>2</v>
      </c>
      <c r="C68" s="194"/>
      <c r="D68" s="195"/>
      <c r="E68" s="193" t="s">
        <v>72</v>
      </c>
      <c r="F68" s="194"/>
      <c r="G68" s="194"/>
      <c r="H68" s="195"/>
      <c r="I68" s="188"/>
      <c r="J68" s="194"/>
      <c r="K68" s="188">
        <v>55</v>
      </c>
      <c r="L68" s="189"/>
      <c r="M68" s="194">
        <v>50</v>
      </c>
      <c r="N68" s="195"/>
      <c r="O68" s="171">
        <f>427*M68/100</f>
        <v>213.5</v>
      </c>
      <c r="P68" s="172"/>
      <c r="Q68" s="171">
        <f>65.7*M68/100</f>
        <v>32.85</v>
      </c>
      <c r="R68" s="172"/>
      <c r="S68" s="171">
        <f>11.4*M68/100</f>
        <v>5.7</v>
      </c>
      <c r="T68" s="172"/>
      <c r="U68" s="171">
        <f>10.6*M68/100</f>
        <v>5.3</v>
      </c>
      <c r="V68" s="172"/>
      <c r="W68" s="258"/>
      <c r="X68" s="206"/>
      <c r="Y68" s="207"/>
      <c r="Z68" s="208"/>
    </row>
    <row r="69" spans="1:45" ht="15.75" thickBot="1" x14ac:dyDescent="0.3">
      <c r="A69" s="213"/>
      <c r="B69" s="196"/>
      <c r="C69" s="197"/>
      <c r="D69" s="198"/>
      <c r="E69" s="196"/>
      <c r="F69" s="197"/>
      <c r="G69" s="197"/>
      <c r="H69" s="198"/>
      <c r="I69" s="196"/>
      <c r="J69" s="197"/>
      <c r="K69" s="190"/>
      <c r="L69" s="191"/>
      <c r="M69" s="197"/>
      <c r="N69" s="198"/>
      <c r="O69" s="173"/>
      <c r="P69" s="174"/>
      <c r="Q69" s="173"/>
      <c r="R69" s="174"/>
      <c r="S69" s="173"/>
      <c r="T69" s="174"/>
      <c r="U69" s="173"/>
      <c r="V69" s="174"/>
      <c r="W69" s="259"/>
      <c r="X69" s="206"/>
      <c r="Y69" s="207"/>
      <c r="Z69" s="208"/>
    </row>
    <row r="70" spans="1:45" x14ac:dyDescent="0.25">
      <c r="A70" s="213"/>
      <c r="B70" s="193" t="s">
        <v>3</v>
      </c>
      <c r="C70" s="194"/>
      <c r="D70" s="195"/>
      <c r="E70" s="193" t="s">
        <v>57</v>
      </c>
      <c r="F70" s="194"/>
      <c r="G70" s="194"/>
      <c r="H70" s="195"/>
      <c r="I70" s="188">
        <v>4742870019060</v>
      </c>
      <c r="J70" s="189"/>
      <c r="K70" s="193">
        <v>80</v>
      </c>
      <c r="L70" s="195"/>
      <c r="M70" s="193">
        <v>75</v>
      </c>
      <c r="N70" s="195"/>
      <c r="O70" s="199">
        <v>160.5</v>
      </c>
      <c r="P70" s="200"/>
      <c r="Q70" s="199">
        <v>2.4</v>
      </c>
      <c r="R70" s="200"/>
      <c r="S70" s="199">
        <v>7.5</v>
      </c>
      <c r="T70" s="200"/>
      <c r="U70" s="199">
        <v>13.425000000000001</v>
      </c>
      <c r="V70" s="200"/>
      <c r="W70" s="258"/>
      <c r="X70" s="206"/>
      <c r="Y70" s="207"/>
      <c r="Z70" s="208"/>
    </row>
    <row r="71" spans="1:45" ht="15.75" thickBot="1" x14ac:dyDescent="0.3">
      <c r="A71" s="213"/>
      <c r="B71" s="196"/>
      <c r="C71" s="197"/>
      <c r="D71" s="198"/>
      <c r="E71" s="196"/>
      <c r="F71" s="197"/>
      <c r="G71" s="197"/>
      <c r="H71" s="198"/>
      <c r="I71" s="190"/>
      <c r="J71" s="191"/>
      <c r="K71" s="196"/>
      <c r="L71" s="198"/>
      <c r="M71" s="196"/>
      <c r="N71" s="198"/>
      <c r="O71" s="201"/>
      <c r="P71" s="202"/>
      <c r="Q71" s="201"/>
      <c r="R71" s="202"/>
      <c r="S71" s="201"/>
      <c r="T71" s="202"/>
      <c r="U71" s="201"/>
      <c r="V71" s="202"/>
      <c r="W71" s="259"/>
      <c r="X71" s="206"/>
      <c r="Y71" s="207"/>
      <c r="Z71" s="208"/>
    </row>
    <row r="72" spans="1:45" ht="15" customHeight="1" x14ac:dyDescent="0.25">
      <c r="A72" s="213"/>
      <c r="B72" s="193" t="s">
        <v>4</v>
      </c>
      <c r="C72" s="194"/>
      <c r="D72" s="195"/>
      <c r="E72" s="193" t="s">
        <v>67</v>
      </c>
      <c r="F72" s="194"/>
      <c r="G72" s="194"/>
      <c r="H72" s="195"/>
      <c r="I72" s="188"/>
      <c r="J72" s="189"/>
      <c r="K72" s="193">
        <v>48</v>
      </c>
      <c r="L72" s="195"/>
      <c r="M72" s="193">
        <v>45</v>
      </c>
      <c r="N72" s="195"/>
      <c r="O72" s="199">
        <f>400*M72/100</f>
        <v>180</v>
      </c>
      <c r="P72" s="200"/>
      <c r="Q72" s="199">
        <f>65.4*M72/100</f>
        <v>29.430000000000003</v>
      </c>
      <c r="R72" s="200"/>
      <c r="S72" s="199">
        <f>11.3*M72/100</f>
        <v>5.0850000000000009</v>
      </c>
      <c r="T72" s="200"/>
      <c r="U72" s="199">
        <f>9*M72/100</f>
        <v>4.05</v>
      </c>
      <c r="V72" s="200"/>
      <c r="W72" s="258"/>
      <c r="X72" s="206"/>
      <c r="Y72" s="207"/>
      <c r="Z72" s="208"/>
      <c r="AB72" s="274"/>
      <c r="AC72" s="274"/>
      <c r="AD72" s="274"/>
      <c r="AE72" s="274"/>
      <c r="AF72" s="275"/>
      <c r="AG72" s="275"/>
      <c r="AH72" s="276"/>
      <c r="AI72" s="276"/>
      <c r="AJ72" s="276"/>
      <c r="AK72" s="276"/>
      <c r="AL72" s="276"/>
      <c r="AM72" s="276"/>
      <c r="AN72" s="276"/>
      <c r="AO72" s="276"/>
      <c r="AP72" s="276"/>
      <c r="AQ72" s="276"/>
      <c r="AR72" s="276"/>
      <c r="AS72" s="276"/>
    </row>
    <row r="73" spans="1:45" ht="15.75" thickBot="1" x14ac:dyDescent="0.3">
      <c r="A73" s="213"/>
      <c r="B73" s="196"/>
      <c r="C73" s="197"/>
      <c r="D73" s="198"/>
      <c r="E73" s="196"/>
      <c r="F73" s="197"/>
      <c r="G73" s="197"/>
      <c r="H73" s="198"/>
      <c r="I73" s="190"/>
      <c r="J73" s="191"/>
      <c r="K73" s="196"/>
      <c r="L73" s="198"/>
      <c r="M73" s="196"/>
      <c r="N73" s="198"/>
      <c r="O73" s="201"/>
      <c r="P73" s="202"/>
      <c r="Q73" s="201"/>
      <c r="R73" s="202"/>
      <c r="S73" s="201"/>
      <c r="T73" s="202"/>
      <c r="U73" s="201"/>
      <c r="V73" s="202"/>
      <c r="W73" s="255"/>
      <c r="X73" s="206"/>
      <c r="Y73" s="207"/>
      <c r="Z73" s="208"/>
      <c r="AB73" s="274"/>
      <c r="AC73" s="274"/>
      <c r="AD73" s="274"/>
      <c r="AE73" s="274"/>
      <c r="AF73" s="275"/>
      <c r="AG73" s="275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</row>
    <row r="74" spans="1:45" ht="14.45" customHeight="1" x14ac:dyDescent="0.25">
      <c r="A74" s="213"/>
      <c r="B74" s="193" t="s">
        <v>35</v>
      </c>
      <c r="C74" s="194"/>
      <c r="D74" s="195"/>
      <c r="E74" s="193" t="s">
        <v>85</v>
      </c>
      <c r="F74" s="194"/>
      <c r="G74" s="194"/>
      <c r="H74" s="195"/>
      <c r="I74" s="188"/>
      <c r="J74" s="189"/>
      <c r="K74" s="193">
        <v>3</v>
      </c>
      <c r="L74" s="195"/>
      <c r="M74" s="193">
        <v>2</v>
      </c>
      <c r="N74" s="195"/>
      <c r="O74" s="199">
        <v>5.4</v>
      </c>
      <c r="P74" s="200"/>
      <c r="Q74" s="199">
        <v>0.4</v>
      </c>
      <c r="R74" s="200"/>
      <c r="S74" s="199">
        <v>0.4</v>
      </c>
      <c r="T74" s="200"/>
      <c r="U74" s="199">
        <v>0</v>
      </c>
      <c r="V74" s="200"/>
      <c r="W74" s="258"/>
      <c r="X74" s="206"/>
      <c r="Y74" s="207"/>
      <c r="Z74" s="208"/>
      <c r="AB74" s="62"/>
      <c r="AC74" s="62"/>
      <c r="AD74" s="62"/>
      <c r="AE74" s="62"/>
      <c r="AF74" s="277"/>
      <c r="AG74" s="277"/>
      <c r="AH74" s="62"/>
      <c r="AI74" s="62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</row>
    <row r="75" spans="1:45" ht="15.75" thickBot="1" x14ac:dyDescent="0.3">
      <c r="A75" s="213"/>
      <c r="B75" s="196"/>
      <c r="C75" s="197"/>
      <c r="D75" s="198"/>
      <c r="E75" s="196"/>
      <c r="F75" s="197"/>
      <c r="G75" s="197"/>
      <c r="H75" s="198"/>
      <c r="I75" s="190"/>
      <c r="J75" s="191"/>
      <c r="K75" s="196"/>
      <c r="L75" s="198"/>
      <c r="M75" s="196"/>
      <c r="N75" s="198"/>
      <c r="O75" s="201"/>
      <c r="P75" s="202"/>
      <c r="Q75" s="201"/>
      <c r="R75" s="202"/>
      <c r="S75" s="201"/>
      <c r="T75" s="202"/>
      <c r="U75" s="201"/>
      <c r="V75" s="202"/>
      <c r="W75" s="255"/>
      <c r="X75" s="206"/>
      <c r="Y75" s="207"/>
      <c r="Z75" s="208"/>
      <c r="AB75" s="62"/>
      <c r="AC75" s="62"/>
      <c r="AD75" s="62"/>
      <c r="AE75" s="62"/>
      <c r="AF75" s="277"/>
      <c r="AG75" s="277"/>
      <c r="AH75" s="62"/>
      <c r="AI75" s="62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</row>
    <row r="76" spans="1:45" x14ac:dyDescent="0.25">
      <c r="A76" s="213"/>
      <c r="B76" s="193" t="s">
        <v>5</v>
      </c>
      <c r="C76" s="194"/>
      <c r="D76" s="195"/>
      <c r="E76" s="193" t="s">
        <v>44</v>
      </c>
      <c r="F76" s="194"/>
      <c r="G76" s="194"/>
      <c r="H76" s="195"/>
      <c r="I76" s="188">
        <v>4742870011989</v>
      </c>
      <c r="J76" s="189"/>
      <c r="K76" s="193">
        <v>32</v>
      </c>
      <c r="L76" s="195"/>
      <c r="M76" s="193">
        <v>30</v>
      </c>
      <c r="N76" s="195"/>
      <c r="O76" s="199">
        <v>183.6</v>
      </c>
      <c r="P76" s="200"/>
      <c r="Q76" s="199">
        <v>2.25</v>
      </c>
      <c r="R76" s="200"/>
      <c r="S76" s="199">
        <v>9.4499999999999993</v>
      </c>
      <c r="T76" s="200"/>
      <c r="U76" s="199">
        <v>14.58</v>
      </c>
      <c r="V76" s="200"/>
      <c r="W76" s="258"/>
      <c r="X76" s="206"/>
      <c r="Y76" s="207"/>
      <c r="Z76" s="208"/>
    </row>
    <row r="77" spans="1:45" ht="15.75" thickBot="1" x14ac:dyDescent="0.3">
      <c r="A77" s="213"/>
      <c r="B77" s="196"/>
      <c r="C77" s="197"/>
      <c r="D77" s="198"/>
      <c r="E77" s="196"/>
      <c r="F77" s="197"/>
      <c r="G77" s="197"/>
      <c r="H77" s="198"/>
      <c r="I77" s="190"/>
      <c r="J77" s="191"/>
      <c r="K77" s="196"/>
      <c r="L77" s="198"/>
      <c r="M77" s="196"/>
      <c r="N77" s="198"/>
      <c r="O77" s="201"/>
      <c r="P77" s="202"/>
      <c r="Q77" s="201"/>
      <c r="R77" s="202"/>
      <c r="S77" s="201"/>
      <c r="T77" s="202"/>
      <c r="U77" s="201"/>
      <c r="V77" s="202"/>
      <c r="W77" s="255"/>
      <c r="X77" s="206"/>
      <c r="Y77" s="207"/>
      <c r="Z77" s="208"/>
    </row>
    <row r="78" spans="1:45" x14ac:dyDescent="0.25">
      <c r="A78" s="213"/>
      <c r="B78" s="193" t="s">
        <v>6</v>
      </c>
      <c r="C78" s="194"/>
      <c r="D78" s="195"/>
      <c r="E78" s="193" t="s">
        <v>48</v>
      </c>
      <c r="F78" s="194"/>
      <c r="G78" s="194"/>
      <c r="H78" s="195"/>
      <c r="I78" s="188">
        <v>4742870010548</v>
      </c>
      <c r="J78" s="189"/>
      <c r="K78" s="193">
        <v>42</v>
      </c>
      <c r="L78" s="195"/>
      <c r="M78" s="193">
        <v>40</v>
      </c>
      <c r="N78" s="195"/>
      <c r="O78" s="199">
        <v>109.4</v>
      </c>
      <c r="P78" s="200"/>
      <c r="Q78" s="199">
        <v>27.4</v>
      </c>
      <c r="R78" s="200"/>
      <c r="S78" s="199">
        <v>0</v>
      </c>
      <c r="T78" s="200"/>
      <c r="U78" s="199">
        <v>0</v>
      </c>
      <c r="V78" s="200"/>
      <c r="W78" s="258"/>
      <c r="X78" s="206"/>
      <c r="Y78" s="207"/>
      <c r="Z78" s="208"/>
    </row>
    <row r="79" spans="1:45" ht="15.75" thickBot="1" x14ac:dyDescent="0.3">
      <c r="A79" s="213"/>
      <c r="B79" s="196"/>
      <c r="C79" s="197"/>
      <c r="D79" s="198"/>
      <c r="E79" s="196"/>
      <c r="F79" s="197"/>
      <c r="G79" s="197"/>
      <c r="H79" s="198"/>
      <c r="I79" s="190"/>
      <c r="J79" s="191"/>
      <c r="K79" s="196"/>
      <c r="L79" s="198"/>
      <c r="M79" s="196"/>
      <c r="N79" s="198"/>
      <c r="O79" s="201"/>
      <c r="P79" s="202"/>
      <c r="Q79" s="201"/>
      <c r="R79" s="202"/>
      <c r="S79" s="201"/>
      <c r="T79" s="202"/>
      <c r="U79" s="201"/>
      <c r="V79" s="202"/>
      <c r="W79" s="255"/>
      <c r="X79" s="206"/>
      <c r="Y79" s="207"/>
      <c r="Z79" s="208"/>
    </row>
    <row r="80" spans="1:45" x14ac:dyDescent="0.25">
      <c r="A80" s="213"/>
      <c r="B80" s="193" t="s">
        <v>7</v>
      </c>
      <c r="C80" s="194"/>
      <c r="D80" s="195"/>
      <c r="E80" s="193" t="s">
        <v>66</v>
      </c>
      <c r="F80" s="194"/>
      <c r="G80" s="194"/>
      <c r="H80" s="195"/>
      <c r="I80" s="188"/>
      <c r="J80" s="195"/>
      <c r="K80" s="188">
        <v>4</v>
      </c>
      <c r="L80" s="189"/>
      <c r="M80" s="193">
        <v>2</v>
      </c>
      <c r="N80" s="195"/>
      <c r="O80" s="171">
        <v>0</v>
      </c>
      <c r="P80" s="172"/>
      <c r="Q80" s="171">
        <v>0</v>
      </c>
      <c r="R80" s="172"/>
      <c r="S80" s="171">
        <v>0</v>
      </c>
      <c r="T80" s="172"/>
      <c r="U80" s="171">
        <v>0</v>
      </c>
      <c r="V80" s="172"/>
      <c r="W80" s="254"/>
      <c r="X80" s="206"/>
      <c r="Y80" s="207"/>
      <c r="Z80" s="208"/>
    </row>
    <row r="81" spans="1:31" ht="15.75" thickBot="1" x14ac:dyDescent="0.3">
      <c r="A81" s="213"/>
      <c r="B81" s="196"/>
      <c r="C81" s="197"/>
      <c r="D81" s="198"/>
      <c r="E81" s="196"/>
      <c r="F81" s="197"/>
      <c r="G81" s="197"/>
      <c r="H81" s="198"/>
      <c r="I81" s="196"/>
      <c r="J81" s="198"/>
      <c r="K81" s="190"/>
      <c r="L81" s="191"/>
      <c r="M81" s="196"/>
      <c r="N81" s="198"/>
      <c r="O81" s="173"/>
      <c r="P81" s="174"/>
      <c r="Q81" s="173"/>
      <c r="R81" s="174"/>
      <c r="S81" s="173"/>
      <c r="T81" s="174"/>
      <c r="U81" s="173"/>
      <c r="V81" s="174"/>
      <c r="W81" s="255"/>
      <c r="X81" s="206"/>
      <c r="Y81" s="207"/>
      <c r="Z81" s="208"/>
    </row>
    <row r="82" spans="1:31" x14ac:dyDescent="0.25">
      <c r="A82" s="213"/>
      <c r="B82" s="193" t="s">
        <v>8</v>
      </c>
      <c r="C82" s="194"/>
      <c r="D82" s="195"/>
      <c r="E82" s="193" t="s">
        <v>8</v>
      </c>
      <c r="F82" s="194"/>
      <c r="G82" s="194"/>
      <c r="H82" s="195"/>
      <c r="I82" s="188"/>
      <c r="J82" s="195"/>
      <c r="K82" s="188"/>
      <c r="L82" s="189"/>
      <c r="M82" s="193"/>
      <c r="N82" s="195"/>
      <c r="O82" s="171"/>
      <c r="P82" s="172"/>
      <c r="Q82" s="171"/>
      <c r="R82" s="172"/>
      <c r="S82" s="171"/>
      <c r="T82" s="172"/>
      <c r="U82" s="171"/>
      <c r="V82" s="172"/>
      <c r="W82" s="254"/>
      <c r="X82" s="206"/>
      <c r="Y82" s="207"/>
      <c r="Z82" s="208"/>
    </row>
    <row r="83" spans="1:31" ht="15.75" thickBot="1" x14ac:dyDescent="0.3">
      <c r="A83" s="214"/>
      <c r="B83" s="196"/>
      <c r="C83" s="197"/>
      <c r="D83" s="198"/>
      <c r="E83" s="196"/>
      <c r="F83" s="197"/>
      <c r="G83" s="197"/>
      <c r="H83" s="198"/>
      <c r="I83" s="196"/>
      <c r="J83" s="198"/>
      <c r="K83" s="190"/>
      <c r="L83" s="191"/>
      <c r="M83" s="196"/>
      <c r="N83" s="198"/>
      <c r="O83" s="173"/>
      <c r="P83" s="174"/>
      <c r="Q83" s="173"/>
      <c r="R83" s="174"/>
      <c r="S83" s="173"/>
      <c r="T83" s="174"/>
      <c r="U83" s="173"/>
      <c r="V83" s="174"/>
      <c r="W83" s="255"/>
      <c r="X83" s="209"/>
      <c r="Y83" s="210"/>
      <c r="Z83" s="211"/>
    </row>
    <row r="84" spans="1:31" ht="15.75" thickBot="1" x14ac:dyDescent="0.3">
      <c r="A84" s="1"/>
      <c r="B84" s="156" t="s">
        <v>16</v>
      </c>
      <c r="C84" s="157"/>
      <c r="D84" s="158"/>
      <c r="E84" s="159"/>
      <c r="F84" s="160"/>
      <c r="G84" s="160"/>
      <c r="H84" s="161"/>
      <c r="I84" s="262"/>
      <c r="J84" s="263"/>
      <c r="K84" s="162">
        <f>SUM(K66:L83)</f>
        <v>574</v>
      </c>
      <c r="L84" s="163"/>
      <c r="M84" s="162">
        <f>SUM(M66:N83)</f>
        <v>544</v>
      </c>
      <c r="N84" s="163"/>
      <c r="O84" s="162">
        <f>SUM(O66:P83)</f>
        <v>1251.4000000000001</v>
      </c>
      <c r="P84" s="163"/>
      <c r="Q84" s="162">
        <f>SUM(Q66:R83)</f>
        <v>143.93000000000004</v>
      </c>
      <c r="R84" s="163"/>
      <c r="S84" s="162">
        <f>SUM(S66:T83)</f>
        <v>41.034999999999997</v>
      </c>
      <c r="T84" s="163"/>
      <c r="U84" s="162">
        <f>SUM(U66:V83)</f>
        <v>52.954999999999998</v>
      </c>
      <c r="V84" s="163"/>
      <c r="W84" s="21"/>
    </row>
    <row r="85" spans="1:31" ht="15" customHeight="1" x14ac:dyDescent="0.25">
      <c r="A85" s="212">
        <v>21</v>
      </c>
      <c r="B85" s="193" t="s">
        <v>1</v>
      </c>
      <c r="C85" s="194"/>
      <c r="D85" s="195"/>
      <c r="E85" s="278" t="s">
        <v>39</v>
      </c>
      <c r="F85" s="279"/>
      <c r="G85" s="279"/>
      <c r="H85" s="280"/>
      <c r="I85" s="188">
        <v>4742870012177</v>
      </c>
      <c r="J85" s="189"/>
      <c r="K85" s="193">
        <v>310</v>
      </c>
      <c r="L85" s="195"/>
      <c r="M85" s="193">
        <v>300</v>
      </c>
      <c r="N85" s="195"/>
      <c r="O85" s="199">
        <v>381</v>
      </c>
      <c r="P85" s="200"/>
      <c r="Q85" s="199">
        <v>45</v>
      </c>
      <c r="R85" s="200"/>
      <c r="S85" s="199">
        <v>13.2</v>
      </c>
      <c r="T85" s="200"/>
      <c r="U85" s="199">
        <v>16.2</v>
      </c>
      <c r="V85" s="200"/>
      <c r="W85" s="256"/>
      <c r="X85" s="203">
        <v>26400</v>
      </c>
      <c r="Y85" s="204"/>
      <c r="Z85" s="205"/>
    </row>
    <row r="86" spans="1:31" ht="15.95" customHeight="1" thickBot="1" x14ac:dyDescent="0.3">
      <c r="A86" s="213"/>
      <c r="B86" s="196"/>
      <c r="C86" s="197"/>
      <c r="D86" s="198"/>
      <c r="E86" s="281"/>
      <c r="F86" s="282"/>
      <c r="G86" s="282"/>
      <c r="H86" s="283"/>
      <c r="I86" s="190"/>
      <c r="J86" s="191"/>
      <c r="K86" s="196"/>
      <c r="L86" s="198"/>
      <c r="M86" s="196"/>
      <c r="N86" s="198"/>
      <c r="O86" s="201"/>
      <c r="P86" s="202"/>
      <c r="Q86" s="201"/>
      <c r="R86" s="202"/>
      <c r="S86" s="201"/>
      <c r="T86" s="202"/>
      <c r="U86" s="201"/>
      <c r="V86" s="202"/>
      <c r="W86" s="257"/>
      <c r="X86" s="206"/>
      <c r="Y86" s="207"/>
      <c r="Z86" s="208"/>
    </row>
    <row r="87" spans="1:31" x14ac:dyDescent="0.25">
      <c r="A87" s="213"/>
      <c r="B87" s="193" t="s">
        <v>2</v>
      </c>
      <c r="C87" s="194"/>
      <c r="D87" s="195"/>
      <c r="E87" s="193" t="s">
        <v>20</v>
      </c>
      <c r="F87" s="194"/>
      <c r="G87" s="194"/>
      <c r="H87" s="195"/>
      <c r="I87" s="188"/>
      <c r="J87" s="194"/>
      <c r="K87" s="188">
        <v>55</v>
      </c>
      <c r="L87" s="189"/>
      <c r="M87" s="194">
        <v>50</v>
      </c>
      <c r="N87" s="195"/>
      <c r="O87" s="171">
        <f>444*M87/100</f>
        <v>222</v>
      </c>
      <c r="P87" s="172"/>
      <c r="Q87" s="171">
        <f>66.6*M87/100</f>
        <v>33.299999999999997</v>
      </c>
      <c r="R87" s="172"/>
      <c r="S87" s="171">
        <f>9.7*M87/100</f>
        <v>4.8499999999999996</v>
      </c>
      <c r="T87" s="172"/>
      <c r="U87" s="171">
        <f>16.2*M87/100</f>
        <v>8.1</v>
      </c>
      <c r="V87" s="172"/>
      <c r="W87" s="258"/>
      <c r="X87" s="206"/>
      <c r="Y87" s="207"/>
      <c r="Z87" s="208"/>
    </row>
    <row r="88" spans="1:31" ht="15.75" thickBot="1" x14ac:dyDescent="0.3">
      <c r="A88" s="213"/>
      <c r="B88" s="196"/>
      <c r="C88" s="197"/>
      <c r="D88" s="198"/>
      <c r="E88" s="196"/>
      <c r="F88" s="197"/>
      <c r="G88" s="197"/>
      <c r="H88" s="198"/>
      <c r="I88" s="196"/>
      <c r="J88" s="197"/>
      <c r="K88" s="190"/>
      <c r="L88" s="191"/>
      <c r="M88" s="197"/>
      <c r="N88" s="198"/>
      <c r="O88" s="173"/>
      <c r="P88" s="174"/>
      <c r="Q88" s="173"/>
      <c r="R88" s="174"/>
      <c r="S88" s="173"/>
      <c r="T88" s="174"/>
      <c r="U88" s="173"/>
      <c r="V88" s="174"/>
      <c r="W88" s="259"/>
      <c r="X88" s="206"/>
      <c r="Y88" s="207"/>
      <c r="Z88" s="208"/>
    </row>
    <row r="89" spans="1:31" x14ac:dyDescent="0.25">
      <c r="A89" s="213"/>
      <c r="B89" s="193" t="s">
        <v>3</v>
      </c>
      <c r="C89" s="194"/>
      <c r="D89" s="195"/>
      <c r="E89" s="193" t="s">
        <v>21</v>
      </c>
      <c r="F89" s="194"/>
      <c r="G89" s="194"/>
      <c r="H89" s="195"/>
      <c r="I89" s="188">
        <v>4742870019008</v>
      </c>
      <c r="J89" s="195"/>
      <c r="K89" s="260">
        <v>80</v>
      </c>
      <c r="L89" s="261"/>
      <c r="M89" s="193">
        <v>75</v>
      </c>
      <c r="N89" s="195"/>
      <c r="O89" s="199">
        <v>225</v>
      </c>
      <c r="P89" s="200"/>
      <c r="Q89" s="199">
        <v>1.05</v>
      </c>
      <c r="R89" s="200"/>
      <c r="S89" s="199">
        <v>7.2</v>
      </c>
      <c r="T89" s="200"/>
      <c r="U89" s="199">
        <v>21.23</v>
      </c>
      <c r="V89" s="200"/>
      <c r="W89" s="258"/>
      <c r="X89" s="206"/>
      <c r="Y89" s="207"/>
      <c r="Z89" s="208"/>
    </row>
    <row r="90" spans="1:31" ht="15.75" thickBot="1" x14ac:dyDescent="0.3">
      <c r="A90" s="213"/>
      <c r="B90" s="196"/>
      <c r="C90" s="197"/>
      <c r="D90" s="198"/>
      <c r="E90" s="196"/>
      <c r="F90" s="197"/>
      <c r="G90" s="197"/>
      <c r="H90" s="198"/>
      <c r="I90" s="196"/>
      <c r="J90" s="198"/>
      <c r="K90" s="190"/>
      <c r="L90" s="191"/>
      <c r="M90" s="196"/>
      <c r="N90" s="198"/>
      <c r="O90" s="201"/>
      <c r="P90" s="202"/>
      <c r="Q90" s="201"/>
      <c r="R90" s="202"/>
      <c r="S90" s="201"/>
      <c r="T90" s="202"/>
      <c r="U90" s="201"/>
      <c r="V90" s="202"/>
      <c r="W90" s="259"/>
      <c r="X90" s="206"/>
      <c r="Y90" s="207"/>
      <c r="Z90" s="208"/>
    </row>
    <row r="91" spans="1:31" ht="14.45" customHeight="1" x14ac:dyDescent="0.25">
      <c r="A91" s="213"/>
      <c r="B91" s="193" t="s">
        <v>4</v>
      </c>
      <c r="C91" s="194"/>
      <c r="D91" s="195"/>
      <c r="E91" s="193" t="s">
        <v>70</v>
      </c>
      <c r="F91" s="194"/>
      <c r="G91" s="194"/>
      <c r="H91" s="195"/>
      <c r="I91" s="188"/>
      <c r="J91" s="189"/>
      <c r="K91" s="188">
        <v>55</v>
      </c>
      <c r="L91" s="189"/>
      <c r="M91" s="193">
        <v>50</v>
      </c>
      <c r="N91" s="195"/>
      <c r="O91" s="171">
        <f>491*M91/100</f>
        <v>245.5</v>
      </c>
      <c r="P91" s="172"/>
      <c r="Q91" s="171">
        <f>65.6*M91/100</f>
        <v>32.799999999999997</v>
      </c>
      <c r="R91" s="172"/>
      <c r="S91" s="171">
        <f>6.9*M91/100</f>
        <v>3.45</v>
      </c>
      <c r="T91" s="172"/>
      <c r="U91" s="171">
        <f>21.7*M91/100</f>
        <v>10.85</v>
      </c>
      <c r="V91" s="172"/>
      <c r="W91" s="258"/>
      <c r="X91" s="206"/>
      <c r="Y91" s="207"/>
      <c r="Z91" s="208"/>
      <c r="AB91" s="10"/>
      <c r="AC91" s="10"/>
      <c r="AD91" s="10"/>
      <c r="AE91" s="10"/>
    </row>
    <row r="92" spans="1:31" ht="15.95" customHeight="1" thickBot="1" x14ac:dyDescent="0.3">
      <c r="A92" s="213"/>
      <c r="B92" s="196"/>
      <c r="C92" s="197"/>
      <c r="D92" s="198"/>
      <c r="E92" s="196"/>
      <c r="F92" s="197"/>
      <c r="G92" s="197"/>
      <c r="H92" s="198"/>
      <c r="I92" s="190"/>
      <c r="J92" s="191"/>
      <c r="K92" s="190"/>
      <c r="L92" s="191"/>
      <c r="M92" s="196"/>
      <c r="N92" s="198"/>
      <c r="O92" s="173"/>
      <c r="P92" s="174"/>
      <c r="Q92" s="173"/>
      <c r="R92" s="174"/>
      <c r="S92" s="173"/>
      <c r="T92" s="174"/>
      <c r="U92" s="173"/>
      <c r="V92" s="174"/>
      <c r="W92" s="255"/>
      <c r="X92" s="206"/>
      <c r="Y92" s="207"/>
      <c r="Z92" s="208"/>
    </row>
    <row r="93" spans="1:31" x14ac:dyDescent="0.25">
      <c r="A93" s="213"/>
      <c r="B93" s="193" t="s">
        <v>35</v>
      </c>
      <c r="C93" s="194"/>
      <c r="D93" s="195"/>
      <c r="E93" s="193" t="s">
        <v>82</v>
      </c>
      <c r="F93" s="194"/>
      <c r="G93" s="194"/>
      <c r="H93" s="195"/>
      <c r="I93" s="188"/>
      <c r="J93" s="189"/>
      <c r="K93" s="193">
        <v>3</v>
      </c>
      <c r="L93" s="195"/>
      <c r="M93" s="193">
        <v>2</v>
      </c>
      <c r="N93" s="195"/>
      <c r="O93" s="199">
        <v>5.4</v>
      </c>
      <c r="P93" s="200"/>
      <c r="Q93" s="199">
        <v>0.4</v>
      </c>
      <c r="R93" s="200"/>
      <c r="S93" s="199">
        <v>0.4</v>
      </c>
      <c r="T93" s="200"/>
      <c r="U93" s="199">
        <v>0</v>
      </c>
      <c r="V93" s="200"/>
      <c r="W93" s="258"/>
      <c r="X93" s="206"/>
      <c r="Y93" s="207"/>
      <c r="Z93" s="208"/>
    </row>
    <row r="94" spans="1:31" ht="15.75" thickBot="1" x14ac:dyDescent="0.3">
      <c r="A94" s="213"/>
      <c r="B94" s="196"/>
      <c r="C94" s="197"/>
      <c r="D94" s="198"/>
      <c r="E94" s="196"/>
      <c r="F94" s="197"/>
      <c r="G94" s="197"/>
      <c r="H94" s="198"/>
      <c r="I94" s="190"/>
      <c r="J94" s="191"/>
      <c r="K94" s="196"/>
      <c r="L94" s="198"/>
      <c r="M94" s="196"/>
      <c r="N94" s="198"/>
      <c r="O94" s="201"/>
      <c r="P94" s="202"/>
      <c r="Q94" s="201"/>
      <c r="R94" s="202"/>
      <c r="S94" s="201"/>
      <c r="T94" s="202"/>
      <c r="U94" s="201"/>
      <c r="V94" s="202"/>
      <c r="W94" s="255"/>
      <c r="X94" s="206"/>
      <c r="Y94" s="207"/>
      <c r="Z94" s="208"/>
    </row>
    <row r="95" spans="1:31" x14ac:dyDescent="0.25">
      <c r="A95" s="213"/>
      <c r="B95" s="193" t="s">
        <v>5</v>
      </c>
      <c r="C95" s="194"/>
      <c r="D95" s="195"/>
      <c r="E95" s="193" t="s">
        <v>64</v>
      </c>
      <c r="F95" s="194"/>
      <c r="G95" s="194"/>
      <c r="H95" s="195"/>
      <c r="I95" s="188"/>
      <c r="J95" s="189"/>
      <c r="K95" s="193">
        <v>27</v>
      </c>
      <c r="L95" s="195"/>
      <c r="M95" s="193">
        <v>25</v>
      </c>
      <c r="N95" s="195"/>
      <c r="O95" s="193">
        <f>267*M95/100</f>
        <v>66.75</v>
      </c>
      <c r="P95" s="195"/>
      <c r="Q95" s="193">
        <f>65.6*M95/100</f>
        <v>16.399999999999999</v>
      </c>
      <c r="R95" s="195"/>
      <c r="S95" s="193">
        <f>0.3*M95/100</f>
        <v>7.4999999999999997E-2</v>
      </c>
      <c r="T95" s="195"/>
      <c r="U95" s="193">
        <f>0.1*M95/100</f>
        <v>2.5000000000000001E-2</v>
      </c>
      <c r="V95" s="195"/>
      <c r="W95" s="258"/>
      <c r="X95" s="206"/>
      <c r="Y95" s="207"/>
      <c r="Z95" s="208"/>
    </row>
    <row r="96" spans="1:31" ht="15.75" thickBot="1" x14ac:dyDescent="0.3">
      <c r="A96" s="213"/>
      <c r="B96" s="196"/>
      <c r="C96" s="197"/>
      <c r="D96" s="198"/>
      <c r="E96" s="196"/>
      <c r="F96" s="197"/>
      <c r="G96" s="197"/>
      <c r="H96" s="198"/>
      <c r="I96" s="190"/>
      <c r="J96" s="191"/>
      <c r="K96" s="196"/>
      <c r="L96" s="198"/>
      <c r="M96" s="196"/>
      <c r="N96" s="198"/>
      <c r="O96" s="196"/>
      <c r="P96" s="198"/>
      <c r="Q96" s="196"/>
      <c r="R96" s="198"/>
      <c r="S96" s="196"/>
      <c r="T96" s="198"/>
      <c r="U96" s="196"/>
      <c r="V96" s="198"/>
      <c r="W96" s="255"/>
      <c r="X96" s="206"/>
      <c r="Y96" s="207"/>
      <c r="Z96" s="208"/>
    </row>
    <row r="97" spans="1:26" x14ac:dyDescent="0.25">
      <c r="A97" s="213"/>
      <c r="B97" s="193" t="s">
        <v>6</v>
      </c>
      <c r="C97" s="194"/>
      <c r="D97" s="195"/>
      <c r="E97" s="193" t="s">
        <v>45</v>
      </c>
      <c r="F97" s="194"/>
      <c r="G97" s="194"/>
      <c r="H97" s="195"/>
      <c r="I97" s="188">
        <v>4742870017790</v>
      </c>
      <c r="J97" s="189"/>
      <c r="K97" s="193">
        <v>42</v>
      </c>
      <c r="L97" s="195"/>
      <c r="M97" s="193">
        <v>40</v>
      </c>
      <c r="N97" s="195"/>
      <c r="O97" s="199">
        <v>109.4</v>
      </c>
      <c r="P97" s="200"/>
      <c r="Q97" s="199">
        <v>27.4</v>
      </c>
      <c r="R97" s="200"/>
      <c r="S97" s="199">
        <v>0</v>
      </c>
      <c r="T97" s="200"/>
      <c r="U97" s="199">
        <v>0</v>
      </c>
      <c r="V97" s="200"/>
      <c r="W97" s="258"/>
      <c r="X97" s="206"/>
      <c r="Y97" s="207"/>
      <c r="Z97" s="208"/>
    </row>
    <row r="98" spans="1:26" ht="15.75" thickBot="1" x14ac:dyDescent="0.3">
      <c r="A98" s="213"/>
      <c r="B98" s="196"/>
      <c r="C98" s="197"/>
      <c r="D98" s="198"/>
      <c r="E98" s="196"/>
      <c r="F98" s="197"/>
      <c r="G98" s="197"/>
      <c r="H98" s="198"/>
      <c r="I98" s="190"/>
      <c r="J98" s="191"/>
      <c r="K98" s="196"/>
      <c r="L98" s="198"/>
      <c r="M98" s="196"/>
      <c r="N98" s="198"/>
      <c r="O98" s="201"/>
      <c r="P98" s="202"/>
      <c r="Q98" s="201"/>
      <c r="R98" s="202"/>
      <c r="S98" s="201"/>
      <c r="T98" s="202"/>
      <c r="U98" s="201"/>
      <c r="V98" s="202"/>
      <c r="W98" s="255"/>
      <c r="X98" s="206"/>
      <c r="Y98" s="207"/>
      <c r="Z98" s="208"/>
    </row>
    <row r="99" spans="1:26" ht="14.45" customHeight="1" x14ac:dyDescent="0.25">
      <c r="A99" s="213"/>
      <c r="B99" s="193" t="s">
        <v>7</v>
      </c>
      <c r="C99" s="194"/>
      <c r="D99" s="195"/>
      <c r="E99" s="193" t="s">
        <v>66</v>
      </c>
      <c r="F99" s="194"/>
      <c r="G99" s="194"/>
      <c r="H99" s="195"/>
      <c r="I99" s="188"/>
      <c r="J99" s="195"/>
      <c r="K99" s="188">
        <v>4</v>
      </c>
      <c r="L99" s="189"/>
      <c r="M99" s="193">
        <v>2</v>
      </c>
      <c r="N99" s="195"/>
      <c r="O99" s="171">
        <v>0</v>
      </c>
      <c r="P99" s="172"/>
      <c r="Q99" s="171">
        <v>0</v>
      </c>
      <c r="R99" s="172"/>
      <c r="S99" s="171">
        <v>0</v>
      </c>
      <c r="T99" s="172"/>
      <c r="U99" s="171">
        <v>0</v>
      </c>
      <c r="V99" s="172"/>
      <c r="W99" s="254"/>
      <c r="X99" s="206"/>
      <c r="Y99" s="207"/>
      <c r="Z99" s="208"/>
    </row>
    <row r="100" spans="1:26" ht="15.75" thickBot="1" x14ac:dyDescent="0.3">
      <c r="A100" s="213"/>
      <c r="B100" s="196"/>
      <c r="C100" s="197"/>
      <c r="D100" s="198"/>
      <c r="E100" s="196"/>
      <c r="F100" s="197"/>
      <c r="G100" s="197"/>
      <c r="H100" s="198"/>
      <c r="I100" s="196"/>
      <c r="J100" s="198"/>
      <c r="K100" s="190"/>
      <c r="L100" s="191"/>
      <c r="M100" s="196"/>
      <c r="N100" s="198"/>
      <c r="O100" s="173"/>
      <c r="P100" s="174"/>
      <c r="Q100" s="173"/>
      <c r="R100" s="174"/>
      <c r="S100" s="173"/>
      <c r="T100" s="174"/>
      <c r="U100" s="173"/>
      <c r="V100" s="174"/>
      <c r="W100" s="255"/>
      <c r="X100" s="206"/>
      <c r="Y100" s="207"/>
      <c r="Z100" s="208"/>
    </row>
    <row r="101" spans="1:26" x14ac:dyDescent="0.25">
      <c r="A101" s="213"/>
      <c r="B101" s="193" t="s">
        <v>8</v>
      </c>
      <c r="C101" s="194"/>
      <c r="D101" s="195"/>
      <c r="E101" s="193" t="s">
        <v>8</v>
      </c>
      <c r="F101" s="194"/>
      <c r="G101" s="194"/>
      <c r="H101" s="195"/>
      <c r="I101" s="188"/>
      <c r="J101" s="195"/>
      <c r="K101" s="188"/>
      <c r="L101" s="189"/>
      <c r="M101" s="193"/>
      <c r="N101" s="195"/>
      <c r="O101" s="171"/>
      <c r="P101" s="172"/>
      <c r="Q101" s="171"/>
      <c r="R101" s="172"/>
      <c r="S101" s="171"/>
      <c r="T101" s="172"/>
      <c r="U101" s="171"/>
      <c r="V101" s="172"/>
      <c r="W101" s="254"/>
      <c r="X101" s="206"/>
      <c r="Y101" s="207"/>
      <c r="Z101" s="208"/>
    </row>
    <row r="102" spans="1:26" ht="15.75" thickBot="1" x14ac:dyDescent="0.3">
      <c r="A102" s="214"/>
      <c r="B102" s="196"/>
      <c r="C102" s="197"/>
      <c r="D102" s="198"/>
      <c r="E102" s="196"/>
      <c r="F102" s="197"/>
      <c r="G102" s="197"/>
      <c r="H102" s="198"/>
      <c r="I102" s="196"/>
      <c r="J102" s="198"/>
      <c r="K102" s="190"/>
      <c r="L102" s="191"/>
      <c r="M102" s="196"/>
      <c r="N102" s="198"/>
      <c r="O102" s="173"/>
      <c r="P102" s="174"/>
      <c r="Q102" s="173"/>
      <c r="R102" s="174"/>
      <c r="S102" s="173"/>
      <c r="T102" s="174"/>
      <c r="U102" s="173"/>
      <c r="V102" s="174"/>
      <c r="W102" s="255"/>
      <c r="X102" s="209"/>
      <c r="Y102" s="210"/>
      <c r="Z102" s="211"/>
    </row>
    <row r="103" spans="1:26" ht="15.75" thickBot="1" x14ac:dyDescent="0.3">
      <c r="A103" s="2"/>
      <c r="B103" s="156" t="s">
        <v>16</v>
      </c>
      <c r="C103" s="157"/>
      <c r="D103" s="158"/>
      <c r="E103" s="159"/>
      <c r="F103" s="160"/>
      <c r="G103" s="160"/>
      <c r="H103" s="161"/>
      <c r="I103" s="262"/>
      <c r="J103" s="263"/>
      <c r="K103" s="162">
        <f>SUM(K85:L102)</f>
        <v>576</v>
      </c>
      <c r="L103" s="163"/>
      <c r="M103" s="162">
        <f>SUM(M85:N102)</f>
        <v>544</v>
      </c>
      <c r="N103" s="163"/>
      <c r="O103" s="162">
        <f>SUM(O85:P102)</f>
        <v>1255.0500000000002</v>
      </c>
      <c r="P103" s="163"/>
      <c r="Q103" s="162">
        <f>SUM(Q85:R102)</f>
        <v>156.35</v>
      </c>
      <c r="R103" s="163"/>
      <c r="S103" s="162">
        <f>SUM(S85:T102)</f>
        <v>29.174999999999994</v>
      </c>
      <c r="T103" s="163"/>
      <c r="U103" s="162">
        <f>SUM(U85:V102)</f>
        <v>56.405000000000001</v>
      </c>
      <c r="V103" s="163"/>
      <c r="W103" s="20"/>
    </row>
    <row r="104" spans="1:26" ht="15" customHeight="1" x14ac:dyDescent="0.25">
      <c r="A104" s="212">
        <v>22</v>
      </c>
      <c r="B104" s="193" t="s">
        <v>1</v>
      </c>
      <c r="C104" s="194"/>
      <c r="D104" s="195"/>
      <c r="E104" s="193" t="s">
        <v>40</v>
      </c>
      <c r="F104" s="194"/>
      <c r="G104" s="194"/>
      <c r="H104" s="195"/>
      <c r="I104" s="188">
        <v>4742870012184</v>
      </c>
      <c r="J104" s="189"/>
      <c r="K104" s="193">
        <v>310</v>
      </c>
      <c r="L104" s="195"/>
      <c r="M104" s="193">
        <v>300</v>
      </c>
      <c r="N104" s="195"/>
      <c r="O104" s="199">
        <v>291</v>
      </c>
      <c r="P104" s="200"/>
      <c r="Q104" s="199">
        <v>36</v>
      </c>
      <c r="R104" s="200"/>
      <c r="S104" s="199">
        <v>13.5</v>
      </c>
      <c r="T104" s="200"/>
      <c r="U104" s="199">
        <v>9</v>
      </c>
      <c r="V104" s="200"/>
      <c r="W104" s="256"/>
      <c r="X104" s="203">
        <v>26400</v>
      </c>
      <c r="Y104" s="204"/>
      <c r="Z104" s="205"/>
    </row>
    <row r="105" spans="1:26" ht="15.95" customHeight="1" thickBot="1" x14ac:dyDescent="0.3">
      <c r="A105" s="213"/>
      <c r="B105" s="196"/>
      <c r="C105" s="197"/>
      <c r="D105" s="198"/>
      <c r="E105" s="196"/>
      <c r="F105" s="197"/>
      <c r="G105" s="197"/>
      <c r="H105" s="198"/>
      <c r="I105" s="190"/>
      <c r="J105" s="191"/>
      <c r="K105" s="196"/>
      <c r="L105" s="198"/>
      <c r="M105" s="196"/>
      <c r="N105" s="198"/>
      <c r="O105" s="201"/>
      <c r="P105" s="202"/>
      <c r="Q105" s="201"/>
      <c r="R105" s="202"/>
      <c r="S105" s="201"/>
      <c r="T105" s="202"/>
      <c r="U105" s="201"/>
      <c r="V105" s="202"/>
      <c r="W105" s="257"/>
      <c r="X105" s="206"/>
      <c r="Y105" s="207"/>
      <c r="Z105" s="208"/>
    </row>
    <row r="106" spans="1:26" x14ac:dyDescent="0.25">
      <c r="A106" s="213"/>
      <c r="B106" s="193" t="s">
        <v>2</v>
      </c>
      <c r="C106" s="194"/>
      <c r="D106" s="195"/>
      <c r="E106" s="193" t="s">
        <v>72</v>
      </c>
      <c r="F106" s="194"/>
      <c r="G106" s="194"/>
      <c r="H106" s="195"/>
      <c r="I106" s="188"/>
      <c r="J106" s="194"/>
      <c r="K106" s="188">
        <v>55</v>
      </c>
      <c r="L106" s="189"/>
      <c r="M106" s="194">
        <v>50</v>
      </c>
      <c r="N106" s="195"/>
      <c r="O106" s="171">
        <f>427*M106/100</f>
        <v>213.5</v>
      </c>
      <c r="P106" s="172"/>
      <c r="Q106" s="171">
        <f>65.7*M106/100</f>
        <v>32.85</v>
      </c>
      <c r="R106" s="172"/>
      <c r="S106" s="171">
        <f>11.4*M106/100</f>
        <v>5.7</v>
      </c>
      <c r="T106" s="172"/>
      <c r="U106" s="171">
        <f>10.6*M106/100</f>
        <v>5.3</v>
      </c>
      <c r="V106" s="172"/>
      <c r="W106" s="258"/>
      <c r="X106" s="206"/>
      <c r="Y106" s="207"/>
      <c r="Z106" s="208"/>
    </row>
    <row r="107" spans="1:26" ht="15.75" thickBot="1" x14ac:dyDescent="0.3">
      <c r="A107" s="213"/>
      <c r="B107" s="196"/>
      <c r="C107" s="197"/>
      <c r="D107" s="198"/>
      <c r="E107" s="196"/>
      <c r="F107" s="197"/>
      <c r="G107" s="197"/>
      <c r="H107" s="198"/>
      <c r="I107" s="196"/>
      <c r="J107" s="197"/>
      <c r="K107" s="190"/>
      <c r="L107" s="191"/>
      <c r="M107" s="197"/>
      <c r="N107" s="198"/>
      <c r="O107" s="173"/>
      <c r="P107" s="174"/>
      <c r="Q107" s="173"/>
      <c r="R107" s="174"/>
      <c r="S107" s="173"/>
      <c r="T107" s="174"/>
      <c r="U107" s="173"/>
      <c r="V107" s="174"/>
      <c r="W107" s="259"/>
      <c r="X107" s="206"/>
      <c r="Y107" s="207"/>
      <c r="Z107" s="208"/>
    </row>
    <row r="108" spans="1:26" x14ac:dyDescent="0.25">
      <c r="A108" s="213"/>
      <c r="B108" s="193" t="s">
        <v>3</v>
      </c>
      <c r="C108" s="194"/>
      <c r="D108" s="195"/>
      <c r="E108" s="193" t="s">
        <v>29</v>
      </c>
      <c r="F108" s="194"/>
      <c r="G108" s="194"/>
      <c r="H108" s="195"/>
      <c r="I108" s="188">
        <v>4742870019022</v>
      </c>
      <c r="J108" s="189"/>
      <c r="K108" s="193">
        <v>80</v>
      </c>
      <c r="L108" s="195"/>
      <c r="M108" s="193">
        <v>75</v>
      </c>
      <c r="N108" s="195"/>
      <c r="O108" s="199">
        <v>190.5</v>
      </c>
      <c r="P108" s="200"/>
      <c r="Q108" s="199">
        <v>2.25</v>
      </c>
      <c r="R108" s="200"/>
      <c r="S108" s="199">
        <v>6.23</v>
      </c>
      <c r="T108" s="200"/>
      <c r="U108" s="199">
        <v>17.329999999999998</v>
      </c>
      <c r="V108" s="200"/>
      <c r="W108" s="258"/>
      <c r="X108" s="206"/>
      <c r="Y108" s="207"/>
      <c r="Z108" s="208"/>
    </row>
    <row r="109" spans="1:26" ht="15.75" thickBot="1" x14ac:dyDescent="0.3">
      <c r="A109" s="213"/>
      <c r="B109" s="196"/>
      <c r="C109" s="197"/>
      <c r="D109" s="198"/>
      <c r="E109" s="196"/>
      <c r="F109" s="197"/>
      <c r="G109" s="197"/>
      <c r="H109" s="198"/>
      <c r="I109" s="190"/>
      <c r="J109" s="191"/>
      <c r="K109" s="196"/>
      <c r="L109" s="198"/>
      <c r="M109" s="196"/>
      <c r="N109" s="198"/>
      <c r="O109" s="201"/>
      <c r="P109" s="202"/>
      <c r="Q109" s="201"/>
      <c r="R109" s="202"/>
      <c r="S109" s="201"/>
      <c r="T109" s="202"/>
      <c r="U109" s="201"/>
      <c r="V109" s="202"/>
      <c r="W109" s="259"/>
      <c r="X109" s="206"/>
      <c r="Y109" s="207"/>
      <c r="Z109" s="208"/>
    </row>
    <row r="110" spans="1:26" ht="15" customHeight="1" x14ac:dyDescent="0.25">
      <c r="A110" s="213"/>
      <c r="B110" s="193" t="s">
        <v>4</v>
      </c>
      <c r="C110" s="194"/>
      <c r="D110" s="195"/>
      <c r="E110" s="193" t="s">
        <v>71</v>
      </c>
      <c r="F110" s="194"/>
      <c r="G110" s="194"/>
      <c r="H110" s="195"/>
      <c r="I110" s="188"/>
      <c r="J110" s="189"/>
      <c r="K110" s="188">
        <v>55</v>
      </c>
      <c r="L110" s="189"/>
      <c r="M110" s="193">
        <v>50</v>
      </c>
      <c r="N110" s="195"/>
      <c r="O110" s="171">
        <f>439*M110/100</f>
        <v>219.5</v>
      </c>
      <c r="P110" s="172"/>
      <c r="Q110" s="171">
        <f>70.7*M110/100</f>
        <v>35.35</v>
      </c>
      <c r="R110" s="172"/>
      <c r="S110" s="171">
        <f>7.9*M110/100</f>
        <v>3.95</v>
      </c>
      <c r="T110" s="172"/>
      <c r="U110" s="171">
        <f>12.3*M110/100</f>
        <v>6.15</v>
      </c>
      <c r="V110" s="172"/>
      <c r="W110" s="258"/>
      <c r="X110" s="206"/>
      <c r="Y110" s="207"/>
      <c r="Z110" s="208"/>
    </row>
    <row r="111" spans="1:26" ht="15.95" customHeight="1" thickBot="1" x14ac:dyDescent="0.3">
      <c r="A111" s="213"/>
      <c r="B111" s="196"/>
      <c r="C111" s="197"/>
      <c r="D111" s="198"/>
      <c r="E111" s="196"/>
      <c r="F111" s="197"/>
      <c r="G111" s="197"/>
      <c r="H111" s="198"/>
      <c r="I111" s="190"/>
      <c r="J111" s="191"/>
      <c r="K111" s="190"/>
      <c r="L111" s="191"/>
      <c r="M111" s="196"/>
      <c r="N111" s="198"/>
      <c r="O111" s="173"/>
      <c r="P111" s="174"/>
      <c r="Q111" s="173"/>
      <c r="R111" s="174"/>
      <c r="S111" s="173"/>
      <c r="T111" s="174"/>
      <c r="U111" s="173"/>
      <c r="V111" s="174"/>
      <c r="W111" s="255"/>
      <c r="X111" s="206"/>
      <c r="Y111" s="207"/>
      <c r="Z111" s="208"/>
    </row>
    <row r="112" spans="1:26" ht="14.45" customHeight="1" x14ac:dyDescent="0.25">
      <c r="A112" s="213"/>
      <c r="B112" s="193" t="s">
        <v>35</v>
      </c>
      <c r="C112" s="194"/>
      <c r="D112" s="195"/>
      <c r="E112" s="193" t="s">
        <v>83</v>
      </c>
      <c r="F112" s="194"/>
      <c r="G112" s="194"/>
      <c r="H112" s="195"/>
      <c r="I112" s="188"/>
      <c r="J112" s="189"/>
      <c r="K112" s="193">
        <v>3</v>
      </c>
      <c r="L112" s="195"/>
      <c r="M112" s="193">
        <v>2</v>
      </c>
      <c r="N112" s="195"/>
      <c r="O112" s="199">
        <v>5.4</v>
      </c>
      <c r="P112" s="200"/>
      <c r="Q112" s="199">
        <v>0.4</v>
      </c>
      <c r="R112" s="200"/>
      <c r="S112" s="199">
        <v>0.4</v>
      </c>
      <c r="T112" s="200"/>
      <c r="U112" s="199">
        <v>0</v>
      </c>
      <c r="V112" s="200"/>
      <c r="W112" s="258"/>
      <c r="X112" s="206"/>
      <c r="Y112" s="207"/>
      <c r="Z112" s="208"/>
    </row>
    <row r="113" spans="1:26" ht="15.75" thickBot="1" x14ac:dyDescent="0.3">
      <c r="A113" s="213"/>
      <c r="B113" s="196"/>
      <c r="C113" s="197"/>
      <c r="D113" s="198"/>
      <c r="E113" s="196"/>
      <c r="F113" s="197"/>
      <c r="G113" s="197"/>
      <c r="H113" s="198"/>
      <c r="I113" s="190"/>
      <c r="J113" s="191"/>
      <c r="K113" s="196"/>
      <c r="L113" s="198"/>
      <c r="M113" s="196"/>
      <c r="N113" s="198"/>
      <c r="O113" s="201"/>
      <c r="P113" s="202"/>
      <c r="Q113" s="201"/>
      <c r="R113" s="202"/>
      <c r="S113" s="201"/>
      <c r="T113" s="202"/>
      <c r="U113" s="201"/>
      <c r="V113" s="202"/>
      <c r="W113" s="255"/>
      <c r="X113" s="206"/>
      <c r="Y113" s="207"/>
      <c r="Z113" s="208"/>
    </row>
    <row r="114" spans="1:26" ht="15" customHeight="1" x14ac:dyDescent="0.25">
      <c r="A114" s="213"/>
      <c r="B114" s="193" t="s">
        <v>5</v>
      </c>
      <c r="C114" s="194"/>
      <c r="D114" s="195"/>
      <c r="E114" s="193" t="s">
        <v>24</v>
      </c>
      <c r="F114" s="194"/>
      <c r="G114" s="194"/>
      <c r="H114" s="195"/>
      <c r="I114" s="188"/>
      <c r="J114" s="195"/>
      <c r="K114" s="188">
        <v>32</v>
      </c>
      <c r="L114" s="189"/>
      <c r="M114" s="193">
        <v>30</v>
      </c>
      <c r="N114" s="195"/>
      <c r="O114" s="171">
        <f>618*M114/100</f>
        <v>185.4</v>
      </c>
      <c r="P114" s="172"/>
      <c r="Q114" s="171">
        <f>12.4*M114/100</f>
        <v>3.72</v>
      </c>
      <c r="R114" s="172"/>
      <c r="S114" s="171">
        <f>27*M114/100</f>
        <v>8.1</v>
      </c>
      <c r="T114" s="172"/>
      <c r="U114" s="171">
        <f>50.5*M114/100</f>
        <v>15.15</v>
      </c>
      <c r="V114" s="172"/>
      <c r="W114" s="258"/>
      <c r="X114" s="206"/>
      <c r="Y114" s="207"/>
      <c r="Z114" s="208"/>
    </row>
    <row r="115" spans="1:26" ht="15.75" thickBot="1" x14ac:dyDescent="0.3">
      <c r="A115" s="213"/>
      <c r="B115" s="196"/>
      <c r="C115" s="197"/>
      <c r="D115" s="198"/>
      <c r="E115" s="196"/>
      <c r="F115" s="197"/>
      <c r="G115" s="197"/>
      <c r="H115" s="198"/>
      <c r="I115" s="196"/>
      <c r="J115" s="198"/>
      <c r="K115" s="190"/>
      <c r="L115" s="191"/>
      <c r="M115" s="196"/>
      <c r="N115" s="198"/>
      <c r="O115" s="173"/>
      <c r="P115" s="174"/>
      <c r="Q115" s="173"/>
      <c r="R115" s="174"/>
      <c r="S115" s="173"/>
      <c r="T115" s="174"/>
      <c r="U115" s="173"/>
      <c r="V115" s="174"/>
      <c r="W115" s="255"/>
      <c r="X115" s="206"/>
      <c r="Y115" s="207"/>
      <c r="Z115" s="208"/>
    </row>
    <row r="116" spans="1:26" x14ac:dyDescent="0.25">
      <c r="A116" s="213"/>
      <c r="B116" s="193" t="s">
        <v>6</v>
      </c>
      <c r="C116" s="194"/>
      <c r="D116" s="195"/>
      <c r="E116" s="193" t="s">
        <v>46</v>
      </c>
      <c r="F116" s="194"/>
      <c r="G116" s="194"/>
      <c r="H116" s="195"/>
      <c r="I116" s="188">
        <v>4742870015550</v>
      </c>
      <c r="J116" s="189"/>
      <c r="K116" s="193">
        <v>42</v>
      </c>
      <c r="L116" s="195"/>
      <c r="M116" s="193">
        <v>40</v>
      </c>
      <c r="N116" s="195"/>
      <c r="O116" s="199">
        <v>109.4</v>
      </c>
      <c r="P116" s="200"/>
      <c r="Q116" s="199">
        <v>27.4</v>
      </c>
      <c r="R116" s="200"/>
      <c r="S116" s="199">
        <v>0</v>
      </c>
      <c r="T116" s="200"/>
      <c r="U116" s="199">
        <v>0</v>
      </c>
      <c r="V116" s="200"/>
      <c r="W116" s="258"/>
      <c r="X116" s="206"/>
      <c r="Y116" s="207"/>
      <c r="Z116" s="208"/>
    </row>
    <row r="117" spans="1:26" ht="15.75" thickBot="1" x14ac:dyDescent="0.3">
      <c r="A117" s="213"/>
      <c r="B117" s="196"/>
      <c r="C117" s="197"/>
      <c r="D117" s="198"/>
      <c r="E117" s="196"/>
      <c r="F117" s="197"/>
      <c r="G117" s="197"/>
      <c r="H117" s="198"/>
      <c r="I117" s="190"/>
      <c r="J117" s="191"/>
      <c r="K117" s="196"/>
      <c r="L117" s="198"/>
      <c r="M117" s="196"/>
      <c r="N117" s="198"/>
      <c r="O117" s="201"/>
      <c r="P117" s="202"/>
      <c r="Q117" s="201"/>
      <c r="R117" s="202"/>
      <c r="S117" s="201"/>
      <c r="T117" s="202"/>
      <c r="U117" s="201"/>
      <c r="V117" s="202"/>
      <c r="W117" s="255"/>
      <c r="X117" s="206"/>
      <c r="Y117" s="207"/>
      <c r="Z117" s="208"/>
    </row>
    <row r="118" spans="1:26" x14ac:dyDescent="0.25">
      <c r="A118" s="213"/>
      <c r="B118" s="193" t="s">
        <v>7</v>
      </c>
      <c r="C118" s="194"/>
      <c r="D118" s="195"/>
      <c r="E118" s="193" t="s">
        <v>66</v>
      </c>
      <c r="F118" s="194"/>
      <c r="G118" s="194"/>
      <c r="H118" s="195"/>
      <c r="I118" s="188"/>
      <c r="J118" s="195"/>
      <c r="K118" s="188">
        <v>4</v>
      </c>
      <c r="L118" s="189"/>
      <c r="M118" s="193">
        <v>2</v>
      </c>
      <c r="N118" s="195"/>
      <c r="O118" s="171">
        <v>0</v>
      </c>
      <c r="P118" s="172"/>
      <c r="Q118" s="171">
        <v>0</v>
      </c>
      <c r="R118" s="172"/>
      <c r="S118" s="171">
        <v>0</v>
      </c>
      <c r="T118" s="172"/>
      <c r="U118" s="171">
        <v>0</v>
      </c>
      <c r="V118" s="172"/>
      <c r="W118" s="254"/>
      <c r="X118" s="206"/>
      <c r="Y118" s="207"/>
      <c r="Z118" s="208"/>
    </row>
    <row r="119" spans="1:26" ht="15.75" thickBot="1" x14ac:dyDescent="0.3">
      <c r="A119" s="213"/>
      <c r="B119" s="196"/>
      <c r="C119" s="197"/>
      <c r="D119" s="198"/>
      <c r="E119" s="196"/>
      <c r="F119" s="197"/>
      <c r="G119" s="197"/>
      <c r="H119" s="198"/>
      <c r="I119" s="196"/>
      <c r="J119" s="198"/>
      <c r="K119" s="190"/>
      <c r="L119" s="191"/>
      <c r="M119" s="196"/>
      <c r="N119" s="198"/>
      <c r="O119" s="173"/>
      <c r="P119" s="174"/>
      <c r="Q119" s="173"/>
      <c r="R119" s="174"/>
      <c r="S119" s="173"/>
      <c r="T119" s="174"/>
      <c r="U119" s="173"/>
      <c r="V119" s="174"/>
      <c r="W119" s="255"/>
      <c r="X119" s="206"/>
      <c r="Y119" s="207"/>
      <c r="Z119" s="208"/>
    </row>
    <row r="120" spans="1:26" x14ac:dyDescent="0.25">
      <c r="A120" s="213"/>
      <c r="B120" s="193" t="s">
        <v>8</v>
      </c>
      <c r="C120" s="194"/>
      <c r="D120" s="195"/>
      <c r="E120" s="193" t="s">
        <v>8</v>
      </c>
      <c r="F120" s="194"/>
      <c r="G120" s="194"/>
      <c r="H120" s="195"/>
      <c r="I120" s="188"/>
      <c r="J120" s="195"/>
      <c r="K120" s="188"/>
      <c r="L120" s="189"/>
      <c r="M120" s="193"/>
      <c r="N120" s="195"/>
      <c r="O120" s="171"/>
      <c r="P120" s="172"/>
      <c r="Q120" s="171"/>
      <c r="R120" s="172"/>
      <c r="S120" s="171"/>
      <c r="T120" s="172"/>
      <c r="U120" s="171"/>
      <c r="V120" s="172"/>
      <c r="W120" s="254"/>
      <c r="X120" s="206"/>
      <c r="Y120" s="207"/>
      <c r="Z120" s="208"/>
    </row>
    <row r="121" spans="1:26" ht="15.75" thickBot="1" x14ac:dyDescent="0.3">
      <c r="A121" s="214"/>
      <c r="B121" s="196"/>
      <c r="C121" s="197"/>
      <c r="D121" s="198"/>
      <c r="E121" s="196"/>
      <c r="F121" s="197"/>
      <c r="G121" s="197"/>
      <c r="H121" s="198"/>
      <c r="I121" s="196"/>
      <c r="J121" s="198"/>
      <c r="K121" s="190"/>
      <c r="L121" s="191"/>
      <c r="M121" s="196"/>
      <c r="N121" s="198"/>
      <c r="O121" s="173"/>
      <c r="P121" s="174"/>
      <c r="Q121" s="173"/>
      <c r="R121" s="174"/>
      <c r="S121" s="173"/>
      <c r="T121" s="174"/>
      <c r="U121" s="173"/>
      <c r="V121" s="174"/>
      <c r="W121" s="255"/>
      <c r="X121" s="209"/>
      <c r="Y121" s="210"/>
      <c r="Z121" s="211"/>
    </row>
    <row r="122" spans="1:26" ht="15.75" thickBot="1" x14ac:dyDescent="0.3">
      <c r="A122" s="2"/>
      <c r="B122" s="156" t="s">
        <v>16</v>
      </c>
      <c r="C122" s="157"/>
      <c r="D122" s="158"/>
      <c r="E122" s="159"/>
      <c r="F122" s="160"/>
      <c r="G122" s="160"/>
      <c r="H122" s="161"/>
      <c r="I122" s="262"/>
      <c r="J122" s="263"/>
      <c r="K122" s="162">
        <f>SUM(K104:L121)</f>
        <v>581</v>
      </c>
      <c r="L122" s="163"/>
      <c r="M122" s="162">
        <f>SUM(M104:N121)</f>
        <v>549</v>
      </c>
      <c r="N122" s="163"/>
      <c r="O122" s="162">
        <f>SUM(O104:P121)</f>
        <v>1214.7</v>
      </c>
      <c r="P122" s="163"/>
      <c r="Q122" s="162">
        <f>SUM(Q104:R121)</f>
        <v>137.97</v>
      </c>
      <c r="R122" s="163"/>
      <c r="S122" s="162">
        <f>SUM(S104:T121)</f>
        <v>37.879999999999995</v>
      </c>
      <c r="T122" s="163"/>
      <c r="U122" s="162">
        <f>SUM(U104:V121)</f>
        <v>52.93</v>
      </c>
      <c r="V122" s="163"/>
      <c r="W122" s="20"/>
    </row>
    <row r="123" spans="1:26" ht="15" customHeight="1" x14ac:dyDescent="0.25">
      <c r="A123" s="212">
        <v>23</v>
      </c>
      <c r="B123" s="193" t="s">
        <v>1</v>
      </c>
      <c r="C123" s="194"/>
      <c r="D123" s="195"/>
      <c r="E123" s="278" t="s">
        <v>41</v>
      </c>
      <c r="F123" s="279"/>
      <c r="G123" s="279"/>
      <c r="H123" s="280"/>
      <c r="I123" s="188">
        <v>4742870012191</v>
      </c>
      <c r="J123" s="189"/>
      <c r="K123" s="193">
        <v>310</v>
      </c>
      <c r="L123" s="195"/>
      <c r="M123" s="193">
        <v>300</v>
      </c>
      <c r="N123" s="195"/>
      <c r="O123" s="199">
        <v>345</v>
      </c>
      <c r="P123" s="200"/>
      <c r="Q123" s="199">
        <v>40.799999999999997</v>
      </c>
      <c r="R123" s="200"/>
      <c r="S123" s="199">
        <v>12</v>
      </c>
      <c r="T123" s="200"/>
      <c r="U123" s="199">
        <v>13.8</v>
      </c>
      <c r="V123" s="200"/>
      <c r="W123" s="256"/>
      <c r="X123" s="203">
        <v>26400</v>
      </c>
      <c r="Y123" s="204"/>
      <c r="Z123" s="205"/>
    </row>
    <row r="124" spans="1:26" ht="15.95" customHeight="1" thickBot="1" x14ac:dyDescent="0.3">
      <c r="A124" s="213"/>
      <c r="B124" s="196"/>
      <c r="C124" s="197"/>
      <c r="D124" s="198"/>
      <c r="E124" s="281"/>
      <c r="F124" s="282"/>
      <c r="G124" s="282"/>
      <c r="H124" s="283"/>
      <c r="I124" s="190"/>
      <c r="J124" s="191"/>
      <c r="K124" s="196"/>
      <c r="L124" s="198"/>
      <c r="M124" s="196"/>
      <c r="N124" s="198"/>
      <c r="O124" s="201"/>
      <c r="P124" s="202"/>
      <c r="Q124" s="201"/>
      <c r="R124" s="202"/>
      <c r="S124" s="201"/>
      <c r="T124" s="202"/>
      <c r="U124" s="201"/>
      <c r="V124" s="202"/>
      <c r="W124" s="257"/>
      <c r="X124" s="206"/>
      <c r="Y124" s="207"/>
      <c r="Z124" s="208"/>
    </row>
    <row r="125" spans="1:26" x14ac:dyDescent="0.25">
      <c r="A125" s="213"/>
      <c r="B125" s="193" t="s">
        <v>2</v>
      </c>
      <c r="C125" s="194"/>
      <c r="D125" s="195"/>
      <c r="E125" s="193" t="s">
        <v>20</v>
      </c>
      <c r="F125" s="194"/>
      <c r="G125" s="194"/>
      <c r="H125" s="195"/>
      <c r="I125" s="188"/>
      <c r="J125" s="194"/>
      <c r="K125" s="188">
        <v>55</v>
      </c>
      <c r="L125" s="189"/>
      <c r="M125" s="194">
        <v>50</v>
      </c>
      <c r="N125" s="195"/>
      <c r="O125" s="171">
        <f>444*M125/100</f>
        <v>222</v>
      </c>
      <c r="P125" s="172"/>
      <c r="Q125" s="171">
        <f>66.6*M125/100</f>
        <v>33.299999999999997</v>
      </c>
      <c r="R125" s="172"/>
      <c r="S125" s="171">
        <f>9.7*M125/100</f>
        <v>4.8499999999999996</v>
      </c>
      <c r="T125" s="172"/>
      <c r="U125" s="171">
        <f>16.2*M125/100</f>
        <v>8.1</v>
      </c>
      <c r="V125" s="172"/>
      <c r="W125" s="258"/>
      <c r="X125" s="206"/>
      <c r="Y125" s="207"/>
      <c r="Z125" s="208"/>
    </row>
    <row r="126" spans="1:26" ht="15.75" thickBot="1" x14ac:dyDescent="0.3">
      <c r="A126" s="213"/>
      <c r="B126" s="196"/>
      <c r="C126" s="197"/>
      <c r="D126" s="198"/>
      <c r="E126" s="196"/>
      <c r="F126" s="197"/>
      <c r="G126" s="197"/>
      <c r="H126" s="198"/>
      <c r="I126" s="196"/>
      <c r="J126" s="197"/>
      <c r="K126" s="190"/>
      <c r="L126" s="191"/>
      <c r="M126" s="197"/>
      <c r="N126" s="198"/>
      <c r="O126" s="173"/>
      <c r="P126" s="174"/>
      <c r="Q126" s="173"/>
      <c r="R126" s="174"/>
      <c r="S126" s="173"/>
      <c r="T126" s="174"/>
      <c r="U126" s="173"/>
      <c r="V126" s="174"/>
      <c r="W126" s="259"/>
      <c r="X126" s="206"/>
      <c r="Y126" s="207"/>
      <c r="Z126" s="208"/>
    </row>
    <row r="127" spans="1:26" x14ac:dyDescent="0.25">
      <c r="A127" s="213"/>
      <c r="B127" s="193" t="s">
        <v>3</v>
      </c>
      <c r="C127" s="194"/>
      <c r="D127" s="195"/>
      <c r="E127" s="193" t="s">
        <v>21</v>
      </c>
      <c r="F127" s="194"/>
      <c r="G127" s="194"/>
      <c r="H127" s="195"/>
      <c r="I127" s="188">
        <v>4742870019008</v>
      </c>
      <c r="J127" s="189"/>
      <c r="K127" s="188">
        <v>80</v>
      </c>
      <c r="L127" s="189"/>
      <c r="M127" s="193">
        <v>75</v>
      </c>
      <c r="N127" s="195"/>
      <c r="O127" s="199">
        <v>225</v>
      </c>
      <c r="P127" s="200"/>
      <c r="Q127" s="199">
        <v>1.05</v>
      </c>
      <c r="R127" s="200"/>
      <c r="S127" s="199">
        <v>7.2</v>
      </c>
      <c r="T127" s="200"/>
      <c r="U127" s="199">
        <v>21.23</v>
      </c>
      <c r="V127" s="200"/>
      <c r="W127" s="258"/>
      <c r="X127" s="206"/>
      <c r="Y127" s="207"/>
      <c r="Z127" s="208"/>
    </row>
    <row r="128" spans="1:26" ht="15.75" thickBot="1" x14ac:dyDescent="0.3">
      <c r="A128" s="213"/>
      <c r="B128" s="196"/>
      <c r="C128" s="197"/>
      <c r="D128" s="198"/>
      <c r="E128" s="196"/>
      <c r="F128" s="197"/>
      <c r="G128" s="197"/>
      <c r="H128" s="198"/>
      <c r="I128" s="190"/>
      <c r="J128" s="191"/>
      <c r="K128" s="190"/>
      <c r="L128" s="191"/>
      <c r="M128" s="196"/>
      <c r="N128" s="198"/>
      <c r="O128" s="201"/>
      <c r="P128" s="202"/>
      <c r="Q128" s="201"/>
      <c r="R128" s="202"/>
      <c r="S128" s="201"/>
      <c r="T128" s="202"/>
      <c r="U128" s="201"/>
      <c r="V128" s="202"/>
      <c r="W128" s="259"/>
      <c r="X128" s="206"/>
      <c r="Y128" s="207"/>
      <c r="Z128" s="208"/>
    </row>
    <row r="129" spans="1:31" ht="15" customHeight="1" x14ac:dyDescent="0.25">
      <c r="A129" s="213"/>
      <c r="B129" s="193" t="s">
        <v>4</v>
      </c>
      <c r="C129" s="194"/>
      <c r="D129" s="195"/>
      <c r="E129" s="193" t="s">
        <v>77</v>
      </c>
      <c r="F129" s="194"/>
      <c r="G129" s="194"/>
      <c r="H129" s="195"/>
      <c r="I129" s="188"/>
      <c r="J129" s="189"/>
      <c r="K129" s="199">
        <v>55</v>
      </c>
      <c r="L129" s="200"/>
      <c r="M129" s="199">
        <v>50</v>
      </c>
      <c r="N129" s="200"/>
      <c r="O129" s="171">
        <f>514*M129/100</f>
        <v>257</v>
      </c>
      <c r="P129" s="172"/>
      <c r="Q129" s="171">
        <f>53.2*M129/100</f>
        <v>26.6</v>
      </c>
      <c r="R129" s="172"/>
      <c r="S129" s="171">
        <f>11*M129/100</f>
        <v>5.5</v>
      </c>
      <c r="T129" s="172"/>
      <c r="U129" s="171">
        <f>27.4*M129/100</f>
        <v>13.7</v>
      </c>
      <c r="V129" s="172"/>
      <c r="W129" s="258"/>
      <c r="X129" s="206"/>
      <c r="Y129" s="207"/>
      <c r="Z129" s="208"/>
      <c r="AB129" s="10"/>
      <c r="AC129" s="10"/>
      <c r="AD129" s="10"/>
      <c r="AE129" s="10"/>
    </row>
    <row r="130" spans="1:31" ht="15.95" customHeight="1" thickBot="1" x14ac:dyDescent="0.3">
      <c r="A130" s="213"/>
      <c r="B130" s="196"/>
      <c r="C130" s="197"/>
      <c r="D130" s="198"/>
      <c r="E130" s="196"/>
      <c r="F130" s="197"/>
      <c r="G130" s="197"/>
      <c r="H130" s="198"/>
      <c r="I130" s="190"/>
      <c r="J130" s="191"/>
      <c r="K130" s="201"/>
      <c r="L130" s="202"/>
      <c r="M130" s="201"/>
      <c r="N130" s="202"/>
      <c r="O130" s="173"/>
      <c r="P130" s="174"/>
      <c r="Q130" s="173"/>
      <c r="R130" s="174"/>
      <c r="S130" s="173"/>
      <c r="T130" s="174"/>
      <c r="U130" s="173"/>
      <c r="V130" s="174"/>
      <c r="W130" s="255"/>
      <c r="X130" s="206"/>
      <c r="Y130" s="207"/>
      <c r="Z130" s="208"/>
    </row>
    <row r="131" spans="1:31" ht="15" customHeight="1" x14ac:dyDescent="0.25">
      <c r="A131" s="213"/>
      <c r="B131" s="193" t="s">
        <v>35</v>
      </c>
      <c r="C131" s="194"/>
      <c r="D131" s="195"/>
      <c r="E131" s="278" t="s">
        <v>84</v>
      </c>
      <c r="F131" s="279"/>
      <c r="G131" s="279"/>
      <c r="H131" s="280"/>
      <c r="I131" s="188"/>
      <c r="J131" s="189"/>
      <c r="K131" s="193">
        <v>3</v>
      </c>
      <c r="L131" s="195"/>
      <c r="M131" s="193">
        <v>2</v>
      </c>
      <c r="N131" s="195"/>
      <c r="O131" s="199">
        <v>5.4</v>
      </c>
      <c r="P131" s="200"/>
      <c r="Q131" s="199">
        <v>0.4</v>
      </c>
      <c r="R131" s="200"/>
      <c r="S131" s="199">
        <v>0.4</v>
      </c>
      <c r="T131" s="200"/>
      <c r="U131" s="199">
        <v>0</v>
      </c>
      <c r="V131" s="200"/>
      <c r="W131" s="258"/>
      <c r="X131" s="206"/>
      <c r="Y131" s="207"/>
      <c r="Z131" s="208"/>
    </row>
    <row r="132" spans="1:31" ht="15.75" thickBot="1" x14ac:dyDescent="0.3">
      <c r="A132" s="213"/>
      <c r="B132" s="196"/>
      <c r="C132" s="197"/>
      <c r="D132" s="198"/>
      <c r="E132" s="281"/>
      <c r="F132" s="282"/>
      <c r="G132" s="282"/>
      <c r="H132" s="283"/>
      <c r="I132" s="190"/>
      <c r="J132" s="191"/>
      <c r="K132" s="196"/>
      <c r="L132" s="198"/>
      <c r="M132" s="196"/>
      <c r="N132" s="198"/>
      <c r="O132" s="201"/>
      <c r="P132" s="202"/>
      <c r="Q132" s="201"/>
      <c r="R132" s="202"/>
      <c r="S132" s="201"/>
      <c r="T132" s="202"/>
      <c r="U132" s="201"/>
      <c r="V132" s="202"/>
      <c r="W132" s="255"/>
      <c r="X132" s="206"/>
      <c r="Y132" s="207"/>
      <c r="Z132" s="208"/>
    </row>
    <row r="133" spans="1:31" x14ac:dyDescent="0.25">
      <c r="A133" s="213"/>
      <c r="B133" s="193" t="s">
        <v>5</v>
      </c>
      <c r="C133" s="194"/>
      <c r="D133" s="195"/>
      <c r="E133" s="193" t="s">
        <v>65</v>
      </c>
      <c r="F133" s="194"/>
      <c r="G133" s="194"/>
      <c r="H133" s="195"/>
      <c r="I133" s="188"/>
      <c r="J133" s="189"/>
      <c r="K133" s="193">
        <v>27</v>
      </c>
      <c r="L133" s="195"/>
      <c r="M133" s="193">
        <v>25</v>
      </c>
      <c r="N133" s="195"/>
      <c r="O133" s="199">
        <f>270*M133/100</f>
        <v>67.5</v>
      </c>
      <c r="P133" s="200"/>
      <c r="Q133" s="199">
        <f>65.2*M133/100</f>
        <v>16.3</v>
      </c>
      <c r="R133" s="200"/>
      <c r="S133" s="199">
        <f>0.3*M133/100</f>
        <v>7.4999999999999997E-2</v>
      </c>
      <c r="T133" s="200"/>
      <c r="U133" s="199">
        <f>0.4*M133/100</f>
        <v>0.1</v>
      </c>
      <c r="V133" s="200"/>
      <c r="W133" s="258"/>
      <c r="X133" s="206"/>
      <c r="Y133" s="207"/>
      <c r="Z133" s="208"/>
    </row>
    <row r="134" spans="1:31" ht="15.75" thickBot="1" x14ac:dyDescent="0.3">
      <c r="A134" s="213"/>
      <c r="B134" s="196"/>
      <c r="C134" s="197"/>
      <c r="D134" s="198"/>
      <c r="E134" s="196"/>
      <c r="F134" s="197"/>
      <c r="G134" s="197"/>
      <c r="H134" s="198"/>
      <c r="I134" s="190"/>
      <c r="J134" s="191"/>
      <c r="K134" s="196"/>
      <c r="L134" s="198"/>
      <c r="M134" s="196"/>
      <c r="N134" s="198"/>
      <c r="O134" s="201"/>
      <c r="P134" s="202"/>
      <c r="Q134" s="201"/>
      <c r="R134" s="202"/>
      <c r="S134" s="201"/>
      <c r="T134" s="202"/>
      <c r="U134" s="201"/>
      <c r="V134" s="202"/>
      <c r="W134" s="255"/>
      <c r="X134" s="206"/>
      <c r="Y134" s="207"/>
      <c r="Z134" s="208"/>
    </row>
    <row r="135" spans="1:31" x14ac:dyDescent="0.25">
      <c r="A135" s="213"/>
      <c r="B135" s="193" t="s">
        <v>6</v>
      </c>
      <c r="C135" s="194"/>
      <c r="D135" s="195"/>
      <c r="E135" s="193" t="s">
        <v>48</v>
      </c>
      <c r="F135" s="194"/>
      <c r="G135" s="194"/>
      <c r="H135" s="195"/>
      <c r="I135" s="188">
        <v>4742870010548</v>
      </c>
      <c r="J135" s="189"/>
      <c r="K135" s="193">
        <v>42</v>
      </c>
      <c r="L135" s="195"/>
      <c r="M135" s="193">
        <v>40</v>
      </c>
      <c r="N135" s="195"/>
      <c r="O135" s="199">
        <v>109.4</v>
      </c>
      <c r="P135" s="200"/>
      <c r="Q135" s="199">
        <v>27.4</v>
      </c>
      <c r="R135" s="200"/>
      <c r="S135" s="199">
        <v>0</v>
      </c>
      <c r="T135" s="200"/>
      <c r="U135" s="199">
        <v>0</v>
      </c>
      <c r="V135" s="200"/>
      <c r="W135" s="258"/>
      <c r="X135" s="206"/>
      <c r="Y135" s="207"/>
      <c r="Z135" s="208"/>
    </row>
    <row r="136" spans="1:31" ht="15.75" thickBot="1" x14ac:dyDescent="0.3">
      <c r="A136" s="213"/>
      <c r="B136" s="196"/>
      <c r="C136" s="197"/>
      <c r="D136" s="198"/>
      <c r="E136" s="196"/>
      <c r="F136" s="197"/>
      <c r="G136" s="197"/>
      <c r="H136" s="198"/>
      <c r="I136" s="190"/>
      <c r="J136" s="191"/>
      <c r="K136" s="196"/>
      <c r="L136" s="198"/>
      <c r="M136" s="196"/>
      <c r="N136" s="198"/>
      <c r="O136" s="201"/>
      <c r="P136" s="202"/>
      <c r="Q136" s="201"/>
      <c r="R136" s="202"/>
      <c r="S136" s="201"/>
      <c r="T136" s="202"/>
      <c r="U136" s="201"/>
      <c r="V136" s="202"/>
      <c r="W136" s="255"/>
      <c r="X136" s="206"/>
      <c r="Y136" s="207"/>
      <c r="Z136" s="208"/>
    </row>
    <row r="137" spans="1:31" x14ac:dyDescent="0.25">
      <c r="A137" s="213"/>
      <c r="B137" s="193" t="s">
        <v>7</v>
      </c>
      <c r="C137" s="194"/>
      <c r="D137" s="195"/>
      <c r="E137" s="193" t="s">
        <v>66</v>
      </c>
      <c r="F137" s="194"/>
      <c r="G137" s="194"/>
      <c r="H137" s="195"/>
      <c r="I137" s="188"/>
      <c r="J137" s="195"/>
      <c r="K137" s="188">
        <v>4</v>
      </c>
      <c r="L137" s="189"/>
      <c r="M137" s="193">
        <v>2</v>
      </c>
      <c r="N137" s="195"/>
      <c r="O137" s="171">
        <v>0</v>
      </c>
      <c r="P137" s="172"/>
      <c r="Q137" s="171">
        <v>0</v>
      </c>
      <c r="R137" s="172"/>
      <c r="S137" s="171">
        <v>0</v>
      </c>
      <c r="T137" s="172"/>
      <c r="U137" s="171">
        <v>0</v>
      </c>
      <c r="V137" s="172"/>
      <c r="W137" s="254"/>
      <c r="X137" s="206"/>
      <c r="Y137" s="207"/>
      <c r="Z137" s="208"/>
    </row>
    <row r="138" spans="1:31" ht="15.75" thickBot="1" x14ac:dyDescent="0.3">
      <c r="A138" s="213"/>
      <c r="B138" s="196"/>
      <c r="C138" s="197"/>
      <c r="D138" s="198"/>
      <c r="E138" s="196"/>
      <c r="F138" s="197"/>
      <c r="G138" s="197"/>
      <c r="H138" s="198"/>
      <c r="I138" s="196"/>
      <c r="J138" s="198"/>
      <c r="K138" s="190"/>
      <c r="L138" s="191"/>
      <c r="M138" s="196"/>
      <c r="N138" s="198"/>
      <c r="O138" s="173"/>
      <c r="P138" s="174"/>
      <c r="Q138" s="173"/>
      <c r="R138" s="174"/>
      <c r="S138" s="173"/>
      <c r="T138" s="174"/>
      <c r="U138" s="173"/>
      <c r="V138" s="174"/>
      <c r="W138" s="255"/>
      <c r="X138" s="206"/>
      <c r="Y138" s="207"/>
      <c r="Z138" s="208"/>
    </row>
    <row r="139" spans="1:31" x14ac:dyDescent="0.25">
      <c r="A139" s="213"/>
      <c r="B139" s="193" t="s">
        <v>8</v>
      </c>
      <c r="C139" s="194"/>
      <c r="D139" s="195"/>
      <c r="E139" s="193" t="s">
        <v>8</v>
      </c>
      <c r="F139" s="194"/>
      <c r="G139" s="194"/>
      <c r="H139" s="195"/>
      <c r="I139" s="188"/>
      <c r="J139" s="195"/>
      <c r="K139" s="188"/>
      <c r="L139" s="189"/>
      <c r="M139" s="193"/>
      <c r="N139" s="195"/>
      <c r="O139" s="171"/>
      <c r="P139" s="172"/>
      <c r="Q139" s="171"/>
      <c r="R139" s="172"/>
      <c r="S139" s="171"/>
      <c r="T139" s="172"/>
      <c r="U139" s="171"/>
      <c r="V139" s="172"/>
      <c r="W139" s="254"/>
      <c r="X139" s="206"/>
      <c r="Y139" s="207"/>
      <c r="Z139" s="208"/>
    </row>
    <row r="140" spans="1:31" ht="15.75" thickBot="1" x14ac:dyDescent="0.3">
      <c r="A140" s="214"/>
      <c r="B140" s="196"/>
      <c r="C140" s="197"/>
      <c r="D140" s="198"/>
      <c r="E140" s="196"/>
      <c r="F140" s="197"/>
      <c r="G140" s="197"/>
      <c r="H140" s="198"/>
      <c r="I140" s="196"/>
      <c r="J140" s="198"/>
      <c r="K140" s="190"/>
      <c r="L140" s="191"/>
      <c r="M140" s="196"/>
      <c r="N140" s="198"/>
      <c r="O140" s="173"/>
      <c r="P140" s="174"/>
      <c r="Q140" s="173"/>
      <c r="R140" s="174"/>
      <c r="S140" s="173"/>
      <c r="T140" s="174"/>
      <c r="U140" s="173"/>
      <c r="V140" s="174"/>
      <c r="W140" s="255"/>
      <c r="X140" s="209"/>
      <c r="Y140" s="210"/>
      <c r="Z140" s="211"/>
    </row>
    <row r="141" spans="1:31" ht="15.75" thickBot="1" x14ac:dyDescent="0.3">
      <c r="A141" s="2"/>
      <c r="B141" s="156" t="s">
        <v>16</v>
      </c>
      <c r="C141" s="157"/>
      <c r="D141" s="158"/>
      <c r="E141" s="159"/>
      <c r="F141" s="160"/>
      <c r="G141" s="160"/>
      <c r="H141" s="161"/>
      <c r="I141" s="262"/>
      <c r="J141" s="263"/>
      <c r="K141" s="162">
        <f>SUM(K123:L140)</f>
        <v>576</v>
      </c>
      <c r="L141" s="163"/>
      <c r="M141" s="162">
        <f>SUM(M123:N140)</f>
        <v>544</v>
      </c>
      <c r="N141" s="163"/>
      <c r="O141" s="162">
        <f>SUM(O123:P140)</f>
        <v>1231.3000000000002</v>
      </c>
      <c r="P141" s="163"/>
      <c r="Q141" s="162">
        <f>SUM(Q123:R140)</f>
        <v>145.85</v>
      </c>
      <c r="R141" s="163"/>
      <c r="S141" s="162">
        <f>SUM(S123:T140)</f>
        <v>30.024999999999999</v>
      </c>
      <c r="T141" s="163"/>
      <c r="U141" s="162">
        <f>SUM(U123:V140)</f>
        <v>56.93</v>
      </c>
      <c r="V141" s="163"/>
      <c r="W141" s="20"/>
    </row>
    <row r="142" spans="1:31" ht="15" customHeight="1" x14ac:dyDescent="0.25">
      <c r="A142" s="212">
        <v>25</v>
      </c>
      <c r="B142" s="193" t="s">
        <v>1</v>
      </c>
      <c r="C142" s="194"/>
      <c r="D142" s="195"/>
      <c r="E142" s="193" t="s">
        <v>42</v>
      </c>
      <c r="F142" s="194"/>
      <c r="G142" s="194"/>
      <c r="H142" s="195"/>
      <c r="I142" s="188">
        <v>4742870012207</v>
      </c>
      <c r="J142" s="189"/>
      <c r="K142" s="193">
        <v>310</v>
      </c>
      <c r="L142" s="195"/>
      <c r="M142" s="193">
        <v>300</v>
      </c>
      <c r="N142" s="195"/>
      <c r="O142" s="199">
        <v>288</v>
      </c>
      <c r="P142" s="200"/>
      <c r="Q142" s="199">
        <v>33</v>
      </c>
      <c r="R142" s="200"/>
      <c r="S142" s="199">
        <v>10.5</v>
      </c>
      <c r="T142" s="200"/>
      <c r="U142" s="199">
        <v>11.7</v>
      </c>
      <c r="V142" s="200"/>
      <c r="W142" s="256"/>
      <c r="X142" s="203">
        <v>26400</v>
      </c>
      <c r="Y142" s="204"/>
      <c r="Z142" s="205"/>
    </row>
    <row r="143" spans="1:31" ht="15.95" customHeight="1" thickBot="1" x14ac:dyDescent="0.3">
      <c r="A143" s="213"/>
      <c r="B143" s="196"/>
      <c r="C143" s="197"/>
      <c r="D143" s="198"/>
      <c r="E143" s="196"/>
      <c r="F143" s="197"/>
      <c r="G143" s="197"/>
      <c r="H143" s="198"/>
      <c r="I143" s="190"/>
      <c r="J143" s="191"/>
      <c r="K143" s="196"/>
      <c r="L143" s="198"/>
      <c r="M143" s="196"/>
      <c r="N143" s="198"/>
      <c r="O143" s="201"/>
      <c r="P143" s="202"/>
      <c r="Q143" s="201"/>
      <c r="R143" s="202"/>
      <c r="S143" s="201"/>
      <c r="T143" s="202"/>
      <c r="U143" s="201"/>
      <c r="V143" s="202"/>
      <c r="W143" s="257"/>
      <c r="X143" s="206"/>
      <c r="Y143" s="207"/>
      <c r="Z143" s="208"/>
    </row>
    <row r="144" spans="1:31" x14ac:dyDescent="0.25">
      <c r="A144" s="213"/>
      <c r="B144" s="193" t="s">
        <v>2</v>
      </c>
      <c r="C144" s="194"/>
      <c r="D144" s="195"/>
      <c r="E144" s="193" t="s">
        <v>72</v>
      </c>
      <c r="F144" s="194"/>
      <c r="G144" s="194"/>
      <c r="H144" s="195"/>
      <c r="I144" s="188"/>
      <c r="J144" s="189"/>
      <c r="K144" s="188">
        <v>55</v>
      </c>
      <c r="L144" s="189"/>
      <c r="M144" s="193">
        <v>50</v>
      </c>
      <c r="N144" s="195"/>
      <c r="O144" s="171">
        <f>427*M144/100</f>
        <v>213.5</v>
      </c>
      <c r="P144" s="172"/>
      <c r="Q144" s="171">
        <f>65.7*M144/100</f>
        <v>32.85</v>
      </c>
      <c r="R144" s="172"/>
      <c r="S144" s="171">
        <f>11.4*M144/100</f>
        <v>5.7</v>
      </c>
      <c r="T144" s="172"/>
      <c r="U144" s="171">
        <f>10.6*M144/100</f>
        <v>5.3</v>
      </c>
      <c r="V144" s="172"/>
      <c r="W144" s="258"/>
      <c r="X144" s="206"/>
      <c r="Y144" s="207"/>
      <c r="Z144" s="208"/>
    </row>
    <row r="145" spans="1:26" ht="15.75" thickBot="1" x14ac:dyDescent="0.3">
      <c r="A145" s="213"/>
      <c r="B145" s="196"/>
      <c r="C145" s="197"/>
      <c r="D145" s="198"/>
      <c r="E145" s="196"/>
      <c r="F145" s="197"/>
      <c r="G145" s="197"/>
      <c r="H145" s="198"/>
      <c r="I145" s="190"/>
      <c r="J145" s="191"/>
      <c r="K145" s="190"/>
      <c r="L145" s="191"/>
      <c r="M145" s="196"/>
      <c r="N145" s="198"/>
      <c r="O145" s="173"/>
      <c r="P145" s="174"/>
      <c r="Q145" s="173"/>
      <c r="R145" s="174"/>
      <c r="S145" s="173"/>
      <c r="T145" s="174"/>
      <c r="U145" s="173"/>
      <c r="V145" s="174"/>
      <c r="W145" s="259"/>
      <c r="X145" s="206"/>
      <c r="Y145" s="207"/>
      <c r="Z145" s="208"/>
    </row>
    <row r="146" spans="1:26" x14ac:dyDescent="0.25">
      <c r="A146" s="213"/>
      <c r="B146" s="193" t="s">
        <v>3</v>
      </c>
      <c r="C146" s="194"/>
      <c r="D146" s="195"/>
      <c r="E146" s="193" t="s">
        <v>23</v>
      </c>
      <c r="F146" s="194"/>
      <c r="G146" s="194"/>
      <c r="H146" s="195"/>
      <c r="I146" s="188">
        <v>4742870019015</v>
      </c>
      <c r="J146" s="195"/>
      <c r="K146" s="188">
        <v>80</v>
      </c>
      <c r="L146" s="189"/>
      <c r="M146" s="193">
        <v>75</v>
      </c>
      <c r="N146" s="195"/>
      <c r="O146" s="199">
        <v>168.75</v>
      </c>
      <c r="P146" s="200"/>
      <c r="Q146" s="199">
        <v>1.8</v>
      </c>
      <c r="R146" s="200"/>
      <c r="S146" s="199">
        <v>6.83</v>
      </c>
      <c r="T146" s="200"/>
      <c r="U146" s="199">
        <v>14.93</v>
      </c>
      <c r="V146" s="200"/>
      <c r="W146" s="258"/>
      <c r="X146" s="206"/>
      <c r="Y146" s="207"/>
      <c r="Z146" s="208"/>
    </row>
    <row r="147" spans="1:26" ht="15.75" thickBot="1" x14ac:dyDescent="0.3">
      <c r="A147" s="213"/>
      <c r="B147" s="196"/>
      <c r="C147" s="197"/>
      <c r="D147" s="198"/>
      <c r="E147" s="196"/>
      <c r="F147" s="197"/>
      <c r="G147" s="197"/>
      <c r="H147" s="198"/>
      <c r="I147" s="196"/>
      <c r="J147" s="198"/>
      <c r="K147" s="190"/>
      <c r="L147" s="191"/>
      <c r="M147" s="196"/>
      <c r="N147" s="198"/>
      <c r="O147" s="201"/>
      <c r="P147" s="202"/>
      <c r="Q147" s="201"/>
      <c r="R147" s="202"/>
      <c r="S147" s="201"/>
      <c r="T147" s="202"/>
      <c r="U147" s="201"/>
      <c r="V147" s="202"/>
      <c r="W147" s="259"/>
      <c r="X147" s="206"/>
      <c r="Y147" s="207"/>
      <c r="Z147" s="208"/>
    </row>
    <row r="148" spans="1:26" x14ac:dyDescent="0.25">
      <c r="A148" s="213"/>
      <c r="B148" s="193" t="s">
        <v>4</v>
      </c>
      <c r="C148" s="194"/>
      <c r="D148" s="195"/>
      <c r="E148" s="193" t="s">
        <v>73</v>
      </c>
      <c r="F148" s="194"/>
      <c r="G148" s="194"/>
      <c r="H148" s="195"/>
      <c r="I148" s="188"/>
      <c r="J148" s="189"/>
      <c r="K148" s="188">
        <v>55</v>
      </c>
      <c r="L148" s="189"/>
      <c r="M148" s="193">
        <v>50</v>
      </c>
      <c r="N148" s="195"/>
      <c r="O148" s="171">
        <f>485*M148/100</f>
        <v>242.5</v>
      </c>
      <c r="P148" s="172"/>
      <c r="Q148" s="171">
        <f>56.2*M148/100</f>
        <v>28.1</v>
      </c>
      <c r="R148" s="172"/>
      <c r="S148" s="171">
        <f>5.8*M148/100</f>
        <v>2.9</v>
      </c>
      <c r="T148" s="172"/>
      <c r="U148" s="171">
        <f>25*M148/100</f>
        <v>12.5</v>
      </c>
      <c r="V148" s="172"/>
      <c r="W148" s="258"/>
      <c r="X148" s="206"/>
      <c r="Y148" s="207"/>
      <c r="Z148" s="208"/>
    </row>
    <row r="149" spans="1:26" ht="15.75" thickBot="1" x14ac:dyDescent="0.3">
      <c r="A149" s="213"/>
      <c r="B149" s="196"/>
      <c r="C149" s="197"/>
      <c r="D149" s="198"/>
      <c r="E149" s="196"/>
      <c r="F149" s="197"/>
      <c r="G149" s="197"/>
      <c r="H149" s="198"/>
      <c r="I149" s="190"/>
      <c r="J149" s="191"/>
      <c r="K149" s="190"/>
      <c r="L149" s="191"/>
      <c r="M149" s="196"/>
      <c r="N149" s="198"/>
      <c r="O149" s="173"/>
      <c r="P149" s="174"/>
      <c r="Q149" s="173"/>
      <c r="R149" s="174"/>
      <c r="S149" s="173"/>
      <c r="T149" s="174"/>
      <c r="U149" s="173"/>
      <c r="V149" s="174"/>
      <c r="W149" s="255"/>
      <c r="X149" s="206"/>
      <c r="Y149" s="207"/>
      <c r="Z149" s="208"/>
    </row>
    <row r="150" spans="1:26" ht="15" customHeight="1" x14ac:dyDescent="0.25">
      <c r="A150" s="213"/>
      <c r="B150" s="193" t="s">
        <v>35</v>
      </c>
      <c r="C150" s="194"/>
      <c r="D150" s="195"/>
      <c r="E150" s="193" t="s">
        <v>85</v>
      </c>
      <c r="F150" s="194"/>
      <c r="G150" s="194"/>
      <c r="H150" s="195"/>
      <c r="I150" s="188"/>
      <c r="J150" s="189"/>
      <c r="K150" s="193">
        <v>3</v>
      </c>
      <c r="L150" s="195"/>
      <c r="M150" s="193">
        <v>2</v>
      </c>
      <c r="N150" s="195"/>
      <c r="O150" s="199">
        <v>5.4</v>
      </c>
      <c r="P150" s="200"/>
      <c r="Q150" s="199">
        <v>0.4</v>
      </c>
      <c r="R150" s="200"/>
      <c r="S150" s="199">
        <v>0.4</v>
      </c>
      <c r="T150" s="200"/>
      <c r="U150" s="199">
        <v>0</v>
      </c>
      <c r="V150" s="200"/>
      <c r="W150" s="258"/>
      <c r="X150" s="206"/>
      <c r="Y150" s="207"/>
      <c r="Z150" s="208"/>
    </row>
    <row r="151" spans="1:26" ht="15.75" thickBot="1" x14ac:dyDescent="0.3">
      <c r="A151" s="213"/>
      <c r="B151" s="196"/>
      <c r="C151" s="197"/>
      <c r="D151" s="198"/>
      <c r="E151" s="196"/>
      <c r="F151" s="197"/>
      <c r="G151" s="197"/>
      <c r="H151" s="198"/>
      <c r="I151" s="190"/>
      <c r="J151" s="191"/>
      <c r="K151" s="196"/>
      <c r="L151" s="198"/>
      <c r="M151" s="196"/>
      <c r="N151" s="198"/>
      <c r="O151" s="201"/>
      <c r="P151" s="202"/>
      <c r="Q151" s="201"/>
      <c r="R151" s="202"/>
      <c r="S151" s="201"/>
      <c r="T151" s="202"/>
      <c r="U151" s="201"/>
      <c r="V151" s="202"/>
      <c r="W151" s="255"/>
      <c r="X151" s="206"/>
      <c r="Y151" s="207"/>
      <c r="Z151" s="208"/>
    </row>
    <row r="152" spans="1:26" x14ac:dyDescent="0.25">
      <c r="A152" s="213"/>
      <c r="B152" s="193" t="s">
        <v>5</v>
      </c>
      <c r="C152" s="194"/>
      <c r="D152" s="195"/>
      <c r="E152" s="193" t="s">
        <v>44</v>
      </c>
      <c r="F152" s="194"/>
      <c r="G152" s="194"/>
      <c r="H152" s="195"/>
      <c r="I152" s="188">
        <v>4742870011989</v>
      </c>
      <c r="J152" s="189"/>
      <c r="K152" s="193">
        <v>32</v>
      </c>
      <c r="L152" s="195"/>
      <c r="M152" s="193">
        <v>30</v>
      </c>
      <c r="N152" s="195"/>
      <c r="O152" s="199">
        <v>183.6</v>
      </c>
      <c r="P152" s="200"/>
      <c r="Q152" s="199">
        <v>2.25</v>
      </c>
      <c r="R152" s="200"/>
      <c r="S152" s="199">
        <v>9.4499999999999993</v>
      </c>
      <c r="T152" s="200"/>
      <c r="U152" s="199">
        <v>14.58</v>
      </c>
      <c r="V152" s="200"/>
      <c r="W152" s="258"/>
      <c r="X152" s="206"/>
      <c r="Y152" s="207"/>
      <c r="Z152" s="208"/>
    </row>
    <row r="153" spans="1:26" ht="15.75" thickBot="1" x14ac:dyDescent="0.3">
      <c r="A153" s="213"/>
      <c r="B153" s="196"/>
      <c r="C153" s="197"/>
      <c r="D153" s="198"/>
      <c r="E153" s="196"/>
      <c r="F153" s="197"/>
      <c r="G153" s="197"/>
      <c r="H153" s="198"/>
      <c r="I153" s="190"/>
      <c r="J153" s="191"/>
      <c r="K153" s="196"/>
      <c r="L153" s="198"/>
      <c r="M153" s="196"/>
      <c r="N153" s="198"/>
      <c r="O153" s="201"/>
      <c r="P153" s="202"/>
      <c r="Q153" s="201"/>
      <c r="R153" s="202"/>
      <c r="S153" s="201"/>
      <c r="T153" s="202"/>
      <c r="U153" s="201"/>
      <c r="V153" s="202"/>
      <c r="W153" s="255"/>
      <c r="X153" s="206"/>
      <c r="Y153" s="207"/>
      <c r="Z153" s="208"/>
    </row>
    <row r="154" spans="1:26" x14ac:dyDescent="0.25">
      <c r="A154" s="213"/>
      <c r="B154" s="193" t="s">
        <v>6</v>
      </c>
      <c r="C154" s="194"/>
      <c r="D154" s="195"/>
      <c r="E154" s="193" t="s">
        <v>47</v>
      </c>
      <c r="F154" s="194"/>
      <c r="G154" s="194"/>
      <c r="H154" s="195"/>
      <c r="I154" s="188">
        <v>4742870015581</v>
      </c>
      <c r="J154" s="189"/>
      <c r="K154" s="193">
        <v>42</v>
      </c>
      <c r="L154" s="195"/>
      <c r="M154" s="193">
        <v>40</v>
      </c>
      <c r="N154" s="195"/>
      <c r="O154" s="199">
        <v>109.4</v>
      </c>
      <c r="P154" s="200"/>
      <c r="Q154" s="199">
        <v>27.4</v>
      </c>
      <c r="R154" s="200"/>
      <c r="S154" s="199">
        <v>0</v>
      </c>
      <c r="T154" s="200"/>
      <c r="U154" s="199">
        <v>0</v>
      </c>
      <c r="V154" s="200"/>
      <c r="W154" s="258"/>
      <c r="X154" s="206"/>
      <c r="Y154" s="207"/>
      <c r="Z154" s="208"/>
    </row>
    <row r="155" spans="1:26" ht="15.75" thickBot="1" x14ac:dyDescent="0.3">
      <c r="A155" s="213"/>
      <c r="B155" s="196"/>
      <c r="C155" s="197"/>
      <c r="D155" s="198"/>
      <c r="E155" s="196"/>
      <c r="F155" s="197"/>
      <c r="G155" s="197"/>
      <c r="H155" s="198"/>
      <c r="I155" s="190"/>
      <c r="J155" s="191"/>
      <c r="K155" s="196"/>
      <c r="L155" s="198"/>
      <c r="M155" s="196"/>
      <c r="N155" s="198"/>
      <c r="O155" s="201"/>
      <c r="P155" s="202"/>
      <c r="Q155" s="201"/>
      <c r="R155" s="202"/>
      <c r="S155" s="201"/>
      <c r="T155" s="202"/>
      <c r="U155" s="201"/>
      <c r="V155" s="202"/>
      <c r="W155" s="255"/>
      <c r="X155" s="206"/>
      <c r="Y155" s="207"/>
      <c r="Z155" s="208"/>
    </row>
    <row r="156" spans="1:26" x14ac:dyDescent="0.25">
      <c r="A156" s="213"/>
      <c r="B156" s="193" t="s">
        <v>7</v>
      </c>
      <c r="C156" s="194"/>
      <c r="D156" s="195"/>
      <c r="E156" s="193" t="s">
        <v>66</v>
      </c>
      <c r="F156" s="194"/>
      <c r="G156" s="194"/>
      <c r="H156" s="195"/>
      <c r="I156" s="188"/>
      <c r="J156" s="195"/>
      <c r="K156" s="188">
        <v>4</v>
      </c>
      <c r="L156" s="189"/>
      <c r="M156" s="193">
        <v>2</v>
      </c>
      <c r="N156" s="195"/>
      <c r="O156" s="171">
        <v>0</v>
      </c>
      <c r="P156" s="172"/>
      <c r="Q156" s="171">
        <v>0</v>
      </c>
      <c r="R156" s="172"/>
      <c r="S156" s="171">
        <v>0</v>
      </c>
      <c r="T156" s="172"/>
      <c r="U156" s="171">
        <v>0</v>
      </c>
      <c r="V156" s="172"/>
      <c r="W156" s="254"/>
      <c r="X156" s="206"/>
      <c r="Y156" s="207"/>
      <c r="Z156" s="208"/>
    </row>
    <row r="157" spans="1:26" ht="15.75" thickBot="1" x14ac:dyDescent="0.3">
      <c r="A157" s="213"/>
      <c r="B157" s="196"/>
      <c r="C157" s="197"/>
      <c r="D157" s="198"/>
      <c r="E157" s="196"/>
      <c r="F157" s="197"/>
      <c r="G157" s="197"/>
      <c r="H157" s="198"/>
      <c r="I157" s="196"/>
      <c r="J157" s="198"/>
      <c r="K157" s="190"/>
      <c r="L157" s="191"/>
      <c r="M157" s="196"/>
      <c r="N157" s="198"/>
      <c r="O157" s="173"/>
      <c r="P157" s="174"/>
      <c r="Q157" s="173"/>
      <c r="R157" s="174"/>
      <c r="S157" s="173"/>
      <c r="T157" s="174"/>
      <c r="U157" s="173"/>
      <c r="V157" s="174"/>
      <c r="W157" s="255"/>
      <c r="X157" s="206"/>
      <c r="Y157" s="207"/>
      <c r="Z157" s="208"/>
    </row>
    <row r="158" spans="1:26" x14ac:dyDescent="0.25">
      <c r="A158" s="213"/>
      <c r="B158" s="193" t="s">
        <v>8</v>
      </c>
      <c r="C158" s="194"/>
      <c r="D158" s="195"/>
      <c r="E158" s="193" t="s">
        <v>8</v>
      </c>
      <c r="F158" s="194"/>
      <c r="G158" s="194"/>
      <c r="H158" s="195"/>
      <c r="I158" s="188"/>
      <c r="J158" s="195"/>
      <c r="K158" s="188"/>
      <c r="L158" s="189"/>
      <c r="M158" s="193"/>
      <c r="N158" s="195"/>
      <c r="O158" s="171"/>
      <c r="P158" s="172"/>
      <c r="Q158" s="171"/>
      <c r="R158" s="172"/>
      <c r="S158" s="171"/>
      <c r="T158" s="172"/>
      <c r="U158" s="171"/>
      <c r="V158" s="172"/>
      <c r="W158" s="254"/>
      <c r="X158" s="206"/>
      <c r="Y158" s="207"/>
      <c r="Z158" s="208"/>
    </row>
    <row r="159" spans="1:26" ht="15.75" thickBot="1" x14ac:dyDescent="0.3">
      <c r="A159" s="214"/>
      <c r="B159" s="196"/>
      <c r="C159" s="197"/>
      <c r="D159" s="198"/>
      <c r="E159" s="196"/>
      <c r="F159" s="197"/>
      <c r="G159" s="197"/>
      <c r="H159" s="198"/>
      <c r="I159" s="196"/>
      <c r="J159" s="198"/>
      <c r="K159" s="190"/>
      <c r="L159" s="191"/>
      <c r="M159" s="196"/>
      <c r="N159" s="198"/>
      <c r="O159" s="173"/>
      <c r="P159" s="174"/>
      <c r="Q159" s="173"/>
      <c r="R159" s="174"/>
      <c r="S159" s="173"/>
      <c r="T159" s="174"/>
      <c r="U159" s="173"/>
      <c r="V159" s="174"/>
      <c r="W159" s="255"/>
      <c r="X159" s="209"/>
      <c r="Y159" s="210"/>
      <c r="Z159" s="211"/>
    </row>
    <row r="160" spans="1:26" ht="15.75" thickBot="1" x14ac:dyDescent="0.3">
      <c r="A160" s="2"/>
      <c r="B160" s="156" t="s">
        <v>16</v>
      </c>
      <c r="C160" s="157"/>
      <c r="D160" s="158"/>
      <c r="E160" s="159"/>
      <c r="F160" s="160"/>
      <c r="G160" s="160"/>
      <c r="H160" s="161"/>
      <c r="I160" s="159"/>
      <c r="J160" s="161"/>
      <c r="K160" s="162">
        <f>SUM(K142:L159)</f>
        <v>581</v>
      </c>
      <c r="L160" s="163"/>
      <c r="M160" s="162">
        <f>SUM(M142:N159)</f>
        <v>549</v>
      </c>
      <c r="N160" s="163"/>
      <c r="O160" s="162">
        <f>SUM(O142:P159)</f>
        <v>1211.1500000000001</v>
      </c>
      <c r="P160" s="163"/>
      <c r="Q160" s="162">
        <f>SUM(Q142:R159)</f>
        <v>125.80000000000001</v>
      </c>
      <c r="R160" s="163"/>
      <c r="S160" s="162">
        <f>SUM(S142:T159)</f>
        <v>35.78</v>
      </c>
      <c r="T160" s="163"/>
      <c r="U160" s="162">
        <f>SUM(U142:V159)</f>
        <v>59.01</v>
      </c>
      <c r="V160" s="163"/>
      <c r="W160" s="20"/>
    </row>
  </sheetData>
  <mergeCells count="837">
    <mergeCell ref="W125:W126"/>
    <mergeCell ref="W127:W128"/>
    <mergeCell ref="W129:W130"/>
    <mergeCell ref="W131:W132"/>
    <mergeCell ref="W133:W134"/>
    <mergeCell ref="W135:W136"/>
    <mergeCell ref="W137:W138"/>
    <mergeCell ref="W158:W159"/>
    <mergeCell ref="W139:W140"/>
    <mergeCell ref="W142:W143"/>
    <mergeCell ref="W144:W145"/>
    <mergeCell ref="W146:W147"/>
    <mergeCell ref="W148:W149"/>
    <mergeCell ref="W150:W151"/>
    <mergeCell ref="W152:W153"/>
    <mergeCell ref="W154:W155"/>
    <mergeCell ref="W156:W157"/>
    <mergeCell ref="W106:W107"/>
    <mergeCell ref="W108:W109"/>
    <mergeCell ref="W110:W111"/>
    <mergeCell ref="W112:W113"/>
    <mergeCell ref="W114:W115"/>
    <mergeCell ref="W116:W117"/>
    <mergeCell ref="W118:W119"/>
    <mergeCell ref="W120:W121"/>
    <mergeCell ref="W123:W124"/>
    <mergeCell ref="W87:W88"/>
    <mergeCell ref="W89:W90"/>
    <mergeCell ref="W91:W92"/>
    <mergeCell ref="W93:W94"/>
    <mergeCell ref="W95:W96"/>
    <mergeCell ref="W97:W98"/>
    <mergeCell ref="W99:W100"/>
    <mergeCell ref="W101:W102"/>
    <mergeCell ref="W104:W105"/>
    <mergeCell ref="W68:W69"/>
    <mergeCell ref="W70:W71"/>
    <mergeCell ref="W72:W73"/>
    <mergeCell ref="W74:W75"/>
    <mergeCell ref="W76:W77"/>
    <mergeCell ref="W78:W79"/>
    <mergeCell ref="W80:W81"/>
    <mergeCell ref="W82:W83"/>
    <mergeCell ref="W85:W86"/>
    <mergeCell ref="W49:W50"/>
    <mergeCell ref="W51:W52"/>
    <mergeCell ref="W53:W54"/>
    <mergeCell ref="W55:W56"/>
    <mergeCell ref="W57:W58"/>
    <mergeCell ref="W59:W60"/>
    <mergeCell ref="W61:W62"/>
    <mergeCell ref="W63:W64"/>
    <mergeCell ref="W66:W67"/>
    <mergeCell ref="O122:P122"/>
    <mergeCell ref="Q122:R122"/>
    <mergeCell ref="S122:T122"/>
    <mergeCell ref="U122:V122"/>
    <mergeCell ref="W6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7:W48"/>
    <mergeCell ref="Q114:R115"/>
    <mergeCell ref="O120:P121"/>
    <mergeCell ref="Q120:R121"/>
    <mergeCell ref="S120:T121"/>
    <mergeCell ref="B118:D119"/>
    <mergeCell ref="E118:H119"/>
    <mergeCell ref="I118:J119"/>
    <mergeCell ref="K118:L119"/>
    <mergeCell ref="M118:N119"/>
    <mergeCell ref="O118:P119"/>
    <mergeCell ref="Q118:R119"/>
    <mergeCell ref="S118:T119"/>
    <mergeCell ref="Q104:R105"/>
    <mergeCell ref="S104:T105"/>
    <mergeCell ref="B108:D109"/>
    <mergeCell ref="E108:H109"/>
    <mergeCell ref="I108:J109"/>
    <mergeCell ref="K108:L109"/>
    <mergeCell ref="M108:N109"/>
    <mergeCell ref="O108:P109"/>
    <mergeCell ref="Q108:R109"/>
    <mergeCell ref="S108:T109"/>
    <mergeCell ref="K11:L12"/>
    <mergeCell ref="M11:N12"/>
    <mergeCell ref="A104:A121"/>
    <mergeCell ref="B104:D105"/>
    <mergeCell ref="E104:H105"/>
    <mergeCell ref="I104:J105"/>
    <mergeCell ref="K104:L105"/>
    <mergeCell ref="M104:N105"/>
    <mergeCell ref="O104:P105"/>
    <mergeCell ref="B114:D115"/>
    <mergeCell ref="E114:H115"/>
    <mergeCell ref="I114:J115"/>
    <mergeCell ref="K114:L115"/>
    <mergeCell ref="M114:N115"/>
    <mergeCell ref="O114:P115"/>
    <mergeCell ref="E42:H43"/>
    <mergeCell ref="I42:J43"/>
    <mergeCell ref="K42:L43"/>
    <mergeCell ref="M38:N39"/>
    <mergeCell ref="B44:D45"/>
    <mergeCell ref="E44:H45"/>
    <mergeCell ref="K44:L45"/>
    <mergeCell ref="E34:H35"/>
    <mergeCell ref="B30:D31"/>
    <mergeCell ref="U15:V16"/>
    <mergeCell ref="Q23:R24"/>
    <mergeCell ref="O6:P8"/>
    <mergeCell ref="Q6:R8"/>
    <mergeCell ref="S6:T8"/>
    <mergeCell ref="U6:V8"/>
    <mergeCell ref="A9:A26"/>
    <mergeCell ref="B9:D10"/>
    <mergeCell ref="E9:H10"/>
    <mergeCell ref="I9:J10"/>
    <mergeCell ref="K9:L10"/>
    <mergeCell ref="M9:N10"/>
    <mergeCell ref="A6:A8"/>
    <mergeCell ref="B6:D8"/>
    <mergeCell ref="E6:H8"/>
    <mergeCell ref="I6:J8"/>
    <mergeCell ref="K6:L8"/>
    <mergeCell ref="M6:N8"/>
    <mergeCell ref="O9:P10"/>
    <mergeCell ref="Q9:R10"/>
    <mergeCell ref="S9:T10"/>
    <mergeCell ref="U9:V10"/>
    <mergeCell ref="B11:D12"/>
    <mergeCell ref="E11:H12"/>
    <mergeCell ref="Q21:R22"/>
    <mergeCell ref="S21:T22"/>
    <mergeCell ref="O23:P24"/>
    <mergeCell ref="O11:P12"/>
    <mergeCell ref="Q11:R12"/>
    <mergeCell ref="S11:T12"/>
    <mergeCell ref="U11:V12"/>
    <mergeCell ref="B13:D14"/>
    <mergeCell ref="E89:H90"/>
    <mergeCell ref="I89:J90"/>
    <mergeCell ref="K89:L90"/>
    <mergeCell ref="M89:N90"/>
    <mergeCell ref="O89:P90"/>
    <mergeCell ref="Q89:R90"/>
    <mergeCell ref="S89:T90"/>
    <mergeCell ref="U89:V90"/>
    <mergeCell ref="B15:D16"/>
    <mergeCell ref="E15:H16"/>
    <mergeCell ref="I15:J16"/>
    <mergeCell ref="K15:L16"/>
    <mergeCell ref="M15:N16"/>
    <mergeCell ref="O15:P16"/>
    <mergeCell ref="Q15:R16"/>
    <mergeCell ref="S15:T16"/>
    <mergeCell ref="Q17:R18"/>
    <mergeCell ref="S17:T18"/>
    <mergeCell ref="U17:V18"/>
    <mergeCell ref="E19:H20"/>
    <mergeCell ref="B19:D20"/>
    <mergeCell ref="S19:T20"/>
    <mergeCell ref="Q19:R20"/>
    <mergeCell ref="O19:P20"/>
    <mergeCell ref="M19:N20"/>
    <mergeCell ref="K19:L20"/>
    <mergeCell ref="U27:V27"/>
    <mergeCell ref="B25:D26"/>
    <mergeCell ref="E25:H26"/>
    <mergeCell ref="K25:L26"/>
    <mergeCell ref="M25:N26"/>
    <mergeCell ref="O25:P26"/>
    <mergeCell ref="Q25:R26"/>
    <mergeCell ref="S25:T26"/>
    <mergeCell ref="U25:V26"/>
    <mergeCell ref="Q27:R27"/>
    <mergeCell ref="E30:H31"/>
    <mergeCell ref="K30:L31"/>
    <mergeCell ref="M30:N31"/>
    <mergeCell ref="O30:P31"/>
    <mergeCell ref="Q30:R31"/>
    <mergeCell ref="S30:T31"/>
    <mergeCell ref="U30:V31"/>
    <mergeCell ref="A28:A45"/>
    <mergeCell ref="B28:D29"/>
    <mergeCell ref="E28:H29"/>
    <mergeCell ref="I28:J29"/>
    <mergeCell ref="K28:L29"/>
    <mergeCell ref="M28:N29"/>
    <mergeCell ref="B38:D39"/>
    <mergeCell ref="E38:H39"/>
    <mergeCell ref="I38:J39"/>
    <mergeCell ref="K38:L39"/>
    <mergeCell ref="B32:D33"/>
    <mergeCell ref="E32:H33"/>
    <mergeCell ref="I32:J33"/>
    <mergeCell ref="K32:L33"/>
    <mergeCell ref="M32:N33"/>
    <mergeCell ref="B42:D43"/>
    <mergeCell ref="Q40:R41"/>
    <mergeCell ref="S40:T41"/>
    <mergeCell ref="O38:P39"/>
    <mergeCell ref="Q38:R39"/>
    <mergeCell ref="S38:T39"/>
    <mergeCell ref="O40:P41"/>
    <mergeCell ref="M42:N43"/>
    <mergeCell ref="Q28:R29"/>
    <mergeCell ref="S28:T29"/>
    <mergeCell ref="O32:P33"/>
    <mergeCell ref="Q32:R33"/>
    <mergeCell ref="S32:T33"/>
    <mergeCell ref="U32:V33"/>
    <mergeCell ref="M36:N37"/>
    <mergeCell ref="O36:P37"/>
    <mergeCell ref="Q36:R37"/>
    <mergeCell ref="S36:T37"/>
    <mergeCell ref="U36:V37"/>
    <mergeCell ref="S34:T35"/>
    <mergeCell ref="Q34:R35"/>
    <mergeCell ref="O34:P35"/>
    <mergeCell ref="M34:N35"/>
    <mergeCell ref="U34:V35"/>
    <mergeCell ref="M44:N45"/>
    <mergeCell ref="O44:P45"/>
    <mergeCell ref="Q44:R45"/>
    <mergeCell ref="Q51:R52"/>
    <mergeCell ref="S55:T56"/>
    <mergeCell ref="M59:N60"/>
    <mergeCell ref="Q42:R43"/>
    <mergeCell ref="S42:T43"/>
    <mergeCell ref="U42:V43"/>
    <mergeCell ref="Q47:R48"/>
    <mergeCell ref="S49:T50"/>
    <mergeCell ref="U49:V50"/>
    <mergeCell ref="B46:D46"/>
    <mergeCell ref="E46:H46"/>
    <mergeCell ref="I46:J46"/>
    <mergeCell ref="K46:L46"/>
    <mergeCell ref="M46:N46"/>
    <mergeCell ref="O46:P46"/>
    <mergeCell ref="Q46:R46"/>
    <mergeCell ref="S46:T46"/>
    <mergeCell ref="U46:V46"/>
    <mergeCell ref="K59:L60"/>
    <mergeCell ref="E63:H64"/>
    <mergeCell ref="K63:L64"/>
    <mergeCell ref="M63:N64"/>
    <mergeCell ref="B61:D62"/>
    <mergeCell ref="I61:J62"/>
    <mergeCell ref="M61:N62"/>
    <mergeCell ref="O61:P62"/>
    <mergeCell ref="Q61:R62"/>
    <mergeCell ref="O59:P60"/>
    <mergeCell ref="E59:H60"/>
    <mergeCell ref="B76:D77"/>
    <mergeCell ref="A47:A64"/>
    <mergeCell ref="B47:D48"/>
    <mergeCell ref="E47:H48"/>
    <mergeCell ref="I47:J48"/>
    <mergeCell ref="K47:L48"/>
    <mergeCell ref="M47:N48"/>
    <mergeCell ref="O47:P48"/>
    <mergeCell ref="Q55:R56"/>
    <mergeCell ref="B49:D50"/>
    <mergeCell ref="E49:H50"/>
    <mergeCell ref="K49:L50"/>
    <mergeCell ref="M49:N50"/>
    <mergeCell ref="O49:P50"/>
    <mergeCell ref="Q49:R50"/>
    <mergeCell ref="Q53:R54"/>
    <mergeCell ref="B57:D58"/>
    <mergeCell ref="E57:H58"/>
    <mergeCell ref="K57:L58"/>
    <mergeCell ref="M57:N58"/>
    <mergeCell ref="O57:P58"/>
    <mergeCell ref="Q57:R58"/>
    <mergeCell ref="Q63:R64"/>
    <mergeCell ref="B51:D52"/>
    <mergeCell ref="S127:T128"/>
    <mergeCell ref="U127:V128"/>
    <mergeCell ref="O127:P128"/>
    <mergeCell ref="Q110:R111"/>
    <mergeCell ref="S110:T111"/>
    <mergeCell ref="U110:V111"/>
    <mergeCell ref="Q76:R77"/>
    <mergeCell ref="Q68:R69"/>
    <mergeCell ref="K65:L65"/>
    <mergeCell ref="M65:N65"/>
    <mergeCell ref="O65:P65"/>
    <mergeCell ref="Q65:R65"/>
    <mergeCell ref="Q82:R83"/>
    <mergeCell ref="O74:P75"/>
    <mergeCell ref="K120:L121"/>
    <mergeCell ref="M120:N121"/>
    <mergeCell ref="U118:V119"/>
    <mergeCell ref="K106:L107"/>
    <mergeCell ref="M106:N107"/>
    <mergeCell ref="O106:P107"/>
    <mergeCell ref="Q106:R107"/>
    <mergeCell ref="S106:T107"/>
    <mergeCell ref="U106:V107"/>
    <mergeCell ref="S65:T65"/>
    <mergeCell ref="K122:L122"/>
    <mergeCell ref="M122:N122"/>
    <mergeCell ref="B74:D75"/>
    <mergeCell ref="B72:D73"/>
    <mergeCell ref="I74:J75"/>
    <mergeCell ref="E78:H79"/>
    <mergeCell ref="I78:J79"/>
    <mergeCell ref="K78:L79"/>
    <mergeCell ref="U120:V121"/>
    <mergeCell ref="B120:D121"/>
    <mergeCell ref="E120:H121"/>
    <mergeCell ref="B80:D81"/>
    <mergeCell ref="S74:T75"/>
    <mergeCell ref="K116:L117"/>
    <mergeCell ref="M116:N117"/>
    <mergeCell ref="O116:P117"/>
    <mergeCell ref="Q116:R117"/>
    <mergeCell ref="S116:T117"/>
    <mergeCell ref="O110:P111"/>
    <mergeCell ref="O76:P77"/>
    <mergeCell ref="K82:L83"/>
    <mergeCell ref="M82:N83"/>
    <mergeCell ref="O82:P83"/>
    <mergeCell ref="K74:L75"/>
    <mergeCell ref="E127:H128"/>
    <mergeCell ref="I127:J128"/>
    <mergeCell ref="E61:H62"/>
    <mergeCell ref="B106:D107"/>
    <mergeCell ref="E106:H107"/>
    <mergeCell ref="B110:D111"/>
    <mergeCell ref="E110:H111"/>
    <mergeCell ref="K110:L111"/>
    <mergeCell ref="B116:D117"/>
    <mergeCell ref="E116:H117"/>
    <mergeCell ref="K61:L62"/>
    <mergeCell ref="B68:D69"/>
    <mergeCell ref="E68:H69"/>
    <mergeCell ref="K68:L69"/>
    <mergeCell ref="B65:D65"/>
    <mergeCell ref="E65:H65"/>
    <mergeCell ref="I65:J65"/>
    <mergeCell ref="K127:L128"/>
    <mergeCell ref="B70:D71"/>
    <mergeCell ref="E70:H71"/>
    <mergeCell ref="I70:J71"/>
    <mergeCell ref="K70:L71"/>
    <mergeCell ref="B122:D122"/>
    <mergeCell ref="E122:H122"/>
    <mergeCell ref="E13:H14"/>
    <mergeCell ref="I13:J14"/>
    <mergeCell ref="K13:L14"/>
    <mergeCell ref="M13:N14"/>
    <mergeCell ref="O13:P14"/>
    <mergeCell ref="O21:P22"/>
    <mergeCell ref="B27:D27"/>
    <mergeCell ref="E27:H27"/>
    <mergeCell ref="I27:J27"/>
    <mergeCell ref="K27:L27"/>
    <mergeCell ref="M27:N27"/>
    <mergeCell ref="O27:P27"/>
    <mergeCell ref="B23:D24"/>
    <mergeCell ref="E23:H24"/>
    <mergeCell ref="I23:J24"/>
    <mergeCell ref="K23:L24"/>
    <mergeCell ref="B17:D18"/>
    <mergeCell ref="E17:H18"/>
    <mergeCell ref="I17:J18"/>
    <mergeCell ref="K17:L18"/>
    <mergeCell ref="M17:N18"/>
    <mergeCell ref="O17:P18"/>
    <mergeCell ref="B82:D83"/>
    <mergeCell ref="E82:H83"/>
    <mergeCell ref="B21:D22"/>
    <mergeCell ref="E21:H22"/>
    <mergeCell ref="I21:J22"/>
    <mergeCell ref="K21:L22"/>
    <mergeCell ref="M21:N22"/>
    <mergeCell ref="A66:A83"/>
    <mergeCell ref="B66:D67"/>
    <mergeCell ref="E66:H67"/>
    <mergeCell ref="I66:J67"/>
    <mergeCell ref="K66:L67"/>
    <mergeCell ref="M66:N67"/>
    <mergeCell ref="E76:H77"/>
    <mergeCell ref="M76:N77"/>
    <mergeCell ref="M68:N69"/>
    <mergeCell ref="B63:D64"/>
    <mergeCell ref="M70:N71"/>
    <mergeCell ref="M78:N79"/>
    <mergeCell ref="B55:D56"/>
    <mergeCell ref="E55:H56"/>
    <mergeCell ref="I55:J56"/>
    <mergeCell ref="K55:L56"/>
    <mergeCell ref="M55:N56"/>
    <mergeCell ref="E95:H96"/>
    <mergeCell ref="I95:J96"/>
    <mergeCell ref="K95:L96"/>
    <mergeCell ref="M95:N96"/>
    <mergeCell ref="O95:P96"/>
    <mergeCell ref="Q95:R96"/>
    <mergeCell ref="B84:D84"/>
    <mergeCell ref="E84:H84"/>
    <mergeCell ref="I84:J84"/>
    <mergeCell ref="K84:L84"/>
    <mergeCell ref="M84:N84"/>
    <mergeCell ref="O84:P84"/>
    <mergeCell ref="Q84:R84"/>
    <mergeCell ref="K91:L92"/>
    <mergeCell ref="A85:A102"/>
    <mergeCell ref="B85:D86"/>
    <mergeCell ref="E85:H86"/>
    <mergeCell ref="I85:J86"/>
    <mergeCell ref="K85:L86"/>
    <mergeCell ref="M85:N86"/>
    <mergeCell ref="O85:P86"/>
    <mergeCell ref="Q85:R86"/>
    <mergeCell ref="S85:T86"/>
    <mergeCell ref="B89:D90"/>
    <mergeCell ref="M101:N102"/>
    <mergeCell ref="O101:P102"/>
    <mergeCell ref="S95:T96"/>
    <mergeCell ref="B99:D100"/>
    <mergeCell ref="E99:H100"/>
    <mergeCell ref="I99:J100"/>
    <mergeCell ref="K99:L100"/>
    <mergeCell ref="M99:N100"/>
    <mergeCell ref="O99:P100"/>
    <mergeCell ref="Q99:R100"/>
    <mergeCell ref="S99:T100"/>
    <mergeCell ref="S97:T98"/>
    <mergeCell ref="B101:D102"/>
    <mergeCell ref="B95:D96"/>
    <mergeCell ref="U123:V124"/>
    <mergeCell ref="X123:Z140"/>
    <mergeCell ref="U125:V126"/>
    <mergeCell ref="B93:D94"/>
    <mergeCell ref="U112:V113"/>
    <mergeCell ref="S112:T113"/>
    <mergeCell ref="Q112:R113"/>
    <mergeCell ref="O112:P113"/>
    <mergeCell ref="M112:N113"/>
    <mergeCell ref="K112:L113"/>
    <mergeCell ref="I112:J113"/>
    <mergeCell ref="E112:H113"/>
    <mergeCell ref="B112:D113"/>
    <mergeCell ref="S103:T103"/>
    <mergeCell ref="U103:V103"/>
    <mergeCell ref="Q101:R102"/>
    <mergeCell ref="S101:T102"/>
    <mergeCell ref="U101:V102"/>
    <mergeCell ref="B103:D103"/>
    <mergeCell ref="E101:H102"/>
    <mergeCell ref="M127:N128"/>
    <mergeCell ref="Q127:R128"/>
    <mergeCell ref="S114:T115"/>
    <mergeCell ref="M110:N111"/>
    <mergeCell ref="U114:V115"/>
    <mergeCell ref="E74:H75"/>
    <mergeCell ref="O70:P71"/>
    <mergeCell ref="Q70:R71"/>
    <mergeCell ref="M91:N92"/>
    <mergeCell ref="O91:P92"/>
    <mergeCell ref="O87:P88"/>
    <mergeCell ref="Q87:R88"/>
    <mergeCell ref="Q91:R92"/>
    <mergeCell ref="M80:N81"/>
    <mergeCell ref="O80:P81"/>
    <mergeCell ref="Q80:R81"/>
    <mergeCell ref="Q72:R73"/>
    <mergeCell ref="O72:P73"/>
    <mergeCell ref="M72:N73"/>
    <mergeCell ref="O103:P103"/>
    <mergeCell ref="S70:T71"/>
    <mergeCell ref="K101:L102"/>
    <mergeCell ref="O78:P79"/>
    <mergeCell ref="I76:J77"/>
    <mergeCell ref="K76:L77"/>
    <mergeCell ref="E80:H81"/>
    <mergeCell ref="I80:J81"/>
    <mergeCell ref="K80:L81"/>
    <mergeCell ref="X6:Z8"/>
    <mergeCell ref="X47:Z64"/>
    <mergeCell ref="X28:Z45"/>
    <mergeCell ref="X9:Z26"/>
    <mergeCell ref="S57:T58"/>
    <mergeCell ref="Q103:R103"/>
    <mergeCell ref="K34:L35"/>
    <mergeCell ref="S78:T79"/>
    <mergeCell ref="U66:V67"/>
    <mergeCell ref="M23:N24"/>
    <mergeCell ref="Q13:R14"/>
    <mergeCell ref="S13:T14"/>
    <mergeCell ref="O66:P67"/>
    <mergeCell ref="U65:V65"/>
    <mergeCell ref="S68:T69"/>
    <mergeCell ref="O63:P64"/>
    <mergeCell ref="Q66:R67"/>
    <mergeCell ref="O68:P69"/>
    <mergeCell ref="Q74:R75"/>
    <mergeCell ref="U91:V92"/>
    <mergeCell ref="Q78:R79"/>
    <mergeCell ref="S47:T48"/>
    <mergeCell ref="U47:V48"/>
    <mergeCell ref="O55:P56"/>
    <mergeCell ref="U68:V69"/>
    <mergeCell ref="S87:T88"/>
    <mergeCell ref="U87:V88"/>
    <mergeCell ref="S91:T92"/>
    <mergeCell ref="U13:V14"/>
    <mergeCell ref="S76:T77"/>
    <mergeCell ref="S82:T83"/>
    <mergeCell ref="U82:V83"/>
    <mergeCell ref="S84:T84"/>
    <mergeCell ref="U84:V84"/>
    <mergeCell ref="S80:T81"/>
    <mergeCell ref="U80:V81"/>
    <mergeCell ref="S61:T62"/>
    <mergeCell ref="S63:T64"/>
    <mergeCell ref="U63:V64"/>
    <mergeCell ref="S53:T54"/>
    <mergeCell ref="U23:V24"/>
    <mergeCell ref="U21:V22"/>
    <mergeCell ref="S23:T24"/>
    <mergeCell ref="S66:T67"/>
    <mergeCell ref="S44:T45"/>
    <mergeCell ref="U44:V45"/>
    <mergeCell ref="U28:V29"/>
    <mergeCell ref="S27:T27"/>
    <mergeCell ref="X104:Z121"/>
    <mergeCell ref="X85:Z102"/>
    <mergeCell ref="X66:Z83"/>
    <mergeCell ref="U93:V94"/>
    <mergeCell ref="U19:V20"/>
    <mergeCell ref="U95:V96"/>
    <mergeCell ref="U99:V100"/>
    <mergeCell ref="U85:V86"/>
    <mergeCell ref="U53:V54"/>
    <mergeCell ref="U104:V105"/>
    <mergeCell ref="U108:V109"/>
    <mergeCell ref="U116:V117"/>
    <mergeCell ref="U57:V58"/>
    <mergeCell ref="U74:V75"/>
    <mergeCell ref="U38:V39"/>
    <mergeCell ref="U40:V41"/>
    <mergeCell ref="U76:V77"/>
    <mergeCell ref="U72:V73"/>
    <mergeCell ref="U55:V56"/>
    <mergeCell ref="U61:V62"/>
    <mergeCell ref="U97:V98"/>
    <mergeCell ref="U59:V60"/>
    <mergeCell ref="U78:V79"/>
    <mergeCell ref="U70:V71"/>
    <mergeCell ref="B34:D35"/>
    <mergeCell ref="O28:P29"/>
    <mergeCell ref="S93:T94"/>
    <mergeCell ref="Q93:R94"/>
    <mergeCell ref="O93:P94"/>
    <mergeCell ref="M93:N94"/>
    <mergeCell ref="K93:L94"/>
    <mergeCell ref="I93:J94"/>
    <mergeCell ref="E93:H94"/>
    <mergeCell ref="I91:J92"/>
    <mergeCell ref="S72:T73"/>
    <mergeCell ref="B87:D88"/>
    <mergeCell ref="E87:H88"/>
    <mergeCell ref="K87:L88"/>
    <mergeCell ref="M87:N88"/>
    <mergeCell ref="M51:N52"/>
    <mergeCell ref="O51:P52"/>
    <mergeCell ref="B36:D37"/>
    <mergeCell ref="E36:H37"/>
    <mergeCell ref="I36:J37"/>
    <mergeCell ref="K36:L37"/>
    <mergeCell ref="Q59:R60"/>
    <mergeCell ref="S59:T60"/>
    <mergeCell ref="B78:D79"/>
    <mergeCell ref="B40:D41"/>
    <mergeCell ref="E40:H41"/>
    <mergeCell ref="I40:J41"/>
    <mergeCell ref="A123:A140"/>
    <mergeCell ref="B123:D124"/>
    <mergeCell ref="E123:H124"/>
    <mergeCell ref="I123:J124"/>
    <mergeCell ref="K123:L124"/>
    <mergeCell ref="M123:N124"/>
    <mergeCell ref="E51:H52"/>
    <mergeCell ref="I51:J52"/>
    <mergeCell ref="K51:L52"/>
    <mergeCell ref="K40:L41"/>
    <mergeCell ref="M40:N41"/>
    <mergeCell ref="E72:H73"/>
    <mergeCell ref="I72:J73"/>
    <mergeCell ref="K72:L73"/>
    <mergeCell ref="M74:N75"/>
    <mergeCell ref="B91:D92"/>
    <mergeCell ref="E91:H92"/>
    <mergeCell ref="E103:H103"/>
    <mergeCell ref="I103:J103"/>
    <mergeCell ref="K103:L103"/>
    <mergeCell ref="M103:N103"/>
    <mergeCell ref="O123:P124"/>
    <mergeCell ref="Q123:R124"/>
    <mergeCell ref="B127:D128"/>
    <mergeCell ref="U131:V132"/>
    <mergeCell ref="S51:T52"/>
    <mergeCell ref="U51:V52"/>
    <mergeCell ref="B129:D130"/>
    <mergeCell ref="E129:H130"/>
    <mergeCell ref="I129:J130"/>
    <mergeCell ref="K129:L130"/>
    <mergeCell ref="M129:N130"/>
    <mergeCell ref="O129:P130"/>
    <mergeCell ref="Q129:R130"/>
    <mergeCell ref="S129:T130"/>
    <mergeCell ref="U129:V130"/>
    <mergeCell ref="S131:T132"/>
    <mergeCell ref="S123:T124"/>
    <mergeCell ref="B125:D126"/>
    <mergeCell ref="E125:H126"/>
    <mergeCell ref="K125:L126"/>
    <mergeCell ref="M125:N126"/>
    <mergeCell ref="O125:P126"/>
    <mergeCell ref="Q125:R126"/>
    <mergeCell ref="S125:T126"/>
    <mergeCell ref="U137:V138"/>
    <mergeCell ref="I133:J134"/>
    <mergeCell ref="K133:L134"/>
    <mergeCell ref="M133:N134"/>
    <mergeCell ref="O133:P134"/>
    <mergeCell ref="Q133:R134"/>
    <mergeCell ref="S133:T134"/>
    <mergeCell ref="U133:V134"/>
    <mergeCell ref="U135:V136"/>
    <mergeCell ref="S135:T136"/>
    <mergeCell ref="S137:T138"/>
    <mergeCell ref="O135:P136"/>
    <mergeCell ref="Q135:R136"/>
    <mergeCell ref="O137:P138"/>
    <mergeCell ref="Q137:R138"/>
    <mergeCell ref="U141:V141"/>
    <mergeCell ref="B139:D140"/>
    <mergeCell ref="E139:H140"/>
    <mergeCell ref="K139:L140"/>
    <mergeCell ref="M139:N140"/>
    <mergeCell ref="O139:P140"/>
    <mergeCell ref="Q139:R140"/>
    <mergeCell ref="S139:T140"/>
    <mergeCell ref="U139:V140"/>
    <mergeCell ref="B141:D141"/>
    <mergeCell ref="E141:H141"/>
    <mergeCell ref="I141:J141"/>
    <mergeCell ref="K141:L141"/>
    <mergeCell ref="M141:N141"/>
    <mergeCell ref="O141:P141"/>
    <mergeCell ref="Q141:R141"/>
    <mergeCell ref="S141:T141"/>
    <mergeCell ref="A142:A159"/>
    <mergeCell ref="B142:D143"/>
    <mergeCell ref="E142:H143"/>
    <mergeCell ref="I142:J143"/>
    <mergeCell ref="K142:L143"/>
    <mergeCell ref="M142:N143"/>
    <mergeCell ref="O142:P143"/>
    <mergeCell ref="Q142:R143"/>
    <mergeCell ref="S142:T143"/>
    <mergeCell ref="M148:N149"/>
    <mergeCell ref="O148:P149"/>
    <mergeCell ref="Q148:R149"/>
    <mergeCell ref="S148:T149"/>
    <mergeCell ref="B152:D153"/>
    <mergeCell ref="E152:H153"/>
    <mergeCell ref="I152:J153"/>
    <mergeCell ref="K152:L153"/>
    <mergeCell ref="M152:N153"/>
    <mergeCell ref="O152:P153"/>
    <mergeCell ref="Q152:R153"/>
    <mergeCell ref="S152:T153"/>
    <mergeCell ref="B156:D157"/>
    <mergeCell ref="E156:H157"/>
    <mergeCell ref="I156:J157"/>
    <mergeCell ref="U142:V143"/>
    <mergeCell ref="X142:Z159"/>
    <mergeCell ref="B144:D145"/>
    <mergeCell ref="E144:H145"/>
    <mergeCell ref="K144:L145"/>
    <mergeCell ref="M144:N145"/>
    <mergeCell ref="O144:P145"/>
    <mergeCell ref="Q144:R145"/>
    <mergeCell ref="S144:T145"/>
    <mergeCell ref="U144:V145"/>
    <mergeCell ref="B146:D147"/>
    <mergeCell ref="E146:H147"/>
    <mergeCell ref="K146:L147"/>
    <mergeCell ref="M146:N147"/>
    <mergeCell ref="O146:P147"/>
    <mergeCell ref="Q146:R147"/>
    <mergeCell ref="S146:T147"/>
    <mergeCell ref="U146:V147"/>
    <mergeCell ref="B148:D149"/>
    <mergeCell ref="E148:H149"/>
    <mergeCell ref="I148:J149"/>
    <mergeCell ref="K148:L149"/>
    <mergeCell ref="U148:V149"/>
    <mergeCell ref="B150:D151"/>
    <mergeCell ref="U154:V155"/>
    <mergeCell ref="E150:H151"/>
    <mergeCell ref="I150:J151"/>
    <mergeCell ref="K150:L151"/>
    <mergeCell ref="M150:N151"/>
    <mergeCell ref="O150:P151"/>
    <mergeCell ref="Q150:R151"/>
    <mergeCell ref="S150:T151"/>
    <mergeCell ref="U150:V151"/>
    <mergeCell ref="U152:V153"/>
    <mergeCell ref="K160:L160"/>
    <mergeCell ref="M160:N160"/>
    <mergeCell ref="O160:P160"/>
    <mergeCell ref="Q160:R160"/>
    <mergeCell ref="Q158:R159"/>
    <mergeCell ref="S158:T159"/>
    <mergeCell ref="O154:P155"/>
    <mergeCell ref="Q154:R155"/>
    <mergeCell ref="S154:T155"/>
    <mergeCell ref="B53:D54"/>
    <mergeCell ref="E53:H54"/>
    <mergeCell ref="I53:J54"/>
    <mergeCell ref="K53:L54"/>
    <mergeCell ref="M53:N54"/>
    <mergeCell ref="O53:P54"/>
    <mergeCell ref="S160:T160"/>
    <mergeCell ref="U160:V160"/>
    <mergeCell ref="K156:L157"/>
    <mergeCell ref="M156:N157"/>
    <mergeCell ref="O156:P157"/>
    <mergeCell ref="Q156:R157"/>
    <mergeCell ref="S156:T157"/>
    <mergeCell ref="U156:V157"/>
    <mergeCell ref="B158:D159"/>
    <mergeCell ref="E158:H159"/>
    <mergeCell ref="K158:L159"/>
    <mergeCell ref="M158:N159"/>
    <mergeCell ref="O158:P159"/>
    <mergeCell ref="U158:V159"/>
    <mergeCell ref="B160:D160"/>
    <mergeCell ref="E160:H160"/>
    <mergeCell ref="I160:J160"/>
    <mergeCell ref="I146:J147"/>
    <mergeCell ref="B154:D155"/>
    <mergeCell ref="E154:H155"/>
    <mergeCell ref="I154:J155"/>
    <mergeCell ref="K154:L155"/>
    <mergeCell ref="M154:N155"/>
    <mergeCell ref="I158:J159"/>
    <mergeCell ref="B3:Q3"/>
    <mergeCell ref="B131:D132"/>
    <mergeCell ref="E131:H132"/>
    <mergeCell ref="I131:J132"/>
    <mergeCell ref="K131:L132"/>
    <mergeCell ref="M131:N132"/>
    <mergeCell ref="O131:P132"/>
    <mergeCell ref="Q131:R132"/>
    <mergeCell ref="B97:D98"/>
    <mergeCell ref="E97:H98"/>
    <mergeCell ref="I97:J98"/>
    <mergeCell ref="K97:L98"/>
    <mergeCell ref="M97:N98"/>
    <mergeCell ref="O97:P98"/>
    <mergeCell ref="Q97:R98"/>
    <mergeCell ref="O42:P43"/>
    <mergeCell ref="B59:D60"/>
    <mergeCell ref="B135:D136"/>
    <mergeCell ref="E135:H136"/>
    <mergeCell ref="I135:J136"/>
    <mergeCell ref="K135:L136"/>
    <mergeCell ref="M135:N136"/>
    <mergeCell ref="B133:D134"/>
    <mergeCell ref="E133:H134"/>
    <mergeCell ref="B137:D138"/>
    <mergeCell ref="E137:H138"/>
    <mergeCell ref="I137:J138"/>
    <mergeCell ref="K137:L138"/>
    <mergeCell ref="M137:N138"/>
    <mergeCell ref="AB72:AE73"/>
    <mergeCell ref="AF72:AG73"/>
    <mergeCell ref="AH72:AI73"/>
    <mergeCell ref="AJ72:AK73"/>
    <mergeCell ref="AL72:AM73"/>
    <mergeCell ref="AN72:AO73"/>
    <mergeCell ref="AP72:AQ73"/>
    <mergeCell ref="AR72:AS73"/>
    <mergeCell ref="AB74:AE75"/>
    <mergeCell ref="AF74:AG75"/>
    <mergeCell ref="AH74:AI75"/>
    <mergeCell ref="AJ74:AK75"/>
    <mergeCell ref="AL74:AM75"/>
    <mergeCell ref="AN74:AO75"/>
    <mergeCell ref="AP74:AQ75"/>
    <mergeCell ref="AR74:AS75"/>
    <mergeCell ref="I11:J12"/>
    <mergeCell ref="I30:J31"/>
    <mergeCell ref="I49:J50"/>
    <mergeCell ref="I57:J58"/>
    <mergeCell ref="I68:J69"/>
    <mergeCell ref="I87:J88"/>
    <mergeCell ref="I106:J107"/>
    <mergeCell ref="I125:J126"/>
    <mergeCell ref="I144:J145"/>
    <mergeCell ref="I116:J117"/>
    <mergeCell ref="I59:J60"/>
    <mergeCell ref="I110:J111"/>
    <mergeCell ref="I34:J35"/>
    <mergeCell ref="I19:J20"/>
    <mergeCell ref="I25:J26"/>
    <mergeCell ref="I44:J45"/>
    <mergeCell ref="I63:J64"/>
    <mergeCell ref="I82:J83"/>
    <mergeCell ref="I101:J102"/>
    <mergeCell ref="I120:J121"/>
    <mergeCell ref="I139:J140"/>
    <mergeCell ref="I122:J1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zoomScale="50" zoomScaleNormal="5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Z1" sqref="Z1:Z4"/>
    </sheetView>
  </sheetViews>
  <sheetFormatPr defaultColWidth="8.85546875" defaultRowHeight="15" x14ac:dyDescent="0.25"/>
  <cols>
    <col min="8" max="8" width="13.7109375" customWidth="1"/>
    <col min="9" max="9" width="14.140625" bestFit="1" customWidth="1"/>
    <col min="23" max="23" width="16" customWidth="1"/>
  </cols>
  <sheetData>
    <row r="1" spans="1:31" x14ac:dyDescent="0.25">
      <c r="Z1" s="29" t="s">
        <v>113</v>
      </c>
    </row>
    <row r="2" spans="1:31" x14ac:dyDescent="0.25">
      <c r="Z2" s="29" t="s">
        <v>114</v>
      </c>
    </row>
    <row r="3" spans="1:31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Z3" s="29" t="s">
        <v>115</v>
      </c>
    </row>
    <row r="4" spans="1:31" x14ac:dyDescent="0.25">
      <c r="Z4" s="29" t="s">
        <v>116</v>
      </c>
    </row>
    <row r="5" spans="1:31" x14ac:dyDescent="0.25">
      <c r="Z5" s="4"/>
    </row>
    <row r="6" spans="1:31" ht="15.75" thickBot="1" x14ac:dyDescent="0.3"/>
    <row r="7" spans="1:31" x14ac:dyDescent="0.25">
      <c r="A7" s="120" t="s">
        <v>0</v>
      </c>
      <c r="B7" s="123"/>
      <c r="C7" s="124"/>
      <c r="D7" s="125"/>
      <c r="E7" s="68" t="s">
        <v>9</v>
      </c>
      <c r="F7" s="129"/>
      <c r="G7" s="129"/>
      <c r="H7" s="69"/>
      <c r="I7" s="68" t="s">
        <v>10</v>
      </c>
      <c r="J7" s="69"/>
      <c r="K7" s="68" t="s">
        <v>34</v>
      </c>
      <c r="L7" s="69"/>
      <c r="M7" s="68" t="s">
        <v>11</v>
      </c>
      <c r="N7" s="69"/>
      <c r="O7" s="68" t="s">
        <v>12</v>
      </c>
      <c r="P7" s="69"/>
      <c r="Q7" s="68" t="s">
        <v>13</v>
      </c>
      <c r="R7" s="69"/>
      <c r="S7" s="68" t="s">
        <v>14</v>
      </c>
      <c r="T7" s="69"/>
      <c r="U7" s="68" t="s">
        <v>15</v>
      </c>
      <c r="V7" s="69"/>
      <c r="W7" s="111" t="s">
        <v>59</v>
      </c>
      <c r="X7" s="333" t="s">
        <v>18</v>
      </c>
      <c r="Y7" s="334"/>
      <c r="Z7" s="335"/>
    </row>
    <row r="8" spans="1:31" x14ac:dyDescent="0.25">
      <c r="A8" s="121"/>
      <c r="B8" s="123"/>
      <c r="C8" s="124"/>
      <c r="D8" s="125"/>
      <c r="E8" s="70"/>
      <c r="F8" s="130"/>
      <c r="G8" s="13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112"/>
      <c r="X8" s="336"/>
      <c r="Y8" s="276"/>
      <c r="Z8" s="337"/>
    </row>
    <row r="9" spans="1:31" ht="15.75" thickBot="1" x14ac:dyDescent="0.3">
      <c r="A9" s="122"/>
      <c r="B9" s="126"/>
      <c r="C9" s="127"/>
      <c r="D9" s="128"/>
      <c r="E9" s="72"/>
      <c r="F9" s="131"/>
      <c r="G9" s="131"/>
      <c r="H9" s="73"/>
      <c r="I9" s="72"/>
      <c r="J9" s="73"/>
      <c r="K9" s="72"/>
      <c r="L9" s="73"/>
      <c r="M9" s="72"/>
      <c r="N9" s="73"/>
      <c r="O9" s="72"/>
      <c r="P9" s="73"/>
      <c r="Q9" s="72"/>
      <c r="R9" s="73"/>
      <c r="S9" s="72"/>
      <c r="T9" s="73"/>
      <c r="U9" s="72"/>
      <c r="V9" s="73"/>
      <c r="W9" s="113"/>
      <c r="X9" s="338"/>
      <c r="Y9" s="339"/>
      <c r="Z9" s="340"/>
      <c r="AB9" s="13"/>
      <c r="AC9" s="13"/>
      <c r="AD9" s="13"/>
      <c r="AE9" s="13"/>
    </row>
    <row r="10" spans="1:31" x14ac:dyDescent="0.25">
      <c r="A10" s="111">
        <v>1</v>
      </c>
      <c r="B10" s="308" t="s">
        <v>1</v>
      </c>
      <c r="C10" s="299"/>
      <c r="D10" s="296"/>
      <c r="E10" s="308" t="s">
        <v>86</v>
      </c>
      <c r="F10" s="299"/>
      <c r="G10" s="299"/>
      <c r="H10" s="296"/>
      <c r="I10" s="313"/>
      <c r="J10" s="314"/>
      <c r="K10" s="308">
        <v>115</v>
      </c>
      <c r="L10" s="296"/>
      <c r="M10" s="308">
        <v>95</v>
      </c>
      <c r="N10" s="296"/>
      <c r="O10" s="309">
        <v>412</v>
      </c>
      <c r="P10" s="310"/>
      <c r="Q10" s="309">
        <v>61.8</v>
      </c>
      <c r="R10" s="310"/>
      <c r="S10" s="309">
        <v>7.16</v>
      </c>
      <c r="T10" s="310"/>
      <c r="U10" s="309">
        <v>14.2</v>
      </c>
      <c r="V10" s="310"/>
      <c r="W10" s="341"/>
      <c r="X10" s="68">
        <v>1200</v>
      </c>
      <c r="Y10" s="129"/>
      <c r="Z10" s="69"/>
      <c r="AB10" s="17"/>
      <c r="AC10" s="14"/>
      <c r="AD10" s="14"/>
      <c r="AE10" s="14"/>
    </row>
    <row r="11" spans="1:31" ht="15.75" thickBot="1" x14ac:dyDescent="0.3">
      <c r="A11" s="112"/>
      <c r="B11" s="297"/>
      <c r="C11" s="300"/>
      <c r="D11" s="298"/>
      <c r="E11" s="297"/>
      <c r="F11" s="300"/>
      <c r="G11" s="300"/>
      <c r="H11" s="298"/>
      <c r="I11" s="315"/>
      <c r="J11" s="316"/>
      <c r="K11" s="297"/>
      <c r="L11" s="298"/>
      <c r="M11" s="297"/>
      <c r="N11" s="298"/>
      <c r="O11" s="311"/>
      <c r="P11" s="312"/>
      <c r="Q11" s="311"/>
      <c r="R11" s="312"/>
      <c r="S11" s="311"/>
      <c r="T11" s="312"/>
      <c r="U11" s="311"/>
      <c r="V11" s="312"/>
      <c r="W11" s="342"/>
      <c r="X11" s="70"/>
      <c r="Y11" s="130"/>
      <c r="Z11" s="71"/>
      <c r="AB11" s="14"/>
      <c r="AC11" s="14"/>
      <c r="AD11" s="14"/>
      <c r="AE11" s="14"/>
    </row>
    <row r="12" spans="1:31" x14ac:dyDescent="0.25">
      <c r="A12" s="112"/>
      <c r="B12" s="308" t="s">
        <v>2</v>
      </c>
      <c r="C12" s="299"/>
      <c r="D12" s="296"/>
      <c r="E12" s="308" t="s">
        <v>20</v>
      </c>
      <c r="F12" s="299"/>
      <c r="G12" s="299"/>
      <c r="H12" s="296"/>
      <c r="I12" s="295"/>
      <c r="J12" s="299"/>
      <c r="K12" s="295">
        <v>55</v>
      </c>
      <c r="L12" s="305"/>
      <c r="M12" s="299">
        <v>50</v>
      </c>
      <c r="N12" s="296"/>
      <c r="O12" s="301">
        <f>444*M12/100</f>
        <v>222</v>
      </c>
      <c r="P12" s="302"/>
      <c r="Q12" s="301">
        <f>66.6*M12/100</f>
        <v>33.299999999999997</v>
      </c>
      <c r="R12" s="302"/>
      <c r="S12" s="301">
        <f>9.7*M12/100</f>
        <v>4.8499999999999996</v>
      </c>
      <c r="T12" s="302"/>
      <c r="U12" s="301">
        <f>16.2*M12/100</f>
        <v>8.1</v>
      </c>
      <c r="V12" s="302"/>
      <c r="W12" s="341"/>
      <c r="X12" s="70"/>
      <c r="Y12" s="130"/>
      <c r="Z12" s="71"/>
    </row>
    <row r="13" spans="1:31" ht="15.75" thickBot="1" x14ac:dyDescent="0.3">
      <c r="A13" s="112"/>
      <c r="B13" s="297"/>
      <c r="C13" s="300"/>
      <c r="D13" s="298"/>
      <c r="E13" s="297"/>
      <c r="F13" s="300"/>
      <c r="G13" s="300"/>
      <c r="H13" s="298"/>
      <c r="I13" s="297"/>
      <c r="J13" s="300"/>
      <c r="K13" s="306"/>
      <c r="L13" s="307"/>
      <c r="M13" s="300"/>
      <c r="N13" s="298"/>
      <c r="O13" s="303"/>
      <c r="P13" s="304"/>
      <c r="Q13" s="303"/>
      <c r="R13" s="304"/>
      <c r="S13" s="303"/>
      <c r="T13" s="304"/>
      <c r="U13" s="303"/>
      <c r="V13" s="304"/>
      <c r="W13" s="342"/>
      <c r="X13" s="70"/>
      <c r="Y13" s="130"/>
      <c r="Z13" s="71"/>
    </row>
    <row r="14" spans="1:31" x14ac:dyDescent="0.25">
      <c r="A14" s="112"/>
      <c r="B14" s="308" t="s">
        <v>3</v>
      </c>
      <c r="C14" s="299"/>
      <c r="D14" s="296"/>
      <c r="E14" s="308" t="s">
        <v>49</v>
      </c>
      <c r="F14" s="299"/>
      <c r="G14" s="299"/>
      <c r="H14" s="296"/>
      <c r="I14" s="295">
        <v>4742870019138</v>
      </c>
      <c r="J14" s="305"/>
      <c r="K14" s="308">
        <v>110</v>
      </c>
      <c r="L14" s="296"/>
      <c r="M14" s="308">
        <v>105</v>
      </c>
      <c r="N14" s="296"/>
      <c r="O14" s="309">
        <v>245.7</v>
      </c>
      <c r="P14" s="310"/>
      <c r="Q14" s="309">
        <v>12.29</v>
      </c>
      <c r="R14" s="310"/>
      <c r="S14" s="309">
        <v>5.46</v>
      </c>
      <c r="T14" s="310"/>
      <c r="U14" s="309">
        <v>18.48</v>
      </c>
      <c r="V14" s="310"/>
      <c r="W14" s="343"/>
      <c r="X14" s="70"/>
      <c r="Y14" s="130"/>
      <c r="Z14" s="71"/>
    </row>
    <row r="15" spans="1:31" ht="15.75" thickBot="1" x14ac:dyDescent="0.3">
      <c r="A15" s="112"/>
      <c r="B15" s="297"/>
      <c r="C15" s="300"/>
      <c r="D15" s="298"/>
      <c r="E15" s="297"/>
      <c r="F15" s="300"/>
      <c r="G15" s="300"/>
      <c r="H15" s="298"/>
      <c r="I15" s="306"/>
      <c r="J15" s="307"/>
      <c r="K15" s="297"/>
      <c r="L15" s="298"/>
      <c r="M15" s="297"/>
      <c r="N15" s="298"/>
      <c r="O15" s="311"/>
      <c r="P15" s="312"/>
      <c r="Q15" s="311"/>
      <c r="R15" s="312"/>
      <c r="S15" s="311"/>
      <c r="T15" s="312"/>
      <c r="U15" s="311"/>
      <c r="V15" s="312"/>
      <c r="W15" s="344"/>
      <c r="X15" s="70"/>
      <c r="Y15" s="130"/>
      <c r="Z15" s="71"/>
    </row>
    <row r="16" spans="1:31" x14ac:dyDescent="0.25">
      <c r="A16" s="112"/>
      <c r="B16" s="308" t="s">
        <v>4</v>
      </c>
      <c r="C16" s="299"/>
      <c r="D16" s="296"/>
      <c r="E16" s="308" t="s">
        <v>77</v>
      </c>
      <c r="F16" s="299"/>
      <c r="G16" s="299"/>
      <c r="H16" s="296"/>
      <c r="I16" s="295"/>
      <c r="J16" s="305"/>
      <c r="K16" s="309">
        <v>55</v>
      </c>
      <c r="L16" s="310"/>
      <c r="M16" s="309">
        <v>50</v>
      </c>
      <c r="N16" s="310"/>
      <c r="O16" s="301">
        <f>514*M16/100</f>
        <v>257</v>
      </c>
      <c r="P16" s="302"/>
      <c r="Q16" s="301">
        <f>53.2*M16/100</f>
        <v>26.6</v>
      </c>
      <c r="R16" s="302"/>
      <c r="S16" s="301">
        <f>11*M16/100</f>
        <v>5.5</v>
      </c>
      <c r="T16" s="302"/>
      <c r="U16" s="301">
        <f>27.4*M16/100</f>
        <v>13.7</v>
      </c>
      <c r="V16" s="302"/>
      <c r="W16" s="343"/>
      <c r="X16" s="70"/>
      <c r="Y16" s="130"/>
      <c r="Z16" s="71"/>
    </row>
    <row r="17" spans="1:31" ht="15.75" thickBot="1" x14ac:dyDescent="0.3">
      <c r="A17" s="112"/>
      <c r="B17" s="297"/>
      <c r="C17" s="300"/>
      <c r="D17" s="298"/>
      <c r="E17" s="297"/>
      <c r="F17" s="300"/>
      <c r="G17" s="300"/>
      <c r="H17" s="298"/>
      <c r="I17" s="306"/>
      <c r="J17" s="307"/>
      <c r="K17" s="311"/>
      <c r="L17" s="312"/>
      <c r="M17" s="311"/>
      <c r="N17" s="312"/>
      <c r="O17" s="303"/>
      <c r="P17" s="304"/>
      <c r="Q17" s="303"/>
      <c r="R17" s="304"/>
      <c r="S17" s="303"/>
      <c r="T17" s="304"/>
      <c r="U17" s="303"/>
      <c r="V17" s="304"/>
      <c r="W17" s="344"/>
      <c r="X17" s="70"/>
      <c r="Y17" s="130"/>
      <c r="Z17" s="71"/>
    </row>
    <row r="18" spans="1:31" x14ac:dyDescent="0.25">
      <c r="A18" s="112"/>
      <c r="B18" s="308" t="s">
        <v>17</v>
      </c>
      <c r="C18" s="299"/>
      <c r="D18" s="296"/>
      <c r="E18" s="308" t="s">
        <v>82</v>
      </c>
      <c r="F18" s="299"/>
      <c r="G18" s="299"/>
      <c r="H18" s="296"/>
      <c r="I18" s="295"/>
      <c r="J18" s="305"/>
      <c r="K18" s="308">
        <v>3</v>
      </c>
      <c r="L18" s="296"/>
      <c r="M18" s="308">
        <v>2</v>
      </c>
      <c r="N18" s="296"/>
      <c r="O18" s="309">
        <f>1*M18/100</f>
        <v>0.02</v>
      </c>
      <c r="P18" s="310"/>
      <c r="Q18" s="309">
        <f>0.2*M18/100</f>
        <v>4.0000000000000001E-3</v>
      </c>
      <c r="R18" s="310"/>
      <c r="S18" s="309">
        <f>0.1*M18/100</f>
        <v>2E-3</v>
      </c>
      <c r="T18" s="310"/>
      <c r="U18" s="309">
        <v>0</v>
      </c>
      <c r="V18" s="310"/>
      <c r="W18" s="343"/>
      <c r="X18" s="70"/>
      <c r="Y18" s="130"/>
      <c r="Z18" s="71"/>
    </row>
    <row r="19" spans="1:31" ht="15.75" thickBot="1" x14ac:dyDescent="0.3">
      <c r="A19" s="112"/>
      <c r="B19" s="297"/>
      <c r="C19" s="300"/>
      <c r="D19" s="298"/>
      <c r="E19" s="297"/>
      <c r="F19" s="300"/>
      <c r="G19" s="300"/>
      <c r="H19" s="298"/>
      <c r="I19" s="306"/>
      <c r="J19" s="307"/>
      <c r="K19" s="297"/>
      <c r="L19" s="298"/>
      <c r="M19" s="297"/>
      <c r="N19" s="298"/>
      <c r="O19" s="311"/>
      <c r="P19" s="312"/>
      <c r="Q19" s="311"/>
      <c r="R19" s="312"/>
      <c r="S19" s="311"/>
      <c r="T19" s="312"/>
      <c r="U19" s="311"/>
      <c r="V19" s="312"/>
      <c r="W19" s="344"/>
      <c r="X19" s="70"/>
      <c r="Y19" s="130"/>
      <c r="Z19" s="71"/>
    </row>
    <row r="20" spans="1:31" ht="15" customHeight="1" x14ac:dyDescent="0.25">
      <c r="A20" s="112"/>
      <c r="B20" s="308" t="s">
        <v>6</v>
      </c>
      <c r="C20" s="299"/>
      <c r="D20" s="296"/>
      <c r="E20" s="308" t="s">
        <v>53</v>
      </c>
      <c r="F20" s="299"/>
      <c r="G20" s="299"/>
      <c r="H20" s="296"/>
      <c r="I20" s="295">
        <v>4742870017790</v>
      </c>
      <c r="J20" s="305"/>
      <c r="K20" s="308">
        <v>42</v>
      </c>
      <c r="L20" s="296"/>
      <c r="M20" s="308">
        <v>40</v>
      </c>
      <c r="N20" s="296"/>
      <c r="O20" s="309">
        <v>109.4</v>
      </c>
      <c r="P20" s="310"/>
      <c r="Q20" s="309">
        <v>27.4</v>
      </c>
      <c r="R20" s="310"/>
      <c r="S20" s="309">
        <v>0</v>
      </c>
      <c r="T20" s="310"/>
      <c r="U20" s="309">
        <v>0</v>
      </c>
      <c r="V20" s="310"/>
      <c r="W20" s="345"/>
      <c r="X20" s="70"/>
      <c r="Y20" s="130"/>
      <c r="Z20" s="71"/>
    </row>
    <row r="21" spans="1:31" ht="15.95" customHeight="1" thickBot="1" x14ac:dyDescent="0.3">
      <c r="A21" s="112"/>
      <c r="B21" s="297"/>
      <c r="C21" s="300"/>
      <c r="D21" s="298"/>
      <c r="E21" s="297"/>
      <c r="F21" s="300"/>
      <c r="G21" s="300"/>
      <c r="H21" s="298"/>
      <c r="I21" s="306"/>
      <c r="J21" s="307"/>
      <c r="K21" s="297"/>
      <c r="L21" s="298"/>
      <c r="M21" s="297"/>
      <c r="N21" s="298"/>
      <c r="O21" s="311"/>
      <c r="P21" s="312"/>
      <c r="Q21" s="311"/>
      <c r="R21" s="312"/>
      <c r="S21" s="311"/>
      <c r="T21" s="312"/>
      <c r="U21" s="311"/>
      <c r="V21" s="312"/>
      <c r="W21" s="346"/>
      <c r="X21" s="70"/>
      <c r="Y21" s="130"/>
      <c r="Z21" s="71"/>
    </row>
    <row r="22" spans="1:31" x14ac:dyDescent="0.25">
      <c r="A22" s="112"/>
      <c r="B22" s="308" t="s">
        <v>7</v>
      </c>
      <c r="C22" s="299"/>
      <c r="D22" s="296"/>
      <c r="E22" s="308" t="s">
        <v>66</v>
      </c>
      <c r="F22" s="299"/>
      <c r="G22" s="299"/>
      <c r="H22" s="296"/>
      <c r="I22" s="295"/>
      <c r="J22" s="296"/>
      <c r="K22" s="295">
        <v>4</v>
      </c>
      <c r="L22" s="305"/>
      <c r="M22" s="308">
        <v>2</v>
      </c>
      <c r="N22" s="296"/>
      <c r="O22" s="301">
        <v>0</v>
      </c>
      <c r="P22" s="302"/>
      <c r="Q22" s="301">
        <v>0</v>
      </c>
      <c r="R22" s="302"/>
      <c r="S22" s="301">
        <v>0</v>
      </c>
      <c r="T22" s="302"/>
      <c r="U22" s="301">
        <v>0</v>
      </c>
      <c r="V22" s="302"/>
      <c r="W22" s="347"/>
      <c r="X22" s="70"/>
      <c r="Y22" s="130"/>
      <c r="Z22" s="71"/>
    </row>
    <row r="23" spans="1:31" ht="15.75" thickBot="1" x14ac:dyDescent="0.3">
      <c r="A23" s="112"/>
      <c r="B23" s="297"/>
      <c r="C23" s="300"/>
      <c r="D23" s="298"/>
      <c r="E23" s="297"/>
      <c r="F23" s="300"/>
      <c r="G23" s="300"/>
      <c r="H23" s="298"/>
      <c r="I23" s="297"/>
      <c r="J23" s="298"/>
      <c r="K23" s="306"/>
      <c r="L23" s="307"/>
      <c r="M23" s="297"/>
      <c r="N23" s="298"/>
      <c r="O23" s="303"/>
      <c r="P23" s="304"/>
      <c r="Q23" s="303"/>
      <c r="R23" s="304"/>
      <c r="S23" s="303"/>
      <c r="T23" s="304"/>
      <c r="U23" s="303"/>
      <c r="V23" s="304"/>
      <c r="W23" s="344"/>
      <c r="X23" s="70"/>
      <c r="Y23" s="130"/>
      <c r="Z23" s="71"/>
    </row>
    <row r="24" spans="1:31" x14ac:dyDescent="0.25">
      <c r="A24" s="112"/>
      <c r="B24" s="308" t="s">
        <v>8</v>
      </c>
      <c r="C24" s="299"/>
      <c r="D24" s="296"/>
      <c r="E24" s="308" t="s">
        <v>8</v>
      </c>
      <c r="F24" s="299"/>
      <c r="G24" s="299"/>
      <c r="H24" s="296"/>
      <c r="I24" s="295"/>
      <c r="J24" s="296"/>
      <c r="K24" s="295"/>
      <c r="L24" s="305"/>
      <c r="M24" s="308"/>
      <c r="N24" s="296"/>
      <c r="O24" s="301"/>
      <c r="P24" s="302"/>
      <c r="Q24" s="301"/>
      <c r="R24" s="302"/>
      <c r="S24" s="301"/>
      <c r="T24" s="302"/>
      <c r="U24" s="301"/>
      <c r="V24" s="302"/>
      <c r="W24" s="347"/>
      <c r="X24" s="70"/>
      <c r="Y24" s="130"/>
      <c r="Z24" s="71"/>
    </row>
    <row r="25" spans="1:31" ht="15.75" thickBot="1" x14ac:dyDescent="0.3">
      <c r="A25" s="113"/>
      <c r="B25" s="297"/>
      <c r="C25" s="300"/>
      <c r="D25" s="298"/>
      <c r="E25" s="297"/>
      <c r="F25" s="300"/>
      <c r="G25" s="300"/>
      <c r="H25" s="298"/>
      <c r="I25" s="297"/>
      <c r="J25" s="298"/>
      <c r="K25" s="306"/>
      <c r="L25" s="307"/>
      <c r="M25" s="297"/>
      <c r="N25" s="298"/>
      <c r="O25" s="303"/>
      <c r="P25" s="304"/>
      <c r="Q25" s="303"/>
      <c r="R25" s="304"/>
      <c r="S25" s="303"/>
      <c r="T25" s="304"/>
      <c r="U25" s="303"/>
      <c r="V25" s="304"/>
      <c r="W25" s="344"/>
      <c r="X25" s="72"/>
      <c r="Y25" s="131"/>
      <c r="Z25" s="73"/>
    </row>
    <row r="26" spans="1:31" ht="15.75" thickBot="1" x14ac:dyDescent="0.3">
      <c r="A26" s="1"/>
      <c r="B26" s="156" t="s">
        <v>16</v>
      </c>
      <c r="C26" s="157"/>
      <c r="D26" s="158"/>
      <c r="E26" s="159"/>
      <c r="F26" s="160"/>
      <c r="G26" s="160"/>
      <c r="H26" s="161"/>
      <c r="I26" s="262"/>
      <c r="J26" s="263"/>
      <c r="K26" s="159">
        <f>SUM(K10:L25)</f>
        <v>384</v>
      </c>
      <c r="L26" s="161"/>
      <c r="M26" s="159">
        <f>SUM(M10:N25)</f>
        <v>344</v>
      </c>
      <c r="N26" s="161"/>
      <c r="O26" s="162">
        <f>SUM(O10:P25)</f>
        <v>1246.1200000000001</v>
      </c>
      <c r="P26" s="163"/>
      <c r="Q26" s="159">
        <f>SUM(Q10:R25)</f>
        <v>161.39399999999998</v>
      </c>
      <c r="R26" s="161"/>
      <c r="S26" s="159">
        <f>SUM(S10:T25)</f>
        <v>22.971999999999998</v>
      </c>
      <c r="T26" s="161"/>
      <c r="U26" s="159">
        <f>SUM(U10:V25)</f>
        <v>54.480000000000004</v>
      </c>
      <c r="V26" s="161"/>
      <c r="W26" s="20"/>
      <c r="AB26" s="13"/>
      <c r="AC26" s="13"/>
      <c r="AD26" s="13"/>
      <c r="AE26" s="13"/>
    </row>
    <row r="27" spans="1:31" x14ac:dyDescent="0.25">
      <c r="A27" s="111">
        <v>2</v>
      </c>
      <c r="B27" s="308" t="s">
        <v>1</v>
      </c>
      <c r="C27" s="299"/>
      <c r="D27" s="296"/>
      <c r="E27" s="308" t="s">
        <v>87</v>
      </c>
      <c r="F27" s="299"/>
      <c r="G27" s="299"/>
      <c r="H27" s="296"/>
      <c r="I27" s="295"/>
      <c r="J27" s="305"/>
      <c r="K27" s="308">
        <v>115</v>
      </c>
      <c r="L27" s="296"/>
      <c r="M27" s="308">
        <v>95</v>
      </c>
      <c r="N27" s="296"/>
      <c r="O27" s="309">
        <v>418</v>
      </c>
      <c r="P27" s="310"/>
      <c r="Q27" s="309">
        <v>58.8</v>
      </c>
      <c r="R27" s="310"/>
      <c r="S27" s="309">
        <v>7.12</v>
      </c>
      <c r="T27" s="310"/>
      <c r="U27" s="309">
        <v>16</v>
      </c>
      <c r="V27" s="310"/>
      <c r="W27" s="341"/>
      <c r="X27" s="68">
        <v>1200</v>
      </c>
      <c r="Y27" s="129"/>
      <c r="Z27" s="69"/>
      <c r="AB27" s="14"/>
      <c r="AC27" s="14"/>
      <c r="AD27" s="14"/>
      <c r="AE27" s="14"/>
    </row>
    <row r="28" spans="1:31" ht="15.75" thickBot="1" x14ac:dyDescent="0.3">
      <c r="A28" s="112"/>
      <c r="B28" s="297"/>
      <c r="C28" s="300"/>
      <c r="D28" s="298"/>
      <c r="E28" s="297"/>
      <c r="F28" s="300"/>
      <c r="G28" s="300"/>
      <c r="H28" s="298"/>
      <c r="I28" s="306"/>
      <c r="J28" s="307"/>
      <c r="K28" s="297"/>
      <c r="L28" s="298"/>
      <c r="M28" s="297"/>
      <c r="N28" s="298"/>
      <c r="O28" s="311"/>
      <c r="P28" s="312"/>
      <c r="Q28" s="311"/>
      <c r="R28" s="312"/>
      <c r="S28" s="311"/>
      <c r="T28" s="312"/>
      <c r="U28" s="311"/>
      <c r="V28" s="312"/>
      <c r="W28" s="342"/>
      <c r="X28" s="70"/>
      <c r="Y28" s="130"/>
      <c r="Z28" s="71"/>
      <c r="AB28" s="17"/>
      <c r="AC28" s="14"/>
      <c r="AD28" s="14"/>
      <c r="AE28" s="14"/>
    </row>
    <row r="29" spans="1:31" x14ac:dyDescent="0.25">
      <c r="A29" s="112"/>
      <c r="B29" s="308" t="s">
        <v>2</v>
      </c>
      <c r="C29" s="299"/>
      <c r="D29" s="296"/>
      <c r="E29" s="308" t="s">
        <v>72</v>
      </c>
      <c r="F29" s="299"/>
      <c r="G29" s="299"/>
      <c r="H29" s="296"/>
      <c r="I29" s="295"/>
      <c r="J29" s="299"/>
      <c r="K29" s="295">
        <v>55</v>
      </c>
      <c r="L29" s="305"/>
      <c r="M29" s="299">
        <v>50</v>
      </c>
      <c r="N29" s="296"/>
      <c r="O29" s="301">
        <f>427*M29/100</f>
        <v>213.5</v>
      </c>
      <c r="P29" s="302"/>
      <c r="Q29" s="301">
        <f>65.7*M29/100</f>
        <v>32.85</v>
      </c>
      <c r="R29" s="302"/>
      <c r="S29" s="301">
        <f>11.4*M29/100</f>
        <v>5.7</v>
      </c>
      <c r="T29" s="302"/>
      <c r="U29" s="301">
        <f>10.6*M29/100</f>
        <v>5.3</v>
      </c>
      <c r="V29" s="302"/>
      <c r="W29" s="341"/>
      <c r="X29" s="70"/>
      <c r="Y29" s="130"/>
      <c r="Z29" s="71"/>
    </row>
    <row r="30" spans="1:31" ht="15.75" thickBot="1" x14ac:dyDescent="0.3">
      <c r="A30" s="112"/>
      <c r="B30" s="297"/>
      <c r="C30" s="300"/>
      <c r="D30" s="298"/>
      <c r="E30" s="297"/>
      <c r="F30" s="300"/>
      <c r="G30" s="300"/>
      <c r="H30" s="298"/>
      <c r="I30" s="297"/>
      <c r="J30" s="300"/>
      <c r="K30" s="306"/>
      <c r="L30" s="307"/>
      <c r="M30" s="300"/>
      <c r="N30" s="298"/>
      <c r="O30" s="303"/>
      <c r="P30" s="304"/>
      <c r="Q30" s="303"/>
      <c r="R30" s="304"/>
      <c r="S30" s="303"/>
      <c r="T30" s="304"/>
      <c r="U30" s="303"/>
      <c r="V30" s="304"/>
      <c r="W30" s="342"/>
      <c r="X30" s="70"/>
      <c r="Y30" s="130"/>
      <c r="Z30" s="71"/>
    </row>
    <row r="31" spans="1:31" x14ac:dyDescent="0.25">
      <c r="A31" s="112"/>
      <c r="B31" s="308" t="s">
        <v>3</v>
      </c>
      <c r="C31" s="299"/>
      <c r="D31" s="296"/>
      <c r="E31" s="308" t="s">
        <v>50</v>
      </c>
      <c r="F31" s="299"/>
      <c r="G31" s="299"/>
      <c r="H31" s="296"/>
      <c r="I31" s="295">
        <v>4742870019114</v>
      </c>
      <c r="J31" s="305"/>
      <c r="K31" s="308">
        <v>110</v>
      </c>
      <c r="L31" s="296"/>
      <c r="M31" s="308">
        <v>105</v>
      </c>
      <c r="N31" s="296"/>
      <c r="O31" s="309">
        <v>222.6</v>
      </c>
      <c r="P31" s="310"/>
      <c r="Q31" s="309">
        <v>12.81</v>
      </c>
      <c r="R31" s="310"/>
      <c r="S31" s="309">
        <v>4.0999999999999996</v>
      </c>
      <c r="T31" s="310"/>
      <c r="U31" s="309">
        <v>16.38</v>
      </c>
      <c r="V31" s="310"/>
      <c r="W31" s="343"/>
      <c r="X31" s="70"/>
      <c r="Y31" s="130"/>
      <c r="Z31" s="71"/>
    </row>
    <row r="32" spans="1:31" ht="15.75" thickBot="1" x14ac:dyDescent="0.3">
      <c r="A32" s="112"/>
      <c r="B32" s="297"/>
      <c r="C32" s="300"/>
      <c r="D32" s="298"/>
      <c r="E32" s="297"/>
      <c r="F32" s="300"/>
      <c r="G32" s="300"/>
      <c r="H32" s="298"/>
      <c r="I32" s="306"/>
      <c r="J32" s="307"/>
      <c r="K32" s="297"/>
      <c r="L32" s="298"/>
      <c r="M32" s="297"/>
      <c r="N32" s="298"/>
      <c r="O32" s="311"/>
      <c r="P32" s="312"/>
      <c r="Q32" s="311"/>
      <c r="R32" s="312"/>
      <c r="S32" s="311"/>
      <c r="T32" s="312"/>
      <c r="U32" s="311"/>
      <c r="V32" s="312"/>
      <c r="W32" s="344"/>
      <c r="X32" s="70"/>
      <c r="Y32" s="130"/>
      <c r="Z32" s="71"/>
    </row>
    <row r="33" spans="1:31" x14ac:dyDescent="0.25">
      <c r="A33" s="112"/>
      <c r="B33" s="308" t="s">
        <v>4</v>
      </c>
      <c r="C33" s="299"/>
      <c r="D33" s="296"/>
      <c r="E33" s="308" t="s">
        <v>61</v>
      </c>
      <c r="F33" s="299"/>
      <c r="G33" s="299"/>
      <c r="H33" s="296"/>
      <c r="I33" s="295"/>
      <c r="J33" s="305"/>
      <c r="K33" s="308">
        <v>65</v>
      </c>
      <c r="L33" s="296"/>
      <c r="M33" s="308">
        <v>60</v>
      </c>
      <c r="N33" s="296"/>
      <c r="O33" s="301">
        <f>480*M33/100</f>
        <v>288</v>
      </c>
      <c r="P33" s="302"/>
      <c r="Q33" s="301">
        <f>50.8*M33/100</f>
        <v>30.48</v>
      </c>
      <c r="R33" s="302"/>
      <c r="S33" s="301">
        <f>12.8*M33/100</f>
        <v>7.68</v>
      </c>
      <c r="T33" s="302"/>
      <c r="U33" s="301">
        <f>24.1*M33/100</f>
        <v>14.46</v>
      </c>
      <c r="V33" s="302"/>
      <c r="W33" s="343"/>
      <c r="X33" s="70"/>
      <c r="Y33" s="130"/>
      <c r="Z33" s="71"/>
    </row>
    <row r="34" spans="1:31" ht="15.75" thickBot="1" x14ac:dyDescent="0.3">
      <c r="A34" s="112"/>
      <c r="B34" s="297"/>
      <c r="C34" s="300"/>
      <c r="D34" s="298"/>
      <c r="E34" s="297"/>
      <c r="F34" s="300"/>
      <c r="G34" s="300"/>
      <c r="H34" s="298"/>
      <c r="I34" s="306"/>
      <c r="J34" s="307"/>
      <c r="K34" s="297"/>
      <c r="L34" s="298"/>
      <c r="M34" s="297"/>
      <c r="N34" s="298"/>
      <c r="O34" s="303"/>
      <c r="P34" s="304"/>
      <c r="Q34" s="303"/>
      <c r="R34" s="304"/>
      <c r="S34" s="303"/>
      <c r="T34" s="304"/>
      <c r="U34" s="303"/>
      <c r="V34" s="304"/>
      <c r="W34" s="344"/>
      <c r="X34" s="70"/>
      <c r="Y34" s="130"/>
      <c r="Z34" s="71"/>
      <c r="AB34" s="9"/>
    </row>
    <row r="35" spans="1:31" x14ac:dyDescent="0.25">
      <c r="A35" s="112"/>
      <c r="B35" s="308" t="s">
        <v>17</v>
      </c>
      <c r="C35" s="299"/>
      <c r="D35" s="296"/>
      <c r="E35" s="308" t="s">
        <v>83</v>
      </c>
      <c r="F35" s="299"/>
      <c r="G35" s="299"/>
      <c r="H35" s="296"/>
      <c r="I35" s="295"/>
      <c r="J35" s="305"/>
      <c r="K35" s="308">
        <v>3</v>
      </c>
      <c r="L35" s="296"/>
      <c r="M35" s="308">
        <v>2</v>
      </c>
      <c r="N35" s="296"/>
      <c r="O35" s="309">
        <f>1*M35/100</f>
        <v>0.02</v>
      </c>
      <c r="P35" s="310"/>
      <c r="Q35" s="309">
        <f>1*M35/100</f>
        <v>0.02</v>
      </c>
      <c r="R35" s="310"/>
      <c r="S35" s="309">
        <f>0.1*M35/100</f>
        <v>2E-3</v>
      </c>
      <c r="T35" s="310"/>
      <c r="U35" s="309">
        <v>0</v>
      </c>
      <c r="V35" s="310"/>
      <c r="W35" s="343"/>
      <c r="X35" s="70"/>
      <c r="Y35" s="130"/>
      <c r="Z35" s="71"/>
    </row>
    <row r="36" spans="1:31" ht="15.75" thickBot="1" x14ac:dyDescent="0.3">
      <c r="A36" s="112"/>
      <c r="B36" s="297"/>
      <c r="C36" s="300"/>
      <c r="D36" s="298"/>
      <c r="E36" s="297"/>
      <c r="F36" s="300"/>
      <c r="G36" s="300"/>
      <c r="H36" s="298"/>
      <c r="I36" s="306"/>
      <c r="J36" s="307"/>
      <c r="K36" s="297"/>
      <c r="L36" s="298"/>
      <c r="M36" s="297"/>
      <c r="N36" s="298"/>
      <c r="O36" s="311"/>
      <c r="P36" s="312"/>
      <c r="Q36" s="311"/>
      <c r="R36" s="312"/>
      <c r="S36" s="311"/>
      <c r="T36" s="312"/>
      <c r="U36" s="311"/>
      <c r="V36" s="312"/>
      <c r="W36" s="344"/>
      <c r="X36" s="70"/>
      <c r="Y36" s="130"/>
      <c r="Z36" s="71"/>
      <c r="AB36" s="12"/>
      <c r="AC36" s="12"/>
      <c r="AD36" s="12"/>
      <c r="AE36" s="12"/>
    </row>
    <row r="37" spans="1:31" ht="15" customHeight="1" x14ac:dyDescent="0.25">
      <c r="A37" s="112"/>
      <c r="B37" s="308" t="s">
        <v>6</v>
      </c>
      <c r="C37" s="299"/>
      <c r="D37" s="296"/>
      <c r="E37" s="308" t="s">
        <v>54</v>
      </c>
      <c r="F37" s="299"/>
      <c r="G37" s="299"/>
      <c r="H37" s="296"/>
      <c r="I37" s="295">
        <v>4742870015550</v>
      </c>
      <c r="J37" s="305"/>
      <c r="K37" s="308">
        <v>42</v>
      </c>
      <c r="L37" s="296"/>
      <c r="M37" s="308">
        <v>40</v>
      </c>
      <c r="N37" s="296"/>
      <c r="O37" s="309">
        <v>109.4</v>
      </c>
      <c r="P37" s="310"/>
      <c r="Q37" s="309">
        <v>27.4</v>
      </c>
      <c r="R37" s="310"/>
      <c r="S37" s="309">
        <v>0</v>
      </c>
      <c r="T37" s="310"/>
      <c r="U37" s="309">
        <v>0</v>
      </c>
      <c r="V37" s="310"/>
      <c r="W37" s="345"/>
      <c r="X37" s="70"/>
      <c r="Y37" s="130"/>
      <c r="Z37" s="71"/>
      <c r="AB37" s="10"/>
      <c r="AC37" s="10"/>
      <c r="AD37" s="10"/>
      <c r="AE37" s="10"/>
    </row>
    <row r="38" spans="1:31" ht="15.95" customHeight="1" thickBot="1" x14ac:dyDescent="0.3">
      <c r="A38" s="112"/>
      <c r="B38" s="297"/>
      <c r="C38" s="300"/>
      <c r="D38" s="298"/>
      <c r="E38" s="297"/>
      <c r="F38" s="300"/>
      <c r="G38" s="300"/>
      <c r="H38" s="298"/>
      <c r="I38" s="306"/>
      <c r="J38" s="307"/>
      <c r="K38" s="297"/>
      <c r="L38" s="298"/>
      <c r="M38" s="297"/>
      <c r="N38" s="298"/>
      <c r="O38" s="311"/>
      <c r="P38" s="312"/>
      <c r="Q38" s="311"/>
      <c r="R38" s="312"/>
      <c r="S38" s="311"/>
      <c r="T38" s="312"/>
      <c r="U38" s="311"/>
      <c r="V38" s="312"/>
      <c r="W38" s="346"/>
      <c r="X38" s="70"/>
      <c r="Y38" s="130"/>
      <c r="Z38" s="71"/>
    </row>
    <row r="39" spans="1:31" x14ac:dyDescent="0.25">
      <c r="A39" s="112"/>
      <c r="B39" s="308" t="s">
        <v>7</v>
      </c>
      <c r="C39" s="299"/>
      <c r="D39" s="296"/>
      <c r="E39" s="308" t="s">
        <v>66</v>
      </c>
      <c r="F39" s="299"/>
      <c r="G39" s="299"/>
      <c r="H39" s="296"/>
      <c r="I39" s="295"/>
      <c r="J39" s="296"/>
      <c r="K39" s="295">
        <v>4</v>
      </c>
      <c r="L39" s="305"/>
      <c r="M39" s="308">
        <v>2</v>
      </c>
      <c r="N39" s="296"/>
      <c r="O39" s="301">
        <v>0</v>
      </c>
      <c r="P39" s="302"/>
      <c r="Q39" s="301">
        <v>0</v>
      </c>
      <c r="R39" s="302"/>
      <c r="S39" s="301">
        <v>0</v>
      </c>
      <c r="T39" s="302"/>
      <c r="U39" s="301">
        <v>0</v>
      </c>
      <c r="V39" s="302"/>
      <c r="W39" s="347"/>
      <c r="X39" s="70"/>
      <c r="Y39" s="130"/>
      <c r="Z39" s="71"/>
    </row>
    <row r="40" spans="1:31" ht="15.75" thickBot="1" x14ac:dyDescent="0.3">
      <c r="A40" s="112"/>
      <c r="B40" s="297"/>
      <c r="C40" s="300"/>
      <c r="D40" s="298"/>
      <c r="E40" s="297"/>
      <c r="F40" s="300"/>
      <c r="G40" s="300"/>
      <c r="H40" s="298"/>
      <c r="I40" s="297"/>
      <c r="J40" s="298"/>
      <c r="K40" s="306"/>
      <c r="L40" s="307"/>
      <c r="M40" s="297"/>
      <c r="N40" s="298"/>
      <c r="O40" s="303"/>
      <c r="P40" s="304"/>
      <c r="Q40" s="303"/>
      <c r="R40" s="304"/>
      <c r="S40" s="303"/>
      <c r="T40" s="304"/>
      <c r="U40" s="303"/>
      <c r="V40" s="304"/>
      <c r="W40" s="344"/>
      <c r="X40" s="70"/>
      <c r="Y40" s="130"/>
      <c r="Z40" s="71"/>
    </row>
    <row r="41" spans="1:31" x14ac:dyDescent="0.25">
      <c r="A41" s="112"/>
      <c r="B41" s="308" t="s">
        <v>8</v>
      </c>
      <c r="C41" s="299"/>
      <c r="D41" s="296"/>
      <c r="E41" s="308" t="s">
        <v>8</v>
      </c>
      <c r="F41" s="299"/>
      <c r="G41" s="299"/>
      <c r="H41" s="296"/>
      <c r="I41" s="295"/>
      <c r="J41" s="296"/>
      <c r="K41" s="295"/>
      <c r="L41" s="305"/>
      <c r="M41" s="308"/>
      <c r="N41" s="296"/>
      <c r="O41" s="301"/>
      <c r="P41" s="302"/>
      <c r="Q41" s="301"/>
      <c r="R41" s="302"/>
      <c r="S41" s="301"/>
      <c r="T41" s="302"/>
      <c r="U41" s="301"/>
      <c r="V41" s="302"/>
      <c r="W41" s="347"/>
      <c r="X41" s="70"/>
      <c r="Y41" s="130"/>
      <c r="Z41" s="71"/>
    </row>
    <row r="42" spans="1:31" ht="15.75" thickBot="1" x14ac:dyDescent="0.3">
      <c r="A42" s="113"/>
      <c r="B42" s="297"/>
      <c r="C42" s="300"/>
      <c r="D42" s="298"/>
      <c r="E42" s="297"/>
      <c r="F42" s="300"/>
      <c r="G42" s="300"/>
      <c r="H42" s="298"/>
      <c r="I42" s="297"/>
      <c r="J42" s="298"/>
      <c r="K42" s="306"/>
      <c r="L42" s="307"/>
      <c r="M42" s="297"/>
      <c r="N42" s="298"/>
      <c r="O42" s="303"/>
      <c r="P42" s="304"/>
      <c r="Q42" s="303"/>
      <c r="R42" s="304"/>
      <c r="S42" s="303"/>
      <c r="T42" s="304"/>
      <c r="U42" s="303"/>
      <c r="V42" s="304"/>
      <c r="W42" s="344"/>
      <c r="X42" s="72"/>
      <c r="Y42" s="131"/>
      <c r="Z42" s="73"/>
    </row>
    <row r="43" spans="1:31" ht="15.75" thickBot="1" x14ac:dyDescent="0.3">
      <c r="A43" s="1"/>
      <c r="B43" s="156" t="s">
        <v>16</v>
      </c>
      <c r="C43" s="157"/>
      <c r="D43" s="158"/>
      <c r="E43" s="159"/>
      <c r="F43" s="160"/>
      <c r="G43" s="160"/>
      <c r="H43" s="161"/>
      <c r="I43" s="262"/>
      <c r="J43" s="263"/>
      <c r="K43" s="159">
        <f>SUM(K27:L42)</f>
        <v>394</v>
      </c>
      <c r="L43" s="161"/>
      <c r="M43" s="159">
        <f>SUM(M27:N42)</f>
        <v>354</v>
      </c>
      <c r="N43" s="161"/>
      <c r="O43" s="162">
        <f>SUM(O27:P42)</f>
        <v>1251.52</v>
      </c>
      <c r="P43" s="163"/>
      <c r="Q43" s="159">
        <f>SUM(Q27:R42)</f>
        <v>162.36000000000001</v>
      </c>
      <c r="R43" s="161"/>
      <c r="S43" s="159">
        <f>SUM(S27:T42)</f>
        <v>24.602</v>
      </c>
      <c r="T43" s="161"/>
      <c r="U43" s="159">
        <f>SUM(U27:V42)</f>
        <v>52.14</v>
      </c>
      <c r="V43" s="161"/>
      <c r="W43" s="20"/>
    </row>
    <row r="44" spans="1:31" x14ac:dyDescent="0.25">
      <c r="A44" s="111">
        <v>3</v>
      </c>
      <c r="B44" s="308" t="s">
        <v>1</v>
      </c>
      <c r="C44" s="299"/>
      <c r="D44" s="296"/>
      <c r="E44" s="308" t="s">
        <v>92</v>
      </c>
      <c r="F44" s="299"/>
      <c r="G44" s="299"/>
      <c r="H44" s="296"/>
      <c r="I44" s="323"/>
      <c r="J44" s="324"/>
      <c r="K44" s="308">
        <v>150</v>
      </c>
      <c r="L44" s="296"/>
      <c r="M44" s="308">
        <v>130</v>
      </c>
      <c r="N44" s="296"/>
      <c r="O44" s="309">
        <f>366*M44/100</f>
        <v>475.8</v>
      </c>
      <c r="P44" s="310"/>
      <c r="Q44" s="309">
        <f>61*M44/100</f>
        <v>79.3</v>
      </c>
      <c r="R44" s="310"/>
      <c r="S44" s="309">
        <f>11*M44/100</f>
        <v>14.3</v>
      </c>
      <c r="T44" s="310"/>
      <c r="U44" s="309">
        <f>7*M44/100</f>
        <v>9.1</v>
      </c>
      <c r="V44" s="310"/>
      <c r="W44" s="341"/>
      <c r="X44" s="68">
        <v>1200</v>
      </c>
      <c r="Y44" s="129"/>
      <c r="Z44" s="69"/>
    </row>
    <row r="45" spans="1:31" ht="15.75" thickBot="1" x14ac:dyDescent="0.3">
      <c r="A45" s="112"/>
      <c r="B45" s="297"/>
      <c r="C45" s="300"/>
      <c r="D45" s="298"/>
      <c r="E45" s="297"/>
      <c r="F45" s="300"/>
      <c r="G45" s="300"/>
      <c r="H45" s="298"/>
      <c r="I45" s="325"/>
      <c r="J45" s="326"/>
      <c r="K45" s="297"/>
      <c r="L45" s="298"/>
      <c r="M45" s="297"/>
      <c r="N45" s="298"/>
      <c r="O45" s="311"/>
      <c r="P45" s="312"/>
      <c r="Q45" s="311"/>
      <c r="R45" s="312"/>
      <c r="S45" s="311"/>
      <c r="T45" s="312"/>
      <c r="U45" s="311"/>
      <c r="V45" s="312"/>
      <c r="W45" s="342"/>
      <c r="X45" s="70"/>
      <c r="Y45" s="130"/>
      <c r="Z45" s="71"/>
    </row>
    <row r="46" spans="1:31" x14ac:dyDescent="0.25">
      <c r="A46" s="112"/>
      <c r="B46" s="308" t="s">
        <v>2</v>
      </c>
      <c r="C46" s="299"/>
      <c r="D46" s="296"/>
      <c r="E46" s="308" t="s">
        <v>20</v>
      </c>
      <c r="F46" s="299"/>
      <c r="G46" s="299"/>
      <c r="H46" s="296"/>
      <c r="I46" s="295"/>
      <c r="J46" s="299"/>
      <c r="K46" s="295">
        <v>55</v>
      </c>
      <c r="L46" s="305"/>
      <c r="M46" s="299">
        <v>50</v>
      </c>
      <c r="N46" s="296"/>
      <c r="O46" s="301">
        <f>444*M46/100</f>
        <v>222</v>
      </c>
      <c r="P46" s="302"/>
      <c r="Q46" s="301">
        <f>66.6*M46/100</f>
        <v>33.299999999999997</v>
      </c>
      <c r="R46" s="302"/>
      <c r="S46" s="301">
        <f>9.7*M46/100</f>
        <v>4.8499999999999996</v>
      </c>
      <c r="T46" s="302"/>
      <c r="U46" s="301">
        <f>16.2*M46/100</f>
        <v>8.1</v>
      </c>
      <c r="V46" s="302"/>
      <c r="W46" s="341"/>
      <c r="X46" s="70"/>
      <c r="Y46" s="130"/>
      <c r="Z46" s="71"/>
    </row>
    <row r="47" spans="1:31" ht="15.75" thickBot="1" x14ac:dyDescent="0.3">
      <c r="A47" s="112"/>
      <c r="B47" s="297"/>
      <c r="C47" s="300"/>
      <c r="D47" s="298"/>
      <c r="E47" s="297"/>
      <c r="F47" s="300"/>
      <c r="G47" s="300"/>
      <c r="H47" s="298"/>
      <c r="I47" s="297"/>
      <c r="J47" s="300"/>
      <c r="K47" s="306"/>
      <c r="L47" s="307"/>
      <c r="M47" s="300"/>
      <c r="N47" s="298"/>
      <c r="O47" s="303"/>
      <c r="P47" s="304"/>
      <c r="Q47" s="303"/>
      <c r="R47" s="304"/>
      <c r="S47" s="303"/>
      <c r="T47" s="304"/>
      <c r="U47" s="303"/>
      <c r="V47" s="304"/>
      <c r="W47" s="342"/>
      <c r="X47" s="70"/>
      <c r="Y47" s="130"/>
      <c r="Z47" s="71"/>
    </row>
    <row r="48" spans="1:31" x14ac:dyDescent="0.25">
      <c r="A48" s="112"/>
      <c r="B48" s="308" t="s">
        <v>3</v>
      </c>
      <c r="C48" s="299"/>
      <c r="D48" s="296"/>
      <c r="E48" s="308" t="s">
        <v>51</v>
      </c>
      <c r="F48" s="299"/>
      <c r="G48" s="299"/>
      <c r="H48" s="296"/>
      <c r="I48" s="295">
        <v>4742870019121</v>
      </c>
      <c r="J48" s="305"/>
      <c r="K48" s="308">
        <v>110</v>
      </c>
      <c r="L48" s="296"/>
      <c r="M48" s="308">
        <v>105</v>
      </c>
      <c r="N48" s="296"/>
      <c r="O48" s="309">
        <v>217.35</v>
      </c>
      <c r="P48" s="310"/>
      <c r="Q48" s="309">
        <v>11.55</v>
      </c>
      <c r="R48" s="310"/>
      <c r="S48" s="309">
        <v>4.0999999999999996</v>
      </c>
      <c r="T48" s="310"/>
      <c r="U48" s="309">
        <v>16.28</v>
      </c>
      <c r="V48" s="310"/>
      <c r="W48" s="343"/>
      <c r="X48" s="70"/>
      <c r="Y48" s="130"/>
      <c r="Z48" s="71"/>
    </row>
    <row r="49" spans="1:31" ht="15.75" thickBot="1" x14ac:dyDescent="0.3">
      <c r="A49" s="112"/>
      <c r="B49" s="297"/>
      <c r="C49" s="300"/>
      <c r="D49" s="298"/>
      <c r="E49" s="297"/>
      <c r="F49" s="300"/>
      <c r="G49" s="300"/>
      <c r="H49" s="298"/>
      <c r="I49" s="306"/>
      <c r="J49" s="307"/>
      <c r="K49" s="297"/>
      <c r="L49" s="298"/>
      <c r="M49" s="297"/>
      <c r="N49" s="298"/>
      <c r="O49" s="311"/>
      <c r="P49" s="312"/>
      <c r="Q49" s="311"/>
      <c r="R49" s="312"/>
      <c r="S49" s="311"/>
      <c r="T49" s="312"/>
      <c r="U49" s="311"/>
      <c r="V49" s="312"/>
      <c r="W49" s="344"/>
      <c r="X49" s="70"/>
      <c r="Y49" s="130"/>
      <c r="Z49" s="71"/>
    </row>
    <row r="50" spans="1:31" ht="15" customHeight="1" x14ac:dyDescent="0.25">
      <c r="A50" s="112"/>
      <c r="B50" s="327" t="s">
        <v>4</v>
      </c>
      <c r="C50" s="328"/>
      <c r="D50" s="329"/>
      <c r="E50" s="308" t="s">
        <v>74</v>
      </c>
      <c r="F50" s="299"/>
      <c r="G50" s="299"/>
      <c r="H50" s="296"/>
      <c r="I50" s="295"/>
      <c r="J50" s="305"/>
      <c r="K50" s="295">
        <v>55</v>
      </c>
      <c r="L50" s="305"/>
      <c r="M50" s="308">
        <v>50</v>
      </c>
      <c r="N50" s="296"/>
      <c r="O50" s="301">
        <f>460*M50/100</f>
        <v>230</v>
      </c>
      <c r="P50" s="302"/>
      <c r="Q50" s="301">
        <f>61.2*M50/100</f>
        <v>30.6</v>
      </c>
      <c r="R50" s="302"/>
      <c r="S50" s="301">
        <f>9.5*M50/100</f>
        <v>4.75</v>
      </c>
      <c r="T50" s="302"/>
      <c r="U50" s="301">
        <f>18.5*M50/100</f>
        <v>9.25</v>
      </c>
      <c r="V50" s="302"/>
      <c r="W50" s="343"/>
      <c r="X50" s="70"/>
      <c r="Y50" s="130"/>
      <c r="Z50" s="71"/>
    </row>
    <row r="51" spans="1:31" ht="15.75" thickBot="1" x14ac:dyDescent="0.3">
      <c r="A51" s="112"/>
      <c r="B51" s="330"/>
      <c r="C51" s="331"/>
      <c r="D51" s="332"/>
      <c r="E51" s="297"/>
      <c r="F51" s="300"/>
      <c r="G51" s="300"/>
      <c r="H51" s="298"/>
      <c r="I51" s="306"/>
      <c r="J51" s="307"/>
      <c r="K51" s="306"/>
      <c r="L51" s="307"/>
      <c r="M51" s="297"/>
      <c r="N51" s="298"/>
      <c r="O51" s="303"/>
      <c r="P51" s="304"/>
      <c r="Q51" s="303"/>
      <c r="R51" s="304"/>
      <c r="S51" s="303"/>
      <c r="T51" s="304"/>
      <c r="U51" s="303"/>
      <c r="V51" s="304"/>
      <c r="W51" s="344"/>
      <c r="X51" s="70"/>
      <c r="Y51" s="130"/>
      <c r="Z51" s="71"/>
      <c r="AB51" s="9"/>
    </row>
    <row r="52" spans="1:31" ht="15" customHeight="1" x14ac:dyDescent="0.25">
      <c r="A52" s="112"/>
      <c r="B52" s="308" t="s">
        <v>17</v>
      </c>
      <c r="C52" s="299"/>
      <c r="D52" s="296"/>
      <c r="E52" s="317" t="s">
        <v>84</v>
      </c>
      <c r="F52" s="318"/>
      <c r="G52" s="318"/>
      <c r="H52" s="319"/>
      <c r="I52" s="295"/>
      <c r="J52" s="305"/>
      <c r="K52" s="308">
        <v>3</v>
      </c>
      <c r="L52" s="296"/>
      <c r="M52" s="308">
        <v>2</v>
      </c>
      <c r="N52" s="296"/>
      <c r="O52" s="309">
        <f>1*M52/100</f>
        <v>0.02</v>
      </c>
      <c r="P52" s="310"/>
      <c r="Q52" s="309">
        <f>1.8*M52/100</f>
        <v>3.6000000000000004E-2</v>
      </c>
      <c r="R52" s="310"/>
      <c r="S52" s="309">
        <f>0.1*M52/100</f>
        <v>2E-3</v>
      </c>
      <c r="T52" s="310"/>
      <c r="U52" s="309">
        <v>0</v>
      </c>
      <c r="V52" s="310"/>
      <c r="W52" s="343"/>
      <c r="X52" s="70"/>
      <c r="Y52" s="130"/>
      <c r="Z52" s="71"/>
    </row>
    <row r="53" spans="1:31" ht="15.75" thickBot="1" x14ac:dyDescent="0.3">
      <c r="A53" s="112"/>
      <c r="B53" s="297"/>
      <c r="C53" s="300"/>
      <c r="D53" s="298"/>
      <c r="E53" s="320"/>
      <c r="F53" s="321"/>
      <c r="G53" s="321"/>
      <c r="H53" s="322"/>
      <c r="I53" s="306"/>
      <c r="J53" s="307"/>
      <c r="K53" s="297"/>
      <c r="L53" s="298"/>
      <c r="M53" s="297"/>
      <c r="N53" s="298"/>
      <c r="O53" s="311"/>
      <c r="P53" s="312"/>
      <c r="Q53" s="311"/>
      <c r="R53" s="312"/>
      <c r="S53" s="311"/>
      <c r="T53" s="312"/>
      <c r="U53" s="311"/>
      <c r="V53" s="312"/>
      <c r="W53" s="344"/>
      <c r="X53" s="70"/>
      <c r="Y53" s="130"/>
      <c r="Z53" s="71"/>
      <c r="AB53" s="12"/>
      <c r="AC53" s="12"/>
      <c r="AD53" s="12"/>
      <c r="AE53" s="12"/>
    </row>
    <row r="54" spans="1:31" ht="15" customHeight="1" x14ac:dyDescent="0.25">
      <c r="A54" s="112"/>
      <c r="B54" s="308" t="s">
        <v>6</v>
      </c>
      <c r="C54" s="299"/>
      <c r="D54" s="296"/>
      <c r="E54" s="308" t="s">
        <v>55</v>
      </c>
      <c r="F54" s="299"/>
      <c r="G54" s="299"/>
      <c r="H54" s="296"/>
      <c r="I54" s="295">
        <v>4742870015581</v>
      </c>
      <c r="J54" s="305"/>
      <c r="K54" s="308">
        <v>42</v>
      </c>
      <c r="L54" s="296"/>
      <c r="M54" s="308">
        <v>40</v>
      </c>
      <c r="N54" s="296"/>
      <c r="O54" s="309">
        <v>109.4</v>
      </c>
      <c r="P54" s="310"/>
      <c r="Q54" s="309">
        <v>27.4</v>
      </c>
      <c r="R54" s="310"/>
      <c r="S54" s="309">
        <v>0</v>
      </c>
      <c r="T54" s="310"/>
      <c r="U54" s="309">
        <v>0</v>
      </c>
      <c r="V54" s="310"/>
      <c r="W54" s="345"/>
      <c r="X54" s="70"/>
      <c r="Y54" s="130"/>
      <c r="Z54" s="71"/>
      <c r="AB54" s="10"/>
      <c r="AC54" s="10"/>
      <c r="AD54" s="10"/>
      <c r="AE54" s="10"/>
    </row>
    <row r="55" spans="1:31" ht="15.95" customHeight="1" thickBot="1" x14ac:dyDescent="0.3">
      <c r="A55" s="112"/>
      <c r="B55" s="297"/>
      <c r="C55" s="300"/>
      <c r="D55" s="298"/>
      <c r="E55" s="297"/>
      <c r="F55" s="300"/>
      <c r="G55" s="300"/>
      <c r="H55" s="298"/>
      <c r="I55" s="306"/>
      <c r="J55" s="307"/>
      <c r="K55" s="297"/>
      <c r="L55" s="298"/>
      <c r="M55" s="297"/>
      <c r="N55" s="298"/>
      <c r="O55" s="311"/>
      <c r="P55" s="312"/>
      <c r="Q55" s="311"/>
      <c r="R55" s="312"/>
      <c r="S55" s="311"/>
      <c r="T55" s="312"/>
      <c r="U55" s="311"/>
      <c r="V55" s="312"/>
      <c r="W55" s="346"/>
      <c r="X55" s="70"/>
      <c r="Y55" s="130"/>
      <c r="Z55" s="71"/>
    </row>
    <row r="56" spans="1:31" x14ac:dyDescent="0.25">
      <c r="A56" s="112"/>
      <c r="B56" s="308" t="s">
        <v>7</v>
      </c>
      <c r="C56" s="299"/>
      <c r="D56" s="296"/>
      <c r="E56" s="308" t="s">
        <v>66</v>
      </c>
      <c r="F56" s="299"/>
      <c r="G56" s="299"/>
      <c r="H56" s="296"/>
      <c r="I56" s="295"/>
      <c r="J56" s="296"/>
      <c r="K56" s="295">
        <v>4</v>
      </c>
      <c r="L56" s="305"/>
      <c r="M56" s="308">
        <v>2</v>
      </c>
      <c r="N56" s="296"/>
      <c r="O56" s="301">
        <v>0</v>
      </c>
      <c r="P56" s="302"/>
      <c r="Q56" s="301">
        <v>0</v>
      </c>
      <c r="R56" s="302"/>
      <c r="S56" s="301">
        <v>0</v>
      </c>
      <c r="T56" s="302"/>
      <c r="U56" s="301">
        <v>0</v>
      </c>
      <c r="V56" s="302"/>
      <c r="W56" s="347"/>
      <c r="X56" s="70"/>
      <c r="Y56" s="130"/>
      <c r="Z56" s="71"/>
    </row>
    <row r="57" spans="1:31" ht="15.75" thickBot="1" x14ac:dyDescent="0.3">
      <c r="A57" s="112"/>
      <c r="B57" s="297"/>
      <c r="C57" s="300"/>
      <c r="D57" s="298"/>
      <c r="E57" s="297"/>
      <c r="F57" s="300"/>
      <c r="G57" s="300"/>
      <c r="H57" s="298"/>
      <c r="I57" s="297"/>
      <c r="J57" s="298"/>
      <c r="K57" s="306"/>
      <c r="L57" s="307"/>
      <c r="M57" s="297"/>
      <c r="N57" s="298"/>
      <c r="O57" s="303"/>
      <c r="P57" s="304"/>
      <c r="Q57" s="303"/>
      <c r="R57" s="304"/>
      <c r="S57" s="303"/>
      <c r="T57" s="304"/>
      <c r="U57" s="303"/>
      <c r="V57" s="304"/>
      <c r="W57" s="344"/>
      <c r="X57" s="70"/>
      <c r="Y57" s="130"/>
      <c r="Z57" s="71"/>
    </row>
    <row r="58" spans="1:31" x14ac:dyDescent="0.25">
      <c r="A58" s="112"/>
      <c r="B58" s="308" t="s">
        <v>8</v>
      </c>
      <c r="C58" s="299"/>
      <c r="D58" s="296"/>
      <c r="E58" s="308" t="s">
        <v>8</v>
      </c>
      <c r="F58" s="299"/>
      <c r="G58" s="299"/>
      <c r="H58" s="296"/>
      <c r="I58" s="295"/>
      <c r="J58" s="296"/>
      <c r="K58" s="295"/>
      <c r="L58" s="305"/>
      <c r="M58" s="308"/>
      <c r="N58" s="296"/>
      <c r="O58" s="301"/>
      <c r="P58" s="302"/>
      <c r="Q58" s="301"/>
      <c r="R58" s="302"/>
      <c r="S58" s="301"/>
      <c r="T58" s="302"/>
      <c r="U58" s="301"/>
      <c r="V58" s="302"/>
      <c r="W58" s="347"/>
      <c r="X58" s="70"/>
      <c r="Y58" s="130"/>
      <c r="Z58" s="71"/>
    </row>
    <row r="59" spans="1:31" ht="15.75" thickBot="1" x14ac:dyDescent="0.3">
      <c r="A59" s="113"/>
      <c r="B59" s="297"/>
      <c r="C59" s="300"/>
      <c r="D59" s="298"/>
      <c r="E59" s="297"/>
      <c r="F59" s="300"/>
      <c r="G59" s="300"/>
      <c r="H59" s="298"/>
      <c r="I59" s="297"/>
      <c r="J59" s="298"/>
      <c r="K59" s="306"/>
      <c r="L59" s="307"/>
      <c r="M59" s="297"/>
      <c r="N59" s="298"/>
      <c r="O59" s="303"/>
      <c r="P59" s="304"/>
      <c r="Q59" s="303"/>
      <c r="R59" s="304"/>
      <c r="S59" s="303"/>
      <c r="T59" s="304"/>
      <c r="U59" s="303"/>
      <c r="V59" s="304"/>
      <c r="W59" s="344"/>
      <c r="X59" s="72"/>
      <c r="Y59" s="131"/>
      <c r="Z59" s="73"/>
    </row>
    <row r="60" spans="1:31" ht="15.75" thickBot="1" x14ac:dyDescent="0.3">
      <c r="A60" s="1"/>
      <c r="B60" s="156" t="s">
        <v>16</v>
      </c>
      <c r="C60" s="157"/>
      <c r="D60" s="158"/>
      <c r="E60" s="159"/>
      <c r="F60" s="160"/>
      <c r="G60" s="160"/>
      <c r="H60" s="161"/>
      <c r="I60" s="262"/>
      <c r="J60" s="263"/>
      <c r="K60" s="159">
        <f>SUM(K44:L59)</f>
        <v>419</v>
      </c>
      <c r="L60" s="161"/>
      <c r="M60" s="159">
        <f>SUM(M44:N59)</f>
        <v>379</v>
      </c>
      <c r="N60" s="161"/>
      <c r="O60" s="162">
        <f>SUM(O44:P59)</f>
        <v>1254.5700000000002</v>
      </c>
      <c r="P60" s="163"/>
      <c r="Q60" s="159">
        <f>SUM(Q44:R59)</f>
        <v>182.18600000000001</v>
      </c>
      <c r="R60" s="161"/>
      <c r="S60" s="159">
        <f>SUM(S44:T59)</f>
        <v>28.001999999999999</v>
      </c>
      <c r="T60" s="161"/>
      <c r="U60" s="159">
        <f>SUM(U44:V59)</f>
        <v>42.730000000000004</v>
      </c>
      <c r="V60" s="161"/>
      <c r="W60" s="20"/>
    </row>
    <row r="61" spans="1:31" x14ac:dyDescent="0.25">
      <c r="A61" s="111">
        <v>4</v>
      </c>
      <c r="B61" s="308" t="s">
        <v>1</v>
      </c>
      <c r="C61" s="299"/>
      <c r="D61" s="296"/>
      <c r="E61" s="308" t="s">
        <v>93</v>
      </c>
      <c r="F61" s="299"/>
      <c r="G61" s="299"/>
      <c r="H61" s="296"/>
      <c r="I61" s="323"/>
      <c r="J61" s="324"/>
      <c r="K61" s="308">
        <v>150</v>
      </c>
      <c r="L61" s="296"/>
      <c r="M61" s="308">
        <v>130</v>
      </c>
      <c r="N61" s="296"/>
      <c r="O61" s="309">
        <f>374*M61/100</f>
        <v>486.2</v>
      </c>
      <c r="P61" s="310"/>
      <c r="Q61" s="309">
        <f>22*M61/100</f>
        <v>28.6</v>
      </c>
      <c r="R61" s="310"/>
      <c r="S61" s="309">
        <f>9.4*M61/100</f>
        <v>12.22</v>
      </c>
      <c r="T61" s="310"/>
      <c r="U61" s="309">
        <f>5.6*M61/100</f>
        <v>7.28</v>
      </c>
      <c r="V61" s="310"/>
      <c r="W61" s="341"/>
      <c r="X61" s="68">
        <v>1200</v>
      </c>
      <c r="Y61" s="129"/>
      <c r="Z61" s="69"/>
    </row>
    <row r="62" spans="1:31" ht="15.75" thickBot="1" x14ac:dyDescent="0.3">
      <c r="A62" s="112"/>
      <c r="B62" s="297"/>
      <c r="C62" s="300"/>
      <c r="D62" s="298"/>
      <c r="E62" s="297"/>
      <c r="F62" s="300"/>
      <c r="G62" s="300"/>
      <c r="H62" s="298"/>
      <c r="I62" s="325"/>
      <c r="J62" s="326"/>
      <c r="K62" s="297"/>
      <c r="L62" s="298"/>
      <c r="M62" s="297"/>
      <c r="N62" s="298"/>
      <c r="O62" s="311"/>
      <c r="P62" s="312"/>
      <c r="Q62" s="311"/>
      <c r="R62" s="312"/>
      <c r="S62" s="311"/>
      <c r="T62" s="312"/>
      <c r="U62" s="311"/>
      <c r="V62" s="312"/>
      <c r="W62" s="342"/>
      <c r="X62" s="70"/>
      <c r="Y62" s="130"/>
      <c r="Z62" s="71"/>
    </row>
    <row r="63" spans="1:31" x14ac:dyDescent="0.25">
      <c r="A63" s="112"/>
      <c r="B63" s="308" t="s">
        <v>2</v>
      </c>
      <c r="C63" s="299"/>
      <c r="D63" s="296"/>
      <c r="E63" s="308" t="s">
        <v>72</v>
      </c>
      <c r="F63" s="299"/>
      <c r="G63" s="299"/>
      <c r="H63" s="296"/>
      <c r="I63" s="295"/>
      <c r="J63" s="299"/>
      <c r="K63" s="295">
        <v>55</v>
      </c>
      <c r="L63" s="305"/>
      <c r="M63" s="299">
        <v>50</v>
      </c>
      <c r="N63" s="296"/>
      <c r="O63" s="301">
        <f>427*M63/100</f>
        <v>213.5</v>
      </c>
      <c r="P63" s="302"/>
      <c r="Q63" s="301">
        <f>65.7*M63/100</f>
        <v>32.85</v>
      </c>
      <c r="R63" s="302"/>
      <c r="S63" s="301">
        <f>11.4*M63/100</f>
        <v>5.7</v>
      </c>
      <c r="T63" s="302"/>
      <c r="U63" s="301">
        <f>10.6*M63/100</f>
        <v>5.3</v>
      </c>
      <c r="V63" s="302"/>
      <c r="W63" s="341"/>
      <c r="X63" s="70"/>
      <c r="Y63" s="130"/>
      <c r="Z63" s="71"/>
    </row>
    <row r="64" spans="1:31" ht="15.75" thickBot="1" x14ac:dyDescent="0.3">
      <c r="A64" s="112"/>
      <c r="B64" s="297"/>
      <c r="C64" s="300"/>
      <c r="D64" s="298"/>
      <c r="E64" s="297"/>
      <c r="F64" s="300"/>
      <c r="G64" s="300"/>
      <c r="H64" s="298"/>
      <c r="I64" s="297"/>
      <c r="J64" s="300"/>
      <c r="K64" s="306"/>
      <c r="L64" s="307"/>
      <c r="M64" s="300"/>
      <c r="N64" s="298"/>
      <c r="O64" s="303"/>
      <c r="P64" s="304"/>
      <c r="Q64" s="303"/>
      <c r="R64" s="304"/>
      <c r="S64" s="303"/>
      <c r="T64" s="304"/>
      <c r="U64" s="303"/>
      <c r="V64" s="304"/>
      <c r="W64" s="342"/>
      <c r="X64" s="70"/>
      <c r="Y64" s="130"/>
      <c r="Z64" s="71"/>
    </row>
    <row r="65" spans="1:26" x14ac:dyDescent="0.25">
      <c r="A65" s="112"/>
      <c r="B65" s="308" t="s">
        <v>3</v>
      </c>
      <c r="C65" s="299"/>
      <c r="D65" s="296"/>
      <c r="E65" s="308" t="s">
        <v>52</v>
      </c>
      <c r="F65" s="299"/>
      <c r="G65" s="299"/>
      <c r="H65" s="296"/>
      <c r="I65" s="295">
        <v>4742870019107</v>
      </c>
      <c r="J65" s="305"/>
      <c r="K65" s="308">
        <v>110</v>
      </c>
      <c r="L65" s="296"/>
      <c r="M65" s="308">
        <v>105</v>
      </c>
      <c r="N65" s="296"/>
      <c r="O65" s="309">
        <v>202.65</v>
      </c>
      <c r="P65" s="310"/>
      <c r="Q65" s="309">
        <v>9.14</v>
      </c>
      <c r="R65" s="310"/>
      <c r="S65" s="309">
        <v>3.89</v>
      </c>
      <c r="T65" s="310"/>
      <c r="U65" s="309">
        <v>16.07</v>
      </c>
      <c r="V65" s="310"/>
      <c r="W65" s="343"/>
      <c r="X65" s="70"/>
      <c r="Y65" s="130"/>
      <c r="Z65" s="71"/>
    </row>
    <row r="66" spans="1:26" ht="15.75" thickBot="1" x14ac:dyDescent="0.3">
      <c r="A66" s="112"/>
      <c r="B66" s="297"/>
      <c r="C66" s="300"/>
      <c r="D66" s="298"/>
      <c r="E66" s="297"/>
      <c r="F66" s="300"/>
      <c r="G66" s="300"/>
      <c r="H66" s="298"/>
      <c r="I66" s="306"/>
      <c r="J66" s="307"/>
      <c r="K66" s="297"/>
      <c r="L66" s="298"/>
      <c r="M66" s="297"/>
      <c r="N66" s="298"/>
      <c r="O66" s="311"/>
      <c r="P66" s="312"/>
      <c r="Q66" s="311"/>
      <c r="R66" s="312"/>
      <c r="S66" s="311"/>
      <c r="T66" s="312"/>
      <c r="U66" s="311"/>
      <c r="V66" s="312"/>
      <c r="W66" s="344"/>
      <c r="X66" s="70"/>
      <c r="Y66" s="130"/>
      <c r="Z66" s="71"/>
    </row>
    <row r="67" spans="1:26" x14ac:dyDescent="0.25">
      <c r="A67" s="112"/>
      <c r="B67" s="308" t="s">
        <v>4</v>
      </c>
      <c r="C67" s="299"/>
      <c r="D67" s="296"/>
      <c r="E67" s="308" t="s">
        <v>70</v>
      </c>
      <c r="F67" s="299"/>
      <c r="G67" s="299"/>
      <c r="H67" s="296"/>
      <c r="I67" s="295"/>
      <c r="J67" s="305"/>
      <c r="K67" s="295">
        <v>55</v>
      </c>
      <c r="L67" s="305"/>
      <c r="M67" s="308">
        <v>50</v>
      </c>
      <c r="N67" s="296"/>
      <c r="O67" s="301">
        <f>491*M67/100</f>
        <v>245.5</v>
      </c>
      <c r="P67" s="302"/>
      <c r="Q67" s="301">
        <f>65.6*M67/100</f>
        <v>32.799999999999997</v>
      </c>
      <c r="R67" s="302"/>
      <c r="S67" s="301">
        <f>6.9*M67/100</f>
        <v>3.45</v>
      </c>
      <c r="T67" s="302"/>
      <c r="U67" s="301">
        <f>21.7*M67/100</f>
        <v>10.85</v>
      </c>
      <c r="V67" s="302"/>
      <c r="W67" s="343"/>
      <c r="X67" s="70"/>
      <c r="Y67" s="130"/>
      <c r="Z67" s="71"/>
    </row>
    <row r="68" spans="1:26" ht="15.75" thickBot="1" x14ac:dyDescent="0.3">
      <c r="A68" s="112"/>
      <c r="B68" s="297"/>
      <c r="C68" s="300"/>
      <c r="D68" s="298"/>
      <c r="E68" s="297"/>
      <c r="F68" s="300"/>
      <c r="G68" s="300"/>
      <c r="H68" s="298"/>
      <c r="I68" s="306"/>
      <c r="J68" s="307"/>
      <c r="K68" s="306"/>
      <c r="L68" s="307"/>
      <c r="M68" s="297"/>
      <c r="N68" s="298"/>
      <c r="O68" s="303"/>
      <c r="P68" s="304"/>
      <c r="Q68" s="303"/>
      <c r="R68" s="304"/>
      <c r="S68" s="303"/>
      <c r="T68" s="304"/>
      <c r="U68" s="303"/>
      <c r="V68" s="304"/>
      <c r="W68" s="344"/>
      <c r="X68" s="70"/>
      <c r="Y68" s="130"/>
      <c r="Z68" s="71"/>
    </row>
    <row r="69" spans="1:26" ht="15" customHeight="1" x14ac:dyDescent="0.25">
      <c r="A69" s="112"/>
      <c r="B69" s="308" t="s">
        <v>17</v>
      </c>
      <c r="C69" s="299"/>
      <c r="D69" s="296"/>
      <c r="E69" s="308" t="s">
        <v>85</v>
      </c>
      <c r="F69" s="299"/>
      <c r="G69" s="299"/>
      <c r="H69" s="296"/>
      <c r="I69" s="295"/>
      <c r="J69" s="305"/>
      <c r="K69" s="308">
        <v>3</v>
      </c>
      <c r="L69" s="296"/>
      <c r="M69" s="308">
        <v>2</v>
      </c>
      <c r="N69" s="296"/>
      <c r="O69" s="309">
        <f>1*M69/100</f>
        <v>0.02</v>
      </c>
      <c r="P69" s="310"/>
      <c r="Q69" s="309">
        <f>2.6*M69/100</f>
        <v>5.2000000000000005E-2</v>
      </c>
      <c r="R69" s="310"/>
      <c r="S69" s="309">
        <f>0.1*M69/100</f>
        <v>2E-3</v>
      </c>
      <c r="T69" s="310"/>
      <c r="U69" s="309">
        <v>0</v>
      </c>
      <c r="V69" s="310"/>
      <c r="W69" s="343"/>
      <c r="X69" s="70"/>
      <c r="Y69" s="130"/>
      <c r="Z69" s="71"/>
    </row>
    <row r="70" spans="1:26" ht="15.75" thickBot="1" x14ac:dyDescent="0.3">
      <c r="A70" s="112"/>
      <c r="B70" s="297"/>
      <c r="C70" s="300"/>
      <c r="D70" s="298"/>
      <c r="E70" s="297"/>
      <c r="F70" s="300"/>
      <c r="G70" s="300"/>
      <c r="H70" s="298"/>
      <c r="I70" s="306"/>
      <c r="J70" s="307"/>
      <c r="K70" s="297"/>
      <c r="L70" s="298"/>
      <c r="M70" s="297"/>
      <c r="N70" s="298"/>
      <c r="O70" s="311"/>
      <c r="P70" s="312"/>
      <c r="Q70" s="311"/>
      <c r="R70" s="312"/>
      <c r="S70" s="311"/>
      <c r="T70" s="312"/>
      <c r="U70" s="311"/>
      <c r="V70" s="312"/>
      <c r="W70" s="344"/>
      <c r="X70" s="70"/>
      <c r="Y70" s="130"/>
      <c r="Z70" s="71"/>
    </row>
    <row r="71" spans="1:26" ht="15" customHeight="1" x14ac:dyDescent="0.25">
      <c r="A71" s="112"/>
      <c r="B71" s="308" t="s">
        <v>6</v>
      </c>
      <c r="C71" s="299"/>
      <c r="D71" s="296"/>
      <c r="E71" s="308" t="s">
        <v>48</v>
      </c>
      <c r="F71" s="299"/>
      <c r="G71" s="299"/>
      <c r="H71" s="296"/>
      <c r="I71" s="295">
        <v>4742870010548</v>
      </c>
      <c r="J71" s="305"/>
      <c r="K71" s="308">
        <v>42</v>
      </c>
      <c r="L71" s="296"/>
      <c r="M71" s="308">
        <v>40</v>
      </c>
      <c r="N71" s="296"/>
      <c r="O71" s="309">
        <v>109.4</v>
      </c>
      <c r="P71" s="310"/>
      <c r="Q71" s="309">
        <v>27.4</v>
      </c>
      <c r="R71" s="310"/>
      <c r="S71" s="309">
        <v>0</v>
      </c>
      <c r="T71" s="310"/>
      <c r="U71" s="309">
        <v>0</v>
      </c>
      <c r="V71" s="310"/>
      <c r="W71" s="345"/>
      <c r="X71" s="70"/>
      <c r="Y71" s="130"/>
      <c r="Z71" s="71"/>
    </row>
    <row r="72" spans="1:26" ht="15.95" customHeight="1" thickBot="1" x14ac:dyDescent="0.3">
      <c r="A72" s="112"/>
      <c r="B72" s="297"/>
      <c r="C72" s="300"/>
      <c r="D72" s="298"/>
      <c r="E72" s="297"/>
      <c r="F72" s="300"/>
      <c r="G72" s="300"/>
      <c r="H72" s="298"/>
      <c r="I72" s="306"/>
      <c r="J72" s="307"/>
      <c r="K72" s="297"/>
      <c r="L72" s="298"/>
      <c r="M72" s="297"/>
      <c r="N72" s="298"/>
      <c r="O72" s="311"/>
      <c r="P72" s="312"/>
      <c r="Q72" s="311"/>
      <c r="R72" s="312"/>
      <c r="S72" s="311"/>
      <c r="T72" s="312"/>
      <c r="U72" s="311"/>
      <c r="V72" s="312"/>
      <c r="W72" s="346"/>
      <c r="X72" s="70"/>
      <c r="Y72" s="130"/>
      <c r="Z72" s="71"/>
    </row>
    <row r="73" spans="1:26" x14ac:dyDescent="0.25">
      <c r="A73" s="112"/>
      <c r="B73" s="308" t="s">
        <v>7</v>
      </c>
      <c r="C73" s="299"/>
      <c r="D73" s="296"/>
      <c r="E73" s="308" t="s">
        <v>66</v>
      </c>
      <c r="F73" s="299"/>
      <c r="G73" s="299"/>
      <c r="H73" s="296"/>
      <c r="I73" s="295"/>
      <c r="J73" s="296"/>
      <c r="K73" s="295">
        <v>4</v>
      </c>
      <c r="L73" s="305"/>
      <c r="M73" s="308">
        <v>2</v>
      </c>
      <c r="N73" s="296"/>
      <c r="O73" s="301">
        <v>0</v>
      </c>
      <c r="P73" s="302"/>
      <c r="Q73" s="301">
        <v>0</v>
      </c>
      <c r="R73" s="302"/>
      <c r="S73" s="301">
        <v>0</v>
      </c>
      <c r="T73" s="302"/>
      <c r="U73" s="301">
        <v>0</v>
      </c>
      <c r="V73" s="302"/>
      <c r="W73" s="347"/>
      <c r="X73" s="70"/>
      <c r="Y73" s="130"/>
      <c r="Z73" s="71"/>
    </row>
    <row r="74" spans="1:26" ht="15.75" thickBot="1" x14ac:dyDescent="0.3">
      <c r="A74" s="112"/>
      <c r="B74" s="297"/>
      <c r="C74" s="300"/>
      <c r="D74" s="298"/>
      <c r="E74" s="297"/>
      <c r="F74" s="300"/>
      <c r="G74" s="300"/>
      <c r="H74" s="298"/>
      <c r="I74" s="297"/>
      <c r="J74" s="298"/>
      <c r="K74" s="306"/>
      <c r="L74" s="307"/>
      <c r="M74" s="297"/>
      <c r="N74" s="298"/>
      <c r="O74" s="303"/>
      <c r="P74" s="304"/>
      <c r="Q74" s="303"/>
      <c r="R74" s="304"/>
      <c r="S74" s="303"/>
      <c r="T74" s="304"/>
      <c r="U74" s="303"/>
      <c r="V74" s="304"/>
      <c r="W74" s="344"/>
      <c r="X74" s="70"/>
      <c r="Y74" s="130"/>
      <c r="Z74" s="71"/>
    </row>
    <row r="75" spans="1:26" x14ac:dyDescent="0.25">
      <c r="A75" s="112"/>
      <c r="B75" s="308" t="s">
        <v>8</v>
      </c>
      <c r="C75" s="299"/>
      <c r="D75" s="296"/>
      <c r="E75" s="308" t="s">
        <v>8</v>
      </c>
      <c r="F75" s="299"/>
      <c r="G75" s="299"/>
      <c r="H75" s="296"/>
      <c r="I75" s="295"/>
      <c r="J75" s="296"/>
      <c r="K75" s="295"/>
      <c r="L75" s="305"/>
      <c r="M75" s="308"/>
      <c r="N75" s="296"/>
      <c r="O75" s="301"/>
      <c r="P75" s="302"/>
      <c r="Q75" s="301"/>
      <c r="R75" s="302"/>
      <c r="S75" s="301"/>
      <c r="T75" s="302"/>
      <c r="U75" s="301"/>
      <c r="V75" s="302"/>
      <c r="W75" s="347"/>
      <c r="X75" s="70"/>
      <c r="Y75" s="130"/>
      <c r="Z75" s="71"/>
    </row>
    <row r="76" spans="1:26" ht="15.75" thickBot="1" x14ac:dyDescent="0.3">
      <c r="A76" s="113"/>
      <c r="B76" s="297"/>
      <c r="C76" s="300"/>
      <c r="D76" s="298"/>
      <c r="E76" s="297"/>
      <c r="F76" s="300"/>
      <c r="G76" s="300"/>
      <c r="H76" s="298"/>
      <c r="I76" s="297"/>
      <c r="J76" s="298"/>
      <c r="K76" s="306"/>
      <c r="L76" s="307"/>
      <c r="M76" s="297"/>
      <c r="N76" s="298"/>
      <c r="O76" s="303"/>
      <c r="P76" s="304"/>
      <c r="Q76" s="303"/>
      <c r="R76" s="304"/>
      <c r="S76" s="303"/>
      <c r="T76" s="304"/>
      <c r="U76" s="303"/>
      <c r="V76" s="304"/>
      <c r="W76" s="344"/>
      <c r="X76" s="72"/>
      <c r="Y76" s="131"/>
      <c r="Z76" s="73"/>
    </row>
    <row r="77" spans="1:26" ht="15.75" thickBot="1" x14ac:dyDescent="0.3">
      <c r="A77" s="1"/>
      <c r="B77" s="156" t="s">
        <v>16</v>
      </c>
      <c r="C77" s="157"/>
      <c r="D77" s="158"/>
      <c r="E77" s="159"/>
      <c r="F77" s="160"/>
      <c r="G77" s="160"/>
      <c r="H77" s="161"/>
      <c r="I77" s="262"/>
      <c r="J77" s="263"/>
      <c r="K77" s="159">
        <f>SUM(K61:L76)</f>
        <v>419</v>
      </c>
      <c r="L77" s="161"/>
      <c r="M77" s="159">
        <f>SUM(M61:N76)</f>
        <v>379</v>
      </c>
      <c r="N77" s="161"/>
      <c r="O77" s="162">
        <f>SUM(O61:P76)</f>
        <v>1257.27</v>
      </c>
      <c r="P77" s="163"/>
      <c r="Q77" s="159">
        <f>SUM(Q61:R76)</f>
        <v>130.84200000000001</v>
      </c>
      <c r="R77" s="161"/>
      <c r="S77" s="159">
        <f>SUM(S61:T76)</f>
        <v>25.262</v>
      </c>
      <c r="T77" s="161"/>
      <c r="U77" s="159">
        <f>SUM(U61:V76)</f>
        <v>39.5</v>
      </c>
      <c r="V77" s="161"/>
      <c r="W77" s="20"/>
    </row>
    <row r="78" spans="1:26" x14ac:dyDescent="0.25">
      <c r="A78" s="111">
        <v>5</v>
      </c>
      <c r="B78" s="308" t="s">
        <v>1</v>
      </c>
      <c r="C78" s="299"/>
      <c r="D78" s="296"/>
      <c r="E78" s="308" t="s">
        <v>88</v>
      </c>
      <c r="F78" s="299"/>
      <c r="G78" s="299"/>
      <c r="H78" s="296"/>
      <c r="I78" s="313"/>
      <c r="J78" s="314"/>
      <c r="K78" s="308">
        <v>325</v>
      </c>
      <c r="L78" s="296"/>
      <c r="M78" s="308">
        <v>300</v>
      </c>
      <c r="N78" s="296"/>
      <c r="O78" s="309">
        <f>105*M78/100</f>
        <v>315</v>
      </c>
      <c r="P78" s="310"/>
      <c r="Q78" s="309">
        <f>15*M78/100</f>
        <v>45</v>
      </c>
      <c r="R78" s="310"/>
      <c r="S78" s="309">
        <f>1.7*M78/100</f>
        <v>5.0999999999999996</v>
      </c>
      <c r="T78" s="310"/>
      <c r="U78" s="309">
        <f>4.2*M78/100</f>
        <v>12.6</v>
      </c>
      <c r="V78" s="310"/>
      <c r="W78" s="341"/>
      <c r="X78" s="68">
        <v>1200</v>
      </c>
      <c r="Y78" s="129"/>
      <c r="Z78" s="69"/>
    </row>
    <row r="79" spans="1:26" ht="15.75" thickBot="1" x14ac:dyDescent="0.3">
      <c r="A79" s="112"/>
      <c r="B79" s="297"/>
      <c r="C79" s="300"/>
      <c r="D79" s="298"/>
      <c r="E79" s="297"/>
      <c r="F79" s="300"/>
      <c r="G79" s="300"/>
      <c r="H79" s="298"/>
      <c r="I79" s="315"/>
      <c r="J79" s="316"/>
      <c r="K79" s="297"/>
      <c r="L79" s="298"/>
      <c r="M79" s="297"/>
      <c r="N79" s="298"/>
      <c r="O79" s="311"/>
      <c r="P79" s="312"/>
      <c r="Q79" s="311"/>
      <c r="R79" s="312"/>
      <c r="S79" s="311"/>
      <c r="T79" s="312"/>
      <c r="U79" s="311"/>
      <c r="V79" s="312"/>
      <c r="W79" s="342"/>
      <c r="X79" s="70"/>
      <c r="Y79" s="130"/>
      <c r="Z79" s="71"/>
    </row>
    <row r="80" spans="1:26" ht="15" customHeight="1" x14ac:dyDescent="0.25">
      <c r="A80" s="112"/>
      <c r="B80" s="308" t="s">
        <v>2</v>
      </c>
      <c r="C80" s="299"/>
      <c r="D80" s="296"/>
      <c r="E80" s="308" t="s">
        <v>20</v>
      </c>
      <c r="F80" s="299"/>
      <c r="G80" s="299"/>
      <c r="H80" s="296"/>
      <c r="I80" s="295"/>
      <c r="J80" s="299"/>
      <c r="K80" s="295">
        <v>55</v>
      </c>
      <c r="L80" s="305"/>
      <c r="M80" s="299">
        <v>50</v>
      </c>
      <c r="N80" s="296"/>
      <c r="O80" s="301">
        <f>444*M80/100</f>
        <v>222</v>
      </c>
      <c r="P80" s="302"/>
      <c r="Q80" s="301">
        <f>66.6*M80/100</f>
        <v>33.299999999999997</v>
      </c>
      <c r="R80" s="302"/>
      <c r="S80" s="301">
        <f>9.7*M80/100</f>
        <v>4.8499999999999996</v>
      </c>
      <c r="T80" s="302"/>
      <c r="U80" s="301">
        <f>16.2*M80/100</f>
        <v>8.1</v>
      </c>
      <c r="V80" s="302"/>
      <c r="W80" s="341"/>
      <c r="X80" s="70"/>
      <c r="Y80" s="130"/>
      <c r="Z80" s="71"/>
    </row>
    <row r="81" spans="1:26" ht="15.95" customHeight="1" thickBot="1" x14ac:dyDescent="0.3">
      <c r="A81" s="112"/>
      <c r="B81" s="297"/>
      <c r="C81" s="300"/>
      <c r="D81" s="298"/>
      <c r="E81" s="297"/>
      <c r="F81" s="300"/>
      <c r="G81" s="300"/>
      <c r="H81" s="298"/>
      <c r="I81" s="297"/>
      <c r="J81" s="300"/>
      <c r="K81" s="306"/>
      <c r="L81" s="307"/>
      <c r="M81" s="300"/>
      <c r="N81" s="298"/>
      <c r="O81" s="303"/>
      <c r="P81" s="304"/>
      <c r="Q81" s="303"/>
      <c r="R81" s="304"/>
      <c r="S81" s="303"/>
      <c r="T81" s="304"/>
      <c r="U81" s="303"/>
      <c r="V81" s="304"/>
      <c r="W81" s="342"/>
      <c r="X81" s="70"/>
      <c r="Y81" s="130"/>
      <c r="Z81" s="71"/>
    </row>
    <row r="82" spans="1:26" x14ac:dyDescent="0.25">
      <c r="A82" s="112"/>
      <c r="B82" s="308" t="s">
        <v>3</v>
      </c>
      <c r="C82" s="299"/>
      <c r="D82" s="296"/>
      <c r="E82" s="308" t="s">
        <v>49</v>
      </c>
      <c r="F82" s="299"/>
      <c r="G82" s="299"/>
      <c r="H82" s="296"/>
      <c r="I82" s="295">
        <v>4742870019138</v>
      </c>
      <c r="J82" s="305"/>
      <c r="K82" s="308">
        <v>110</v>
      </c>
      <c r="L82" s="296"/>
      <c r="M82" s="308">
        <v>105</v>
      </c>
      <c r="N82" s="296"/>
      <c r="O82" s="309">
        <v>245.7</v>
      </c>
      <c r="P82" s="310"/>
      <c r="Q82" s="309">
        <v>12.29</v>
      </c>
      <c r="R82" s="310"/>
      <c r="S82" s="309">
        <v>5.46</v>
      </c>
      <c r="T82" s="310"/>
      <c r="U82" s="309">
        <v>18.48</v>
      </c>
      <c r="V82" s="310"/>
      <c r="W82" s="343"/>
      <c r="X82" s="70"/>
      <c r="Y82" s="130"/>
      <c r="Z82" s="71"/>
    </row>
    <row r="83" spans="1:26" ht="15.75" thickBot="1" x14ac:dyDescent="0.3">
      <c r="A83" s="112"/>
      <c r="B83" s="297"/>
      <c r="C83" s="300"/>
      <c r="D83" s="298"/>
      <c r="E83" s="297"/>
      <c r="F83" s="300"/>
      <c r="G83" s="300"/>
      <c r="H83" s="298"/>
      <c r="I83" s="306"/>
      <c r="J83" s="307"/>
      <c r="K83" s="297"/>
      <c r="L83" s="298"/>
      <c r="M83" s="297"/>
      <c r="N83" s="298"/>
      <c r="O83" s="311"/>
      <c r="P83" s="312"/>
      <c r="Q83" s="311"/>
      <c r="R83" s="312"/>
      <c r="S83" s="311"/>
      <c r="T83" s="312"/>
      <c r="U83" s="311"/>
      <c r="V83" s="312"/>
      <c r="W83" s="344"/>
      <c r="X83" s="70"/>
      <c r="Y83" s="130"/>
      <c r="Z83" s="71"/>
    </row>
    <row r="84" spans="1:26" ht="15" customHeight="1" x14ac:dyDescent="0.25">
      <c r="A84" s="112"/>
      <c r="B84" s="308" t="s">
        <v>4</v>
      </c>
      <c r="C84" s="299"/>
      <c r="D84" s="296"/>
      <c r="E84" s="308" t="s">
        <v>71</v>
      </c>
      <c r="F84" s="299"/>
      <c r="G84" s="299"/>
      <c r="H84" s="296"/>
      <c r="I84" s="295"/>
      <c r="J84" s="305"/>
      <c r="K84" s="295">
        <v>55</v>
      </c>
      <c r="L84" s="305"/>
      <c r="M84" s="308">
        <v>50</v>
      </c>
      <c r="N84" s="296"/>
      <c r="O84" s="301">
        <f>439*M84/100</f>
        <v>219.5</v>
      </c>
      <c r="P84" s="302"/>
      <c r="Q84" s="301">
        <f>70.7*M84/100</f>
        <v>35.35</v>
      </c>
      <c r="R84" s="302"/>
      <c r="S84" s="301">
        <f>7.9*M84/100</f>
        <v>3.95</v>
      </c>
      <c r="T84" s="302"/>
      <c r="U84" s="301">
        <f>12.3*M84/100</f>
        <v>6.15</v>
      </c>
      <c r="V84" s="302"/>
      <c r="W84" s="343"/>
      <c r="X84" s="70"/>
      <c r="Y84" s="130"/>
      <c r="Z84" s="71"/>
    </row>
    <row r="85" spans="1:26" ht="15.75" thickBot="1" x14ac:dyDescent="0.3">
      <c r="A85" s="112"/>
      <c r="B85" s="297"/>
      <c r="C85" s="300"/>
      <c r="D85" s="298"/>
      <c r="E85" s="297"/>
      <c r="F85" s="300"/>
      <c r="G85" s="300"/>
      <c r="H85" s="298"/>
      <c r="I85" s="306"/>
      <c r="J85" s="307"/>
      <c r="K85" s="306"/>
      <c r="L85" s="307"/>
      <c r="M85" s="297"/>
      <c r="N85" s="298"/>
      <c r="O85" s="303"/>
      <c r="P85" s="304"/>
      <c r="Q85" s="303"/>
      <c r="R85" s="304"/>
      <c r="S85" s="303"/>
      <c r="T85" s="304"/>
      <c r="U85" s="303"/>
      <c r="V85" s="304"/>
      <c r="W85" s="344"/>
      <c r="X85" s="70"/>
      <c r="Y85" s="130"/>
      <c r="Z85" s="71"/>
    </row>
    <row r="86" spans="1:26" x14ac:dyDescent="0.25">
      <c r="A86" s="112"/>
      <c r="B86" s="308" t="s">
        <v>5</v>
      </c>
      <c r="C86" s="299"/>
      <c r="D86" s="296"/>
      <c r="E86" s="308" t="s">
        <v>44</v>
      </c>
      <c r="F86" s="299"/>
      <c r="G86" s="299"/>
      <c r="H86" s="296"/>
      <c r="I86" s="295">
        <v>4742870011989</v>
      </c>
      <c r="J86" s="305"/>
      <c r="K86" s="308">
        <v>32</v>
      </c>
      <c r="L86" s="296"/>
      <c r="M86" s="308">
        <v>30</v>
      </c>
      <c r="N86" s="296"/>
      <c r="O86" s="309">
        <v>183.6</v>
      </c>
      <c r="P86" s="310"/>
      <c r="Q86" s="309">
        <v>2.25</v>
      </c>
      <c r="R86" s="310"/>
      <c r="S86" s="309">
        <v>9.4499999999999993</v>
      </c>
      <c r="T86" s="310"/>
      <c r="U86" s="309">
        <v>14.58</v>
      </c>
      <c r="V86" s="310"/>
      <c r="W86" s="343"/>
      <c r="X86" s="70"/>
      <c r="Y86" s="130"/>
      <c r="Z86" s="71"/>
    </row>
    <row r="87" spans="1:26" ht="15.75" thickBot="1" x14ac:dyDescent="0.3">
      <c r="A87" s="112"/>
      <c r="B87" s="297"/>
      <c r="C87" s="300"/>
      <c r="D87" s="298"/>
      <c r="E87" s="297"/>
      <c r="F87" s="300"/>
      <c r="G87" s="300"/>
      <c r="H87" s="298"/>
      <c r="I87" s="306"/>
      <c r="J87" s="307"/>
      <c r="K87" s="297"/>
      <c r="L87" s="298"/>
      <c r="M87" s="297"/>
      <c r="N87" s="298"/>
      <c r="O87" s="311"/>
      <c r="P87" s="312"/>
      <c r="Q87" s="311"/>
      <c r="R87" s="312"/>
      <c r="S87" s="311"/>
      <c r="T87" s="312"/>
      <c r="U87" s="311"/>
      <c r="V87" s="312"/>
      <c r="W87" s="344"/>
      <c r="X87" s="70"/>
      <c r="Y87" s="130"/>
      <c r="Z87" s="71"/>
    </row>
    <row r="88" spans="1:26" ht="15" customHeight="1" x14ac:dyDescent="0.25">
      <c r="A88" s="112"/>
      <c r="B88" s="308" t="s">
        <v>6</v>
      </c>
      <c r="C88" s="299"/>
      <c r="D88" s="296"/>
      <c r="E88" s="317" t="s">
        <v>31</v>
      </c>
      <c r="F88" s="318"/>
      <c r="G88" s="318"/>
      <c r="H88" s="319"/>
      <c r="I88" s="295">
        <v>4742870010586</v>
      </c>
      <c r="J88" s="305"/>
      <c r="K88" s="308">
        <v>22</v>
      </c>
      <c r="L88" s="296"/>
      <c r="M88" s="308">
        <v>20</v>
      </c>
      <c r="N88" s="296"/>
      <c r="O88" s="309">
        <v>66</v>
      </c>
      <c r="P88" s="310"/>
      <c r="Q88" s="309">
        <v>16</v>
      </c>
      <c r="R88" s="310"/>
      <c r="S88" s="309">
        <v>0</v>
      </c>
      <c r="T88" s="310"/>
      <c r="U88" s="309">
        <v>0</v>
      </c>
      <c r="V88" s="310"/>
      <c r="W88" s="345"/>
      <c r="X88" s="70"/>
      <c r="Y88" s="130"/>
      <c r="Z88" s="71"/>
    </row>
    <row r="89" spans="1:26" ht="15.95" customHeight="1" thickBot="1" x14ac:dyDescent="0.3">
      <c r="A89" s="112"/>
      <c r="B89" s="297"/>
      <c r="C89" s="300"/>
      <c r="D89" s="298"/>
      <c r="E89" s="320"/>
      <c r="F89" s="321"/>
      <c r="G89" s="321"/>
      <c r="H89" s="322"/>
      <c r="I89" s="306"/>
      <c r="J89" s="307"/>
      <c r="K89" s="297"/>
      <c r="L89" s="298"/>
      <c r="M89" s="297"/>
      <c r="N89" s="298"/>
      <c r="O89" s="311"/>
      <c r="P89" s="312"/>
      <c r="Q89" s="311"/>
      <c r="R89" s="312"/>
      <c r="S89" s="311"/>
      <c r="T89" s="312"/>
      <c r="U89" s="311"/>
      <c r="V89" s="312"/>
      <c r="W89" s="346"/>
      <c r="X89" s="70"/>
      <c r="Y89" s="130"/>
      <c r="Z89" s="71"/>
    </row>
    <row r="90" spans="1:26" x14ac:dyDescent="0.25">
      <c r="A90" s="112"/>
      <c r="B90" s="308" t="s">
        <v>7</v>
      </c>
      <c r="C90" s="299"/>
      <c r="D90" s="296"/>
      <c r="E90" s="308" t="s">
        <v>66</v>
      </c>
      <c r="F90" s="299"/>
      <c r="G90" s="299"/>
      <c r="H90" s="296"/>
      <c r="I90" s="295"/>
      <c r="J90" s="296"/>
      <c r="K90" s="295">
        <v>4</v>
      </c>
      <c r="L90" s="305"/>
      <c r="M90" s="308">
        <v>2</v>
      </c>
      <c r="N90" s="296"/>
      <c r="O90" s="301">
        <v>0</v>
      </c>
      <c r="P90" s="302"/>
      <c r="Q90" s="301">
        <v>0</v>
      </c>
      <c r="R90" s="302"/>
      <c r="S90" s="301">
        <v>0</v>
      </c>
      <c r="T90" s="302"/>
      <c r="U90" s="301">
        <v>0</v>
      </c>
      <c r="V90" s="302"/>
      <c r="W90" s="347"/>
      <c r="X90" s="70"/>
      <c r="Y90" s="130"/>
      <c r="Z90" s="71"/>
    </row>
    <row r="91" spans="1:26" ht="15.75" thickBot="1" x14ac:dyDescent="0.3">
      <c r="A91" s="112"/>
      <c r="B91" s="297"/>
      <c r="C91" s="300"/>
      <c r="D91" s="298"/>
      <c r="E91" s="297"/>
      <c r="F91" s="300"/>
      <c r="G91" s="300"/>
      <c r="H91" s="298"/>
      <c r="I91" s="297"/>
      <c r="J91" s="298"/>
      <c r="K91" s="306"/>
      <c r="L91" s="307"/>
      <c r="M91" s="297"/>
      <c r="N91" s="298"/>
      <c r="O91" s="303"/>
      <c r="P91" s="304"/>
      <c r="Q91" s="303"/>
      <c r="R91" s="304"/>
      <c r="S91" s="303"/>
      <c r="T91" s="304"/>
      <c r="U91" s="303"/>
      <c r="V91" s="304"/>
      <c r="W91" s="344"/>
      <c r="X91" s="70"/>
      <c r="Y91" s="130"/>
      <c r="Z91" s="71"/>
    </row>
    <row r="92" spans="1:26" x14ac:dyDescent="0.25">
      <c r="A92" s="112"/>
      <c r="B92" s="308" t="s">
        <v>8</v>
      </c>
      <c r="C92" s="299"/>
      <c r="D92" s="296"/>
      <c r="E92" s="308" t="s">
        <v>8</v>
      </c>
      <c r="F92" s="299"/>
      <c r="G92" s="299"/>
      <c r="H92" s="296"/>
      <c r="I92" s="295"/>
      <c r="J92" s="296"/>
      <c r="K92" s="295"/>
      <c r="L92" s="305"/>
      <c r="M92" s="308"/>
      <c r="N92" s="296"/>
      <c r="O92" s="301"/>
      <c r="P92" s="302"/>
      <c r="Q92" s="301"/>
      <c r="R92" s="302"/>
      <c r="S92" s="301"/>
      <c r="T92" s="302"/>
      <c r="U92" s="301"/>
      <c r="V92" s="302"/>
      <c r="W92" s="347"/>
      <c r="X92" s="70"/>
      <c r="Y92" s="130"/>
      <c r="Z92" s="71"/>
    </row>
    <row r="93" spans="1:26" ht="15.75" thickBot="1" x14ac:dyDescent="0.3">
      <c r="A93" s="113"/>
      <c r="B93" s="297"/>
      <c r="C93" s="300"/>
      <c r="D93" s="298"/>
      <c r="E93" s="297"/>
      <c r="F93" s="300"/>
      <c r="G93" s="300"/>
      <c r="H93" s="298"/>
      <c r="I93" s="297"/>
      <c r="J93" s="298"/>
      <c r="K93" s="306"/>
      <c r="L93" s="307"/>
      <c r="M93" s="297"/>
      <c r="N93" s="298"/>
      <c r="O93" s="303"/>
      <c r="P93" s="304"/>
      <c r="Q93" s="303"/>
      <c r="R93" s="304"/>
      <c r="S93" s="303"/>
      <c r="T93" s="304"/>
      <c r="U93" s="303"/>
      <c r="V93" s="304"/>
      <c r="W93" s="344"/>
      <c r="X93" s="72"/>
      <c r="Y93" s="131"/>
      <c r="Z93" s="73"/>
    </row>
    <row r="94" spans="1:26" ht="15.75" thickBot="1" x14ac:dyDescent="0.3">
      <c r="A94" s="1"/>
      <c r="B94" s="156" t="s">
        <v>16</v>
      </c>
      <c r="C94" s="157"/>
      <c r="D94" s="158"/>
      <c r="E94" s="159"/>
      <c r="F94" s="160"/>
      <c r="G94" s="160"/>
      <c r="H94" s="161"/>
      <c r="I94" s="262"/>
      <c r="J94" s="263"/>
      <c r="K94" s="159">
        <f>SUM(K78:L93)</f>
        <v>603</v>
      </c>
      <c r="L94" s="161"/>
      <c r="M94" s="159">
        <f>SUM(M78:N93)</f>
        <v>557</v>
      </c>
      <c r="N94" s="161"/>
      <c r="O94" s="162">
        <f>SUM(O78:P93)</f>
        <v>1251.8</v>
      </c>
      <c r="P94" s="163"/>
      <c r="Q94" s="162">
        <f>SUM(Q78:R93)</f>
        <v>144.19</v>
      </c>
      <c r="R94" s="163"/>
      <c r="S94" s="162">
        <f>SUM(S78:T93)</f>
        <v>28.81</v>
      </c>
      <c r="T94" s="163"/>
      <c r="U94" s="162">
        <f>SUM(U78:V93)</f>
        <v>59.91</v>
      </c>
      <c r="V94" s="163"/>
      <c r="W94" s="20"/>
    </row>
    <row r="95" spans="1:26" x14ac:dyDescent="0.25">
      <c r="A95" s="111">
        <v>6</v>
      </c>
      <c r="B95" s="308" t="s">
        <v>1</v>
      </c>
      <c r="C95" s="299"/>
      <c r="D95" s="296"/>
      <c r="E95" s="308" t="s">
        <v>89</v>
      </c>
      <c r="F95" s="299"/>
      <c r="G95" s="299"/>
      <c r="H95" s="296"/>
      <c r="I95" s="295"/>
      <c r="J95" s="305"/>
      <c r="K95" s="308">
        <v>325</v>
      </c>
      <c r="L95" s="296"/>
      <c r="M95" s="308">
        <v>300</v>
      </c>
      <c r="N95" s="296"/>
      <c r="O95" s="309">
        <f>114*M95/100</f>
        <v>342</v>
      </c>
      <c r="P95" s="310"/>
      <c r="Q95" s="309">
        <f>16*M95/100</f>
        <v>48</v>
      </c>
      <c r="R95" s="310"/>
      <c r="S95" s="309">
        <f>4.8*M95/100</f>
        <v>14.4</v>
      </c>
      <c r="T95" s="310"/>
      <c r="U95" s="309">
        <f>2.4*M95/100</f>
        <v>7.2</v>
      </c>
      <c r="V95" s="310"/>
      <c r="W95" s="341"/>
      <c r="X95" s="68">
        <v>1200</v>
      </c>
      <c r="Y95" s="129"/>
      <c r="Z95" s="69"/>
    </row>
    <row r="96" spans="1:26" ht="15.75" thickBot="1" x14ac:dyDescent="0.3">
      <c r="A96" s="112"/>
      <c r="B96" s="297"/>
      <c r="C96" s="300"/>
      <c r="D96" s="298"/>
      <c r="E96" s="297"/>
      <c r="F96" s="300"/>
      <c r="G96" s="300"/>
      <c r="H96" s="298"/>
      <c r="I96" s="306"/>
      <c r="J96" s="307"/>
      <c r="K96" s="297"/>
      <c r="L96" s="298"/>
      <c r="M96" s="297"/>
      <c r="N96" s="298"/>
      <c r="O96" s="311"/>
      <c r="P96" s="312"/>
      <c r="Q96" s="311"/>
      <c r="R96" s="312"/>
      <c r="S96" s="311"/>
      <c r="T96" s="312"/>
      <c r="U96" s="311"/>
      <c r="V96" s="312"/>
      <c r="W96" s="342"/>
      <c r="X96" s="70"/>
      <c r="Y96" s="130"/>
      <c r="Z96" s="71"/>
    </row>
    <row r="97" spans="1:26" ht="15" customHeight="1" x14ac:dyDescent="0.25">
      <c r="A97" s="112"/>
      <c r="B97" s="308" t="s">
        <v>2</v>
      </c>
      <c r="C97" s="299"/>
      <c r="D97" s="296"/>
      <c r="E97" s="308" t="s">
        <v>72</v>
      </c>
      <c r="F97" s="299"/>
      <c r="G97" s="299"/>
      <c r="H97" s="296"/>
      <c r="I97" s="295"/>
      <c r="J97" s="299"/>
      <c r="K97" s="295">
        <v>55</v>
      </c>
      <c r="L97" s="305"/>
      <c r="M97" s="299">
        <v>50</v>
      </c>
      <c r="N97" s="296"/>
      <c r="O97" s="301">
        <f>427*M97/100</f>
        <v>213.5</v>
      </c>
      <c r="P97" s="302"/>
      <c r="Q97" s="301">
        <f>65.7*M97/100</f>
        <v>32.85</v>
      </c>
      <c r="R97" s="302"/>
      <c r="S97" s="301">
        <f>11.4*M97/100</f>
        <v>5.7</v>
      </c>
      <c r="T97" s="302"/>
      <c r="U97" s="301">
        <f>10.6*M97/100</f>
        <v>5.3</v>
      </c>
      <c r="V97" s="302"/>
      <c r="W97" s="341"/>
      <c r="X97" s="70"/>
      <c r="Y97" s="130"/>
      <c r="Z97" s="71"/>
    </row>
    <row r="98" spans="1:26" ht="15.95" customHeight="1" thickBot="1" x14ac:dyDescent="0.3">
      <c r="A98" s="112"/>
      <c r="B98" s="297"/>
      <c r="C98" s="300"/>
      <c r="D98" s="298"/>
      <c r="E98" s="297"/>
      <c r="F98" s="300"/>
      <c r="G98" s="300"/>
      <c r="H98" s="298"/>
      <c r="I98" s="297"/>
      <c r="J98" s="300"/>
      <c r="K98" s="306"/>
      <c r="L98" s="307"/>
      <c r="M98" s="300"/>
      <c r="N98" s="298"/>
      <c r="O98" s="303"/>
      <c r="P98" s="304"/>
      <c r="Q98" s="303"/>
      <c r="R98" s="304"/>
      <c r="S98" s="303"/>
      <c r="T98" s="304"/>
      <c r="U98" s="303"/>
      <c r="V98" s="304"/>
      <c r="W98" s="342"/>
      <c r="X98" s="70"/>
      <c r="Y98" s="130"/>
      <c r="Z98" s="71"/>
    </row>
    <row r="99" spans="1:26" x14ac:dyDescent="0.25">
      <c r="A99" s="112"/>
      <c r="B99" s="308" t="s">
        <v>3</v>
      </c>
      <c r="C99" s="299"/>
      <c r="D99" s="296"/>
      <c r="E99" s="308" t="s">
        <v>50</v>
      </c>
      <c r="F99" s="299"/>
      <c r="G99" s="299"/>
      <c r="H99" s="296"/>
      <c r="I99" s="295">
        <v>4742870019114</v>
      </c>
      <c r="J99" s="305"/>
      <c r="K99" s="308">
        <v>110</v>
      </c>
      <c r="L99" s="296"/>
      <c r="M99" s="308">
        <v>105</v>
      </c>
      <c r="N99" s="296"/>
      <c r="O99" s="309">
        <v>222.6</v>
      </c>
      <c r="P99" s="310"/>
      <c r="Q99" s="309">
        <v>12.81</v>
      </c>
      <c r="R99" s="310"/>
      <c r="S99" s="309">
        <v>4.0999999999999996</v>
      </c>
      <c r="T99" s="310"/>
      <c r="U99" s="309">
        <v>16.38</v>
      </c>
      <c r="V99" s="310"/>
      <c r="W99" s="343"/>
      <c r="X99" s="70"/>
      <c r="Y99" s="130"/>
      <c r="Z99" s="71"/>
    </row>
    <row r="100" spans="1:26" ht="15.75" thickBot="1" x14ac:dyDescent="0.3">
      <c r="A100" s="112"/>
      <c r="B100" s="297"/>
      <c r="C100" s="300"/>
      <c r="D100" s="298"/>
      <c r="E100" s="297"/>
      <c r="F100" s="300"/>
      <c r="G100" s="300"/>
      <c r="H100" s="298"/>
      <c r="I100" s="306"/>
      <c r="J100" s="307"/>
      <c r="K100" s="297"/>
      <c r="L100" s="298"/>
      <c r="M100" s="297"/>
      <c r="N100" s="298"/>
      <c r="O100" s="311"/>
      <c r="P100" s="312"/>
      <c r="Q100" s="311"/>
      <c r="R100" s="312"/>
      <c r="S100" s="311"/>
      <c r="T100" s="312"/>
      <c r="U100" s="311"/>
      <c r="V100" s="312"/>
      <c r="W100" s="344"/>
      <c r="X100" s="70"/>
      <c r="Y100" s="130"/>
      <c r="Z100" s="71"/>
    </row>
    <row r="101" spans="1:26" x14ac:dyDescent="0.25">
      <c r="A101" s="112"/>
      <c r="B101" s="308" t="s">
        <v>4</v>
      </c>
      <c r="C101" s="299"/>
      <c r="D101" s="296"/>
      <c r="E101" s="308" t="s">
        <v>80</v>
      </c>
      <c r="F101" s="299"/>
      <c r="G101" s="299"/>
      <c r="H101" s="296"/>
      <c r="I101" s="295"/>
      <c r="J101" s="305"/>
      <c r="K101" s="308">
        <v>55</v>
      </c>
      <c r="L101" s="296"/>
      <c r="M101" s="308">
        <v>50</v>
      </c>
      <c r="N101" s="296"/>
      <c r="O101" s="301">
        <f>413*M101/100</f>
        <v>206.5</v>
      </c>
      <c r="P101" s="302"/>
      <c r="Q101" s="301">
        <f>54.5*M101/100</f>
        <v>27.25</v>
      </c>
      <c r="R101" s="302"/>
      <c r="S101" s="301">
        <f>7.2*M101/100</f>
        <v>3.6</v>
      </c>
      <c r="T101" s="302"/>
      <c r="U101" s="301">
        <f>17.1*M101/100</f>
        <v>8.5500000000000007</v>
      </c>
      <c r="V101" s="302"/>
      <c r="W101" s="343"/>
      <c r="X101" s="70"/>
      <c r="Y101" s="130"/>
      <c r="Z101" s="71"/>
    </row>
    <row r="102" spans="1:26" ht="15.75" thickBot="1" x14ac:dyDescent="0.3">
      <c r="A102" s="112"/>
      <c r="B102" s="297"/>
      <c r="C102" s="300"/>
      <c r="D102" s="298"/>
      <c r="E102" s="297"/>
      <c r="F102" s="300"/>
      <c r="G102" s="300"/>
      <c r="H102" s="298"/>
      <c r="I102" s="306"/>
      <c r="J102" s="307"/>
      <c r="K102" s="297"/>
      <c r="L102" s="298"/>
      <c r="M102" s="297"/>
      <c r="N102" s="298"/>
      <c r="O102" s="303"/>
      <c r="P102" s="304"/>
      <c r="Q102" s="303"/>
      <c r="R102" s="304"/>
      <c r="S102" s="303"/>
      <c r="T102" s="304"/>
      <c r="U102" s="303"/>
      <c r="V102" s="304"/>
      <c r="W102" s="344"/>
      <c r="X102" s="70"/>
      <c r="Y102" s="130"/>
      <c r="Z102" s="71"/>
    </row>
    <row r="103" spans="1:26" x14ac:dyDescent="0.25">
      <c r="A103" s="112"/>
      <c r="B103" s="308" t="s">
        <v>5</v>
      </c>
      <c r="C103" s="299"/>
      <c r="D103" s="296"/>
      <c r="E103" s="308" t="s">
        <v>25</v>
      </c>
      <c r="F103" s="299"/>
      <c r="G103" s="299"/>
      <c r="H103" s="296"/>
      <c r="I103" s="295">
        <v>4742870011972</v>
      </c>
      <c r="J103" s="296"/>
      <c r="K103" s="295">
        <v>32</v>
      </c>
      <c r="L103" s="305"/>
      <c r="M103" s="308">
        <v>30</v>
      </c>
      <c r="N103" s="296"/>
      <c r="O103" s="301">
        <v>177</v>
      </c>
      <c r="P103" s="302"/>
      <c r="Q103" s="301">
        <v>6.03</v>
      </c>
      <c r="R103" s="302"/>
      <c r="S103" s="301">
        <v>8.8800000000000008</v>
      </c>
      <c r="T103" s="302"/>
      <c r="U103" s="301">
        <v>13.8</v>
      </c>
      <c r="V103" s="302"/>
      <c r="W103" s="343"/>
      <c r="X103" s="70"/>
      <c r="Y103" s="130"/>
      <c r="Z103" s="71"/>
    </row>
    <row r="104" spans="1:26" ht="15.75" thickBot="1" x14ac:dyDescent="0.3">
      <c r="A104" s="112"/>
      <c r="B104" s="297"/>
      <c r="C104" s="300"/>
      <c r="D104" s="298"/>
      <c r="E104" s="297"/>
      <c r="F104" s="300"/>
      <c r="G104" s="300"/>
      <c r="H104" s="298"/>
      <c r="I104" s="297"/>
      <c r="J104" s="298"/>
      <c r="K104" s="306"/>
      <c r="L104" s="307"/>
      <c r="M104" s="297"/>
      <c r="N104" s="298"/>
      <c r="O104" s="303"/>
      <c r="P104" s="304"/>
      <c r="Q104" s="303"/>
      <c r="R104" s="304"/>
      <c r="S104" s="303"/>
      <c r="T104" s="304"/>
      <c r="U104" s="303"/>
      <c r="V104" s="304"/>
      <c r="W104" s="344"/>
      <c r="X104" s="70"/>
      <c r="Y104" s="130"/>
      <c r="Z104" s="71"/>
    </row>
    <row r="105" spans="1:26" ht="15" customHeight="1" x14ac:dyDescent="0.25">
      <c r="A105" s="112"/>
      <c r="B105" s="308" t="s">
        <v>6</v>
      </c>
      <c r="C105" s="299"/>
      <c r="D105" s="296"/>
      <c r="E105" s="308" t="s">
        <v>56</v>
      </c>
      <c r="F105" s="299"/>
      <c r="G105" s="299"/>
      <c r="H105" s="296"/>
      <c r="I105" s="295">
        <v>4742870010562</v>
      </c>
      <c r="J105" s="305"/>
      <c r="K105" s="308">
        <v>22</v>
      </c>
      <c r="L105" s="296"/>
      <c r="M105" s="308">
        <v>20</v>
      </c>
      <c r="N105" s="296"/>
      <c r="O105" s="309">
        <v>66.599999999999994</v>
      </c>
      <c r="P105" s="310"/>
      <c r="Q105" s="309">
        <v>16.2</v>
      </c>
      <c r="R105" s="310"/>
      <c r="S105" s="309">
        <v>0</v>
      </c>
      <c r="T105" s="310"/>
      <c r="U105" s="309">
        <v>0</v>
      </c>
      <c r="V105" s="310"/>
      <c r="W105" s="345"/>
      <c r="X105" s="70"/>
      <c r="Y105" s="130"/>
      <c r="Z105" s="71"/>
    </row>
    <row r="106" spans="1:26" ht="15.95" customHeight="1" thickBot="1" x14ac:dyDescent="0.3">
      <c r="A106" s="112"/>
      <c r="B106" s="297"/>
      <c r="C106" s="300"/>
      <c r="D106" s="298"/>
      <c r="E106" s="297"/>
      <c r="F106" s="300"/>
      <c r="G106" s="300"/>
      <c r="H106" s="298"/>
      <c r="I106" s="306"/>
      <c r="J106" s="307"/>
      <c r="K106" s="297"/>
      <c r="L106" s="298"/>
      <c r="M106" s="297"/>
      <c r="N106" s="298"/>
      <c r="O106" s="311"/>
      <c r="P106" s="312"/>
      <c r="Q106" s="311"/>
      <c r="R106" s="312"/>
      <c r="S106" s="311"/>
      <c r="T106" s="312"/>
      <c r="U106" s="311"/>
      <c r="V106" s="312"/>
      <c r="W106" s="346"/>
      <c r="X106" s="70"/>
      <c r="Y106" s="130"/>
      <c r="Z106" s="71"/>
    </row>
    <row r="107" spans="1:26" x14ac:dyDescent="0.25">
      <c r="A107" s="112"/>
      <c r="B107" s="308" t="s">
        <v>7</v>
      </c>
      <c r="C107" s="299"/>
      <c r="D107" s="296"/>
      <c r="E107" s="308" t="s">
        <v>66</v>
      </c>
      <c r="F107" s="299"/>
      <c r="G107" s="299"/>
      <c r="H107" s="296"/>
      <c r="I107" s="295"/>
      <c r="J107" s="296"/>
      <c r="K107" s="295">
        <v>4</v>
      </c>
      <c r="L107" s="305"/>
      <c r="M107" s="308">
        <v>2</v>
      </c>
      <c r="N107" s="296"/>
      <c r="O107" s="301">
        <v>0</v>
      </c>
      <c r="P107" s="302"/>
      <c r="Q107" s="301">
        <v>0</v>
      </c>
      <c r="R107" s="302"/>
      <c r="S107" s="301">
        <v>0</v>
      </c>
      <c r="T107" s="302"/>
      <c r="U107" s="301">
        <v>0</v>
      </c>
      <c r="V107" s="302"/>
      <c r="W107" s="347"/>
      <c r="X107" s="70"/>
      <c r="Y107" s="130"/>
      <c r="Z107" s="71"/>
    </row>
    <row r="108" spans="1:26" ht="15.75" thickBot="1" x14ac:dyDescent="0.3">
      <c r="A108" s="112"/>
      <c r="B108" s="297"/>
      <c r="C108" s="300"/>
      <c r="D108" s="298"/>
      <c r="E108" s="297"/>
      <c r="F108" s="300"/>
      <c r="G108" s="300"/>
      <c r="H108" s="298"/>
      <c r="I108" s="297"/>
      <c r="J108" s="298"/>
      <c r="K108" s="306"/>
      <c r="L108" s="307"/>
      <c r="M108" s="297"/>
      <c r="N108" s="298"/>
      <c r="O108" s="303"/>
      <c r="P108" s="304"/>
      <c r="Q108" s="303"/>
      <c r="R108" s="304"/>
      <c r="S108" s="303"/>
      <c r="T108" s="304"/>
      <c r="U108" s="303"/>
      <c r="V108" s="304"/>
      <c r="W108" s="344"/>
      <c r="X108" s="70"/>
      <c r="Y108" s="130"/>
      <c r="Z108" s="71"/>
    </row>
    <row r="109" spans="1:26" x14ac:dyDescent="0.25">
      <c r="A109" s="112"/>
      <c r="B109" s="308" t="s">
        <v>8</v>
      </c>
      <c r="C109" s="299"/>
      <c r="D109" s="296"/>
      <c r="E109" s="308" t="s">
        <v>8</v>
      </c>
      <c r="F109" s="299"/>
      <c r="G109" s="299"/>
      <c r="H109" s="296"/>
      <c r="I109" s="295"/>
      <c r="J109" s="296"/>
      <c r="K109" s="295"/>
      <c r="L109" s="305"/>
      <c r="M109" s="308"/>
      <c r="N109" s="296"/>
      <c r="O109" s="301"/>
      <c r="P109" s="302"/>
      <c r="Q109" s="301"/>
      <c r="R109" s="302"/>
      <c r="S109" s="301"/>
      <c r="T109" s="302"/>
      <c r="U109" s="301"/>
      <c r="V109" s="302"/>
      <c r="W109" s="347"/>
      <c r="X109" s="70"/>
      <c r="Y109" s="130"/>
      <c r="Z109" s="71"/>
    </row>
    <row r="110" spans="1:26" ht="15.75" thickBot="1" x14ac:dyDescent="0.3">
      <c r="A110" s="113"/>
      <c r="B110" s="297"/>
      <c r="C110" s="300"/>
      <c r="D110" s="298"/>
      <c r="E110" s="297"/>
      <c r="F110" s="300"/>
      <c r="G110" s="300"/>
      <c r="H110" s="298"/>
      <c r="I110" s="297"/>
      <c r="J110" s="298"/>
      <c r="K110" s="306"/>
      <c r="L110" s="307"/>
      <c r="M110" s="297"/>
      <c r="N110" s="298"/>
      <c r="O110" s="303"/>
      <c r="P110" s="304"/>
      <c r="Q110" s="303"/>
      <c r="R110" s="304"/>
      <c r="S110" s="303"/>
      <c r="T110" s="304"/>
      <c r="U110" s="303"/>
      <c r="V110" s="304"/>
      <c r="W110" s="344"/>
      <c r="X110" s="72"/>
      <c r="Y110" s="131"/>
      <c r="Z110" s="73"/>
    </row>
    <row r="111" spans="1:26" ht="15.75" thickBot="1" x14ac:dyDescent="0.3">
      <c r="A111" s="1"/>
      <c r="B111" s="156" t="s">
        <v>16</v>
      </c>
      <c r="C111" s="157"/>
      <c r="D111" s="158"/>
      <c r="E111" s="159"/>
      <c r="F111" s="160"/>
      <c r="G111" s="160"/>
      <c r="H111" s="161"/>
      <c r="I111" s="262"/>
      <c r="J111" s="263"/>
      <c r="K111" s="159">
        <f>SUM(K95:L110)</f>
        <v>603</v>
      </c>
      <c r="L111" s="161"/>
      <c r="M111" s="159">
        <f>SUM(M95:N110)</f>
        <v>557</v>
      </c>
      <c r="N111" s="161"/>
      <c r="O111" s="162">
        <f>SUM(O95:P110)</f>
        <v>1228.1999999999998</v>
      </c>
      <c r="P111" s="163"/>
      <c r="Q111" s="159">
        <f>SUM(Q95:R110)</f>
        <v>143.13999999999999</v>
      </c>
      <c r="R111" s="161"/>
      <c r="S111" s="159">
        <f>SUM(S95:T110)</f>
        <v>36.680000000000007</v>
      </c>
      <c r="T111" s="161"/>
      <c r="U111" s="159">
        <f>SUM(U95:V110)</f>
        <v>51.230000000000004</v>
      </c>
      <c r="V111" s="161"/>
      <c r="W111" s="20"/>
    </row>
    <row r="112" spans="1:26" x14ac:dyDescent="0.25">
      <c r="A112" s="111">
        <v>7</v>
      </c>
      <c r="B112" s="308" t="s">
        <v>1</v>
      </c>
      <c r="C112" s="299"/>
      <c r="D112" s="296"/>
      <c r="E112" s="308" t="s">
        <v>90</v>
      </c>
      <c r="F112" s="299"/>
      <c r="G112" s="299"/>
      <c r="H112" s="296"/>
      <c r="I112" s="295"/>
      <c r="J112" s="305"/>
      <c r="K112" s="308">
        <v>325</v>
      </c>
      <c r="L112" s="296"/>
      <c r="M112" s="308">
        <v>300</v>
      </c>
      <c r="N112" s="296"/>
      <c r="O112" s="309">
        <f>111*M112/100</f>
        <v>333</v>
      </c>
      <c r="P112" s="310"/>
      <c r="Q112" s="309">
        <f>16*M112/100</f>
        <v>48</v>
      </c>
      <c r="R112" s="310"/>
      <c r="S112" s="309">
        <f>5.1*M112/100</f>
        <v>15.3</v>
      </c>
      <c r="T112" s="310"/>
      <c r="U112" s="309">
        <f>2.2*M112/100</f>
        <v>6.6</v>
      </c>
      <c r="V112" s="310"/>
      <c r="W112" s="341"/>
      <c r="X112" s="68">
        <v>1200</v>
      </c>
      <c r="Y112" s="129"/>
      <c r="Z112" s="69"/>
    </row>
    <row r="113" spans="1:26" ht="15.75" thickBot="1" x14ac:dyDescent="0.3">
      <c r="A113" s="112"/>
      <c r="B113" s="297"/>
      <c r="C113" s="300"/>
      <c r="D113" s="298"/>
      <c r="E113" s="297"/>
      <c r="F113" s="300"/>
      <c r="G113" s="300"/>
      <c r="H113" s="298"/>
      <c r="I113" s="306"/>
      <c r="J113" s="307"/>
      <c r="K113" s="297"/>
      <c r="L113" s="298"/>
      <c r="M113" s="297"/>
      <c r="N113" s="298"/>
      <c r="O113" s="311"/>
      <c r="P113" s="312"/>
      <c r="Q113" s="311"/>
      <c r="R113" s="312"/>
      <c r="S113" s="311"/>
      <c r="T113" s="312"/>
      <c r="U113" s="311"/>
      <c r="V113" s="312"/>
      <c r="W113" s="342"/>
      <c r="X113" s="70"/>
      <c r="Y113" s="130"/>
      <c r="Z113" s="71"/>
    </row>
    <row r="114" spans="1:26" ht="15" customHeight="1" x14ac:dyDescent="0.25">
      <c r="A114" s="112"/>
      <c r="B114" s="308" t="s">
        <v>2</v>
      </c>
      <c r="C114" s="299"/>
      <c r="D114" s="296"/>
      <c r="E114" s="308" t="s">
        <v>20</v>
      </c>
      <c r="F114" s="299"/>
      <c r="G114" s="299"/>
      <c r="H114" s="296"/>
      <c r="I114" s="295"/>
      <c r="J114" s="299"/>
      <c r="K114" s="295">
        <v>55</v>
      </c>
      <c r="L114" s="305"/>
      <c r="M114" s="299">
        <v>50</v>
      </c>
      <c r="N114" s="296"/>
      <c r="O114" s="301">
        <f>444*M114/100</f>
        <v>222</v>
      </c>
      <c r="P114" s="302"/>
      <c r="Q114" s="301">
        <f>66.6*M114/100</f>
        <v>33.299999999999997</v>
      </c>
      <c r="R114" s="302"/>
      <c r="S114" s="301">
        <f>9.7*M114/100</f>
        <v>4.8499999999999996</v>
      </c>
      <c r="T114" s="302"/>
      <c r="U114" s="301">
        <f>16.2*M114/100</f>
        <v>8.1</v>
      </c>
      <c r="V114" s="302"/>
      <c r="W114" s="341"/>
      <c r="X114" s="70"/>
      <c r="Y114" s="130"/>
      <c r="Z114" s="71"/>
    </row>
    <row r="115" spans="1:26" ht="15.95" customHeight="1" thickBot="1" x14ac:dyDescent="0.3">
      <c r="A115" s="112"/>
      <c r="B115" s="297"/>
      <c r="C115" s="300"/>
      <c r="D115" s="298"/>
      <c r="E115" s="297"/>
      <c r="F115" s="300"/>
      <c r="G115" s="300"/>
      <c r="H115" s="298"/>
      <c r="I115" s="297"/>
      <c r="J115" s="300"/>
      <c r="K115" s="306"/>
      <c r="L115" s="307"/>
      <c r="M115" s="300"/>
      <c r="N115" s="298"/>
      <c r="O115" s="303"/>
      <c r="P115" s="304"/>
      <c r="Q115" s="303"/>
      <c r="R115" s="304"/>
      <c r="S115" s="303"/>
      <c r="T115" s="304"/>
      <c r="U115" s="303"/>
      <c r="V115" s="304"/>
      <c r="W115" s="342"/>
      <c r="X115" s="70"/>
      <c r="Y115" s="130"/>
      <c r="Z115" s="71"/>
    </row>
    <row r="116" spans="1:26" x14ac:dyDescent="0.25">
      <c r="A116" s="112"/>
      <c r="B116" s="308" t="s">
        <v>3</v>
      </c>
      <c r="C116" s="299"/>
      <c r="D116" s="296"/>
      <c r="E116" s="308" t="s">
        <v>51</v>
      </c>
      <c r="F116" s="299"/>
      <c r="G116" s="299"/>
      <c r="H116" s="296"/>
      <c r="I116" s="295">
        <v>4742870019121</v>
      </c>
      <c r="J116" s="305"/>
      <c r="K116" s="308">
        <v>110</v>
      </c>
      <c r="L116" s="296"/>
      <c r="M116" s="308">
        <v>105</v>
      </c>
      <c r="N116" s="296"/>
      <c r="O116" s="309">
        <v>217.35</v>
      </c>
      <c r="P116" s="310"/>
      <c r="Q116" s="309">
        <v>11.55</v>
      </c>
      <c r="R116" s="310"/>
      <c r="S116" s="309">
        <v>4.0999999999999996</v>
      </c>
      <c r="T116" s="310"/>
      <c r="U116" s="309">
        <v>16.28</v>
      </c>
      <c r="V116" s="310"/>
      <c r="W116" s="343"/>
      <c r="X116" s="70"/>
      <c r="Y116" s="130"/>
      <c r="Z116" s="71"/>
    </row>
    <row r="117" spans="1:26" ht="15.75" thickBot="1" x14ac:dyDescent="0.3">
      <c r="A117" s="112"/>
      <c r="B117" s="297"/>
      <c r="C117" s="300"/>
      <c r="D117" s="298"/>
      <c r="E117" s="297"/>
      <c r="F117" s="300"/>
      <c r="G117" s="300"/>
      <c r="H117" s="298"/>
      <c r="I117" s="306"/>
      <c r="J117" s="307"/>
      <c r="K117" s="297"/>
      <c r="L117" s="298"/>
      <c r="M117" s="297"/>
      <c r="N117" s="298"/>
      <c r="O117" s="311"/>
      <c r="P117" s="312"/>
      <c r="Q117" s="311"/>
      <c r="R117" s="312"/>
      <c r="S117" s="311"/>
      <c r="T117" s="312"/>
      <c r="U117" s="311"/>
      <c r="V117" s="312"/>
      <c r="W117" s="344"/>
      <c r="X117" s="70"/>
      <c r="Y117" s="130"/>
      <c r="Z117" s="71"/>
    </row>
    <row r="118" spans="1:26" ht="15" customHeight="1" x14ac:dyDescent="0.25">
      <c r="A118" s="112"/>
      <c r="B118" s="308" t="s">
        <v>4</v>
      </c>
      <c r="C118" s="299"/>
      <c r="D118" s="296"/>
      <c r="E118" s="308" t="s">
        <v>73</v>
      </c>
      <c r="F118" s="299"/>
      <c r="G118" s="299"/>
      <c r="H118" s="296"/>
      <c r="I118" s="295"/>
      <c r="J118" s="305"/>
      <c r="K118" s="295">
        <v>55</v>
      </c>
      <c r="L118" s="305"/>
      <c r="M118" s="308">
        <v>50</v>
      </c>
      <c r="N118" s="296"/>
      <c r="O118" s="301">
        <f>485*M118/100</f>
        <v>242.5</v>
      </c>
      <c r="P118" s="302"/>
      <c r="Q118" s="301">
        <f>56.2*M118/100</f>
        <v>28.1</v>
      </c>
      <c r="R118" s="302"/>
      <c r="S118" s="301">
        <f>5.8*M118/100</f>
        <v>2.9</v>
      </c>
      <c r="T118" s="302"/>
      <c r="U118" s="301">
        <f>25*M118/100</f>
        <v>12.5</v>
      </c>
      <c r="V118" s="302"/>
      <c r="W118" s="343"/>
      <c r="X118" s="70"/>
      <c r="Y118" s="130"/>
      <c r="Z118" s="71"/>
    </row>
    <row r="119" spans="1:26" ht="15.75" thickBot="1" x14ac:dyDescent="0.3">
      <c r="A119" s="112"/>
      <c r="B119" s="297"/>
      <c r="C119" s="300"/>
      <c r="D119" s="298"/>
      <c r="E119" s="297"/>
      <c r="F119" s="300"/>
      <c r="G119" s="300"/>
      <c r="H119" s="298"/>
      <c r="I119" s="306"/>
      <c r="J119" s="307"/>
      <c r="K119" s="306"/>
      <c r="L119" s="307"/>
      <c r="M119" s="297"/>
      <c r="N119" s="298"/>
      <c r="O119" s="303"/>
      <c r="P119" s="304"/>
      <c r="Q119" s="303"/>
      <c r="R119" s="304"/>
      <c r="S119" s="303"/>
      <c r="T119" s="304"/>
      <c r="U119" s="303"/>
      <c r="V119" s="304"/>
      <c r="W119" s="344"/>
      <c r="X119" s="70"/>
      <c r="Y119" s="130"/>
      <c r="Z119" s="71"/>
    </row>
    <row r="120" spans="1:26" x14ac:dyDescent="0.25">
      <c r="A120" s="112"/>
      <c r="B120" s="308" t="s">
        <v>5</v>
      </c>
      <c r="C120" s="299"/>
      <c r="D120" s="296"/>
      <c r="E120" s="308" t="s">
        <v>44</v>
      </c>
      <c r="F120" s="299"/>
      <c r="G120" s="299"/>
      <c r="H120" s="296"/>
      <c r="I120" s="295">
        <v>4742870011989</v>
      </c>
      <c r="J120" s="305"/>
      <c r="K120" s="308">
        <v>32</v>
      </c>
      <c r="L120" s="296"/>
      <c r="M120" s="308">
        <v>30</v>
      </c>
      <c r="N120" s="296"/>
      <c r="O120" s="309">
        <v>183.6</v>
      </c>
      <c r="P120" s="310"/>
      <c r="Q120" s="309">
        <v>2.25</v>
      </c>
      <c r="R120" s="310"/>
      <c r="S120" s="309">
        <v>9.4499999999999993</v>
      </c>
      <c r="T120" s="310"/>
      <c r="U120" s="309">
        <v>14.58</v>
      </c>
      <c r="V120" s="310"/>
      <c r="W120" s="343"/>
      <c r="X120" s="70"/>
      <c r="Y120" s="130"/>
      <c r="Z120" s="71"/>
    </row>
    <row r="121" spans="1:26" ht="15.75" thickBot="1" x14ac:dyDescent="0.3">
      <c r="A121" s="112"/>
      <c r="B121" s="297"/>
      <c r="C121" s="300"/>
      <c r="D121" s="298"/>
      <c r="E121" s="297"/>
      <c r="F121" s="300"/>
      <c r="G121" s="300"/>
      <c r="H121" s="298"/>
      <c r="I121" s="306"/>
      <c r="J121" s="307"/>
      <c r="K121" s="297"/>
      <c r="L121" s="298"/>
      <c r="M121" s="297"/>
      <c r="N121" s="298"/>
      <c r="O121" s="311"/>
      <c r="P121" s="312"/>
      <c r="Q121" s="311"/>
      <c r="R121" s="312"/>
      <c r="S121" s="311"/>
      <c r="T121" s="312"/>
      <c r="U121" s="311"/>
      <c r="V121" s="312"/>
      <c r="W121" s="344"/>
      <c r="X121" s="70"/>
      <c r="Y121" s="130"/>
      <c r="Z121" s="71"/>
    </row>
    <row r="122" spans="1:26" ht="15" customHeight="1" x14ac:dyDescent="0.25">
      <c r="A122" s="112"/>
      <c r="B122" s="308" t="s">
        <v>6</v>
      </c>
      <c r="C122" s="299"/>
      <c r="D122" s="296"/>
      <c r="E122" s="317" t="s">
        <v>33</v>
      </c>
      <c r="F122" s="318"/>
      <c r="G122" s="318"/>
      <c r="H122" s="319"/>
      <c r="I122" s="295">
        <v>4742870010555</v>
      </c>
      <c r="J122" s="305"/>
      <c r="K122" s="308">
        <v>22</v>
      </c>
      <c r="L122" s="296"/>
      <c r="M122" s="308">
        <v>20</v>
      </c>
      <c r="N122" s="296"/>
      <c r="O122" s="309">
        <v>66.8</v>
      </c>
      <c r="P122" s="310"/>
      <c r="Q122" s="309">
        <v>16.2</v>
      </c>
      <c r="R122" s="310"/>
      <c r="S122" s="309">
        <v>0</v>
      </c>
      <c r="T122" s="310"/>
      <c r="U122" s="309">
        <v>0</v>
      </c>
      <c r="V122" s="310"/>
      <c r="W122" s="345"/>
      <c r="X122" s="70"/>
      <c r="Y122" s="130"/>
      <c r="Z122" s="71"/>
    </row>
    <row r="123" spans="1:26" ht="15.95" customHeight="1" thickBot="1" x14ac:dyDescent="0.3">
      <c r="A123" s="112"/>
      <c r="B123" s="297"/>
      <c r="C123" s="300"/>
      <c r="D123" s="298"/>
      <c r="E123" s="320"/>
      <c r="F123" s="321"/>
      <c r="G123" s="321"/>
      <c r="H123" s="322"/>
      <c r="I123" s="306"/>
      <c r="J123" s="307"/>
      <c r="K123" s="297"/>
      <c r="L123" s="298"/>
      <c r="M123" s="297"/>
      <c r="N123" s="298"/>
      <c r="O123" s="311"/>
      <c r="P123" s="312"/>
      <c r="Q123" s="311"/>
      <c r="R123" s="312"/>
      <c r="S123" s="311"/>
      <c r="T123" s="312"/>
      <c r="U123" s="311"/>
      <c r="V123" s="312"/>
      <c r="W123" s="346"/>
      <c r="X123" s="70"/>
      <c r="Y123" s="130"/>
      <c r="Z123" s="71"/>
    </row>
    <row r="124" spans="1:26" x14ac:dyDescent="0.25">
      <c r="A124" s="112"/>
      <c r="B124" s="308" t="s">
        <v>7</v>
      </c>
      <c r="C124" s="299"/>
      <c r="D124" s="296"/>
      <c r="E124" s="308" t="s">
        <v>66</v>
      </c>
      <c r="F124" s="299"/>
      <c r="G124" s="299"/>
      <c r="H124" s="296"/>
      <c r="I124" s="295"/>
      <c r="J124" s="296"/>
      <c r="K124" s="295">
        <v>4</v>
      </c>
      <c r="L124" s="305"/>
      <c r="M124" s="308">
        <v>2</v>
      </c>
      <c r="N124" s="296"/>
      <c r="O124" s="301">
        <v>0</v>
      </c>
      <c r="P124" s="302"/>
      <c r="Q124" s="301">
        <v>0</v>
      </c>
      <c r="R124" s="302"/>
      <c r="S124" s="301">
        <v>0</v>
      </c>
      <c r="T124" s="302"/>
      <c r="U124" s="301">
        <v>0</v>
      </c>
      <c r="V124" s="302"/>
      <c r="W124" s="347"/>
      <c r="X124" s="70"/>
      <c r="Y124" s="130"/>
      <c r="Z124" s="71"/>
    </row>
    <row r="125" spans="1:26" ht="15.75" thickBot="1" x14ac:dyDescent="0.3">
      <c r="A125" s="112"/>
      <c r="B125" s="297"/>
      <c r="C125" s="300"/>
      <c r="D125" s="298"/>
      <c r="E125" s="297"/>
      <c r="F125" s="300"/>
      <c r="G125" s="300"/>
      <c r="H125" s="298"/>
      <c r="I125" s="297"/>
      <c r="J125" s="298"/>
      <c r="K125" s="306"/>
      <c r="L125" s="307"/>
      <c r="M125" s="297"/>
      <c r="N125" s="298"/>
      <c r="O125" s="303"/>
      <c r="P125" s="304"/>
      <c r="Q125" s="303"/>
      <c r="R125" s="304"/>
      <c r="S125" s="303"/>
      <c r="T125" s="304"/>
      <c r="U125" s="303"/>
      <c r="V125" s="304"/>
      <c r="W125" s="344"/>
      <c r="X125" s="70"/>
      <c r="Y125" s="130"/>
      <c r="Z125" s="71"/>
    </row>
    <row r="126" spans="1:26" x14ac:dyDescent="0.25">
      <c r="A126" s="112"/>
      <c r="B126" s="308" t="s">
        <v>8</v>
      </c>
      <c r="C126" s="299"/>
      <c r="D126" s="296"/>
      <c r="E126" s="308" t="s">
        <v>8</v>
      </c>
      <c r="F126" s="299"/>
      <c r="G126" s="299"/>
      <c r="H126" s="296"/>
      <c r="I126" s="295"/>
      <c r="J126" s="296"/>
      <c r="K126" s="295"/>
      <c r="L126" s="305"/>
      <c r="M126" s="308"/>
      <c r="N126" s="296"/>
      <c r="O126" s="301"/>
      <c r="P126" s="302"/>
      <c r="Q126" s="301"/>
      <c r="R126" s="302"/>
      <c r="S126" s="301"/>
      <c r="T126" s="302"/>
      <c r="U126" s="301"/>
      <c r="V126" s="302"/>
      <c r="W126" s="347"/>
      <c r="X126" s="70"/>
      <c r="Y126" s="130"/>
      <c r="Z126" s="71"/>
    </row>
    <row r="127" spans="1:26" ht="15.75" thickBot="1" x14ac:dyDescent="0.3">
      <c r="A127" s="113"/>
      <c r="B127" s="297"/>
      <c r="C127" s="300"/>
      <c r="D127" s="298"/>
      <c r="E127" s="297"/>
      <c r="F127" s="300"/>
      <c r="G127" s="300"/>
      <c r="H127" s="298"/>
      <c r="I127" s="297"/>
      <c r="J127" s="298"/>
      <c r="K127" s="306"/>
      <c r="L127" s="307"/>
      <c r="M127" s="297"/>
      <c r="N127" s="298"/>
      <c r="O127" s="303"/>
      <c r="P127" s="304"/>
      <c r="Q127" s="303"/>
      <c r="R127" s="304"/>
      <c r="S127" s="303"/>
      <c r="T127" s="304"/>
      <c r="U127" s="303"/>
      <c r="V127" s="304"/>
      <c r="W127" s="344"/>
      <c r="X127" s="72"/>
      <c r="Y127" s="131"/>
      <c r="Z127" s="73"/>
    </row>
    <row r="128" spans="1:26" ht="15.75" thickBot="1" x14ac:dyDescent="0.3">
      <c r="A128" s="1"/>
      <c r="B128" s="156" t="s">
        <v>16</v>
      </c>
      <c r="C128" s="157"/>
      <c r="D128" s="158"/>
      <c r="E128" s="159"/>
      <c r="F128" s="160"/>
      <c r="G128" s="160"/>
      <c r="H128" s="161"/>
      <c r="I128" s="262"/>
      <c r="J128" s="263"/>
      <c r="K128" s="159">
        <f>SUM(K112:L127)</f>
        <v>603</v>
      </c>
      <c r="L128" s="161"/>
      <c r="M128" s="159">
        <f>SUM(M112:N127)</f>
        <v>557</v>
      </c>
      <c r="N128" s="161"/>
      <c r="O128" s="162">
        <f>SUM(O112:P127)</f>
        <v>1265.25</v>
      </c>
      <c r="P128" s="163"/>
      <c r="Q128" s="159">
        <f>SUM(Q112:R127)</f>
        <v>139.39999999999998</v>
      </c>
      <c r="R128" s="161"/>
      <c r="S128" s="159">
        <f>SUM(S112:T127)</f>
        <v>36.599999999999994</v>
      </c>
      <c r="T128" s="161"/>
      <c r="U128" s="159">
        <f>SUM(U112:V127)</f>
        <v>58.06</v>
      </c>
      <c r="V128" s="161"/>
      <c r="W128" s="20"/>
    </row>
    <row r="129" spans="1:26" ht="15" customHeight="1" x14ac:dyDescent="0.25">
      <c r="A129" s="111">
        <v>8</v>
      </c>
      <c r="B129" s="308" t="s">
        <v>1</v>
      </c>
      <c r="C129" s="299"/>
      <c r="D129" s="296"/>
      <c r="E129" s="308" t="s">
        <v>112</v>
      </c>
      <c r="F129" s="299"/>
      <c r="G129" s="299"/>
      <c r="H129" s="296"/>
      <c r="I129" s="313"/>
      <c r="J129" s="314"/>
      <c r="K129" s="308">
        <v>325</v>
      </c>
      <c r="L129" s="296"/>
      <c r="M129" s="308">
        <v>300</v>
      </c>
      <c r="N129" s="296"/>
      <c r="O129" s="309">
        <v>396</v>
      </c>
      <c r="P129" s="310"/>
      <c r="Q129" s="309">
        <v>48</v>
      </c>
      <c r="R129" s="310"/>
      <c r="S129" s="309">
        <v>11.4</v>
      </c>
      <c r="T129" s="310"/>
      <c r="U129" s="309">
        <v>16.2</v>
      </c>
      <c r="V129" s="310"/>
      <c r="W129" s="341"/>
      <c r="X129" s="68">
        <v>1200</v>
      </c>
      <c r="Y129" s="129"/>
      <c r="Z129" s="69"/>
    </row>
    <row r="130" spans="1:26" ht="15.75" thickBot="1" x14ac:dyDescent="0.3">
      <c r="A130" s="112"/>
      <c r="B130" s="297"/>
      <c r="C130" s="300"/>
      <c r="D130" s="298"/>
      <c r="E130" s="297"/>
      <c r="F130" s="300"/>
      <c r="G130" s="300"/>
      <c r="H130" s="298"/>
      <c r="I130" s="315"/>
      <c r="J130" s="316"/>
      <c r="K130" s="297"/>
      <c r="L130" s="298"/>
      <c r="M130" s="297"/>
      <c r="N130" s="298"/>
      <c r="O130" s="311"/>
      <c r="P130" s="312"/>
      <c r="Q130" s="311"/>
      <c r="R130" s="312"/>
      <c r="S130" s="311"/>
      <c r="T130" s="312"/>
      <c r="U130" s="311"/>
      <c r="V130" s="312"/>
      <c r="W130" s="342"/>
      <c r="X130" s="70"/>
      <c r="Y130" s="130"/>
      <c r="Z130" s="71"/>
    </row>
    <row r="131" spans="1:26" ht="15" customHeight="1" x14ac:dyDescent="0.25">
      <c r="A131" s="112"/>
      <c r="B131" s="308" t="s">
        <v>2</v>
      </c>
      <c r="C131" s="299"/>
      <c r="D131" s="296"/>
      <c r="E131" s="308" t="s">
        <v>72</v>
      </c>
      <c r="F131" s="299"/>
      <c r="G131" s="299"/>
      <c r="H131" s="296"/>
      <c r="I131" s="295"/>
      <c r="J131" s="299"/>
      <c r="K131" s="295">
        <v>55</v>
      </c>
      <c r="L131" s="305"/>
      <c r="M131" s="299">
        <v>50</v>
      </c>
      <c r="N131" s="296"/>
      <c r="O131" s="301">
        <f>427*M131/100</f>
        <v>213.5</v>
      </c>
      <c r="P131" s="302"/>
      <c r="Q131" s="301">
        <f>65.7*M131/100</f>
        <v>32.85</v>
      </c>
      <c r="R131" s="302"/>
      <c r="S131" s="301">
        <f>11.4*M131/100</f>
        <v>5.7</v>
      </c>
      <c r="T131" s="302"/>
      <c r="U131" s="301">
        <f>10.6*M131/100</f>
        <v>5.3</v>
      </c>
      <c r="V131" s="302"/>
      <c r="W131" s="341"/>
      <c r="X131" s="70"/>
      <c r="Y131" s="130"/>
      <c r="Z131" s="71"/>
    </row>
    <row r="132" spans="1:26" ht="15.95" customHeight="1" thickBot="1" x14ac:dyDescent="0.3">
      <c r="A132" s="112"/>
      <c r="B132" s="297"/>
      <c r="C132" s="300"/>
      <c r="D132" s="298"/>
      <c r="E132" s="297"/>
      <c r="F132" s="300"/>
      <c r="G132" s="300"/>
      <c r="H132" s="298"/>
      <c r="I132" s="297"/>
      <c r="J132" s="300"/>
      <c r="K132" s="306"/>
      <c r="L132" s="307"/>
      <c r="M132" s="300"/>
      <c r="N132" s="298"/>
      <c r="O132" s="303"/>
      <c r="P132" s="304"/>
      <c r="Q132" s="303"/>
      <c r="R132" s="304"/>
      <c r="S132" s="303"/>
      <c r="T132" s="304"/>
      <c r="U132" s="303"/>
      <c r="V132" s="304"/>
      <c r="W132" s="342"/>
      <c r="X132" s="70"/>
      <c r="Y132" s="130"/>
      <c r="Z132" s="71"/>
    </row>
    <row r="133" spans="1:26" x14ac:dyDescent="0.25">
      <c r="A133" s="112"/>
      <c r="B133" s="308" t="s">
        <v>3</v>
      </c>
      <c r="C133" s="299"/>
      <c r="D133" s="296"/>
      <c r="E133" s="308" t="s">
        <v>52</v>
      </c>
      <c r="F133" s="299"/>
      <c r="G133" s="299"/>
      <c r="H133" s="296"/>
      <c r="I133" s="295">
        <v>4742870019107</v>
      </c>
      <c r="J133" s="305"/>
      <c r="K133" s="308">
        <v>110</v>
      </c>
      <c r="L133" s="296"/>
      <c r="M133" s="308">
        <v>105</v>
      </c>
      <c r="N133" s="296"/>
      <c r="O133" s="309">
        <v>202.65</v>
      </c>
      <c r="P133" s="310"/>
      <c r="Q133" s="309">
        <v>9.14</v>
      </c>
      <c r="R133" s="310"/>
      <c r="S133" s="309">
        <v>3.89</v>
      </c>
      <c r="T133" s="310"/>
      <c r="U133" s="309">
        <v>16.07</v>
      </c>
      <c r="V133" s="310"/>
      <c r="W133" s="343"/>
      <c r="X133" s="70"/>
      <c r="Y133" s="130"/>
      <c r="Z133" s="71"/>
    </row>
    <row r="134" spans="1:26" ht="15.75" thickBot="1" x14ac:dyDescent="0.3">
      <c r="A134" s="112"/>
      <c r="B134" s="297"/>
      <c r="C134" s="300"/>
      <c r="D134" s="298"/>
      <c r="E134" s="297"/>
      <c r="F134" s="300"/>
      <c r="G134" s="300"/>
      <c r="H134" s="298"/>
      <c r="I134" s="306"/>
      <c r="J134" s="307"/>
      <c r="K134" s="297"/>
      <c r="L134" s="298"/>
      <c r="M134" s="297"/>
      <c r="N134" s="298"/>
      <c r="O134" s="311"/>
      <c r="P134" s="312"/>
      <c r="Q134" s="311"/>
      <c r="R134" s="312"/>
      <c r="S134" s="311"/>
      <c r="T134" s="312"/>
      <c r="U134" s="311"/>
      <c r="V134" s="312"/>
      <c r="W134" s="344"/>
      <c r="X134" s="70"/>
      <c r="Y134" s="130"/>
      <c r="Z134" s="71"/>
    </row>
    <row r="135" spans="1:26" ht="15" customHeight="1" x14ac:dyDescent="0.25">
      <c r="A135" s="112"/>
      <c r="B135" s="308" t="s">
        <v>4</v>
      </c>
      <c r="C135" s="299"/>
      <c r="D135" s="296"/>
      <c r="E135" s="308" t="s">
        <v>77</v>
      </c>
      <c r="F135" s="299"/>
      <c r="G135" s="299"/>
      <c r="H135" s="296"/>
      <c r="I135" s="295"/>
      <c r="J135" s="305"/>
      <c r="K135" s="309">
        <v>55</v>
      </c>
      <c r="L135" s="310"/>
      <c r="M135" s="309">
        <v>50</v>
      </c>
      <c r="N135" s="310"/>
      <c r="O135" s="301">
        <f>514*M135/100</f>
        <v>257</v>
      </c>
      <c r="P135" s="302"/>
      <c r="Q135" s="301">
        <f>53.2*M135/100</f>
        <v>26.6</v>
      </c>
      <c r="R135" s="302"/>
      <c r="S135" s="301">
        <f>11*M135/100</f>
        <v>5.5</v>
      </c>
      <c r="T135" s="302"/>
      <c r="U135" s="301">
        <f>27.4*M135/100</f>
        <v>13.7</v>
      </c>
      <c r="V135" s="302"/>
      <c r="W135" s="343"/>
      <c r="X135" s="70"/>
      <c r="Y135" s="130"/>
      <c r="Z135" s="71"/>
    </row>
    <row r="136" spans="1:26" ht="15.75" thickBot="1" x14ac:dyDescent="0.3">
      <c r="A136" s="112"/>
      <c r="B136" s="297"/>
      <c r="C136" s="300"/>
      <c r="D136" s="298"/>
      <c r="E136" s="297"/>
      <c r="F136" s="300"/>
      <c r="G136" s="300"/>
      <c r="H136" s="298"/>
      <c r="I136" s="306"/>
      <c r="J136" s="307"/>
      <c r="K136" s="311"/>
      <c r="L136" s="312"/>
      <c r="M136" s="311"/>
      <c r="N136" s="312"/>
      <c r="O136" s="303"/>
      <c r="P136" s="304"/>
      <c r="Q136" s="303"/>
      <c r="R136" s="304"/>
      <c r="S136" s="303"/>
      <c r="T136" s="304"/>
      <c r="U136" s="303"/>
      <c r="V136" s="304"/>
      <c r="W136" s="344"/>
      <c r="X136" s="70"/>
      <c r="Y136" s="130"/>
      <c r="Z136" s="71"/>
    </row>
    <row r="137" spans="1:26" x14ac:dyDescent="0.25">
      <c r="A137" s="112"/>
      <c r="B137" s="308" t="s">
        <v>5</v>
      </c>
      <c r="C137" s="299"/>
      <c r="D137" s="296"/>
      <c r="E137" s="308" t="s">
        <v>25</v>
      </c>
      <c r="F137" s="299"/>
      <c r="G137" s="299"/>
      <c r="H137" s="296"/>
      <c r="I137" s="295">
        <v>4742870011972</v>
      </c>
      <c r="J137" s="296"/>
      <c r="K137" s="295">
        <v>32</v>
      </c>
      <c r="L137" s="305"/>
      <c r="M137" s="308">
        <v>30</v>
      </c>
      <c r="N137" s="296"/>
      <c r="O137" s="301">
        <v>177</v>
      </c>
      <c r="P137" s="302"/>
      <c r="Q137" s="301">
        <v>6.03</v>
      </c>
      <c r="R137" s="302"/>
      <c r="S137" s="301">
        <v>8.8800000000000008</v>
      </c>
      <c r="T137" s="302"/>
      <c r="U137" s="301">
        <v>13.8</v>
      </c>
      <c r="V137" s="302"/>
      <c r="W137" s="343"/>
      <c r="X137" s="70"/>
      <c r="Y137" s="130"/>
      <c r="Z137" s="71"/>
    </row>
    <row r="138" spans="1:26" ht="15.75" thickBot="1" x14ac:dyDescent="0.3">
      <c r="A138" s="112"/>
      <c r="B138" s="297"/>
      <c r="C138" s="300"/>
      <c r="D138" s="298"/>
      <c r="E138" s="297"/>
      <c r="F138" s="300"/>
      <c r="G138" s="300"/>
      <c r="H138" s="298"/>
      <c r="I138" s="297"/>
      <c r="J138" s="298"/>
      <c r="K138" s="306"/>
      <c r="L138" s="307"/>
      <c r="M138" s="297"/>
      <c r="N138" s="298"/>
      <c r="O138" s="303"/>
      <c r="P138" s="304"/>
      <c r="Q138" s="303"/>
      <c r="R138" s="304"/>
      <c r="S138" s="303"/>
      <c r="T138" s="304"/>
      <c r="U138" s="303"/>
      <c r="V138" s="304"/>
      <c r="W138" s="344"/>
      <c r="X138" s="70"/>
      <c r="Y138" s="130"/>
      <c r="Z138" s="71"/>
    </row>
    <row r="139" spans="1:26" ht="15" customHeight="1" x14ac:dyDescent="0.25">
      <c r="A139" s="112"/>
      <c r="B139" s="308" t="s">
        <v>6</v>
      </c>
      <c r="C139" s="299"/>
      <c r="D139" s="296"/>
      <c r="E139" s="317" t="s">
        <v>30</v>
      </c>
      <c r="F139" s="318"/>
      <c r="G139" s="318"/>
      <c r="H139" s="319"/>
      <c r="I139" s="295">
        <v>4742870010579</v>
      </c>
      <c r="J139" s="305"/>
      <c r="K139" s="308">
        <v>22</v>
      </c>
      <c r="L139" s="296"/>
      <c r="M139" s="308">
        <v>20</v>
      </c>
      <c r="N139" s="296"/>
      <c r="O139" s="309">
        <v>66.400000000000006</v>
      </c>
      <c r="P139" s="310"/>
      <c r="Q139" s="309">
        <v>16</v>
      </c>
      <c r="R139" s="310"/>
      <c r="S139" s="309">
        <v>0</v>
      </c>
      <c r="T139" s="310"/>
      <c r="U139" s="309">
        <v>0</v>
      </c>
      <c r="V139" s="310"/>
      <c r="W139" s="345"/>
      <c r="X139" s="70"/>
      <c r="Y139" s="130"/>
      <c r="Z139" s="71"/>
    </row>
    <row r="140" spans="1:26" ht="15.95" customHeight="1" thickBot="1" x14ac:dyDescent="0.3">
      <c r="A140" s="112"/>
      <c r="B140" s="297"/>
      <c r="C140" s="300"/>
      <c r="D140" s="298"/>
      <c r="E140" s="320"/>
      <c r="F140" s="321"/>
      <c r="G140" s="321"/>
      <c r="H140" s="322"/>
      <c r="I140" s="306"/>
      <c r="J140" s="307"/>
      <c r="K140" s="297"/>
      <c r="L140" s="298"/>
      <c r="M140" s="297"/>
      <c r="N140" s="298"/>
      <c r="O140" s="311"/>
      <c r="P140" s="312"/>
      <c r="Q140" s="311"/>
      <c r="R140" s="312"/>
      <c r="S140" s="311"/>
      <c r="T140" s="312"/>
      <c r="U140" s="311"/>
      <c r="V140" s="312"/>
      <c r="W140" s="346"/>
      <c r="X140" s="70"/>
      <c r="Y140" s="130"/>
      <c r="Z140" s="71"/>
    </row>
    <row r="141" spans="1:26" x14ac:dyDescent="0.25">
      <c r="A141" s="112"/>
      <c r="B141" s="308" t="s">
        <v>7</v>
      </c>
      <c r="C141" s="299"/>
      <c r="D141" s="296"/>
      <c r="E141" s="308" t="s">
        <v>66</v>
      </c>
      <c r="F141" s="299"/>
      <c r="G141" s="299"/>
      <c r="H141" s="296"/>
      <c r="I141" s="295"/>
      <c r="J141" s="296"/>
      <c r="K141" s="295">
        <v>4</v>
      </c>
      <c r="L141" s="305"/>
      <c r="M141" s="308">
        <v>2</v>
      </c>
      <c r="N141" s="296"/>
      <c r="O141" s="301">
        <v>0</v>
      </c>
      <c r="P141" s="302"/>
      <c r="Q141" s="301">
        <v>0</v>
      </c>
      <c r="R141" s="302"/>
      <c r="S141" s="301">
        <v>0</v>
      </c>
      <c r="T141" s="302"/>
      <c r="U141" s="301">
        <v>0</v>
      </c>
      <c r="V141" s="302"/>
      <c r="W141" s="347"/>
      <c r="X141" s="70"/>
      <c r="Y141" s="130"/>
      <c r="Z141" s="71"/>
    </row>
    <row r="142" spans="1:26" ht="15.75" thickBot="1" x14ac:dyDescent="0.3">
      <c r="A142" s="112"/>
      <c r="B142" s="297"/>
      <c r="C142" s="300"/>
      <c r="D142" s="298"/>
      <c r="E142" s="297"/>
      <c r="F142" s="300"/>
      <c r="G142" s="300"/>
      <c r="H142" s="298"/>
      <c r="I142" s="297"/>
      <c r="J142" s="298"/>
      <c r="K142" s="306"/>
      <c r="L142" s="307"/>
      <c r="M142" s="297"/>
      <c r="N142" s="298"/>
      <c r="O142" s="303"/>
      <c r="P142" s="304"/>
      <c r="Q142" s="303"/>
      <c r="R142" s="304"/>
      <c r="S142" s="303"/>
      <c r="T142" s="304"/>
      <c r="U142" s="303"/>
      <c r="V142" s="304"/>
      <c r="W142" s="344"/>
      <c r="X142" s="70"/>
      <c r="Y142" s="130"/>
      <c r="Z142" s="71"/>
    </row>
    <row r="143" spans="1:26" x14ac:dyDescent="0.25">
      <c r="A143" s="112"/>
      <c r="B143" s="308" t="s">
        <v>8</v>
      </c>
      <c r="C143" s="299"/>
      <c r="D143" s="296"/>
      <c r="E143" s="308" t="s">
        <v>8</v>
      </c>
      <c r="F143" s="299"/>
      <c r="G143" s="299"/>
      <c r="H143" s="296"/>
      <c r="I143" s="295"/>
      <c r="J143" s="296"/>
      <c r="K143" s="295"/>
      <c r="L143" s="305"/>
      <c r="M143" s="308"/>
      <c r="N143" s="296"/>
      <c r="O143" s="301"/>
      <c r="P143" s="302"/>
      <c r="Q143" s="301"/>
      <c r="R143" s="302"/>
      <c r="S143" s="301"/>
      <c r="T143" s="302"/>
      <c r="U143" s="301"/>
      <c r="V143" s="302"/>
      <c r="W143" s="347"/>
      <c r="X143" s="70"/>
      <c r="Y143" s="130"/>
      <c r="Z143" s="71"/>
    </row>
    <row r="144" spans="1:26" ht="15.75" thickBot="1" x14ac:dyDescent="0.3">
      <c r="A144" s="113"/>
      <c r="B144" s="297"/>
      <c r="C144" s="300"/>
      <c r="D144" s="298"/>
      <c r="E144" s="297"/>
      <c r="F144" s="300"/>
      <c r="G144" s="300"/>
      <c r="H144" s="298"/>
      <c r="I144" s="297"/>
      <c r="J144" s="298"/>
      <c r="K144" s="306"/>
      <c r="L144" s="307"/>
      <c r="M144" s="297"/>
      <c r="N144" s="298"/>
      <c r="O144" s="303"/>
      <c r="P144" s="304"/>
      <c r="Q144" s="303"/>
      <c r="R144" s="304"/>
      <c r="S144" s="303"/>
      <c r="T144" s="304"/>
      <c r="U144" s="303"/>
      <c r="V144" s="304"/>
      <c r="W144" s="344"/>
      <c r="X144" s="72"/>
      <c r="Y144" s="131"/>
      <c r="Z144" s="73"/>
    </row>
    <row r="145" spans="1:23" ht="15.75" thickBot="1" x14ac:dyDescent="0.3">
      <c r="A145" s="1"/>
      <c r="B145" s="156" t="s">
        <v>16</v>
      </c>
      <c r="C145" s="157"/>
      <c r="D145" s="158"/>
      <c r="E145" s="159"/>
      <c r="F145" s="160"/>
      <c r="G145" s="160"/>
      <c r="H145" s="161"/>
      <c r="I145" s="159"/>
      <c r="J145" s="161"/>
      <c r="K145" s="159">
        <f>SUM(K129:L144)</f>
        <v>603</v>
      </c>
      <c r="L145" s="161"/>
      <c r="M145" s="159">
        <f>SUM(M129:N144)</f>
        <v>557</v>
      </c>
      <c r="N145" s="161"/>
      <c r="O145" s="162">
        <f>SUM(O129:P144)</f>
        <v>1312.5500000000002</v>
      </c>
      <c r="P145" s="163"/>
      <c r="Q145" s="159">
        <f>SUM(Q129:R144)</f>
        <v>138.62</v>
      </c>
      <c r="R145" s="161"/>
      <c r="S145" s="159">
        <f>SUM(S129:T144)</f>
        <v>35.370000000000005</v>
      </c>
      <c r="T145" s="161"/>
      <c r="U145" s="159">
        <f>SUM(U129:V144)</f>
        <v>65.069999999999993</v>
      </c>
      <c r="V145" s="161"/>
      <c r="W145" s="20"/>
    </row>
    <row r="147" spans="1:23" x14ac:dyDescent="0.25">
      <c r="W147" s="25"/>
    </row>
    <row r="148" spans="1:23" x14ac:dyDescent="0.25">
      <c r="W148" s="26"/>
    </row>
  </sheetData>
  <mergeCells count="741">
    <mergeCell ref="W141:W142"/>
    <mergeCell ref="W143:W144"/>
    <mergeCell ref="W122:W123"/>
    <mergeCell ref="W124:W125"/>
    <mergeCell ref="W126:W127"/>
    <mergeCell ref="W129:W130"/>
    <mergeCell ref="W131:W132"/>
    <mergeCell ref="W133:W134"/>
    <mergeCell ref="W135:W136"/>
    <mergeCell ref="W137:W138"/>
    <mergeCell ref="W139:W140"/>
    <mergeCell ref="W103:W104"/>
    <mergeCell ref="W105:W106"/>
    <mergeCell ref="W107:W108"/>
    <mergeCell ref="W109:W110"/>
    <mergeCell ref="W112:W113"/>
    <mergeCell ref="W114:W115"/>
    <mergeCell ref="W116:W117"/>
    <mergeCell ref="W118:W119"/>
    <mergeCell ref="W120:W121"/>
    <mergeCell ref="W84:W85"/>
    <mergeCell ref="W86:W87"/>
    <mergeCell ref="W88:W89"/>
    <mergeCell ref="W90:W91"/>
    <mergeCell ref="W92:W93"/>
    <mergeCell ref="W95:W96"/>
    <mergeCell ref="W97:W98"/>
    <mergeCell ref="W99:W100"/>
    <mergeCell ref="W101:W102"/>
    <mergeCell ref="W65:W66"/>
    <mergeCell ref="W67:W68"/>
    <mergeCell ref="W69:W70"/>
    <mergeCell ref="W71:W72"/>
    <mergeCell ref="W73:W74"/>
    <mergeCell ref="W75:W76"/>
    <mergeCell ref="W78:W79"/>
    <mergeCell ref="W80:W81"/>
    <mergeCell ref="W82:W83"/>
    <mergeCell ref="W46:W47"/>
    <mergeCell ref="W48:W49"/>
    <mergeCell ref="W50:W51"/>
    <mergeCell ref="W52:W53"/>
    <mergeCell ref="W54:W55"/>
    <mergeCell ref="W56:W57"/>
    <mergeCell ref="W58:W59"/>
    <mergeCell ref="W61:W62"/>
    <mergeCell ref="W63:W64"/>
    <mergeCell ref="W27:W28"/>
    <mergeCell ref="W29:W30"/>
    <mergeCell ref="W31:W32"/>
    <mergeCell ref="W33:W34"/>
    <mergeCell ref="W35:W36"/>
    <mergeCell ref="W37:W38"/>
    <mergeCell ref="W39:W40"/>
    <mergeCell ref="W41:W42"/>
    <mergeCell ref="W44:W45"/>
    <mergeCell ref="W7:W9"/>
    <mergeCell ref="W10:W11"/>
    <mergeCell ref="W12:W13"/>
    <mergeCell ref="W14:W15"/>
    <mergeCell ref="W16:W17"/>
    <mergeCell ref="W18:W19"/>
    <mergeCell ref="W20:W21"/>
    <mergeCell ref="W22:W23"/>
    <mergeCell ref="W24:W25"/>
    <mergeCell ref="X7:Z9"/>
    <mergeCell ref="X10:Z25"/>
    <mergeCell ref="X27:Z42"/>
    <mergeCell ref="X44:Z59"/>
    <mergeCell ref="X61:Z76"/>
    <mergeCell ref="S69:T70"/>
    <mergeCell ref="U69:V70"/>
    <mergeCell ref="Q67:R68"/>
    <mergeCell ref="S67:T68"/>
    <mergeCell ref="U67:V68"/>
    <mergeCell ref="S65:T66"/>
    <mergeCell ref="U65:V66"/>
    <mergeCell ref="U61:V62"/>
    <mergeCell ref="U60:V60"/>
    <mergeCell ref="S58:T59"/>
    <mergeCell ref="U58:V59"/>
    <mergeCell ref="U56:V57"/>
    <mergeCell ref="Q48:R49"/>
    <mergeCell ref="Q69:R70"/>
    <mergeCell ref="S61:T62"/>
    <mergeCell ref="S50:T51"/>
    <mergeCell ref="U50:V51"/>
    <mergeCell ref="Q16:R17"/>
    <mergeCell ref="S16:T17"/>
    <mergeCell ref="B43:D43"/>
    <mergeCell ref="B50:D51"/>
    <mergeCell ref="E50:H51"/>
    <mergeCell ref="I50:J51"/>
    <mergeCell ref="K50:L51"/>
    <mergeCell ref="M50:N51"/>
    <mergeCell ref="O50:P51"/>
    <mergeCell ref="Q50:R51"/>
    <mergeCell ref="M48:N49"/>
    <mergeCell ref="O48:P49"/>
    <mergeCell ref="E43:H43"/>
    <mergeCell ref="I43:J43"/>
    <mergeCell ref="K43:L43"/>
    <mergeCell ref="M43:N43"/>
    <mergeCell ref="O43:P43"/>
    <mergeCell ref="S77:T77"/>
    <mergeCell ref="U77:V77"/>
    <mergeCell ref="Q75:R76"/>
    <mergeCell ref="S75:T76"/>
    <mergeCell ref="U75:V76"/>
    <mergeCell ref="B77:D77"/>
    <mergeCell ref="E77:H77"/>
    <mergeCell ref="I77:J77"/>
    <mergeCell ref="K77:L77"/>
    <mergeCell ref="M77:N77"/>
    <mergeCell ref="O77:P77"/>
    <mergeCell ref="Q77:R77"/>
    <mergeCell ref="B75:D76"/>
    <mergeCell ref="E75:H76"/>
    <mergeCell ref="K75:L76"/>
    <mergeCell ref="M67:N68"/>
    <mergeCell ref="U71:V72"/>
    <mergeCell ref="B73:D74"/>
    <mergeCell ref="E73:H74"/>
    <mergeCell ref="I73:J74"/>
    <mergeCell ref="K73:L74"/>
    <mergeCell ref="M73:N74"/>
    <mergeCell ref="O73:P74"/>
    <mergeCell ref="Q73:R74"/>
    <mergeCell ref="S73:T74"/>
    <mergeCell ref="U73:V74"/>
    <mergeCell ref="B71:D72"/>
    <mergeCell ref="E71:H72"/>
    <mergeCell ref="I71:J72"/>
    <mergeCell ref="K71:L72"/>
    <mergeCell ref="M71:N72"/>
    <mergeCell ref="O71:P72"/>
    <mergeCell ref="Q71:R72"/>
    <mergeCell ref="S71:T72"/>
    <mergeCell ref="E69:H70"/>
    <mergeCell ref="I69:J70"/>
    <mergeCell ref="K69:L70"/>
    <mergeCell ref="M69:N70"/>
    <mergeCell ref="O69:P70"/>
    <mergeCell ref="M65:N66"/>
    <mergeCell ref="O65:P66"/>
    <mergeCell ref="Q65:R66"/>
    <mergeCell ref="A61:A76"/>
    <mergeCell ref="B61:D62"/>
    <mergeCell ref="E61:H62"/>
    <mergeCell ref="I61:J62"/>
    <mergeCell ref="K61:L62"/>
    <mergeCell ref="M61:N62"/>
    <mergeCell ref="O61:P62"/>
    <mergeCell ref="Q61:R62"/>
    <mergeCell ref="M75:N76"/>
    <mergeCell ref="O75:P76"/>
    <mergeCell ref="B65:D66"/>
    <mergeCell ref="E65:H66"/>
    <mergeCell ref="I65:J66"/>
    <mergeCell ref="K65:L66"/>
    <mergeCell ref="B69:D70"/>
    <mergeCell ref="B67:D68"/>
    <mergeCell ref="E67:H68"/>
    <mergeCell ref="I67:J68"/>
    <mergeCell ref="K67:L68"/>
    <mergeCell ref="B63:D64"/>
    <mergeCell ref="E63:H64"/>
    <mergeCell ref="K63:L64"/>
    <mergeCell ref="M63:N64"/>
    <mergeCell ref="O63:P64"/>
    <mergeCell ref="Q63:R64"/>
    <mergeCell ref="S63:T64"/>
    <mergeCell ref="B58:D59"/>
    <mergeCell ref="E58:H59"/>
    <mergeCell ref="K58:L59"/>
    <mergeCell ref="M58:N59"/>
    <mergeCell ref="O58:P59"/>
    <mergeCell ref="Q58:R59"/>
    <mergeCell ref="B60:D60"/>
    <mergeCell ref="E60:H60"/>
    <mergeCell ref="I60:J60"/>
    <mergeCell ref="K60:L60"/>
    <mergeCell ref="M60:N60"/>
    <mergeCell ref="O60:P60"/>
    <mergeCell ref="E56:H57"/>
    <mergeCell ref="I56:J57"/>
    <mergeCell ref="K56:L57"/>
    <mergeCell ref="M56:N57"/>
    <mergeCell ref="O56:P57"/>
    <mergeCell ref="B54:D55"/>
    <mergeCell ref="E54:H55"/>
    <mergeCell ref="I54:J55"/>
    <mergeCell ref="K54:L55"/>
    <mergeCell ref="M54:N55"/>
    <mergeCell ref="O54:P55"/>
    <mergeCell ref="A44:A59"/>
    <mergeCell ref="B44:D45"/>
    <mergeCell ref="E44:H45"/>
    <mergeCell ref="I44:J45"/>
    <mergeCell ref="K44:L45"/>
    <mergeCell ref="M44:N45"/>
    <mergeCell ref="Q44:R45"/>
    <mergeCell ref="S44:T45"/>
    <mergeCell ref="U44:V45"/>
    <mergeCell ref="B46:D47"/>
    <mergeCell ref="E46:H47"/>
    <mergeCell ref="K46:L47"/>
    <mergeCell ref="M46:N47"/>
    <mergeCell ref="O46:P47"/>
    <mergeCell ref="Q46:R47"/>
    <mergeCell ref="S46:T47"/>
    <mergeCell ref="U46:V47"/>
    <mergeCell ref="B48:D49"/>
    <mergeCell ref="E48:H49"/>
    <mergeCell ref="I48:J49"/>
    <mergeCell ref="K48:L49"/>
    <mergeCell ref="B52:D53"/>
    <mergeCell ref="E52:H53"/>
    <mergeCell ref="B56:D57"/>
    <mergeCell ref="U37:V38"/>
    <mergeCell ref="I39:J40"/>
    <mergeCell ref="K39:L40"/>
    <mergeCell ref="M39:N40"/>
    <mergeCell ref="O39:P40"/>
    <mergeCell ref="U39:V40"/>
    <mergeCell ref="M41:N42"/>
    <mergeCell ref="O41:P42"/>
    <mergeCell ref="Q41:R42"/>
    <mergeCell ref="S41:T42"/>
    <mergeCell ref="U41:V42"/>
    <mergeCell ref="O35:P36"/>
    <mergeCell ref="Q35:R36"/>
    <mergeCell ref="S35:T36"/>
    <mergeCell ref="B37:D38"/>
    <mergeCell ref="E37:H38"/>
    <mergeCell ref="I37:J38"/>
    <mergeCell ref="K37:L38"/>
    <mergeCell ref="M37:N38"/>
    <mergeCell ref="O37:P38"/>
    <mergeCell ref="Q37:R38"/>
    <mergeCell ref="S37:T38"/>
    <mergeCell ref="A27:A42"/>
    <mergeCell ref="B27:D28"/>
    <mergeCell ref="E27:H28"/>
    <mergeCell ref="I27:J28"/>
    <mergeCell ref="K27:L28"/>
    <mergeCell ref="M27:N28"/>
    <mergeCell ref="O27:P28"/>
    <mergeCell ref="Q27:R28"/>
    <mergeCell ref="S27:T28"/>
    <mergeCell ref="K31:L32"/>
    <mergeCell ref="M31:N32"/>
    <mergeCell ref="O31:P32"/>
    <mergeCell ref="Q31:R32"/>
    <mergeCell ref="S31:T32"/>
    <mergeCell ref="B35:D36"/>
    <mergeCell ref="E35:H36"/>
    <mergeCell ref="B33:D34"/>
    <mergeCell ref="E33:H34"/>
    <mergeCell ref="I33:J34"/>
    <mergeCell ref="K33:L34"/>
    <mergeCell ref="M33:N34"/>
    <mergeCell ref="Q33:R34"/>
    <mergeCell ref="S33:T34"/>
    <mergeCell ref="I35:J36"/>
    <mergeCell ref="K24:L25"/>
    <mergeCell ref="M24:N25"/>
    <mergeCell ref="O24:P25"/>
    <mergeCell ref="Q24:R25"/>
    <mergeCell ref="S24:T25"/>
    <mergeCell ref="U24:V25"/>
    <mergeCell ref="B39:D40"/>
    <mergeCell ref="E39:H40"/>
    <mergeCell ref="B26:D26"/>
    <mergeCell ref="E26:H26"/>
    <mergeCell ref="I26:J26"/>
    <mergeCell ref="K26:L26"/>
    <mergeCell ref="M26:N26"/>
    <mergeCell ref="O26:P26"/>
    <mergeCell ref="Q26:R26"/>
    <mergeCell ref="B29:D30"/>
    <mergeCell ref="E29:H30"/>
    <mergeCell ref="K29:L30"/>
    <mergeCell ref="M29:N30"/>
    <mergeCell ref="O29:P30"/>
    <mergeCell ref="Q29:R30"/>
    <mergeCell ref="S29:T30"/>
    <mergeCell ref="K35:L36"/>
    <mergeCell ref="M35:N36"/>
    <mergeCell ref="M10:N11"/>
    <mergeCell ref="O10:P11"/>
    <mergeCell ref="B14:D15"/>
    <mergeCell ref="E14:H15"/>
    <mergeCell ref="I14:J15"/>
    <mergeCell ref="K14:L15"/>
    <mergeCell ref="M14:N15"/>
    <mergeCell ref="O14:P15"/>
    <mergeCell ref="K10:L11"/>
    <mergeCell ref="I12:J13"/>
    <mergeCell ref="B41:D42"/>
    <mergeCell ref="E41:H42"/>
    <mergeCell ref="K41:L42"/>
    <mergeCell ref="O33:P34"/>
    <mergeCell ref="B31:D32"/>
    <mergeCell ref="E31:H32"/>
    <mergeCell ref="I31:J32"/>
    <mergeCell ref="B12:D13"/>
    <mergeCell ref="E12:H13"/>
    <mergeCell ref="K12:L13"/>
    <mergeCell ref="M12:N13"/>
    <mergeCell ref="O12:P13"/>
    <mergeCell ref="K22:L23"/>
    <mergeCell ref="M22:N23"/>
    <mergeCell ref="B20:D21"/>
    <mergeCell ref="E20:H21"/>
    <mergeCell ref="I20:J21"/>
    <mergeCell ref="K20:L21"/>
    <mergeCell ref="M20:N21"/>
    <mergeCell ref="O20:P21"/>
    <mergeCell ref="K18:L19"/>
    <mergeCell ref="O22:P23"/>
    <mergeCell ref="B24:D25"/>
    <mergeCell ref="E24:H25"/>
    <mergeCell ref="U16:V17"/>
    <mergeCell ref="M18:N19"/>
    <mergeCell ref="O18:P19"/>
    <mergeCell ref="O44:P45"/>
    <mergeCell ref="Q18:R19"/>
    <mergeCell ref="S18:T19"/>
    <mergeCell ref="U18:V19"/>
    <mergeCell ref="Q20:R21"/>
    <mergeCell ref="S20:T21"/>
    <mergeCell ref="U20:V21"/>
    <mergeCell ref="Q22:R23"/>
    <mergeCell ref="S22:T23"/>
    <mergeCell ref="U22:V23"/>
    <mergeCell ref="U27:V28"/>
    <mergeCell ref="U31:V32"/>
    <mergeCell ref="Q39:R40"/>
    <mergeCell ref="Q43:R43"/>
    <mergeCell ref="S43:T43"/>
    <mergeCell ref="U43:V43"/>
    <mergeCell ref="S26:T26"/>
    <mergeCell ref="U26:V26"/>
    <mergeCell ref="U29:V30"/>
    <mergeCell ref="U33:V34"/>
    <mergeCell ref="U35:V36"/>
    <mergeCell ref="S7:T9"/>
    <mergeCell ref="U7:V9"/>
    <mergeCell ref="O67:P68"/>
    <mergeCell ref="S10:T11"/>
    <mergeCell ref="U10:V11"/>
    <mergeCell ref="S12:T13"/>
    <mergeCell ref="U12:V13"/>
    <mergeCell ref="Q14:R15"/>
    <mergeCell ref="S14:T15"/>
    <mergeCell ref="U14:V15"/>
    <mergeCell ref="Q10:R11"/>
    <mergeCell ref="Q12:R13"/>
    <mergeCell ref="U48:V49"/>
    <mergeCell ref="U54:V55"/>
    <mergeCell ref="Q60:R60"/>
    <mergeCell ref="S60:T60"/>
    <mergeCell ref="Q56:R57"/>
    <mergeCell ref="S56:T57"/>
    <mergeCell ref="U63:V64"/>
    <mergeCell ref="S39:T40"/>
    <mergeCell ref="Q54:R55"/>
    <mergeCell ref="S54:T55"/>
    <mergeCell ref="S48:T49"/>
    <mergeCell ref="O16:P17"/>
    <mergeCell ref="B3:Q3"/>
    <mergeCell ref="A7:A9"/>
    <mergeCell ref="B7:D9"/>
    <mergeCell ref="E7:H9"/>
    <mergeCell ref="I7:J9"/>
    <mergeCell ref="A10:A25"/>
    <mergeCell ref="B10:D11"/>
    <mergeCell ref="E10:H11"/>
    <mergeCell ref="I10:J11"/>
    <mergeCell ref="B18:D19"/>
    <mergeCell ref="E18:H19"/>
    <mergeCell ref="I18:J19"/>
    <mergeCell ref="B16:D17"/>
    <mergeCell ref="E16:H17"/>
    <mergeCell ref="I16:J17"/>
    <mergeCell ref="B22:D23"/>
    <mergeCell ref="E22:H23"/>
    <mergeCell ref="I22:J23"/>
    <mergeCell ref="K7:L9"/>
    <mergeCell ref="M7:N9"/>
    <mergeCell ref="O7:P9"/>
    <mergeCell ref="Q7:R9"/>
    <mergeCell ref="K16:L17"/>
    <mergeCell ref="M16:N17"/>
    <mergeCell ref="A78:A93"/>
    <mergeCell ref="B78:D79"/>
    <mergeCell ref="E78:H79"/>
    <mergeCell ref="I78:J79"/>
    <mergeCell ref="K78:L79"/>
    <mergeCell ref="M78:N79"/>
    <mergeCell ref="O78:P79"/>
    <mergeCell ref="Q78:R79"/>
    <mergeCell ref="S78:T79"/>
    <mergeCell ref="M84:N85"/>
    <mergeCell ref="O84:P85"/>
    <mergeCell ref="Q84:R85"/>
    <mergeCell ref="S84:T85"/>
    <mergeCell ref="B88:D89"/>
    <mergeCell ref="E88:H89"/>
    <mergeCell ref="I88:J89"/>
    <mergeCell ref="K88:L89"/>
    <mergeCell ref="M88:N89"/>
    <mergeCell ref="O88:P89"/>
    <mergeCell ref="Q88:R89"/>
    <mergeCell ref="S88:T89"/>
    <mergeCell ref="B90:D91"/>
    <mergeCell ref="E90:H91"/>
    <mergeCell ref="I90:J91"/>
    <mergeCell ref="U78:V79"/>
    <mergeCell ref="X78:Z93"/>
    <mergeCell ref="B80:D81"/>
    <mergeCell ref="E80:H81"/>
    <mergeCell ref="K80:L81"/>
    <mergeCell ref="M80:N81"/>
    <mergeCell ref="O80:P81"/>
    <mergeCell ref="Q80:R81"/>
    <mergeCell ref="S80:T81"/>
    <mergeCell ref="U80:V81"/>
    <mergeCell ref="B82:D83"/>
    <mergeCell ref="E82:H83"/>
    <mergeCell ref="I82:J83"/>
    <mergeCell ref="K82:L83"/>
    <mergeCell ref="M82:N83"/>
    <mergeCell ref="O82:P83"/>
    <mergeCell ref="Q82:R83"/>
    <mergeCell ref="S82:T83"/>
    <mergeCell ref="U82:V83"/>
    <mergeCell ref="B84:D85"/>
    <mergeCell ref="E84:H85"/>
    <mergeCell ref="I84:J85"/>
    <mergeCell ref="K84:L85"/>
    <mergeCell ref="U88:V89"/>
    <mergeCell ref="U84:V85"/>
    <mergeCell ref="B86:D87"/>
    <mergeCell ref="E86:H87"/>
    <mergeCell ref="I86:J87"/>
    <mergeCell ref="K86:L87"/>
    <mergeCell ref="M86:N87"/>
    <mergeCell ref="O86:P87"/>
    <mergeCell ref="Q86:R87"/>
    <mergeCell ref="S86:T87"/>
    <mergeCell ref="U86:V87"/>
    <mergeCell ref="K90:L91"/>
    <mergeCell ref="M90:N91"/>
    <mergeCell ref="O90:P91"/>
    <mergeCell ref="Q90:R91"/>
    <mergeCell ref="S90:T91"/>
    <mergeCell ref="U90:V91"/>
    <mergeCell ref="B92:D93"/>
    <mergeCell ref="E92:H93"/>
    <mergeCell ref="K92:L93"/>
    <mergeCell ref="M92:N93"/>
    <mergeCell ref="O92:P93"/>
    <mergeCell ref="Q92:R93"/>
    <mergeCell ref="S92:T93"/>
    <mergeCell ref="U92:V93"/>
    <mergeCell ref="B94:D94"/>
    <mergeCell ref="E94:H94"/>
    <mergeCell ref="I94:J94"/>
    <mergeCell ref="K94:L94"/>
    <mergeCell ref="M94:N94"/>
    <mergeCell ref="O94:P94"/>
    <mergeCell ref="Q94:R94"/>
    <mergeCell ref="S94:T94"/>
    <mergeCell ref="U94:V94"/>
    <mergeCell ref="A95:A110"/>
    <mergeCell ref="B95:D96"/>
    <mergeCell ref="E95:H96"/>
    <mergeCell ref="I95:J96"/>
    <mergeCell ref="K95:L96"/>
    <mergeCell ref="M95:N96"/>
    <mergeCell ref="O95:P96"/>
    <mergeCell ref="Q95:R96"/>
    <mergeCell ref="S95:T96"/>
    <mergeCell ref="M101:N102"/>
    <mergeCell ref="O101:P102"/>
    <mergeCell ref="Q101:R102"/>
    <mergeCell ref="S101:T102"/>
    <mergeCell ref="B105:D106"/>
    <mergeCell ref="E105:H106"/>
    <mergeCell ref="I105:J106"/>
    <mergeCell ref="K105:L106"/>
    <mergeCell ref="M105:N106"/>
    <mergeCell ref="O105:P106"/>
    <mergeCell ref="Q105:R106"/>
    <mergeCell ref="S105:T106"/>
    <mergeCell ref="B107:D108"/>
    <mergeCell ref="E107:H108"/>
    <mergeCell ref="I107:J108"/>
    <mergeCell ref="U95:V96"/>
    <mergeCell ref="X95:Z110"/>
    <mergeCell ref="B97:D98"/>
    <mergeCell ref="E97:H98"/>
    <mergeCell ref="K97:L98"/>
    <mergeCell ref="M97:N98"/>
    <mergeCell ref="O97:P98"/>
    <mergeCell ref="Q97:R98"/>
    <mergeCell ref="S97:T98"/>
    <mergeCell ref="U97:V98"/>
    <mergeCell ref="B99:D100"/>
    <mergeCell ref="E99:H100"/>
    <mergeCell ref="I99:J100"/>
    <mergeCell ref="K99:L100"/>
    <mergeCell ref="M99:N100"/>
    <mergeCell ref="O99:P100"/>
    <mergeCell ref="Q99:R100"/>
    <mergeCell ref="S99:T100"/>
    <mergeCell ref="U99:V100"/>
    <mergeCell ref="B101:D102"/>
    <mergeCell ref="E101:H102"/>
    <mergeCell ref="I101:J102"/>
    <mergeCell ref="K101:L102"/>
    <mergeCell ref="U105:V106"/>
    <mergeCell ref="B109:D110"/>
    <mergeCell ref="E109:H110"/>
    <mergeCell ref="K109:L110"/>
    <mergeCell ref="M109:N110"/>
    <mergeCell ref="O109:P110"/>
    <mergeCell ref="Q109:R110"/>
    <mergeCell ref="S109:T110"/>
    <mergeCell ref="U109:V110"/>
    <mergeCell ref="U101:V102"/>
    <mergeCell ref="B103:D104"/>
    <mergeCell ref="E103:H104"/>
    <mergeCell ref="I103:J104"/>
    <mergeCell ref="K103:L104"/>
    <mergeCell ref="M103:N104"/>
    <mergeCell ref="O103:P104"/>
    <mergeCell ref="Q103:R104"/>
    <mergeCell ref="S103:T104"/>
    <mergeCell ref="U103:V104"/>
    <mergeCell ref="B111:D111"/>
    <mergeCell ref="E111:H111"/>
    <mergeCell ref="I111:J111"/>
    <mergeCell ref="K111:L111"/>
    <mergeCell ref="M111:N111"/>
    <mergeCell ref="O111:P111"/>
    <mergeCell ref="Q111:R111"/>
    <mergeCell ref="S111:T111"/>
    <mergeCell ref="U111:V111"/>
    <mergeCell ref="A112:A127"/>
    <mergeCell ref="B112:D113"/>
    <mergeCell ref="E112:H113"/>
    <mergeCell ref="I112:J113"/>
    <mergeCell ref="K112:L113"/>
    <mergeCell ref="M112:N113"/>
    <mergeCell ref="O112:P113"/>
    <mergeCell ref="Q112:R113"/>
    <mergeCell ref="S112:T113"/>
    <mergeCell ref="M118:N119"/>
    <mergeCell ref="O118:P119"/>
    <mergeCell ref="Q118:R119"/>
    <mergeCell ref="S118:T119"/>
    <mergeCell ref="B120:D121"/>
    <mergeCell ref="E120:H121"/>
    <mergeCell ref="I120:J121"/>
    <mergeCell ref="K120:L121"/>
    <mergeCell ref="M120:N121"/>
    <mergeCell ref="O120:P121"/>
    <mergeCell ref="Q120:R121"/>
    <mergeCell ref="S120:T121"/>
    <mergeCell ref="B126:D127"/>
    <mergeCell ref="E126:H127"/>
    <mergeCell ref="B122:D123"/>
    <mergeCell ref="X112:Z127"/>
    <mergeCell ref="B114:D115"/>
    <mergeCell ref="E114:H115"/>
    <mergeCell ref="K114:L115"/>
    <mergeCell ref="M114:N115"/>
    <mergeCell ref="O114:P115"/>
    <mergeCell ref="Q114:R115"/>
    <mergeCell ref="S114:T115"/>
    <mergeCell ref="U114:V115"/>
    <mergeCell ref="B116:D117"/>
    <mergeCell ref="E116:H117"/>
    <mergeCell ref="I116:J117"/>
    <mergeCell ref="K116:L117"/>
    <mergeCell ref="M116:N117"/>
    <mergeCell ref="O116:P117"/>
    <mergeCell ref="Q116:R117"/>
    <mergeCell ref="S116:T117"/>
    <mergeCell ref="U116:V117"/>
    <mergeCell ref="B118:D119"/>
    <mergeCell ref="E118:H119"/>
    <mergeCell ref="I118:J119"/>
    <mergeCell ref="K118:L119"/>
    <mergeCell ref="U118:V119"/>
    <mergeCell ref="E122:H123"/>
    <mergeCell ref="K122:L123"/>
    <mergeCell ref="M122:N123"/>
    <mergeCell ref="O122:P123"/>
    <mergeCell ref="Q122:R123"/>
    <mergeCell ref="S122:T123"/>
    <mergeCell ref="U122:V123"/>
    <mergeCell ref="B124:D125"/>
    <mergeCell ref="E124:H125"/>
    <mergeCell ref="I124:J125"/>
    <mergeCell ref="K124:L125"/>
    <mergeCell ref="M124:N125"/>
    <mergeCell ref="O124:P125"/>
    <mergeCell ref="Q124:R125"/>
    <mergeCell ref="S124:T125"/>
    <mergeCell ref="U124:V125"/>
    <mergeCell ref="B128:D128"/>
    <mergeCell ref="E128:H128"/>
    <mergeCell ref="I128:J128"/>
    <mergeCell ref="K128:L128"/>
    <mergeCell ref="M128:N128"/>
    <mergeCell ref="O128:P128"/>
    <mergeCell ref="Q128:R128"/>
    <mergeCell ref="S128:T128"/>
    <mergeCell ref="U128:V128"/>
    <mergeCell ref="A129:A144"/>
    <mergeCell ref="B129:D130"/>
    <mergeCell ref="E129:H130"/>
    <mergeCell ref="I129:J130"/>
    <mergeCell ref="K129:L130"/>
    <mergeCell ref="M129:N130"/>
    <mergeCell ref="O129:P130"/>
    <mergeCell ref="Q129:R130"/>
    <mergeCell ref="S129:T130"/>
    <mergeCell ref="M135:N136"/>
    <mergeCell ref="O135:P136"/>
    <mergeCell ref="Q135:R136"/>
    <mergeCell ref="S135:T136"/>
    <mergeCell ref="B139:D140"/>
    <mergeCell ref="E139:H140"/>
    <mergeCell ref="I139:J140"/>
    <mergeCell ref="K139:L140"/>
    <mergeCell ref="M139:N140"/>
    <mergeCell ref="O139:P140"/>
    <mergeCell ref="Q139:R140"/>
    <mergeCell ref="S139:T140"/>
    <mergeCell ref="B141:D142"/>
    <mergeCell ref="E141:H142"/>
    <mergeCell ref="I141:J142"/>
    <mergeCell ref="X129:Z144"/>
    <mergeCell ref="B131:D132"/>
    <mergeCell ref="E131:H132"/>
    <mergeCell ref="K131:L132"/>
    <mergeCell ref="M131:N132"/>
    <mergeCell ref="O131:P132"/>
    <mergeCell ref="Q131:R132"/>
    <mergeCell ref="S131:T132"/>
    <mergeCell ref="U131:V132"/>
    <mergeCell ref="B133:D134"/>
    <mergeCell ref="E133:H134"/>
    <mergeCell ref="I133:J134"/>
    <mergeCell ref="K133:L134"/>
    <mergeCell ref="M133:N134"/>
    <mergeCell ref="O133:P134"/>
    <mergeCell ref="Q133:R134"/>
    <mergeCell ref="S133:T134"/>
    <mergeCell ref="U133:V134"/>
    <mergeCell ref="B135:D136"/>
    <mergeCell ref="E135:H136"/>
    <mergeCell ref="I135:J136"/>
    <mergeCell ref="K135:L136"/>
    <mergeCell ref="B137:D138"/>
    <mergeCell ref="K141:L142"/>
    <mergeCell ref="M141:N142"/>
    <mergeCell ref="O141:P142"/>
    <mergeCell ref="Q141:R142"/>
    <mergeCell ref="S141:T142"/>
    <mergeCell ref="U141:V142"/>
    <mergeCell ref="B143:D144"/>
    <mergeCell ref="E137:H138"/>
    <mergeCell ref="I137:J138"/>
    <mergeCell ref="K137:L138"/>
    <mergeCell ref="M137:N138"/>
    <mergeCell ref="O137:P138"/>
    <mergeCell ref="Q137:R138"/>
    <mergeCell ref="S137:T138"/>
    <mergeCell ref="U137:V138"/>
    <mergeCell ref="K143:L144"/>
    <mergeCell ref="M143:N144"/>
    <mergeCell ref="O143:P144"/>
    <mergeCell ref="Q143:R144"/>
    <mergeCell ref="S143:T144"/>
    <mergeCell ref="U143:V144"/>
    <mergeCell ref="U139:V140"/>
    <mergeCell ref="E143:H144"/>
    <mergeCell ref="B145:D145"/>
    <mergeCell ref="E145:H145"/>
    <mergeCell ref="I145:J145"/>
    <mergeCell ref="K145:L145"/>
    <mergeCell ref="M145:N145"/>
    <mergeCell ref="O145:P145"/>
    <mergeCell ref="Q145:R145"/>
    <mergeCell ref="S145:T145"/>
    <mergeCell ref="U145:V145"/>
    <mergeCell ref="U135:V136"/>
    <mergeCell ref="I52:J53"/>
    <mergeCell ref="K52:L53"/>
    <mergeCell ref="M52:N53"/>
    <mergeCell ref="O52:P53"/>
    <mergeCell ref="Q52:R53"/>
    <mergeCell ref="S52:T53"/>
    <mergeCell ref="U52:V53"/>
    <mergeCell ref="U129:V130"/>
    <mergeCell ref="K126:L127"/>
    <mergeCell ref="M126:N127"/>
    <mergeCell ref="O126:P127"/>
    <mergeCell ref="Q126:R127"/>
    <mergeCell ref="S126:T127"/>
    <mergeCell ref="U126:V127"/>
    <mergeCell ref="U120:V121"/>
    <mergeCell ref="U112:V113"/>
    <mergeCell ref="K107:L108"/>
    <mergeCell ref="M107:N108"/>
    <mergeCell ref="O107:P108"/>
    <mergeCell ref="Q107:R108"/>
    <mergeCell ref="S107:T108"/>
    <mergeCell ref="U107:V108"/>
    <mergeCell ref="I122:J123"/>
    <mergeCell ref="I24:J25"/>
    <mergeCell ref="I41:J42"/>
    <mergeCell ref="I58:J59"/>
    <mergeCell ref="I75:J76"/>
    <mergeCell ref="I92:J93"/>
    <mergeCell ref="I109:J110"/>
    <mergeCell ref="I126:J127"/>
    <mergeCell ref="I143:J144"/>
    <mergeCell ref="I131:J132"/>
    <mergeCell ref="I114:J115"/>
    <mergeCell ref="I97:J98"/>
    <mergeCell ref="I80:J81"/>
    <mergeCell ref="I63:J64"/>
    <mergeCell ref="I46:J47"/>
    <mergeCell ref="I29:J30"/>
  </mergeCells>
  <pageMargins left="0.7" right="0.7" top="0.75" bottom="0.75" header="0.3" footer="0.3"/>
  <pageSetup paperSize="32002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4"/>
  <sheetViews>
    <sheetView zoomScale="60" zoomScaleNormal="60" workbookViewId="0">
      <selection activeCell="Z1" sqref="Z1:Z4"/>
    </sheetView>
  </sheetViews>
  <sheetFormatPr defaultColWidth="8.85546875" defaultRowHeight="15" x14ac:dyDescent="0.25"/>
  <cols>
    <col min="8" max="8" width="13.7109375" customWidth="1"/>
    <col min="9" max="9" width="14.140625" bestFit="1" customWidth="1"/>
    <col min="23" max="23" width="16" customWidth="1"/>
  </cols>
  <sheetData>
    <row r="1" spans="1:31" x14ac:dyDescent="0.25">
      <c r="Z1" s="29" t="s">
        <v>113</v>
      </c>
    </row>
    <row r="2" spans="1:31" x14ac:dyDescent="0.25">
      <c r="Z2" s="29" t="s">
        <v>114</v>
      </c>
    </row>
    <row r="3" spans="1:31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Z3" s="29" t="s">
        <v>115</v>
      </c>
    </row>
    <row r="4" spans="1:31" x14ac:dyDescent="0.25">
      <c r="Z4" s="29" t="s">
        <v>116</v>
      </c>
    </row>
    <row r="5" spans="1:31" x14ac:dyDescent="0.25">
      <c r="Z5" s="4"/>
    </row>
    <row r="6" spans="1:31" ht="15.75" thickBot="1" x14ac:dyDescent="0.3"/>
    <row r="7" spans="1:31" x14ac:dyDescent="0.25">
      <c r="A7" s="120" t="s">
        <v>0</v>
      </c>
      <c r="B7" s="123"/>
      <c r="C7" s="124"/>
      <c r="D7" s="125"/>
      <c r="E7" s="68" t="s">
        <v>9</v>
      </c>
      <c r="F7" s="129"/>
      <c r="G7" s="129"/>
      <c r="H7" s="69"/>
      <c r="I7" s="68" t="s">
        <v>10</v>
      </c>
      <c r="J7" s="69"/>
      <c r="K7" s="68" t="s">
        <v>34</v>
      </c>
      <c r="L7" s="69"/>
      <c r="M7" s="68" t="s">
        <v>11</v>
      </c>
      <c r="N7" s="69"/>
      <c r="O7" s="68" t="s">
        <v>12</v>
      </c>
      <c r="P7" s="69"/>
      <c r="Q7" s="68" t="s">
        <v>13</v>
      </c>
      <c r="R7" s="69"/>
      <c r="S7" s="68" t="s">
        <v>14</v>
      </c>
      <c r="T7" s="69"/>
      <c r="U7" s="68" t="s">
        <v>15</v>
      </c>
      <c r="V7" s="69"/>
      <c r="W7" s="111" t="s">
        <v>59</v>
      </c>
      <c r="X7" s="333" t="s">
        <v>18</v>
      </c>
      <c r="Y7" s="334"/>
      <c r="Z7" s="335"/>
    </row>
    <row r="8" spans="1:31" x14ac:dyDescent="0.25">
      <c r="A8" s="121"/>
      <c r="B8" s="123"/>
      <c r="C8" s="124"/>
      <c r="D8" s="125"/>
      <c r="E8" s="70"/>
      <c r="F8" s="130"/>
      <c r="G8" s="13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112"/>
      <c r="X8" s="336"/>
      <c r="Y8" s="276"/>
      <c r="Z8" s="337"/>
    </row>
    <row r="9" spans="1:31" ht="15.75" thickBot="1" x14ac:dyDescent="0.3">
      <c r="A9" s="122"/>
      <c r="B9" s="126"/>
      <c r="C9" s="127"/>
      <c r="D9" s="128"/>
      <c r="E9" s="72"/>
      <c r="F9" s="131"/>
      <c r="G9" s="131"/>
      <c r="H9" s="73"/>
      <c r="I9" s="72"/>
      <c r="J9" s="73"/>
      <c r="K9" s="72"/>
      <c r="L9" s="73"/>
      <c r="M9" s="72"/>
      <c r="N9" s="73"/>
      <c r="O9" s="72"/>
      <c r="P9" s="73"/>
      <c r="Q9" s="72"/>
      <c r="R9" s="73"/>
      <c r="S9" s="72"/>
      <c r="T9" s="73"/>
      <c r="U9" s="72"/>
      <c r="V9" s="73"/>
      <c r="W9" s="113"/>
      <c r="X9" s="338"/>
      <c r="Y9" s="339"/>
      <c r="Z9" s="340"/>
      <c r="AB9" s="13"/>
      <c r="AC9" s="13"/>
      <c r="AD9" s="13"/>
      <c r="AE9" s="13"/>
    </row>
    <row r="10" spans="1:31" x14ac:dyDescent="0.25">
      <c r="A10" s="111">
        <v>1</v>
      </c>
      <c r="B10" s="308" t="s">
        <v>1</v>
      </c>
      <c r="C10" s="299"/>
      <c r="D10" s="296"/>
      <c r="E10" s="327" t="s">
        <v>97</v>
      </c>
      <c r="F10" s="328"/>
      <c r="G10" s="328"/>
      <c r="H10" s="329"/>
      <c r="I10" s="295"/>
      <c r="J10" s="305"/>
      <c r="K10" s="308">
        <v>150</v>
      </c>
      <c r="L10" s="296"/>
      <c r="M10" s="308">
        <v>130</v>
      </c>
      <c r="N10" s="296"/>
      <c r="O10" s="309">
        <v>490</v>
      </c>
      <c r="P10" s="310"/>
      <c r="Q10" s="309">
        <v>80</v>
      </c>
      <c r="R10" s="310"/>
      <c r="S10" s="309">
        <v>24</v>
      </c>
      <c r="T10" s="310"/>
      <c r="U10" s="309">
        <v>8</v>
      </c>
      <c r="V10" s="310"/>
      <c r="W10" s="341"/>
      <c r="X10" s="68">
        <v>1200</v>
      </c>
      <c r="Y10" s="129"/>
      <c r="Z10" s="69"/>
      <c r="AB10" s="17"/>
      <c r="AC10" s="14"/>
      <c r="AD10" s="14"/>
      <c r="AE10" s="14"/>
    </row>
    <row r="11" spans="1:31" ht="15.75" thickBot="1" x14ac:dyDescent="0.3">
      <c r="A11" s="112"/>
      <c r="B11" s="297"/>
      <c r="C11" s="300"/>
      <c r="D11" s="298"/>
      <c r="E11" s="330"/>
      <c r="F11" s="331"/>
      <c r="G11" s="331"/>
      <c r="H11" s="332"/>
      <c r="I11" s="306"/>
      <c r="J11" s="307"/>
      <c r="K11" s="297"/>
      <c r="L11" s="298"/>
      <c r="M11" s="297"/>
      <c r="N11" s="298"/>
      <c r="O11" s="311"/>
      <c r="P11" s="312"/>
      <c r="Q11" s="311"/>
      <c r="R11" s="312"/>
      <c r="S11" s="311"/>
      <c r="T11" s="312"/>
      <c r="U11" s="311"/>
      <c r="V11" s="312"/>
      <c r="W11" s="342"/>
      <c r="X11" s="70"/>
      <c r="Y11" s="130"/>
      <c r="Z11" s="71"/>
      <c r="AB11" s="14"/>
      <c r="AC11" s="14"/>
      <c r="AD11" s="14"/>
      <c r="AE11" s="14"/>
    </row>
    <row r="12" spans="1:31" x14ac:dyDescent="0.25">
      <c r="A12" s="112"/>
      <c r="B12" s="308" t="s">
        <v>2</v>
      </c>
      <c r="C12" s="299"/>
      <c r="D12" s="296"/>
      <c r="E12" s="308" t="s">
        <v>99</v>
      </c>
      <c r="F12" s="299"/>
      <c r="G12" s="299"/>
      <c r="H12" s="296"/>
      <c r="I12" s="295"/>
      <c r="J12" s="299"/>
      <c r="K12" s="295">
        <v>55</v>
      </c>
      <c r="L12" s="305"/>
      <c r="M12" s="299">
        <v>50</v>
      </c>
      <c r="N12" s="296"/>
      <c r="O12" s="301">
        <f>379.5*M12/100</f>
        <v>189.75</v>
      </c>
      <c r="P12" s="302"/>
      <c r="Q12" s="301">
        <f>71*M12/100</f>
        <v>35.5</v>
      </c>
      <c r="R12" s="302"/>
      <c r="S12" s="301">
        <f>9.3*M12/100</f>
        <v>4.6500000000000004</v>
      </c>
      <c r="T12" s="302"/>
      <c r="U12" s="301">
        <f>6.2*M12/100</f>
        <v>3.1</v>
      </c>
      <c r="V12" s="302"/>
      <c r="W12" s="341"/>
      <c r="X12" s="70"/>
      <c r="Y12" s="130"/>
      <c r="Z12" s="71"/>
    </row>
    <row r="13" spans="1:31" ht="15.75" thickBot="1" x14ac:dyDescent="0.3">
      <c r="A13" s="112"/>
      <c r="B13" s="297"/>
      <c r="C13" s="300"/>
      <c r="D13" s="298"/>
      <c r="E13" s="297"/>
      <c r="F13" s="300"/>
      <c r="G13" s="300"/>
      <c r="H13" s="298"/>
      <c r="I13" s="297"/>
      <c r="J13" s="300"/>
      <c r="K13" s="306"/>
      <c r="L13" s="307"/>
      <c r="M13" s="300"/>
      <c r="N13" s="298"/>
      <c r="O13" s="303"/>
      <c r="P13" s="304"/>
      <c r="Q13" s="303"/>
      <c r="R13" s="304"/>
      <c r="S13" s="303"/>
      <c r="T13" s="304"/>
      <c r="U13" s="303"/>
      <c r="V13" s="304"/>
      <c r="W13" s="342"/>
      <c r="X13" s="70"/>
      <c r="Y13" s="130"/>
      <c r="Z13" s="71"/>
    </row>
    <row r="14" spans="1:31" x14ac:dyDescent="0.25">
      <c r="A14" s="112"/>
      <c r="B14" s="308" t="s">
        <v>3</v>
      </c>
      <c r="C14" s="299"/>
      <c r="D14" s="296"/>
      <c r="E14" s="308" t="s">
        <v>21</v>
      </c>
      <c r="F14" s="299"/>
      <c r="G14" s="299"/>
      <c r="H14" s="296"/>
      <c r="I14" s="295">
        <v>4742870019008</v>
      </c>
      <c r="J14" s="296"/>
      <c r="K14" s="358">
        <v>80</v>
      </c>
      <c r="L14" s="359"/>
      <c r="M14" s="308">
        <v>75</v>
      </c>
      <c r="N14" s="296"/>
      <c r="O14" s="301">
        <v>225</v>
      </c>
      <c r="P14" s="302"/>
      <c r="Q14" s="301">
        <v>1.05</v>
      </c>
      <c r="R14" s="302"/>
      <c r="S14" s="301">
        <v>7.2</v>
      </c>
      <c r="T14" s="302"/>
      <c r="U14" s="301">
        <v>21.23</v>
      </c>
      <c r="V14" s="302"/>
      <c r="W14" s="343"/>
      <c r="X14" s="70"/>
      <c r="Y14" s="130"/>
      <c r="Z14" s="71"/>
    </row>
    <row r="15" spans="1:31" ht="15.75" thickBot="1" x14ac:dyDescent="0.3">
      <c r="A15" s="112"/>
      <c r="B15" s="297"/>
      <c r="C15" s="300"/>
      <c r="D15" s="298"/>
      <c r="E15" s="297"/>
      <c r="F15" s="300"/>
      <c r="G15" s="300"/>
      <c r="H15" s="298"/>
      <c r="I15" s="297"/>
      <c r="J15" s="298"/>
      <c r="K15" s="306"/>
      <c r="L15" s="307"/>
      <c r="M15" s="297"/>
      <c r="N15" s="298"/>
      <c r="O15" s="303"/>
      <c r="P15" s="304"/>
      <c r="Q15" s="303"/>
      <c r="R15" s="304"/>
      <c r="S15" s="303"/>
      <c r="T15" s="304"/>
      <c r="U15" s="303"/>
      <c r="V15" s="304"/>
      <c r="W15" s="344"/>
      <c r="X15" s="70"/>
      <c r="Y15" s="130"/>
      <c r="Z15" s="71"/>
    </row>
    <row r="16" spans="1:31" x14ac:dyDescent="0.25">
      <c r="A16" s="112"/>
      <c r="B16" s="308" t="s">
        <v>4</v>
      </c>
      <c r="C16" s="299"/>
      <c r="D16" s="296"/>
      <c r="E16" s="327" t="s">
        <v>61</v>
      </c>
      <c r="F16" s="328"/>
      <c r="G16" s="328"/>
      <c r="H16" s="329"/>
      <c r="I16" s="348"/>
      <c r="J16" s="349"/>
      <c r="K16" s="327">
        <v>65</v>
      </c>
      <c r="L16" s="329"/>
      <c r="M16" s="308">
        <v>60</v>
      </c>
      <c r="N16" s="296"/>
      <c r="O16" s="301">
        <f>480*M16/100</f>
        <v>288</v>
      </c>
      <c r="P16" s="302"/>
      <c r="Q16" s="301">
        <f>50.8*M16/100</f>
        <v>30.48</v>
      </c>
      <c r="R16" s="302"/>
      <c r="S16" s="301">
        <f>12.8*M16/100</f>
        <v>7.68</v>
      </c>
      <c r="T16" s="302"/>
      <c r="U16" s="301">
        <f>24.1*M16/100</f>
        <v>14.46</v>
      </c>
      <c r="V16" s="302"/>
      <c r="W16" s="343"/>
      <c r="X16" s="70"/>
      <c r="Y16" s="130"/>
      <c r="Z16" s="71"/>
    </row>
    <row r="17" spans="1:31" ht="15.75" thickBot="1" x14ac:dyDescent="0.3">
      <c r="A17" s="112"/>
      <c r="B17" s="297"/>
      <c r="C17" s="300"/>
      <c r="D17" s="298"/>
      <c r="E17" s="330"/>
      <c r="F17" s="331"/>
      <c r="G17" s="331"/>
      <c r="H17" s="332"/>
      <c r="I17" s="350"/>
      <c r="J17" s="351"/>
      <c r="K17" s="330"/>
      <c r="L17" s="332"/>
      <c r="M17" s="297"/>
      <c r="N17" s="298"/>
      <c r="O17" s="303"/>
      <c r="P17" s="304"/>
      <c r="Q17" s="303"/>
      <c r="R17" s="304"/>
      <c r="S17" s="303"/>
      <c r="T17" s="304"/>
      <c r="U17" s="303"/>
      <c r="V17" s="304"/>
      <c r="W17" s="344"/>
      <c r="X17" s="70"/>
      <c r="Y17" s="130"/>
      <c r="Z17" s="71"/>
    </row>
    <row r="18" spans="1:31" x14ac:dyDescent="0.25">
      <c r="A18" s="112"/>
      <c r="B18" s="308" t="s">
        <v>5</v>
      </c>
      <c r="C18" s="299"/>
      <c r="D18" s="296"/>
      <c r="E18" s="308" t="s">
        <v>44</v>
      </c>
      <c r="F18" s="299"/>
      <c r="G18" s="299"/>
      <c r="H18" s="296"/>
      <c r="I18" s="295">
        <v>4742870011989</v>
      </c>
      <c r="J18" s="305"/>
      <c r="K18" s="308">
        <v>32</v>
      </c>
      <c r="L18" s="296"/>
      <c r="M18" s="308">
        <v>30</v>
      </c>
      <c r="N18" s="296"/>
      <c r="O18" s="309">
        <v>183.6</v>
      </c>
      <c r="P18" s="310"/>
      <c r="Q18" s="309">
        <v>2.25</v>
      </c>
      <c r="R18" s="310"/>
      <c r="S18" s="309">
        <v>9.4499999999999993</v>
      </c>
      <c r="T18" s="310"/>
      <c r="U18" s="309">
        <v>14.58</v>
      </c>
      <c r="V18" s="310"/>
      <c r="W18" s="343"/>
      <c r="X18" s="70"/>
      <c r="Y18" s="130"/>
      <c r="Z18" s="71"/>
    </row>
    <row r="19" spans="1:31" ht="15.75" thickBot="1" x14ac:dyDescent="0.3">
      <c r="A19" s="112"/>
      <c r="B19" s="297"/>
      <c r="C19" s="300"/>
      <c r="D19" s="298"/>
      <c r="E19" s="297"/>
      <c r="F19" s="300"/>
      <c r="G19" s="300"/>
      <c r="H19" s="298"/>
      <c r="I19" s="306"/>
      <c r="J19" s="307"/>
      <c r="K19" s="297"/>
      <c r="L19" s="298"/>
      <c r="M19" s="297"/>
      <c r="N19" s="298"/>
      <c r="O19" s="311"/>
      <c r="P19" s="312"/>
      <c r="Q19" s="311"/>
      <c r="R19" s="312"/>
      <c r="S19" s="311"/>
      <c r="T19" s="312"/>
      <c r="U19" s="311"/>
      <c r="V19" s="312"/>
      <c r="W19" s="344"/>
      <c r="X19" s="70"/>
      <c r="Y19" s="130"/>
      <c r="Z19" s="71"/>
    </row>
    <row r="20" spans="1:31" x14ac:dyDescent="0.25">
      <c r="A20" s="112"/>
      <c r="B20" s="308" t="s">
        <v>17</v>
      </c>
      <c r="C20" s="299"/>
      <c r="D20" s="296"/>
      <c r="E20" s="308" t="s">
        <v>26</v>
      </c>
      <c r="F20" s="299"/>
      <c r="G20" s="299"/>
      <c r="H20" s="296"/>
      <c r="I20" s="295">
        <v>4742870013945</v>
      </c>
      <c r="J20" s="296"/>
      <c r="K20" s="295">
        <v>17</v>
      </c>
      <c r="L20" s="305"/>
      <c r="M20" s="308">
        <v>15</v>
      </c>
      <c r="N20" s="296"/>
      <c r="O20" s="301">
        <v>66</v>
      </c>
      <c r="P20" s="302"/>
      <c r="Q20" s="301">
        <v>11.9</v>
      </c>
      <c r="R20" s="302"/>
      <c r="S20" s="301">
        <v>0.7</v>
      </c>
      <c r="T20" s="302"/>
      <c r="U20" s="301">
        <v>1.6</v>
      </c>
      <c r="V20" s="302"/>
      <c r="W20" s="343"/>
      <c r="X20" s="70"/>
      <c r="Y20" s="130"/>
      <c r="Z20" s="71"/>
    </row>
    <row r="21" spans="1:31" ht="15.75" thickBot="1" x14ac:dyDescent="0.3">
      <c r="A21" s="112"/>
      <c r="B21" s="297"/>
      <c r="C21" s="300"/>
      <c r="D21" s="298"/>
      <c r="E21" s="297"/>
      <c r="F21" s="300"/>
      <c r="G21" s="300"/>
      <c r="H21" s="298"/>
      <c r="I21" s="297"/>
      <c r="J21" s="298"/>
      <c r="K21" s="306"/>
      <c r="L21" s="307"/>
      <c r="M21" s="297"/>
      <c r="N21" s="298"/>
      <c r="O21" s="303"/>
      <c r="P21" s="304"/>
      <c r="Q21" s="303"/>
      <c r="R21" s="304"/>
      <c r="S21" s="303"/>
      <c r="T21" s="304"/>
      <c r="U21" s="303"/>
      <c r="V21" s="304"/>
      <c r="W21" s="344"/>
      <c r="X21" s="70"/>
      <c r="Y21" s="130"/>
      <c r="Z21" s="71"/>
    </row>
    <row r="22" spans="1:31" x14ac:dyDescent="0.25">
      <c r="A22" s="112"/>
      <c r="B22" s="308" t="s">
        <v>6</v>
      </c>
      <c r="C22" s="299"/>
      <c r="D22" s="296"/>
      <c r="E22" s="327" t="s">
        <v>53</v>
      </c>
      <c r="F22" s="328"/>
      <c r="G22" s="328"/>
      <c r="H22" s="329"/>
      <c r="I22" s="348">
        <v>4742870017790</v>
      </c>
      <c r="J22" s="349"/>
      <c r="K22" s="327">
        <v>42</v>
      </c>
      <c r="L22" s="329"/>
      <c r="M22" s="308">
        <v>40</v>
      </c>
      <c r="N22" s="296"/>
      <c r="O22" s="309">
        <v>109.4</v>
      </c>
      <c r="P22" s="310"/>
      <c r="Q22" s="309">
        <v>27.4</v>
      </c>
      <c r="R22" s="310"/>
      <c r="S22" s="309">
        <v>0</v>
      </c>
      <c r="T22" s="310"/>
      <c r="U22" s="309">
        <v>0</v>
      </c>
      <c r="V22" s="310"/>
      <c r="W22" s="345"/>
      <c r="X22" s="70"/>
      <c r="Y22" s="130"/>
      <c r="Z22" s="71"/>
    </row>
    <row r="23" spans="1:31" ht="15.75" thickBot="1" x14ac:dyDescent="0.3">
      <c r="A23" s="112"/>
      <c r="B23" s="297"/>
      <c r="C23" s="300"/>
      <c r="D23" s="298"/>
      <c r="E23" s="330"/>
      <c r="F23" s="331"/>
      <c r="G23" s="331"/>
      <c r="H23" s="332"/>
      <c r="I23" s="350"/>
      <c r="J23" s="351"/>
      <c r="K23" s="330"/>
      <c r="L23" s="332"/>
      <c r="M23" s="297"/>
      <c r="N23" s="298"/>
      <c r="O23" s="311"/>
      <c r="P23" s="312"/>
      <c r="Q23" s="311"/>
      <c r="R23" s="312"/>
      <c r="S23" s="311"/>
      <c r="T23" s="312"/>
      <c r="U23" s="311"/>
      <c r="V23" s="312"/>
      <c r="W23" s="346"/>
      <c r="X23" s="70"/>
      <c r="Y23" s="130"/>
      <c r="Z23" s="71"/>
    </row>
    <row r="24" spans="1:31" x14ac:dyDescent="0.25">
      <c r="A24" s="112"/>
      <c r="B24" s="308" t="s">
        <v>7</v>
      </c>
      <c r="C24" s="299"/>
      <c r="D24" s="296"/>
      <c r="E24" s="327" t="s">
        <v>66</v>
      </c>
      <c r="F24" s="328"/>
      <c r="G24" s="328"/>
      <c r="H24" s="329"/>
      <c r="I24" s="348"/>
      <c r="J24" s="296"/>
      <c r="K24" s="295">
        <v>4</v>
      </c>
      <c r="L24" s="305"/>
      <c r="M24" s="308">
        <v>2</v>
      </c>
      <c r="N24" s="296"/>
      <c r="O24" s="301">
        <v>0</v>
      </c>
      <c r="P24" s="302"/>
      <c r="Q24" s="301">
        <v>0</v>
      </c>
      <c r="R24" s="302"/>
      <c r="S24" s="301">
        <v>0</v>
      </c>
      <c r="T24" s="302"/>
      <c r="U24" s="301">
        <v>0</v>
      </c>
      <c r="V24" s="302"/>
      <c r="W24" s="347"/>
      <c r="X24" s="70"/>
      <c r="Y24" s="130"/>
      <c r="Z24" s="71"/>
    </row>
    <row r="25" spans="1:31" ht="15.75" thickBot="1" x14ac:dyDescent="0.3">
      <c r="A25" s="112"/>
      <c r="B25" s="297"/>
      <c r="C25" s="300"/>
      <c r="D25" s="298"/>
      <c r="E25" s="330"/>
      <c r="F25" s="331"/>
      <c r="G25" s="331"/>
      <c r="H25" s="332"/>
      <c r="I25" s="297"/>
      <c r="J25" s="298"/>
      <c r="K25" s="306"/>
      <c r="L25" s="307"/>
      <c r="M25" s="297"/>
      <c r="N25" s="298"/>
      <c r="O25" s="303"/>
      <c r="P25" s="304"/>
      <c r="Q25" s="303"/>
      <c r="R25" s="304"/>
      <c r="S25" s="303"/>
      <c r="T25" s="304"/>
      <c r="U25" s="303"/>
      <c r="V25" s="304"/>
      <c r="W25" s="344"/>
      <c r="X25" s="70"/>
      <c r="Y25" s="130"/>
      <c r="Z25" s="71"/>
    </row>
    <row r="26" spans="1:31" x14ac:dyDescent="0.25">
      <c r="A26" s="112"/>
      <c r="B26" s="308" t="s">
        <v>8</v>
      </c>
      <c r="C26" s="299"/>
      <c r="D26" s="296"/>
      <c r="E26" s="327" t="s">
        <v>8</v>
      </c>
      <c r="F26" s="328"/>
      <c r="G26" s="328"/>
      <c r="H26" s="329"/>
      <c r="I26" s="18"/>
      <c r="J26" s="18"/>
      <c r="K26" s="295"/>
      <c r="L26" s="305"/>
      <c r="M26" s="308"/>
      <c r="N26" s="296"/>
      <c r="O26" s="301"/>
      <c r="P26" s="302"/>
      <c r="Q26" s="301"/>
      <c r="R26" s="302"/>
      <c r="S26" s="301"/>
      <c r="T26" s="302"/>
      <c r="U26" s="301"/>
      <c r="V26" s="302"/>
      <c r="W26" s="347"/>
      <c r="X26" s="70"/>
      <c r="Y26" s="130"/>
      <c r="Z26" s="71"/>
    </row>
    <row r="27" spans="1:31" ht="15.75" thickBot="1" x14ac:dyDescent="0.3">
      <c r="A27" s="113"/>
      <c r="B27" s="297"/>
      <c r="C27" s="300"/>
      <c r="D27" s="298"/>
      <c r="E27" s="330"/>
      <c r="F27" s="331"/>
      <c r="G27" s="331"/>
      <c r="H27" s="332"/>
      <c r="I27" s="19"/>
      <c r="J27" s="19"/>
      <c r="K27" s="306"/>
      <c r="L27" s="307"/>
      <c r="M27" s="297"/>
      <c r="N27" s="298"/>
      <c r="O27" s="303"/>
      <c r="P27" s="304"/>
      <c r="Q27" s="303"/>
      <c r="R27" s="304"/>
      <c r="S27" s="303"/>
      <c r="T27" s="304"/>
      <c r="U27" s="303"/>
      <c r="V27" s="304"/>
      <c r="W27" s="344"/>
      <c r="X27" s="72"/>
      <c r="Y27" s="131"/>
      <c r="Z27" s="73"/>
    </row>
    <row r="28" spans="1:31" ht="15.75" thickBot="1" x14ac:dyDescent="0.3">
      <c r="A28" s="1"/>
      <c r="B28" s="156" t="s">
        <v>16</v>
      </c>
      <c r="C28" s="157"/>
      <c r="D28" s="158"/>
      <c r="E28" s="159"/>
      <c r="F28" s="160"/>
      <c r="G28" s="160"/>
      <c r="H28" s="161"/>
      <c r="I28" s="262"/>
      <c r="J28" s="263"/>
      <c r="K28" s="159">
        <f>SUM(K10:L27)</f>
        <v>445</v>
      </c>
      <c r="L28" s="161"/>
      <c r="M28" s="159">
        <f>SUM(M10:N27)</f>
        <v>402</v>
      </c>
      <c r="N28" s="161"/>
      <c r="O28" s="162">
        <f>SUM(O10:P27)</f>
        <v>1551.75</v>
      </c>
      <c r="P28" s="163"/>
      <c r="Q28" s="159">
        <f>SUM(Q10:R27)</f>
        <v>188.58</v>
      </c>
      <c r="R28" s="161"/>
      <c r="S28" s="159">
        <f>SUM(S10:T27)</f>
        <v>53.680000000000007</v>
      </c>
      <c r="T28" s="161"/>
      <c r="U28" s="159">
        <f>SUM(U10:V27)</f>
        <v>62.97</v>
      </c>
      <c r="V28" s="161"/>
      <c r="W28" s="20"/>
      <c r="AB28" s="13"/>
      <c r="AC28" s="13"/>
      <c r="AD28" s="13"/>
      <c r="AE28" s="13"/>
    </row>
    <row r="29" spans="1:31" x14ac:dyDescent="0.25">
      <c r="A29" s="111">
        <v>2</v>
      </c>
      <c r="B29" s="308" t="s">
        <v>1</v>
      </c>
      <c r="C29" s="299"/>
      <c r="D29" s="296"/>
      <c r="E29" s="327" t="s">
        <v>42</v>
      </c>
      <c r="F29" s="328"/>
      <c r="G29" s="328"/>
      <c r="H29" s="329"/>
      <c r="I29" s="323"/>
      <c r="J29" s="324"/>
      <c r="K29" s="308">
        <v>150</v>
      </c>
      <c r="L29" s="296"/>
      <c r="M29" s="308">
        <v>130</v>
      </c>
      <c r="N29" s="296"/>
      <c r="O29" s="309">
        <v>485</v>
      </c>
      <c r="P29" s="310"/>
      <c r="Q29" s="309">
        <v>21</v>
      </c>
      <c r="R29" s="310"/>
      <c r="S29" s="309">
        <v>22</v>
      </c>
      <c r="T29" s="310"/>
      <c r="U29" s="309">
        <v>5.4</v>
      </c>
      <c r="V29" s="310"/>
      <c r="W29" s="341"/>
      <c r="X29" s="68">
        <v>1200</v>
      </c>
      <c r="Y29" s="129"/>
      <c r="Z29" s="69"/>
      <c r="AB29" s="14"/>
      <c r="AC29" s="14"/>
      <c r="AD29" s="14"/>
      <c r="AE29" s="14"/>
    </row>
    <row r="30" spans="1:31" ht="15.75" thickBot="1" x14ac:dyDescent="0.3">
      <c r="A30" s="112"/>
      <c r="B30" s="297"/>
      <c r="C30" s="300"/>
      <c r="D30" s="298"/>
      <c r="E30" s="330"/>
      <c r="F30" s="331"/>
      <c r="G30" s="331"/>
      <c r="H30" s="332"/>
      <c r="I30" s="325"/>
      <c r="J30" s="326"/>
      <c r="K30" s="297"/>
      <c r="L30" s="298"/>
      <c r="M30" s="297"/>
      <c r="N30" s="298"/>
      <c r="O30" s="311"/>
      <c r="P30" s="312"/>
      <c r="Q30" s="311"/>
      <c r="R30" s="312"/>
      <c r="S30" s="311"/>
      <c r="T30" s="312"/>
      <c r="U30" s="311"/>
      <c r="V30" s="312"/>
      <c r="W30" s="342"/>
      <c r="X30" s="70"/>
      <c r="Y30" s="130"/>
      <c r="Z30" s="71"/>
      <c r="AB30" s="17"/>
      <c r="AC30" s="14"/>
      <c r="AD30" s="14"/>
      <c r="AE30" s="14"/>
    </row>
    <row r="31" spans="1:31" x14ac:dyDescent="0.25">
      <c r="A31" s="112"/>
      <c r="B31" s="308" t="s">
        <v>2</v>
      </c>
      <c r="C31" s="299"/>
      <c r="D31" s="296"/>
      <c r="E31" s="308" t="s">
        <v>99</v>
      </c>
      <c r="F31" s="299"/>
      <c r="G31" s="299"/>
      <c r="H31" s="296"/>
      <c r="I31" s="295"/>
      <c r="J31" s="299"/>
      <c r="K31" s="295">
        <v>55</v>
      </c>
      <c r="L31" s="305"/>
      <c r="M31" s="299">
        <v>50</v>
      </c>
      <c r="N31" s="296"/>
      <c r="O31" s="301">
        <f>379.5*M31/100</f>
        <v>189.75</v>
      </c>
      <c r="P31" s="302"/>
      <c r="Q31" s="301">
        <f>71*M31/100</f>
        <v>35.5</v>
      </c>
      <c r="R31" s="302"/>
      <c r="S31" s="301">
        <f>9.3*M31/100</f>
        <v>4.6500000000000004</v>
      </c>
      <c r="T31" s="302"/>
      <c r="U31" s="301">
        <f>6.2*M31/100</f>
        <v>3.1</v>
      </c>
      <c r="V31" s="302"/>
      <c r="W31" s="341"/>
      <c r="X31" s="70"/>
      <c r="Y31" s="130"/>
      <c r="Z31" s="71"/>
    </row>
    <row r="32" spans="1:31" ht="15.75" thickBot="1" x14ac:dyDescent="0.3">
      <c r="A32" s="112"/>
      <c r="B32" s="297"/>
      <c r="C32" s="300"/>
      <c r="D32" s="298"/>
      <c r="E32" s="297"/>
      <c r="F32" s="300"/>
      <c r="G32" s="300"/>
      <c r="H32" s="298"/>
      <c r="I32" s="297"/>
      <c r="J32" s="300"/>
      <c r="K32" s="306"/>
      <c r="L32" s="307"/>
      <c r="M32" s="300"/>
      <c r="N32" s="298"/>
      <c r="O32" s="303"/>
      <c r="P32" s="304"/>
      <c r="Q32" s="303"/>
      <c r="R32" s="304"/>
      <c r="S32" s="303"/>
      <c r="T32" s="304"/>
      <c r="U32" s="303"/>
      <c r="V32" s="304"/>
      <c r="W32" s="342"/>
      <c r="X32" s="70"/>
      <c r="Y32" s="130"/>
      <c r="Z32" s="71"/>
    </row>
    <row r="33" spans="1:31" x14ac:dyDescent="0.25">
      <c r="A33" s="112"/>
      <c r="B33" s="308" t="s">
        <v>3</v>
      </c>
      <c r="C33" s="299"/>
      <c r="D33" s="296"/>
      <c r="E33" s="308" t="s">
        <v>22</v>
      </c>
      <c r="F33" s="299"/>
      <c r="G33" s="299"/>
      <c r="H33" s="296"/>
      <c r="I33" s="295">
        <v>4742870019039</v>
      </c>
      <c r="J33" s="296"/>
      <c r="K33" s="295">
        <v>80</v>
      </c>
      <c r="L33" s="305"/>
      <c r="M33" s="308">
        <v>75</v>
      </c>
      <c r="N33" s="296"/>
      <c r="O33" s="301">
        <v>160.05000000000001</v>
      </c>
      <c r="P33" s="302"/>
      <c r="Q33" s="301">
        <v>4.13</v>
      </c>
      <c r="R33" s="302"/>
      <c r="S33" s="301">
        <v>4.05</v>
      </c>
      <c r="T33" s="302"/>
      <c r="U33" s="301">
        <v>14.1</v>
      </c>
      <c r="V33" s="302"/>
      <c r="W33" s="343"/>
      <c r="X33" s="70"/>
      <c r="Y33" s="130"/>
      <c r="Z33" s="71"/>
    </row>
    <row r="34" spans="1:31" ht="15.75" thickBot="1" x14ac:dyDescent="0.3">
      <c r="A34" s="112"/>
      <c r="B34" s="297"/>
      <c r="C34" s="300"/>
      <c r="D34" s="298"/>
      <c r="E34" s="297"/>
      <c r="F34" s="300"/>
      <c r="G34" s="300"/>
      <c r="H34" s="298"/>
      <c r="I34" s="297"/>
      <c r="J34" s="298"/>
      <c r="K34" s="306"/>
      <c r="L34" s="307"/>
      <c r="M34" s="297"/>
      <c r="N34" s="298"/>
      <c r="O34" s="303"/>
      <c r="P34" s="304"/>
      <c r="Q34" s="303"/>
      <c r="R34" s="304"/>
      <c r="S34" s="303"/>
      <c r="T34" s="304"/>
      <c r="U34" s="303"/>
      <c r="V34" s="304"/>
      <c r="W34" s="344"/>
      <c r="X34" s="70"/>
      <c r="Y34" s="130"/>
      <c r="Z34" s="71"/>
    </row>
    <row r="35" spans="1:31" x14ac:dyDescent="0.25">
      <c r="A35" s="112"/>
      <c r="B35" s="308" t="s">
        <v>4</v>
      </c>
      <c r="C35" s="299"/>
      <c r="D35" s="296"/>
      <c r="E35" s="327" t="s">
        <v>61</v>
      </c>
      <c r="F35" s="328"/>
      <c r="G35" s="328"/>
      <c r="H35" s="329"/>
      <c r="I35" s="348"/>
      <c r="J35" s="349"/>
      <c r="K35" s="327">
        <v>65</v>
      </c>
      <c r="L35" s="329"/>
      <c r="M35" s="308">
        <v>60</v>
      </c>
      <c r="N35" s="296"/>
      <c r="O35" s="301">
        <f>480*M35/100</f>
        <v>288</v>
      </c>
      <c r="P35" s="302"/>
      <c r="Q35" s="301">
        <f>50.8*M35/100</f>
        <v>30.48</v>
      </c>
      <c r="R35" s="302"/>
      <c r="S35" s="301">
        <f>12.8*M35/100</f>
        <v>7.68</v>
      </c>
      <c r="T35" s="302"/>
      <c r="U35" s="301">
        <f>24.1*M35/100</f>
        <v>14.46</v>
      </c>
      <c r="V35" s="302"/>
      <c r="W35" s="343"/>
      <c r="X35" s="70"/>
      <c r="Y35" s="130"/>
      <c r="Z35" s="71"/>
    </row>
    <row r="36" spans="1:31" ht="15.75" thickBot="1" x14ac:dyDescent="0.3">
      <c r="A36" s="112"/>
      <c r="B36" s="297"/>
      <c r="C36" s="300"/>
      <c r="D36" s="298"/>
      <c r="E36" s="330"/>
      <c r="F36" s="331"/>
      <c r="G36" s="331"/>
      <c r="H36" s="332"/>
      <c r="I36" s="350"/>
      <c r="J36" s="351"/>
      <c r="K36" s="330"/>
      <c r="L36" s="332"/>
      <c r="M36" s="297"/>
      <c r="N36" s="298"/>
      <c r="O36" s="303"/>
      <c r="P36" s="304"/>
      <c r="Q36" s="303"/>
      <c r="R36" s="304"/>
      <c r="S36" s="303"/>
      <c r="T36" s="304"/>
      <c r="U36" s="303"/>
      <c r="V36" s="304"/>
      <c r="W36" s="344"/>
      <c r="X36" s="70"/>
      <c r="Y36" s="130"/>
      <c r="Z36" s="71"/>
      <c r="AB36" s="9"/>
    </row>
    <row r="37" spans="1:31" x14ac:dyDescent="0.25">
      <c r="A37" s="112"/>
      <c r="B37" s="308" t="s">
        <v>5</v>
      </c>
      <c r="C37" s="299"/>
      <c r="D37" s="296"/>
      <c r="E37" s="308" t="s">
        <v>25</v>
      </c>
      <c r="F37" s="299"/>
      <c r="G37" s="299"/>
      <c r="H37" s="296"/>
      <c r="I37" s="295">
        <v>4742870011972</v>
      </c>
      <c r="J37" s="296"/>
      <c r="K37" s="295">
        <v>32</v>
      </c>
      <c r="L37" s="305"/>
      <c r="M37" s="308">
        <v>30</v>
      </c>
      <c r="N37" s="296"/>
      <c r="O37" s="309">
        <v>177</v>
      </c>
      <c r="P37" s="310"/>
      <c r="Q37" s="309">
        <v>6.03</v>
      </c>
      <c r="R37" s="310"/>
      <c r="S37" s="309">
        <v>8.8800000000000008</v>
      </c>
      <c r="T37" s="310"/>
      <c r="U37" s="309">
        <v>13.8</v>
      </c>
      <c r="V37" s="310"/>
      <c r="W37" s="343"/>
      <c r="X37" s="70"/>
      <c r="Y37" s="130"/>
      <c r="Z37" s="71"/>
      <c r="AB37" s="9"/>
    </row>
    <row r="38" spans="1:31" ht="15.75" thickBot="1" x14ac:dyDescent="0.3">
      <c r="A38" s="112"/>
      <c r="B38" s="297"/>
      <c r="C38" s="300"/>
      <c r="D38" s="298"/>
      <c r="E38" s="297"/>
      <c r="F38" s="300"/>
      <c r="G38" s="300"/>
      <c r="H38" s="298"/>
      <c r="I38" s="297"/>
      <c r="J38" s="298"/>
      <c r="K38" s="306"/>
      <c r="L38" s="307"/>
      <c r="M38" s="297"/>
      <c r="N38" s="298"/>
      <c r="O38" s="311"/>
      <c r="P38" s="312"/>
      <c r="Q38" s="311"/>
      <c r="R38" s="312"/>
      <c r="S38" s="311"/>
      <c r="T38" s="312"/>
      <c r="U38" s="311"/>
      <c r="V38" s="312"/>
      <c r="W38" s="344"/>
      <c r="X38" s="70"/>
      <c r="Y38" s="130"/>
      <c r="Z38" s="71"/>
      <c r="AB38" s="9"/>
    </row>
    <row r="39" spans="1:31" x14ac:dyDescent="0.25">
      <c r="A39" s="112"/>
      <c r="B39" s="308" t="s">
        <v>17</v>
      </c>
      <c r="C39" s="299"/>
      <c r="D39" s="296"/>
      <c r="E39" s="308" t="s">
        <v>26</v>
      </c>
      <c r="F39" s="299"/>
      <c r="G39" s="299"/>
      <c r="H39" s="296"/>
      <c r="I39" s="295">
        <v>4742870013945</v>
      </c>
      <c r="J39" s="296"/>
      <c r="K39" s="295">
        <v>17</v>
      </c>
      <c r="L39" s="305"/>
      <c r="M39" s="308">
        <v>15</v>
      </c>
      <c r="N39" s="296"/>
      <c r="O39" s="301">
        <v>66</v>
      </c>
      <c r="P39" s="302"/>
      <c r="Q39" s="301">
        <v>11.9</v>
      </c>
      <c r="R39" s="302"/>
      <c r="S39" s="301">
        <v>0.7</v>
      </c>
      <c r="T39" s="302"/>
      <c r="U39" s="301">
        <v>1.6</v>
      </c>
      <c r="V39" s="302"/>
      <c r="W39" s="343"/>
      <c r="X39" s="70"/>
      <c r="Y39" s="130"/>
      <c r="Z39" s="71"/>
    </row>
    <row r="40" spans="1:31" ht="15.75" thickBot="1" x14ac:dyDescent="0.3">
      <c r="A40" s="112"/>
      <c r="B40" s="297"/>
      <c r="C40" s="300"/>
      <c r="D40" s="298"/>
      <c r="E40" s="297"/>
      <c r="F40" s="300"/>
      <c r="G40" s="300"/>
      <c r="H40" s="298"/>
      <c r="I40" s="297"/>
      <c r="J40" s="298"/>
      <c r="K40" s="306"/>
      <c r="L40" s="307"/>
      <c r="M40" s="297"/>
      <c r="N40" s="298"/>
      <c r="O40" s="303"/>
      <c r="P40" s="304"/>
      <c r="Q40" s="303"/>
      <c r="R40" s="304"/>
      <c r="S40" s="303"/>
      <c r="T40" s="304"/>
      <c r="U40" s="303"/>
      <c r="V40" s="304"/>
      <c r="W40" s="344"/>
      <c r="X40" s="70"/>
      <c r="Y40" s="130"/>
      <c r="Z40" s="71"/>
      <c r="AB40" s="12"/>
      <c r="AC40" s="12"/>
      <c r="AD40" s="12"/>
      <c r="AE40" s="12"/>
    </row>
    <row r="41" spans="1:31" x14ac:dyDescent="0.25">
      <c r="A41" s="112"/>
      <c r="B41" s="308" t="s">
        <v>6</v>
      </c>
      <c r="C41" s="299"/>
      <c r="D41" s="296"/>
      <c r="E41" s="327" t="s">
        <v>54</v>
      </c>
      <c r="F41" s="328"/>
      <c r="G41" s="328"/>
      <c r="H41" s="329"/>
      <c r="I41" s="295">
        <v>4742870015550</v>
      </c>
      <c r="J41" s="305"/>
      <c r="K41" s="308">
        <v>42</v>
      </c>
      <c r="L41" s="296"/>
      <c r="M41" s="308">
        <v>40</v>
      </c>
      <c r="N41" s="296"/>
      <c r="O41" s="309">
        <v>109.4</v>
      </c>
      <c r="P41" s="310"/>
      <c r="Q41" s="309">
        <v>27.4</v>
      </c>
      <c r="R41" s="310"/>
      <c r="S41" s="309">
        <v>0</v>
      </c>
      <c r="T41" s="310"/>
      <c r="U41" s="309">
        <v>0</v>
      </c>
      <c r="V41" s="310"/>
      <c r="W41" s="345"/>
      <c r="X41" s="70"/>
      <c r="Y41" s="130"/>
      <c r="Z41" s="71"/>
      <c r="AB41" s="10"/>
      <c r="AC41" s="10"/>
      <c r="AD41" s="10"/>
      <c r="AE41" s="10"/>
    </row>
    <row r="42" spans="1:31" ht="15.75" thickBot="1" x14ac:dyDescent="0.3">
      <c r="A42" s="112"/>
      <c r="B42" s="297"/>
      <c r="C42" s="300"/>
      <c r="D42" s="298"/>
      <c r="E42" s="330"/>
      <c r="F42" s="331"/>
      <c r="G42" s="331"/>
      <c r="H42" s="332"/>
      <c r="I42" s="306"/>
      <c r="J42" s="307"/>
      <c r="K42" s="297"/>
      <c r="L42" s="298"/>
      <c r="M42" s="297"/>
      <c r="N42" s="298"/>
      <c r="O42" s="311"/>
      <c r="P42" s="312"/>
      <c r="Q42" s="311"/>
      <c r="R42" s="312"/>
      <c r="S42" s="311"/>
      <c r="T42" s="312"/>
      <c r="U42" s="311"/>
      <c r="V42" s="312"/>
      <c r="W42" s="346"/>
      <c r="X42" s="70"/>
      <c r="Y42" s="130"/>
      <c r="Z42" s="71"/>
    </row>
    <row r="43" spans="1:31" x14ac:dyDescent="0.25">
      <c r="A43" s="112"/>
      <c r="B43" s="308" t="s">
        <v>7</v>
      </c>
      <c r="C43" s="299"/>
      <c r="D43" s="296"/>
      <c r="E43" s="327" t="s">
        <v>66</v>
      </c>
      <c r="F43" s="328"/>
      <c r="G43" s="328"/>
      <c r="H43" s="329"/>
      <c r="I43" s="348"/>
      <c r="J43" s="296"/>
      <c r="K43" s="295">
        <v>4</v>
      </c>
      <c r="L43" s="305"/>
      <c r="M43" s="308">
        <v>2</v>
      </c>
      <c r="N43" s="296"/>
      <c r="O43" s="301">
        <v>0</v>
      </c>
      <c r="P43" s="302"/>
      <c r="Q43" s="301">
        <v>0</v>
      </c>
      <c r="R43" s="302"/>
      <c r="S43" s="301">
        <v>0</v>
      </c>
      <c r="T43" s="302"/>
      <c r="U43" s="301">
        <v>0</v>
      </c>
      <c r="V43" s="302"/>
      <c r="W43" s="347"/>
      <c r="X43" s="70"/>
      <c r="Y43" s="130"/>
      <c r="Z43" s="71"/>
    </row>
    <row r="44" spans="1:31" ht="15.75" thickBot="1" x14ac:dyDescent="0.3">
      <c r="A44" s="112"/>
      <c r="B44" s="297"/>
      <c r="C44" s="300"/>
      <c r="D44" s="298"/>
      <c r="E44" s="330"/>
      <c r="F44" s="331"/>
      <c r="G44" s="331"/>
      <c r="H44" s="332"/>
      <c r="I44" s="297"/>
      <c r="J44" s="298"/>
      <c r="K44" s="306"/>
      <c r="L44" s="307"/>
      <c r="M44" s="297"/>
      <c r="N44" s="298"/>
      <c r="O44" s="303"/>
      <c r="P44" s="304"/>
      <c r="Q44" s="303"/>
      <c r="R44" s="304"/>
      <c r="S44" s="303"/>
      <c r="T44" s="304"/>
      <c r="U44" s="303"/>
      <c r="V44" s="304"/>
      <c r="W44" s="344"/>
      <c r="X44" s="70"/>
      <c r="Y44" s="130"/>
      <c r="Z44" s="71"/>
    </row>
    <row r="45" spans="1:31" x14ac:dyDescent="0.25">
      <c r="A45" s="112"/>
      <c r="B45" s="308" t="s">
        <v>8</v>
      </c>
      <c r="C45" s="299"/>
      <c r="D45" s="296"/>
      <c r="E45" s="327" t="s">
        <v>8</v>
      </c>
      <c r="F45" s="328"/>
      <c r="G45" s="328"/>
      <c r="H45" s="329"/>
      <c r="I45" s="18"/>
      <c r="J45" s="18"/>
      <c r="K45" s="295"/>
      <c r="L45" s="305"/>
      <c r="M45" s="308"/>
      <c r="N45" s="296"/>
      <c r="O45" s="301"/>
      <c r="P45" s="302"/>
      <c r="Q45" s="301"/>
      <c r="R45" s="302"/>
      <c r="S45" s="301"/>
      <c r="T45" s="302"/>
      <c r="U45" s="301"/>
      <c r="V45" s="302"/>
      <c r="W45" s="347"/>
      <c r="X45" s="70"/>
      <c r="Y45" s="130"/>
      <c r="Z45" s="71"/>
    </row>
    <row r="46" spans="1:31" ht="15.75" thickBot="1" x14ac:dyDescent="0.3">
      <c r="A46" s="113"/>
      <c r="B46" s="297"/>
      <c r="C46" s="300"/>
      <c r="D46" s="298"/>
      <c r="E46" s="330"/>
      <c r="F46" s="331"/>
      <c r="G46" s="331"/>
      <c r="H46" s="332"/>
      <c r="I46" s="19"/>
      <c r="J46" s="19"/>
      <c r="K46" s="306"/>
      <c r="L46" s="307"/>
      <c r="M46" s="297"/>
      <c r="N46" s="298"/>
      <c r="O46" s="303"/>
      <c r="P46" s="304"/>
      <c r="Q46" s="303"/>
      <c r="R46" s="304"/>
      <c r="S46" s="303"/>
      <c r="T46" s="304"/>
      <c r="U46" s="303"/>
      <c r="V46" s="304"/>
      <c r="W46" s="344"/>
      <c r="X46" s="72"/>
      <c r="Y46" s="131"/>
      <c r="Z46" s="73"/>
    </row>
    <row r="47" spans="1:31" ht="15.75" thickBot="1" x14ac:dyDescent="0.3">
      <c r="A47" s="1"/>
      <c r="B47" s="156" t="s">
        <v>16</v>
      </c>
      <c r="C47" s="157"/>
      <c r="D47" s="158"/>
      <c r="E47" s="159"/>
      <c r="F47" s="160"/>
      <c r="G47" s="160"/>
      <c r="H47" s="161"/>
      <c r="I47" s="262"/>
      <c r="J47" s="263"/>
      <c r="K47" s="159">
        <f>SUM(K29:L46)</f>
        <v>445</v>
      </c>
      <c r="L47" s="161"/>
      <c r="M47" s="159">
        <f>SUM(M29:N46)</f>
        <v>402</v>
      </c>
      <c r="N47" s="161"/>
      <c r="O47" s="162">
        <f>SUM(O29:P46)</f>
        <v>1475.2</v>
      </c>
      <c r="P47" s="163"/>
      <c r="Q47" s="159">
        <f>SUM(Q29:R46)</f>
        <v>136.44</v>
      </c>
      <c r="R47" s="161"/>
      <c r="S47" s="159">
        <f>SUM(S29:T46)</f>
        <v>47.96</v>
      </c>
      <c r="T47" s="161"/>
      <c r="U47" s="159">
        <f>SUM(U29:V46)</f>
        <v>52.46</v>
      </c>
      <c r="V47" s="161"/>
      <c r="W47" s="20"/>
    </row>
    <row r="48" spans="1:31" x14ac:dyDescent="0.25">
      <c r="A48" s="111">
        <v>3</v>
      </c>
      <c r="B48" s="308" t="s">
        <v>1</v>
      </c>
      <c r="C48" s="299"/>
      <c r="D48" s="296"/>
      <c r="E48" s="327" t="s">
        <v>91</v>
      </c>
      <c r="F48" s="328"/>
      <c r="G48" s="328"/>
      <c r="H48" s="329"/>
      <c r="I48" s="295"/>
      <c r="J48" s="305"/>
      <c r="K48" s="308">
        <v>150</v>
      </c>
      <c r="L48" s="296"/>
      <c r="M48" s="308">
        <v>130</v>
      </c>
      <c r="N48" s="296"/>
      <c r="O48" s="309">
        <v>494</v>
      </c>
      <c r="P48" s="310"/>
      <c r="Q48" s="309">
        <v>12</v>
      </c>
      <c r="R48" s="310"/>
      <c r="S48" s="309">
        <v>21</v>
      </c>
      <c r="T48" s="310"/>
      <c r="U48" s="309">
        <v>5.3</v>
      </c>
      <c r="V48" s="310"/>
      <c r="W48" s="341"/>
      <c r="X48" s="68">
        <v>1200</v>
      </c>
      <c r="Y48" s="129"/>
      <c r="Z48" s="69"/>
    </row>
    <row r="49" spans="1:31" ht="15.75" thickBot="1" x14ac:dyDescent="0.3">
      <c r="A49" s="112"/>
      <c r="B49" s="297"/>
      <c r="C49" s="300"/>
      <c r="D49" s="298"/>
      <c r="E49" s="330"/>
      <c r="F49" s="331"/>
      <c r="G49" s="331"/>
      <c r="H49" s="332"/>
      <c r="I49" s="306"/>
      <c r="J49" s="307"/>
      <c r="K49" s="297"/>
      <c r="L49" s="298"/>
      <c r="M49" s="297"/>
      <c r="N49" s="298"/>
      <c r="O49" s="311"/>
      <c r="P49" s="312"/>
      <c r="Q49" s="311"/>
      <c r="R49" s="312"/>
      <c r="S49" s="311"/>
      <c r="T49" s="312"/>
      <c r="U49" s="311"/>
      <c r="V49" s="312"/>
      <c r="W49" s="342"/>
      <c r="X49" s="70"/>
      <c r="Y49" s="130"/>
      <c r="Z49" s="71"/>
    </row>
    <row r="50" spans="1:31" x14ac:dyDescent="0.25">
      <c r="A50" s="112"/>
      <c r="B50" s="308" t="s">
        <v>2</v>
      </c>
      <c r="C50" s="299"/>
      <c r="D50" s="296"/>
      <c r="E50" s="308" t="s">
        <v>99</v>
      </c>
      <c r="F50" s="299"/>
      <c r="G50" s="299"/>
      <c r="H50" s="296"/>
      <c r="I50" s="295"/>
      <c r="J50" s="299"/>
      <c r="K50" s="295">
        <v>55</v>
      </c>
      <c r="L50" s="305"/>
      <c r="M50" s="299">
        <v>50</v>
      </c>
      <c r="N50" s="296"/>
      <c r="O50" s="301">
        <f>379.5*M50/100</f>
        <v>189.75</v>
      </c>
      <c r="P50" s="302"/>
      <c r="Q50" s="301">
        <f>71*M50/100</f>
        <v>35.5</v>
      </c>
      <c r="R50" s="302"/>
      <c r="S50" s="301">
        <f>9.3*M50/100</f>
        <v>4.6500000000000004</v>
      </c>
      <c r="T50" s="302"/>
      <c r="U50" s="301">
        <f>6.2*M50/100</f>
        <v>3.1</v>
      </c>
      <c r="V50" s="302"/>
      <c r="W50" s="341"/>
      <c r="X50" s="70"/>
      <c r="Y50" s="130"/>
      <c r="Z50" s="71"/>
    </row>
    <row r="51" spans="1:31" ht="15.75" thickBot="1" x14ac:dyDescent="0.3">
      <c r="A51" s="112"/>
      <c r="B51" s="297"/>
      <c r="C51" s="300"/>
      <c r="D51" s="298"/>
      <c r="E51" s="297"/>
      <c r="F51" s="300"/>
      <c r="G51" s="300"/>
      <c r="H51" s="298"/>
      <c r="I51" s="297"/>
      <c r="J51" s="300"/>
      <c r="K51" s="306"/>
      <c r="L51" s="307"/>
      <c r="M51" s="300"/>
      <c r="N51" s="298"/>
      <c r="O51" s="303"/>
      <c r="P51" s="304"/>
      <c r="Q51" s="303"/>
      <c r="R51" s="304"/>
      <c r="S51" s="303"/>
      <c r="T51" s="304"/>
      <c r="U51" s="303"/>
      <c r="V51" s="304"/>
      <c r="W51" s="342"/>
      <c r="X51" s="70"/>
      <c r="Y51" s="130"/>
      <c r="Z51" s="71"/>
    </row>
    <row r="52" spans="1:31" x14ac:dyDescent="0.25">
      <c r="A52" s="112"/>
      <c r="B52" s="308" t="s">
        <v>3</v>
      </c>
      <c r="C52" s="299"/>
      <c r="D52" s="296"/>
      <c r="E52" s="308" t="s">
        <v>21</v>
      </c>
      <c r="F52" s="299"/>
      <c r="G52" s="299"/>
      <c r="H52" s="296"/>
      <c r="I52" s="295">
        <v>4742870019008</v>
      </c>
      <c r="J52" s="296"/>
      <c r="K52" s="358">
        <v>80</v>
      </c>
      <c r="L52" s="359"/>
      <c r="M52" s="308">
        <v>75</v>
      </c>
      <c r="N52" s="296"/>
      <c r="O52" s="301">
        <v>225</v>
      </c>
      <c r="P52" s="302"/>
      <c r="Q52" s="301">
        <v>1.05</v>
      </c>
      <c r="R52" s="302"/>
      <c r="S52" s="301">
        <v>7.2</v>
      </c>
      <c r="T52" s="302"/>
      <c r="U52" s="301">
        <v>21.23</v>
      </c>
      <c r="V52" s="302"/>
      <c r="W52" s="343"/>
      <c r="X52" s="70"/>
      <c r="Y52" s="130"/>
      <c r="Z52" s="71"/>
    </row>
    <row r="53" spans="1:31" ht="15.75" thickBot="1" x14ac:dyDescent="0.3">
      <c r="A53" s="112"/>
      <c r="B53" s="297"/>
      <c r="C53" s="300"/>
      <c r="D53" s="298"/>
      <c r="E53" s="297"/>
      <c r="F53" s="300"/>
      <c r="G53" s="300"/>
      <c r="H53" s="298"/>
      <c r="I53" s="297"/>
      <c r="J53" s="298"/>
      <c r="K53" s="306"/>
      <c r="L53" s="307"/>
      <c r="M53" s="297"/>
      <c r="N53" s="298"/>
      <c r="O53" s="303"/>
      <c r="P53" s="304"/>
      <c r="Q53" s="303"/>
      <c r="R53" s="304"/>
      <c r="S53" s="303"/>
      <c r="T53" s="304"/>
      <c r="U53" s="303"/>
      <c r="V53" s="304"/>
      <c r="W53" s="344"/>
      <c r="X53" s="70"/>
      <c r="Y53" s="130"/>
      <c r="Z53" s="71"/>
    </row>
    <row r="54" spans="1:31" ht="15" customHeight="1" x14ac:dyDescent="0.25">
      <c r="A54" s="112"/>
      <c r="B54" s="327" t="s">
        <v>4</v>
      </c>
      <c r="C54" s="328"/>
      <c r="D54" s="329"/>
      <c r="E54" s="327" t="s">
        <v>61</v>
      </c>
      <c r="F54" s="328"/>
      <c r="G54" s="328"/>
      <c r="H54" s="329"/>
      <c r="I54" s="348"/>
      <c r="J54" s="349"/>
      <c r="K54" s="327">
        <v>65</v>
      </c>
      <c r="L54" s="329"/>
      <c r="M54" s="308">
        <v>60</v>
      </c>
      <c r="N54" s="296"/>
      <c r="O54" s="301">
        <f>480*M54/100</f>
        <v>288</v>
      </c>
      <c r="P54" s="302"/>
      <c r="Q54" s="301">
        <f>50.8*M54/100</f>
        <v>30.48</v>
      </c>
      <c r="R54" s="302"/>
      <c r="S54" s="301">
        <f>12.8*M54/100</f>
        <v>7.68</v>
      </c>
      <c r="T54" s="302"/>
      <c r="U54" s="301">
        <f>24.1*M54/100</f>
        <v>14.46</v>
      </c>
      <c r="V54" s="302"/>
      <c r="W54" s="343"/>
      <c r="X54" s="70"/>
      <c r="Y54" s="130"/>
      <c r="Z54" s="71"/>
    </row>
    <row r="55" spans="1:31" ht="15.75" thickBot="1" x14ac:dyDescent="0.3">
      <c r="A55" s="112"/>
      <c r="B55" s="330"/>
      <c r="C55" s="331"/>
      <c r="D55" s="332"/>
      <c r="E55" s="330"/>
      <c r="F55" s="331"/>
      <c r="G55" s="331"/>
      <c r="H55" s="332"/>
      <c r="I55" s="350"/>
      <c r="J55" s="351"/>
      <c r="K55" s="330"/>
      <c r="L55" s="332"/>
      <c r="M55" s="297"/>
      <c r="N55" s="298"/>
      <c r="O55" s="303"/>
      <c r="P55" s="304"/>
      <c r="Q55" s="303"/>
      <c r="R55" s="304"/>
      <c r="S55" s="303"/>
      <c r="T55" s="304"/>
      <c r="U55" s="303"/>
      <c r="V55" s="304"/>
      <c r="W55" s="344"/>
      <c r="X55" s="70"/>
      <c r="Y55" s="130"/>
      <c r="Z55" s="71"/>
      <c r="AB55" s="9"/>
    </row>
    <row r="56" spans="1:31" x14ac:dyDescent="0.25">
      <c r="A56" s="112"/>
      <c r="B56" s="308" t="s">
        <v>5</v>
      </c>
      <c r="C56" s="299"/>
      <c r="D56" s="296"/>
      <c r="E56" s="308" t="s">
        <v>44</v>
      </c>
      <c r="F56" s="299"/>
      <c r="G56" s="299"/>
      <c r="H56" s="296"/>
      <c r="I56" s="295">
        <v>4742870011989</v>
      </c>
      <c r="J56" s="305"/>
      <c r="K56" s="308">
        <v>32</v>
      </c>
      <c r="L56" s="296"/>
      <c r="M56" s="308">
        <v>30</v>
      </c>
      <c r="N56" s="296"/>
      <c r="O56" s="309">
        <v>183.6</v>
      </c>
      <c r="P56" s="310"/>
      <c r="Q56" s="309">
        <v>2.25</v>
      </c>
      <c r="R56" s="310"/>
      <c r="S56" s="309">
        <v>9.4499999999999993</v>
      </c>
      <c r="T56" s="310"/>
      <c r="U56" s="309">
        <v>14.58</v>
      </c>
      <c r="V56" s="310"/>
      <c r="W56" s="343"/>
      <c r="X56" s="70"/>
      <c r="Y56" s="130"/>
      <c r="Z56" s="71"/>
      <c r="AB56" s="9"/>
    </row>
    <row r="57" spans="1:31" ht="15.75" thickBot="1" x14ac:dyDescent="0.3">
      <c r="A57" s="112"/>
      <c r="B57" s="297"/>
      <c r="C57" s="300"/>
      <c r="D57" s="298"/>
      <c r="E57" s="297"/>
      <c r="F57" s="300"/>
      <c r="G57" s="300"/>
      <c r="H57" s="298"/>
      <c r="I57" s="306"/>
      <c r="J57" s="307"/>
      <c r="K57" s="297"/>
      <c r="L57" s="298"/>
      <c r="M57" s="297"/>
      <c r="N57" s="298"/>
      <c r="O57" s="311"/>
      <c r="P57" s="312"/>
      <c r="Q57" s="311"/>
      <c r="R57" s="312"/>
      <c r="S57" s="311"/>
      <c r="T57" s="312"/>
      <c r="U57" s="311"/>
      <c r="V57" s="312"/>
      <c r="W57" s="344"/>
      <c r="X57" s="70"/>
      <c r="Y57" s="130"/>
      <c r="Z57" s="71"/>
      <c r="AB57" s="9"/>
    </row>
    <row r="58" spans="1:31" ht="15" customHeight="1" x14ac:dyDescent="0.25">
      <c r="A58" s="112"/>
      <c r="B58" s="308" t="s">
        <v>17</v>
      </c>
      <c r="C58" s="299"/>
      <c r="D58" s="296"/>
      <c r="E58" s="308" t="s">
        <v>26</v>
      </c>
      <c r="F58" s="299"/>
      <c r="G58" s="299"/>
      <c r="H58" s="296"/>
      <c r="I58" s="295">
        <v>4742870013945</v>
      </c>
      <c r="J58" s="296"/>
      <c r="K58" s="295">
        <v>17</v>
      </c>
      <c r="L58" s="305"/>
      <c r="M58" s="308">
        <v>15</v>
      </c>
      <c r="N58" s="296"/>
      <c r="O58" s="301">
        <v>66</v>
      </c>
      <c r="P58" s="302"/>
      <c r="Q58" s="301">
        <v>11.9</v>
      </c>
      <c r="R58" s="302"/>
      <c r="S58" s="301">
        <v>0.7</v>
      </c>
      <c r="T58" s="302"/>
      <c r="U58" s="301">
        <v>1.6</v>
      </c>
      <c r="V58" s="302"/>
      <c r="W58" s="343"/>
      <c r="X58" s="70"/>
      <c r="Y58" s="130"/>
      <c r="Z58" s="71"/>
    </row>
    <row r="59" spans="1:31" ht="15.75" thickBot="1" x14ac:dyDescent="0.3">
      <c r="A59" s="112"/>
      <c r="B59" s="297"/>
      <c r="C59" s="300"/>
      <c r="D59" s="298"/>
      <c r="E59" s="297"/>
      <c r="F59" s="300"/>
      <c r="G59" s="300"/>
      <c r="H59" s="298"/>
      <c r="I59" s="297"/>
      <c r="J59" s="298"/>
      <c r="K59" s="306"/>
      <c r="L59" s="307"/>
      <c r="M59" s="297"/>
      <c r="N59" s="298"/>
      <c r="O59" s="303"/>
      <c r="P59" s="304"/>
      <c r="Q59" s="303"/>
      <c r="R59" s="304"/>
      <c r="S59" s="303"/>
      <c r="T59" s="304"/>
      <c r="U59" s="303"/>
      <c r="V59" s="304"/>
      <c r="W59" s="344"/>
      <c r="X59" s="70"/>
      <c r="Y59" s="130"/>
      <c r="Z59" s="71"/>
      <c r="AB59" s="12"/>
      <c r="AC59" s="12"/>
      <c r="AD59" s="12"/>
      <c r="AE59" s="12"/>
    </row>
    <row r="60" spans="1:31" x14ac:dyDescent="0.25">
      <c r="A60" s="112"/>
      <c r="B60" s="308" t="s">
        <v>6</v>
      </c>
      <c r="C60" s="299"/>
      <c r="D60" s="296"/>
      <c r="E60" s="308" t="s">
        <v>55</v>
      </c>
      <c r="F60" s="299"/>
      <c r="G60" s="299"/>
      <c r="H60" s="296"/>
      <c r="I60" s="295">
        <v>4742870015581</v>
      </c>
      <c r="J60" s="305"/>
      <c r="K60" s="308">
        <v>42</v>
      </c>
      <c r="L60" s="296"/>
      <c r="M60" s="308">
        <v>40</v>
      </c>
      <c r="N60" s="296"/>
      <c r="O60" s="309">
        <v>109.4</v>
      </c>
      <c r="P60" s="310"/>
      <c r="Q60" s="309">
        <v>27.4</v>
      </c>
      <c r="R60" s="310"/>
      <c r="S60" s="309">
        <v>0</v>
      </c>
      <c r="T60" s="310"/>
      <c r="U60" s="309">
        <v>0</v>
      </c>
      <c r="V60" s="310"/>
      <c r="W60" s="345"/>
      <c r="X60" s="70"/>
      <c r="Y60" s="130"/>
      <c r="Z60" s="71"/>
      <c r="AB60" s="10"/>
      <c r="AC60" s="10"/>
      <c r="AD60" s="10"/>
      <c r="AE60" s="10"/>
    </row>
    <row r="61" spans="1:31" ht="15.75" thickBot="1" x14ac:dyDescent="0.3">
      <c r="A61" s="112"/>
      <c r="B61" s="297"/>
      <c r="C61" s="300"/>
      <c r="D61" s="298"/>
      <c r="E61" s="297"/>
      <c r="F61" s="300"/>
      <c r="G61" s="300"/>
      <c r="H61" s="298"/>
      <c r="I61" s="306"/>
      <c r="J61" s="307"/>
      <c r="K61" s="297"/>
      <c r="L61" s="298"/>
      <c r="M61" s="297"/>
      <c r="N61" s="298"/>
      <c r="O61" s="311"/>
      <c r="P61" s="312"/>
      <c r="Q61" s="311"/>
      <c r="R61" s="312"/>
      <c r="S61" s="311"/>
      <c r="T61" s="312"/>
      <c r="U61" s="311"/>
      <c r="V61" s="312"/>
      <c r="W61" s="346"/>
      <c r="X61" s="70"/>
      <c r="Y61" s="130"/>
      <c r="Z61" s="71"/>
    </row>
    <row r="62" spans="1:31" x14ac:dyDescent="0.25">
      <c r="A62" s="112"/>
      <c r="B62" s="308" t="s">
        <v>7</v>
      </c>
      <c r="C62" s="299"/>
      <c r="D62" s="296"/>
      <c r="E62" s="327" t="s">
        <v>66</v>
      </c>
      <c r="F62" s="328"/>
      <c r="G62" s="328"/>
      <c r="H62" s="329"/>
      <c r="I62" s="348"/>
      <c r="J62" s="296"/>
      <c r="K62" s="295">
        <v>4</v>
      </c>
      <c r="L62" s="305"/>
      <c r="M62" s="308">
        <v>2</v>
      </c>
      <c r="N62" s="296"/>
      <c r="O62" s="301">
        <v>0</v>
      </c>
      <c r="P62" s="302"/>
      <c r="Q62" s="301">
        <v>0</v>
      </c>
      <c r="R62" s="302"/>
      <c r="S62" s="301">
        <v>0</v>
      </c>
      <c r="T62" s="302"/>
      <c r="U62" s="301">
        <v>0</v>
      </c>
      <c r="V62" s="302"/>
      <c r="W62" s="347"/>
      <c r="X62" s="70"/>
      <c r="Y62" s="130"/>
      <c r="Z62" s="71"/>
    </row>
    <row r="63" spans="1:31" ht="15.75" thickBot="1" x14ac:dyDescent="0.3">
      <c r="A63" s="112"/>
      <c r="B63" s="297"/>
      <c r="C63" s="300"/>
      <c r="D63" s="298"/>
      <c r="E63" s="330"/>
      <c r="F63" s="331"/>
      <c r="G63" s="331"/>
      <c r="H63" s="332"/>
      <c r="I63" s="297"/>
      <c r="J63" s="298"/>
      <c r="K63" s="306"/>
      <c r="L63" s="307"/>
      <c r="M63" s="297"/>
      <c r="N63" s="298"/>
      <c r="O63" s="303"/>
      <c r="P63" s="304"/>
      <c r="Q63" s="303"/>
      <c r="R63" s="304"/>
      <c r="S63" s="303"/>
      <c r="T63" s="304"/>
      <c r="U63" s="303"/>
      <c r="V63" s="304"/>
      <c r="W63" s="344"/>
      <c r="X63" s="70"/>
      <c r="Y63" s="130"/>
      <c r="Z63" s="71"/>
    </row>
    <row r="64" spans="1:31" x14ac:dyDescent="0.25">
      <c r="A64" s="112"/>
      <c r="B64" s="308" t="s">
        <v>8</v>
      </c>
      <c r="C64" s="299"/>
      <c r="D64" s="296"/>
      <c r="E64" s="327" t="s">
        <v>8</v>
      </c>
      <c r="F64" s="328"/>
      <c r="G64" s="328"/>
      <c r="H64" s="329"/>
      <c r="I64" s="18"/>
      <c r="J64" s="18"/>
      <c r="K64" s="295"/>
      <c r="L64" s="305"/>
      <c r="M64" s="308"/>
      <c r="N64" s="296"/>
      <c r="O64" s="301"/>
      <c r="P64" s="302"/>
      <c r="Q64" s="301"/>
      <c r="R64" s="302"/>
      <c r="S64" s="301"/>
      <c r="T64" s="302"/>
      <c r="U64" s="301"/>
      <c r="V64" s="302"/>
      <c r="W64" s="347"/>
      <c r="X64" s="70"/>
      <c r="Y64" s="130"/>
      <c r="Z64" s="71"/>
    </row>
    <row r="65" spans="1:26" ht="15.75" thickBot="1" x14ac:dyDescent="0.3">
      <c r="A65" s="113"/>
      <c r="B65" s="297"/>
      <c r="C65" s="300"/>
      <c r="D65" s="298"/>
      <c r="E65" s="330"/>
      <c r="F65" s="331"/>
      <c r="G65" s="331"/>
      <c r="H65" s="332"/>
      <c r="I65" s="19"/>
      <c r="J65" s="19"/>
      <c r="K65" s="306"/>
      <c r="L65" s="307"/>
      <c r="M65" s="297"/>
      <c r="N65" s="298"/>
      <c r="O65" s="303"/>
      <c r="P65" s="304"/>
      <c r="Q65" s="303"/>
      <c r="R65" s="304"/>
      <c r="S65" s="303"/>
      <c r="T65" s="304"/>
      <c r="U65" s="303"/>
      <c r="V65" s="304"/>
      <c r="W65" s="344"/>
      <c r="X65" s="72"/>
      <c r="Y65" s="131"/>
      <c r="Z65" s="73"/>
    </row>
    <row r="66" spans="1:26" ht="15.75" thickBot="1" x14ac:dyDescent="0.3">
      <c r="A66" s="1"/>
      <c r="B66" s="156" t="s">
        <v>16</v>
      </c>
      <c r="C66" s="157"/>
      <c r="D66" s="158"/>
      <c r="E66" s="159"/>
      <c r="F66" s="160"/>
      <c r="G66" s="160"/>
      <c r="H66" s="161"/>
      <c r="I66" s="262"/>
      <c r="J66" s="263"/>
      <c r="K66" s="159">
        <f>SUM(K48:L65)</f>
        <v>445</v>
      </c>
      <c r="L66" s="161"/>
      <c r="M66" s="159">
        <f>SUM(M48:N65)</f>
        <v>402</v>
      </c>
      <c r="N66" s="161"/>
      <c r="O66" s="162">
        <f>SUM(O48:P65)</f>
        <v>1555.75</v>
      </c>
      <c r="P66" s="163"/>
      <c r="Q66" s="159">
        <f>SUM(Q48:R65)</f>
        <v>120.58000000000001</v>
      </c>
      <c r="R66" s="161"/>
      <c r="S66" s="159">
        <f>SUM(S48:T65)</f>
        <v>50.680000000000007</v>
      </c>
      <c r="T66" s="161"/>
      <c r="U66" s="159">
        <f>SUM(U48:V65)</f>
        <v>60.27</v>
      </c>
      <c r="V66" s="161"/>
      <c r="W66" s="20"/>
    </row>
    <row r="67" spans="1:26" x14ac:dyDescent="0.25">
      <c r="A67" s="111">
        <v>4</v>
      </c>
      <c r="B67" s="308" t="s">
        <v>1</v>
      </c>
      <c r="C67" s="299"/>
      <c r="D67" s="296"/>
      <c r="E67" s="308" t="s">
        <v>98</v>
      </c>
      <c r="F67" s="299"/>
      <c r="G67" s="299"/>
      <c r="H67" s="296"/>
      <c r="I67" s="323"/>
      <c r="J67" s="324"/>
      <c r="K67" s="308">
        <v>150</v>
      </c>
      <c r="L67" s="296"/>
      <c r="M67" s="308">
        <v>130</v>
      </c>
      <c r="N67" s="296"/>
      <c r="O67" s="309">
        <f>380*M67/100</f>
        <v>494</v>
      </c>
      <c r="P67" s="310"/>
      <c r="Q67" s="309">
        <v>21</v>
      </c>
      <c r="R67" s="310"/>
      <c r="S67" s="309">
        <v>28</v>
      </c>
      <c r="T67" s="310"/>
      <c r="U67" s="309">
        <v>8.4</v>
      </c>
      <c r="V67" s="310"/>
      <c r="W67" s="341"/>
      <c r="X67" s="68">
        <v>1200</v>
      </c>
      <c r="Y67" s="129"/>
      <c r="Z67" s="69"/>
    </row>
    <row r="68" spans="1:26" ht="15.75" thickBot="1" x14ac:dyDescent="0.3">
      <c r="A68" s="112"/>
      <c r="B68" s="297"/>
      <c r="C68" s="300"/>
      <c r="D68" s="298"/>
      <c r="E68" s="297"/>
      <c r="F68" s="300"/>
      <c r="G68" s="300"/>
      <c r="H68" s="298"/>
      <c r="I68" s="325"/>
      <c r="J68" s="326"/>
      <c r="K68" s="297"/>
      <c r="L68" s="298"/>
      <c r="M68" s="297"/>
      <c r="N68" s="298"/>
      <c r="O68" s="311"/>
      <c r="P68" s="312"/>
      <c r="Q68" s="311"/>
      <c r="R68" s="312"/>
      <c r="S68" s="311"/>
      <c r="T68" s="312"/>
      <c r="U68" s="311"/>
      <c r="V68" s="312"/>
      <c r="W68" s="342"/>
      <c r="X68" s="70"/>
      <c r="Y68" s="130"/>
      <c r="Z68" s="71"/>
    </row>
    <row r="69" spans="1:26" x14ac:dyDescent="0.25">
      <c r="A69" s="112"/>
      <c r="B69" s="308" t="s">
        <v>2</v>
      </c>
      <c r="C69" s="299"/>
      <c r="D69" s="296"/>
      <c r="E69" s="308" t="s">
        <v>99</v>
      </c>
      <c r="F69" s="299"/>
      <c r="G69" s="299"/>
      <c r="H69" s="296"/>
      <c r="I69" s="295"/>
      <c r="J69" s="299"/>
      <c r="K69" s="295">
        <v>55</v>
      </c>
      <c r="L69" s="305"/>
      <c r="M69" s="299">
        <v>50</v>
      </c>
      <c r="N69" s="296"/>
      <c r="O69" s="301">
        <f>379.5*M69/100</f>
        <v>189.75</v>
      </c>
      <c r="P69" s="302"/>
      <c r="Q69" s="301">
        <f>71*M69/100</f>
        <v>35.5</v>
      </c>
      <c r="R69" s="302"/>
      <c r="S69" s="301">
        <f>9.3*M69/100</f>
        <v>4.6500000000000004</v>
      </c>
      <c r="T69" s="302"/>
      <c r="U69" s="301">
        <f>6.2*M69/100</f>
        <v>3.1</v>
      </c>
      <c r="V69" s="302"/>
      <c r="W69" s="341"/>
      <c r="X69" s="70"/>
      <c r="Y69" s="130"/>
      <c r="Z69" s="71"/>
    </row>
    <row r="70" spans="1:26" ht="15.75" thickBot="1" x14ac:dyDescent="0.3">
      <c r="A70" s="112"/>
      <c r="B70" s="297"/>
      <c r="C70" s="300"/>
      <c r="D70" s="298"/>
      <c r="E70" s="297"/>
      <c r="F70" s="300"/>
      <c r="G70" s="300"/>
      <c r="H70" s="298"/>
      <c r="I70" s="297"/>
      <c r="J70" s="300"/>
      <c r="K70" s="306"/>
      <c r="L70" s="307"/>
      <c r="M70" s="300"/>
      <c r="N70" s="298"/>
      <c r="O70" s="303"/>
      <c r="P70" s="304"/>
      <c r="Q70" s="303"/>
      <c r="R70" s="304"/>
      <c r="S70" s="303"/>
      <c r="T70" s="304"/>
      <c r="U70" s="303"/>
      <c r="V70" s="304"/>
      <c r="W70" s="342"/>
      <c r="X70" s="70"/>
      <c r="Y70" s="130"/>
      <c r="Z70" s="71"/>
    </row>
    <row r="71" spans="1:26" x14ac:dyDescent="0.25">
      <c r="A71" s="112"/>
      <c r="B71" s="308" t="s">
        <v>3</v>
      </c>
      <c r="C71" s="299"/>
      <c r="D71" s="296"/>
      <c r="E71" s="308" t="s">
        <v>22</v>
      </c>
      <c r="F71" s="299"/>
      <c r="G71" s="299"/>
      <c r="H71" s="296"/>
      <c r="I71" s="295">
        <v>4742870019039</v>
      </c>
      <c r="J71" s="296"/>
      <c r="K71" s="295">
        <v>80</v>
      </c>
      <c r="L71" s="305"/>
      <c r="M71" s="308">
        <v>75</v>
      </c>
      <c r="N71" s="296"/>
      <c r="O71" s="301">
        <v>160.05000000000001</v>
      </c>
      <c r="P71" s="302"/>
      <c r="Q71" s="301">
        <v>4.13</v>
      </c>
      <c r="R71" s="302"/>
      <c r="S71" s="301">
        <v>4.05</v>
      </c>
      <c r="T71" s="302"/>
      <c r="U71" s="301">
        <v>14.1</v>
      </c>
      <c r="V71" s="302"/>
      <c r="W71" s="343"/>
      <c r="X71" s="70"/>
      <c r="Y71" s="130"/>
      <c r="Z71" s="71"/>
    </row>
    <row r="72" spans="1:26" ht="15.75" thickBot="1" x14ac:dyDescent="0.3">
      <c r="A72" s="112"/>
      <c r="B72" s="297"/>
      <c r="C72" s="300"/>
      <c r="D72" s="298"/>
      <c r="E72" s="297"/>
      <c r="F72" s="300"/>
      <c r="G72" s="300"/>
      <c r="H72" s="298"/>
      <c r="I72" s="297"/>
      <c r="J72" s="298"/>
      <c r="K72" s="306"/>
      <c r="L72" s="307"/>
      <c r="M72" s="297"/>
      <c r="N72" s="298"/>
      <c r="O72" s="303"/>
      <c r="P72" s="304"/>
      <c r="Q72" s="303"/>
      <c r="R72" s="304"/>
      <c r="S72" s="303"/>
      <c r="T72" s="304"/>
      <c r="U72" s="303"/>
      <c r="V72" s="304"/>
      <c r="W72" s="344"/>
      <c r="X72" s="70"/>
      <c r="Y72" s="130"/>
      <c r="Z72" s="71"/>
    </row>
    <row r="73" spans="1:26" x14ac:dyDescent="0.25">
      <c r="A73" s="112"/>
      <c r="B73" s="308" t="s">
        <v>4</v>
      </c>
      <c r="C73" s="299"/>
      <c r="D73" s="296"/>
      <c r="E73" s="327" t="s">
        <v>61</v>
      </c>
      <c r="F73" s="328"/>
      <c r="G73" s="328"/>
      <c r="H73" s="329"/>
      <c r="I73" s="348"/>
      <c r="J73" s="349"/>
      <c r="K73" s="327">
        <v>65</v>
      </c>
      <c r="L73" s="329"/>
      <c r="M73" s="308">
        <v>60</v>
      </c>
      <c r="N73" s="296"/>
      <c r="O73" s="301">
        <f>480*M73/100</f>
        <v>288</v>
      </c>
      <c r="P73" s="302"/>
      <c r="Q73" s="301">
        <f>50.8*M73/100</f>
        <v>30.48</v>
      </c>
      <c r="R73" s="302"/>
      <c r="S73" s="301">
        <f>12.8*M73/100</f>
        <v>7.68</v>
      </c>
      <c r="T73" s="302"/>
      <c r="U73" s="301">
        <f>24.1*M73/100</f>
        <v>14.46</v>
      </c>
      <c r="V73" s="302"/>
      <c r="W73" s="343"/>
      <c r="X73" s="70"/>
      <c r="Y73" s="130"/>
      <c r="Z73" s="71"/>
    </row>
    <row r="74" spans="1:26" ht="15.75" thickBot="1" x14ac:dyDescent="0.3">
      <c r="A74" s="112"/>
      <c r="B74" s="297"/>
      <c r="C74" s="300"/>
      <c r="D74" s="298"/>
      <c r="E74" s="330"/>
      <c r="F74" s="331"/>
      <c r="G74" s="331"/>
      <c r="H74" s="332"/>
      <c r="I74" s="350"/>
      <c r="J74" s="351"/>
      <c r="K74" s="330"/>
      <c r="L74" s="332"/>
      <c r="M74" s="297"/>
      <c r="N74" s="298"/>
      <c r="O74" s="303"/>
      <c r="P74" s="304"/>
      <c r="Q74" s="303"/>
      <c r="R74" s="304"/>
      <c r="S74" s="303"/>
      <c r="T74" s="304"/>
      <c r="U74" s="303"/>
      <c r="V74" s="304"/>
      <c r="W74" s="344"/>
      <c r="X74" s="70"/>
      <c r="Y74" s="130"/>
      <c r="Z74" s="71"/>
    </row>
    <row r="75" spans="1:26" x14ac:dyDescent="0.25">
      <c r="A75" s="112"/>
      <c r="B75" s="308" t="s">
        <v>5</v>
      </c>
      <c r="C75" s="299"/>
      <c r="D75" s="296"/>
      <c r="E75" s="308" t="s">
        <v>25</v>
      </c>
      <c r="F75" s="299"/>
      <c r="G75" s="299"/>
      <c r="H75" s="296"/>
      <c r="I75" s="295">
        <v>4742870011972</v>
      </c>
      <c r="J75" s="296"/>
      <c r="K75" s="295">
        <v>32</v>
      </c>
      <c r="L75" s="305"/>
      <c r="M75" s="308">
        <v>30</v>
      </c>
      <c r="N75" s="296"/>
      <c r="O75" s="309">
        <v>177</v>
      </c>
      <c r="P75" s="310"/>
      <c r="Q75" s="309">
        <v>6.03</v>
      </c>
      <c r="R75" s="310"/>
      <c r="S75" s="309">
        <v>8.8800000000000008</v>
      </c>
      <c r="T75" s="310"/>
      <c r="U75" s="309">
        <v>13.8</v>
      </c>
      <c r="V75" s="310"/>
      <c r="W75" s="343"/>
      <c r="X75" s="70"/>
      <c r="Y75" s="130"/>
      <c r="Z75" s="71"/>
    </row>
    <row r="76" spans="1:26" ht="15.75" thickBot="1" x14ac:dyDescent="0.3">
      <c r="A76" s="112"/>
      <c r="B76" s="297"/>
      <c r="C76" s="300"/>
      <c r="D76" s="298"/>
      <c r="E76" s="297"/>
      <c r="F76" s="300"/>
      <c r="G76" s="300"/>
      <c r="H76" s="298"/>
      <c r="I76" s="297"/>
      <c r="J76" s="298"/>
      <c r="K76" s="306"/>
      <c r="L76" s="307"/>
      <c r="M76" s="297"/>
      <c r="N76" s="298"/>
      <c r="O76" s="311"/>
      <c r="P76" s="312"/>
      <c r="Q76" s="311"/>
      <c r="R76" s="312"/>
      <c r="S76" s="311"/>
      <c r="T76" s="312"/>
      <c r="U76" s="311"/>
      <c r="V76" s="312"/>
      <c r="W76" s="344"/>
      <c r="X76" s="70"/>
      <c r="Y76" s="130"/>
      <c r="Z76" s="71"/>
    </row>
    <row r="77" spans="1:26" ht="15" customHeight="1" x14ac:dyDescent="0.25">
      <c r="A77" s="112"/>
      <c r="B77" s="308" t="s">
        <v>17</v>
      </c>
      <c r="C77" s="299"/>
      <c r="D77" s="296"/>
      <c r="E77" s="308" t="s">
        <v>26</v>
      </c>
      <c r="F77" s="299"/>
      <c r="G77" s="299"/>
      <c r="H77" s="296"/>
      <c r="I77" s="295">
        <v>4742870013945</v>
      </c>
      <c r="J77" s="296"/>
      <c r="K77" s="295">
        <v>17</v>
      </c>
      <c r="L77" s="305"/>
      <c r="M77" s="308">
        <v>15</v>
      </c>
      <c r="N77" s="296"/>
      <c r="O77" s="301">
        <v>66</v>
      </c>
      <c r="P77" s="302"/>
      <c r="Q77" s="301">
        <v>11.9</v>
      </c>
      <c r="R77" s="302"/>
      <c r="S77" s="301">
        <v>0.7</v>
      </c>
      <c r="T77" s="302"/>
      <c r="U77" s="301">
        <v>1.6</v>
      </c>
      <c r="V77" s="302"/>
      <c r="W77" s="343"/>
      <c r="X77" s="70"/>
      <c r="Y77" s="130"/>
      <c r="Z77" s="71"/>
    </row>
    <row r="78" spans="1:26" ht="15.75" thickBot="1" x14ac:dyDescent="0.3">
      <c r="A78" s="112"/>
      <c r="B78" s="297"/>
      <c r="C78" s="300"/>
      <c r="D78" s="298"/>
      <c r="E78" s="297"/>
      <c r="F78" s="300"/>
      <c r="G78" s="300"/>
      <c r="H78" s="298"/>
      <c r="I78" s="297"/>
      <c r="J78" s="298"/>
      <c r="K78" s="306"/>
      <c r="L78" s="307"/>
      <c r="M78" s="297"/>
      <c r="N78" s="298"/>
      <c r="O78" s="303"/>
      <c r="P78" s="304"/>
      <c r="Q78" s="303"/>
      <c r="R78" s="304"/>
      <c r="S78" s="303"/>
      <c r="T78" s="304"/>
      <c r="U78" s="303"/>
      <c r="V78" s="304"/>
      <c r="W78" s="344"/>
      <c r="X78" s="70"/>
      <c r="Y78" s="130"/>
      <c r="Z78" s="71"/>
    </row>
    <row r="79" spans="1:26" x14ac:dyDescent="0.25">
      <c r="A79" s="112"/>
      <c r="B79" s="308" t="s">
        <v>6</v>
      </c>
      <c r="C79" s="299"/>
      <c r="D79" s="296"/>
      <c r="E79" s="308" t="s">
        <v>48</v>
      </c>
      <c r="F79" s="299"/>
      <c r="G79" s="299"/>
      <c r="H79" s="296"/>
      <c r="I79" s="348">
        <v>4742870010548</v>
      </c>
      <c r="J79" s="349"/>
      <c r="K79" s="327">
        <v>42</v>
      </c>
      <c r="L79" s="329"/>
      <c r="M79" s="308">
        <v>40</v>
      </c>
      <c r="N79" s="296"/>
      <c r="O79" s="309">
        <v>109.4</v>
      </c>
      <c r="P79" s="310"/>
      <c r="Q79" s="309">
        <v>27.4</v>
      </c>
      <c r="R79" s="310"/>
      <c r="S79" s="309">
        <v>0</v>
      </c>
      <c r="T79" s="310"/>
      <c r="U79" s="309">
        <v>0</v>
      </c>
      <c r="V79" s="310"/>
      <c r="W79" s="345"/>
      <c r="X79" s="70"/>
      <c r="Y79" s="130"/>
      <c r="Z79" s="71"/>
    </row>
    <row r="80" spans="1:26" ht="15.75" thickBot="1" x14ac:dyDescent="0.3">
      <c r="A80" s="112"/>
      <c r="B80" s="297"/>
      <c r="C80" s="300"/>
      <c r="D80" s="298"/>
      <c r="E80" s="297"/>
      <c r="F80" s="300"/>
      <c r="G80" s="300"/>
      <c r="H80" s="298"/>
      <c r="I80" s="350"/>
      <c r="J80" s="351"/>
      <c r="K80" s="330"/>
      <c r="L80" s="332"/>
      <c r="M80" s="297"/>
      <c r="N80" s="298"/>
      <c r="O80" s="311"/>
      <c r="P80" s="312"/>
      <c r="Q80" s="311"/>
      <c r="R80" s="312"/>
      <c r="S80" s="311"/>
      <c r="T80" s="312"/>
      <c r="U80" s="311"/>
      <c r="V80" s="312"/>
      <c r="W80" s="346"/>
      <c r="X80" s="70"/>
      <c r="Y80" s="130"/>
      <c r="Z80" s="71"/>
    </row>
    <row r="81" spans="1:26" x14ac:dyDescent="0.25">
      <c r="A81" s="112"/>
      <c r="B81" s="308" t="s">
        <v>7</v>
      </c>
      <c r="C81" s="299"/>
      <c r="D81" s="296"/>
      <c r="E81" s="327" t="s">
        <v>66</v>
      </c>
      <c r="F81" s="328"/>
      <c r="G81" s="328"/>
      <c r="H81" s="329"/>
      <c r="I81" s="348"/>
      <c r="J81" s="296"/>
      <c r="K81" s="295">
        <v>4</v>
      </c>
      <c r="L81" s="305"/>
      <c r="M81" s="308">
        <v>2</v>
      </c>
      <c r="N81" s="296"/>
      <c r="O81" s="301">
        <v>0</v>
      </c>
      <c r="P81" s="302"/>
      <c r="Q81" s="301">
        <v>0</v>
      </c>
      <c r="R81" s="302"/>
      <c r="S81" s="301">
        <v>0</v>
      </c>
      <c r="T81" s="302"/>
      <c r="U81" s="301">
        <v>0</v>
      </c>
      <c r="V81" s="302"/>
      <c r="W81" s="347"/>
      <c r="X81" s="70"/>
      <c r="Y81" s="130"/>
      <c r="Z81" s="71"/>
    </row>
    <row r="82" spans="1:26" ht="15.75" thickBot="1" x14ac:dyDescent="0.3">
      <c r="A82" s="112"/>
      <c r="B82" s="297"/>
      <c r="C82" s="300"/>
      <c r="D82" s="298"/>
      <c r="E82" s="330"/>
      <c r="F82" s="331"/>
      <c r="G82" s="331"/>
      <c r="H82" s="332"/>
      <c r="I82" s="297"/>
      <c r="J82" s="298"/>
      <c r="K82" s="306"/>
      <c r="L82" s="307"/>
      <c r="M82" s="297"/>
      <c r="N82" s="298"/>
      <c r="O82" s="303"/>
      <c r="P82" s="304"/>
      <c r="Q82" s="303"/>
      <c r="R82" s="304"/>
      <c r="S82" s="303"/>
      <c r="T82" s="304"/>
      <c r="U82" s="303"/>
      <c r="V82" s="304"/>
      <c r="W82" s="344"/>
      <c r="X82" s="70"/>
      <c r="Y82" s="130"/>
      <c r="Z82" s="71"/>
    </row>
    <row r="83" spans="1:26" x14ac:dyDescent="0.25">
      <c r="A83" s="112"/>
      <c r="B83" s="308" t="s">
        <v>8</v>
      </c>
      <c r="C83" s="299"/>
      <c r="D83" s="296"/>
      <c r="E83" s="327" t="s">
        <v>8</v>
      </c>
      <c r="F83" s="328"/>
      <c r="G83" s="328"/>
      <c r="H83" s="329"/>
      <c r="I83" s="18"/>
      <c r="J83" s="18"/>
      <c r="K83" s="295"/>
      <c r="L83" s="305"/>
      <c r="M83" s="308"/>
      <c r="N83" s="296"/>
      <c r="O83" s="301"/>
      <c r="P83" s="302"/>
      <c r="Q83" s="301"/>
      <c r="R83" s="302"/>
      <c r="S83" s="301"/>
      <c r="T83" s="302"/>
      <c r="U83" s="301"/>
      <c r="V83" s="302"/>
      <c r="W83" s="347"/>
      <c r="X83" s="70"/>
      <c r="Y83" s="130"/>
      <c r="Z83" s="71"/>
    </row>
    <row r="84" spans="1:26" ht="15.75" thickBot="1" x14ac:dyDescent="0.3">
      <c r="A84" s="113"/>
      <c r="B84" s="297"/>
      <c r="C84" s="300"/>
      <c r="D84" s="298"/>
      <c r="E84" s="330"/>
      <c r="F84" s="331"/>
      <c r="G84" s="331"/>
      <c r="H84" s="332"/>
      <c r="I84" s="19"/>
      <c r="J84" s="19"/>
      <c r="K84" s="306"/>
      <c r="L84" s="307"/>
      <c r="M84" s="297"/>
      <c r="N84" s="298"/>
      <c r="O84" s="303"/>
      <c r="P84" s="304"/>
      <c r="Q84" s="303"/>
      <c r="R84" s="304"/>
      <c r="S84" s="303"/>
      <c r="T84" s="304"/>
      <c r="U84" s="303"/>
      <c r="V84" s="304"/>
      <c r="W84" s="344"/>
      <c r="X84" s="72"/>
      <c r="Y84" s="131"/>
      <c r="Z84" s="73"/>
    </row>
    <row r="85" spans="1:26" ht="15.75" thickBot="1" x14ac:dyDescent="0.3">
      <c r="A85" s="1"/>
      <c r="B85" s="156" t="s">
        <v>16</v>
      </c>
      <c r="C85" s="157"/>
      <c r="D85" s="158"/>
      <c r="E85" s="159"/>
      <c r="F85" s="160"/>
      <c r="G85" s="160"/>
      <c r="H85" s="161"/>
      <c r="I85" s="262"/>
      <c r="J85" s="263"/>
      <c r="K85" s="159">
        <f>SUM(K67:L84)</f>
        <v>445</v>
      </c>
      <c r="L85" s="161"/>
      <c r="M85" s="159">
        <f>SUM(M67:N84)</f>
        <v>402</v>
      </c>
      <c r="N85" s="161"/>
      <c r="O85" s="162">
        <f>SUM(O67:P84)</f>
        <v>1484.2</v>
      </c>
      <c r="P85" s="163"/>
      <c r="Q85" s="159">
        <f>SUM(Q67:R84)</f>
        <v>136.44</v>
      </c>
      <c r="R85" s="161"/>
      <c r="S85" s="159">
        <f>SUM(S67:T84)</f>
        <v>53.96</v>
      </c>
      <c r="T85" s="161"/>
      <c r="U85" s="159">
        <f>SUM(U67:V84)</f>
        <v>55.46</v>
      </c>
      <c r="V85" s="161"/>
      <c r="W85" s="20"/>
    </row>
    <row r="86" spans="1:26" ht="15" customHeight="1" x14ac:dyDescent="0.25">
      <c r="A86" s="111">
        <v>5</v>
      </c>
      <c r="B86" s="308" t="s">
        <v>1</v>
      </c>
      <c r="C86" s="299"/>
      <c r="D86" s="296"/>
      <c r="E86" s="317" t="s">
        <v>38</v>
      </c>
      <c r="F86" s="318"/>
      <c r="G86" s="318"/>
      <c r="H86" s="319"/>
      <c r="I86" s="295">
        <v>4742870012153</v>
      </c>
      <c r="J86" s="305"/>
      <c r="K86" s="308">
        <v>310</v>
      </c>
      <c r="L86" s="296"/>
      <c r="M86" s="308">
        <v>300</v>
      </c>
      <c r="N86" s="296"/>
      <c r="O86" s="309">
        <v>276</v>
      </c>
      <c r="P86" s="310"/>
      <c r="Q86" s="309">
        <v>36</v>
      </c>
      <c r="R86" s="310"/>
      <c r="S86" s="309">
        <v>10.5</v>
      </c>
      <c r="T86" s="310"/>
      <c r="U86" s="309">
        <v>7.5</v>
      </c>
      <c r="V86" s="310"/>
      <c r="W86" s="341"/>
      <c r="X86" s="68">
        <v>1200</v>
      </c>
      <c r="Y86" s="129"/>
      <c r="Z86" s="69"/>
    </row>
    <row r="87" spans="1:26" ht="15.75" thickBot="1" x14ac:dyDescent="0.3">
      <c r="A87" s="112"/>
      <c r="B87" s="297"/>
      <c r="C87" s="300"/>
      <c r="D87" s="298"/>
      <c r="E87" s="320"/>
      <c r="F87" s="321"/>
      <c r="G87" s="321"/>
      <c r="H87" s="322"/>
      <c r="I87" s="306"/>
      <c r="J87" s="307"/>
      <c r="K87" s="297"/>
      <c r="L87" s="298"/>
      <c r="M87" s="297"/>
      <c r="N87" s="298"/>
      <c r="O87" s="311"/>
      <c r="P87" s="312"/>
      <c r="Q87" s="311"/>
      <c r="R87" s="312"/>
      <c r="S87" s="311"/>
      <c r="T87" s="312"/>
      <c r="U87" s="311"/>
      <c r="V87" s="312"/>
      <c r="W87" s="342"/>
      <c r="X87" s="70"/>
      <c r="Y87" s="130"/>
      <c r="Z87" s="71"/>
    </row>
    <row r="88" spans="1:26" ht="15" customHeight="1" x14ac:dyDescent="0.25">
      <c r="A88" s="112"/>
      <c r="B88" s="308" t="s">
        <v>2</v>
      </c>
      <c r="C88" s="299"/>
      <c r="D88" s="296"/>
      <c r="E88" s="308" t="s">
        <v>99</v>
      </c>
      <c r="F88" s="299"/>
      <c r="G88" s="299"/>
      <c r="H88" s="296"/>
      <c r="I88" s="295"/>
      <c r="J88" s="299"/>
      <c r="K88" s="295">
        <v>55</v>
      </c>
      <c r="L88" s="305"/>
      <c r="M88" s="299">
        <v>50</v>
      </c>
      <c r="N88" s="296"/>
      <c r="O88" s="301">
        <f>379.5*M88/100</f>
        <v>189.75</v>
      </c>
      <c r="P88" s="302"/>
      <c r="Q88" s="301">
        <f>71*M88/100</f>
        <v>35.5</v>
      </c>
      <c r="R88" s="302"/>
      <c r="S88" s="301">
        <f>9.3*M88/100</f>
        <v>4.6500000000000004</v>
      </c>
      <c r="T88" s="302"/>
      <c r="U88" s="301">
        <f>6.2*M88/100</f>
        <v>3.1</v>
      </c>
      <c r="V88" s="302"/>
      <c r="W88" s="341"/>
      <c r="X88" s="70"/>
      <c r="Y88" s="130"/>
      <c r="Z88" s="71"/>
    </row>
    <row r="89" spans="1:26" ht="15.95" customHeight="1" thickBot="1" x14ac:dyDescent="0.3">
      <c r="A89" s="112"/>
      <c r="B89" s="297"/>
      <c r="C89" s="300"/>
      <c r="D89" s="298"/>
      <c r="E89" s="297"/>
      <c r="F89" s="300"/>
      <c r="G89" s="300"/>
      <c r="H89" s="298"/>
      <c r="I89" s="297"/>
      <c r="J89" s="300"/>
      <c r="K89" s="306"/>
      <c r="L89" s="307"/>
      <c r="M89" s="300"/>
      <c r="N89" s="298"/>
      <c r="O89" s="303"/>
      <c r="P89" s="304"/>
      <c r="Q89" s="303"/>
      <c r="R89" s="304"/>
      <c r="S89" s="303"/>
      <c r="T89" s="304"/>
      <c r="U89" s="303"/>
      <c r="V89" s="304"/>
      <c r="W89" s="342"/>
      <c r="X89" s="70"/>
      <c r="Y89" s="130"/>
      <c r="Z89" s="71"/>
    </row>
    <row r="90" spans="1:26" x14ac:dyDescent="0.25">
      <c r="A90" s="112"/>
      <c r="B90" s="308" t="s">
        <v>3</v>
      </c>
      <c r="C90" s="299"/>
      <c r="D90" s="296"/>
      <c r="E90" s="308" t="s">
        <v>21</v>
      </c>
      <c r="F90" s="299"/>
      <c r="G90" s="299"/>
      <c r="H90" s="296"/>
      <c r="I90" s="295">
        <v>4742870019008</v>
      </c>
      <c r="J90" s="296"/>
      <c r="K90" s="358">
        <v>80</v>
      </c>
      <c r="L90" s="359"/>
      <c r="M90" s="308">
        <v>75</v>
      </c>
      <c r="N90" s="296"/>
      <c r="O90" s="301">
        <v>225</v>
      </c>
      <c r="P90" s="302"/>
      <c r="Q90" s="301">
        <v>1.05</v>
      </c>
      <c r="R90" s="302"/>
      <c r="S90" s="301">
        <v>7.2</v>
      </c>
      <c r="T90" s="302"/>
      <c r="U90" s="301">
        <v>21.23</v>
      </c>
      <c r="V90" s="302"/>
      <c r="W90" s="343"/>
      <c r="X90" s="70"/>
      <c r="Y90" s="130"/>
      <c r="Z90" s="71"/>
    </row>
    <row r="91" spans="1:26" ht="15.75" thickBot="1" x14ac:dyDescent="0.3">
      <c r="A91" s="112"/>
      <c r="B91" s="297"/>
      <c r="C91" s="300"/>
      <c r="D91" s="298"/>
      <c r="E91" s="297"/>
      <c r="F91" s="300"/>
      <c r="G91" s="300"/>
      <c r="H91" s="298"/>
      <c r="I91" s="297"/>
      <c r="J91" s="298"/>
      <c r="K91" s="306"/>
      <c r="L91" s="307"/>
      <c r="M91" s="297"/>
      <c r="N91" s="298"/>
      <c r="O91" s="303"/>
      <c r="P91" s="304"/>
      <c r="Q91" s="303"/>
      <c r="R91" s="304"/>
      <c r="S91" s="303"/>
      <c r="T91" s="304"/>
      <c r="U91" s="303"/>
      <c r="V91" s="304"/>
      <c r="W91" s="344"/>
      <c r="X91" s="70"/>
      <c r="Y91" s="130"/>
      <c r="Z91" s="71"/>
    </row>
    <row r="92" spans="1:26" ht="15" customHeight="1" x14ac:dyDescent="0.25">
      <c r="A92" s="112"/>
      <c r="B92" s="308" t="s">
        <v>4</v>
      </c>
      <c r="C92" s="299"/>
      <c r="D92" s="296"/>
      <c r="E92" s="327" t="s">
        <v>61</v>
      </c>
      <c r="F92" s="328"/>
      <c r="G92" s="328"/>
      <c r="H92" s="329"/>
      <c r="I92" s="348"/>
      <c r="J92" s="349"/>
      <c r="K92" s="327">
        <v>65</v>
      </c>
      <c r="L92" s="329"/>
      <c r="M92" s="308">
        <v>60</v>
      </c>
      <c r="N92" s="296"/>
      <c r="O92" s="301">
        <f>480*M92/100</f>
        <v>288</v>
      </c>
      <c r="P92" s="302"/>
      <c r="Q92" s="301">
        <f>50.8*M92/100</f>
        <v>30.48</v>
      </c>
      <c r="R92" s="302"/>
      <c r="S92" s="301">
        <f>12.8*M92/100</f>
        <v>7.68</v>
      </c>
      <c r="T92" s="302"/>
      <c r="U92" s="301">
        <f>24.1*M92/100</f>
        <v>14.46</v>
      </c>
      <c r="V92" s="302"/>
      <c r="W92" s="343"/>
      <c r="X92" s="70"/>
      <c r="Y92" s="130"/>
      <c r="Z92" s="71"/>
    </row>
    <row r="93" spans="1:26" ht="15.75" thickBot="1" x14ac:dyDescent="0.3">
      <c r="A93" s="112"/>
      <c r="B93" s="297"/>
      <c r="C93" s="300"/>
      <c r="D93" s="298"/>
      <c r="E93" s="330"/>
      <c r="F93" s="331"/>
      <c r="G93" s="331"/>
      <c r="H93" s="332"/>
      <c r="I93" s="350"/>
      <c r="J93" s="351"/>
      <c r="K93" s="330"/>
      <c r="L93" s="332"/>
      <c r="M93" s="297"/>
      <c r="N93" s="298"/>
      <c r="O93" s="303"/>
      <c r="P93" s="304"/>
      <c r="Q93" s="303"/>
      <c r="R93" s="304"/>
      <c r="S93" s="303"/>
      <c r="T93" s="304"/>
      <c r="U93" s="303"/>
      <c r="V93" s="304"/>
      <c r="W93" s="344"/>
      <c r="X93" s="70"/>
      <c r="Y93" s="130"/>
      <c r="Z93" s="71"/>
    </row>
    <row r="94" spans="1:26" x14ac:dyDescent="0.25">
      <c r="A94" s="112"/>
      <c r="B94" s="308" t="s">
        <v>5</v>
      </c>
      <c r="C94" s="299"/>
      <c r="D94" s="296"/>
      <c r="E94" s="308" t="s">
        <v>60</v>
      </c>
      <c r="F94" s="299"/>
      <c r="G94" s="299"/>
      <c r="H94" s="296"/>
      <c r="I94" s="348"/>
      <c r="J94" s="349"/>
      <c r="K94" s="295">
        <v>32</v>
      </c>
      <c r="L94" s="305"/>
      <c r="M94" s="308">
        <v>30</v>
      </c>
      <c r="N94" s="296"/>
      <c r="O94" s="301">
        <f>230*M94/100</f>
        <v>69</v>
      </c>
      <c r="P94" s="302"/>
      <c r="Q94" s="301">
        <f>30.6*M94/100</f>
        <v>9.18</v>
      </c>
      <c r="R94" s="302"/>
      <c r="S94" s="301">
        <f>4.7*M94/100</f>
        <v>1.41</v>
      </c>
      <c r="T94" s="302"/>
      <c r="U94" s="301">
        <f>9.2*M94/100</f>
        <v>2.76</v>
      </c>
      <c r="V94" s="302"/>
      <c r="W94" s="343"/>
      <c r="X94" s="70"/>
      <c r="Y94" s="130"/>
      <c r="Z94" s="71"/>
    </row>
    <row r="95" spans="1:26" ht="15.75" thickBot="1" x14ac:dyDescent="0.3">
      <c r="A95" s="112"/>
      <c r="B95" s="297"/>
      <c r="C95" s="300"/>
      <c r="D95" s="298"/>
      <c r="E95" s="297"/>
      <c r="F95" s="300"/>
      <c r="G95" s="300"/>
      <c r="H95" s="298"/>
      <c r="I95" s="350"/>
      <c r="J95" s="351"/>
      <c r="K95" s="306"/>
      <c r="L95" s="307"/>
      <c r="M95" s="297"/>
      <c r="N95" s="298"/>
      <c r="O95" s="303"/>
      <c r="P95" s="304"/>
      <c r="Q95" s="303"/>
      <c r="R95" s="304"/>
      <c r="S95" s="303"/>
      <c r="T95" s="304"/>
      <c r="U95" s="303"/>
      <c r="V95" s="304"/>
      <c r="W95" s="344"/>
      <c r="X95" s="70"/>
      <c r="Y95" s="130"/>
      <c r="Z95" s="71"/>
    </row>
    <row r="96" spans="1:26" ht="15" customHeight="1" x14ac:dyDescent="0.25">
      <c r="A96" s="112"/>
      <c r="B96" s="308" t="s">
        <v>6</v>
      </c>
      <c r="C96" s="299"/>
      <c r="D96" s="296"/>
      <c r="E96" s="352" t="s">
        <v>31</v>
      </c>
      <c r="F96" s="353"/>
      <c r="G96" s="353"/>
      <c r="H96" s="354"/>
      <c r="I96" s="348">
        <v>4742870010586</v>
      </c>
      <c r="J96" s="349"/>
      <c r="K96" s="327">
        <v>22</v>
      </c>
      <c r="L96" s="329"/>
      <c r="M96" s="308">
        <v>20</v>
      </c>
      <c r="N96" s="296"/>
      <c r="O96" s="309">
        <v>66</v>
      </c>
      <c r="P96" s="310"/>
      <c r="Q96" s="309">
        <v>16</v>
      </c>
      <c r="R96" s="310"/>
      <c r="S96" s="309">
        <v>0</v>
      </c>
      <c r="T96" s="310"/>
      <c r="U96" s="309">
        <v>0</v>
      </c>
      <c r="V96" s="310"/>
      <c r="W96" s="345"/>
      <c r="X96" s="70"/>
      <c r="Y96" s="130"/>
      <c r="Z96" s="71"/>
    </row>
    <row r="97" spans="1:26" ht="15.75" thickBot="1" x14ac:dyDescent="0.3">
      <c r="A97" s="112"/>
      <c r="B97" s="297"/>
      <c r="C97" s="300"/>
      <c r="D97" s="298"/>
      <c r="E97" s="355"/>
      <c r="F97" s="356"/>
      <c r="G97" s="356"/>
      <c r="H97" s="357"/>
      <c r="I97" s="350"/>
      <c r="J97" s="351"/>
      <c r="K97" s="330"/>
      <c r="L97" s="332"/>
      <c r="M97" s="297"/>
      <c r="N97" s="298"/>
      <c r="O97" s="311"/>
      <c r="P97" s="312"/>
      <c r="Q97" s="311"/>
      <c r="R97" s="312"/>
      <c r="S97" s="311"/>
      <c r="T97" s="312"/>
      <c r="U97" s="311"/>
      <c r="V97" s="312"/>
      <c r="W97" s="346"/>
      <c r="X97" s="70"/>
      <c r="Y97" s="130"/>
      <c r="Z97" s="71"/>
    </row>
    <row r="98" spans="1:26" x14ac:dyDescent="0.25">
      <c r="A98" s="112"/>
      <c r="B98" s="308" t="s">
        <v>6</v>
      </c>
      <c r="C98" s="299"/>
      <c r="D98" s="296"/>
      <c r="E98" s="327" t="s">
        <v>53</v>
      </c>
      <c r="F98" s="328"/>
      <c r="G98" s="328"/>
      <c r="H98" s="329"/>
      <c r="I98" s="348">
        <v>4742870017790</v>
      </c>
      <c r="J98" s="349"/>
      <c r="K98" s="327">
        <v>42</v>
      </c>
      <c r="L98" s="329"/>
      <c r="M98" s="308">
        <v>40</v>
      </c>
      <c r="N98" s="296"/>
      <c r="O98" s="309">
        <v>109.4</v>
      </c>
      <c r="P98" s="310"/>
      <c r="Q98" s="309">
        <v>27.4</v>
      </c>
      <c r="R98" s="310"/>
      <c r="S98" s="309">
        <v>0</v>
      </c>
      <c r="T98" s="310"/>
      <c r="U98" s="309">
        <v>0</v>
      </c>
      <c r="V98" s="310"/>
      <c r="W98" s="345"/>
      <c r="X98" s="70"/>
      <c r="Y98" s="130"/>
      <c r="Z98" s="71"/>
    </row>
    <row r="99" spans="1:26" ht="15.75" thickBot="1" x14ac:dyDescent="0.3">
      <c r="A99" s="112"/>
      <c r="B99" s="297"/>
      <c r="C99" s="300"/>
      <c r="D99" s="298"/>
      <c r="E99" s="330"/>
      <c r="F99" s="331"/>
      <c r="G99" s="331"/>
      <c r="H99" s="332"/>
      <c r="I99" s="350"/>
      <c r="J99" s="351"/>
      <c r="K99" s="330"/>
      <c r="L99" s="332"/>
      <c r="M99" s="297"/>
      <c r="N99" s="298"/>
      <c r="O99" s="311"/>
      <c r="P99" s="312"/>
      <c r="Q99" s="311"/>
      <c r="R99" s="312"/>
      <c r="S99" s="311"/>
      <c r="T99" s="312"/>
      <c r="U99" s="311"/>
      <c r="V99" s="312"/>
      <c r="W99" s="346"/>
      <c r="X99" s="70"/>
      <c r="Y99" s="130"/>
      <c r="Z99" s="71"/>
    </row>
    <row r="100" spans="1:26" x14ac:dyDescent="0.25">
      <c r="A100" s="112"/>
      <c r="B100" s="308" t="s">
        <v>7</v>
      </c>
      <c r="C100" s="299"/>
      <c r="D100" s="296"/>
      <c r="E100" s="327" t="s">
        <v>66</v>
      </c>
      <c r="F100" s="328"/>
      <c r="G100" s="328"/>
      <c r="H100" s="329"/>
      <c r="I100" s="348"/>
      <c r="J100" s="296"/>
      <c r="K100" s="295">
        <v>4</v>
      </c>
      <c r="L100" s="305"/>
      <c r="M100" s="308">
        <v>2</v>
      </c>
      <c r="N100" s="296"/>
      <c r="O100" s="301">
        <v>0</v>
      </c>
      <c r="P100" s="302"/>
      <c r="Q100" s="301">
        <v>0</v>
      </c>
      <c r="R100" s="302"/>
      <c r="S100" s="301">
        <v>0</v>
      </c>
      <c r="T100" s="302"/>
      <c r="U100" s="301">
        <v>0</v>
      </c>
      <c r="V100" s="302"/>
      <c r="W100" s="347"/>
      <c r="X100" s="70"/>
      <c r="Y100" s="130"/>
      <c r="Z100" s="71"/>
    </row>
    <row r="101" spans="1:26" ht="15.75" thickBot="1" x14ac:dyDescent="0.3">
      <c r="A101" s="112"/>
      <c r="B101" s="297"/>
      <c r="C101" s="300"/>
      <c r="D101" s="298"/>
      <c r="E101" s="330"/>
      <c r="F101" s="331"/>
      <c r="G101" s="331"/>
      <c r="H101" s="332"/>
      <c r="I101" s="297"/>
      <c r="J101" s="298"/>
      <c r="K101" s="306"/>
      <c r="L101" s="307"/>
      <c r="M101" s="297"/>
      <c r="N101" s="298"/>
      <c r="O101" s="303"/>
      <c r="P101" s="304"/>
      <c r="Q101" s="303"/>
      <c r="R101" s="304"/>
      <c r="S101" s="303"/>
      <c r="T101" s="304"/>
      <c r="U101" s="303"/>
      <c r="V101" s="304"/>
      <c r="W101" s="344"/>
      <c r="X101" s="70"/>
      <c r="Y101" s="130"/>
      <c r="Z101" s="71"/>
    </row>
    <row r="102" spans="1:26" x14ac:dyDescent="0.25">
      <c r="A102" s="112"/>
      <c r="B102" s="308" t="s">
        <v>8</v>
      </c>
      <c r="C102" s="299"/>
      <c r="D102" s="296"/>
      <c r="E102" s="327" t="s">
        <v>8</v>
      </c>
      <c r="F102" s="328"/>
      <c r="G102" s="328"/>
      <c r="H102" s="329"/>
      <c r="I102" s="18"/>
      <c r="J102" s="18"/>
      <c r="K102" s="295"/>
      <c r="L102" s="305"/>
      <c r="M102" s="308"/>
      <c r="N102" s="296"/>
      <c r="O102" s="301"/>
      <c r="P102" s="302"/>
      <c r="Q102" s="301"/>
      <c r="R102" s="302"/>
      <c r="S102" s="301"/>
      <c r="T102" s="302"/>
      <c r="U102" s="301"/>
      <c r="V102" s="302"/>
      <c r="W102" s="347"/>
      <c r="X102" s="70"/>
      <c r="Y102" s="130"/>
      <c r="Z102" s="71"/>
    </row>
    <row r="103" spans="1:26" ht="15.75" thickBot="1" x14ac:dyDescent="0.3">
      <c r="A103" s="113"/>
      <c r="B103" s="297"/>
      <c r="C103" s="300"/>
      <c r="D103" s="298"/>
      <c r="E103" s="330"/>
      <c r="F103" s="331"/>
      <c r="G103" s="331"/>
      <c r="H103" s="332"/>
      <c r="I103" s="19"/>
      <c r="J103" s="19"/>
      <c r="K103" s="306"/>
      <c r="L103" s="307"/>
      <c r="M103" s="297"/>
      <c r="N103" s="298"/>
      <c r="O103" s="303"/>
      <c r="P103" s="304"/>
      <c r="Q103" s="303"/>
      <c r="R103" s="304"/>
      <c r="S103" s="303"/>
      <c r="T103" s="304"/>
      <c r="U103" s="303"/>
      <c r="V103" s="304"/>
      <c r="W103" s="344"/>
      <c r="X103" s="72"/>
      <c r="Y103" s="131"/>
      <c r="Z103" s="73"/>
    </row>
    <row r="104" spans="1:26" ht="15.75" thickBot="1" x14ac:dyDescent="0.3">
      <c r="A104" s="1"/>
      <c r="B104" s="156" t="s">
        <v>16</v>
      </c>
      <c r="C104" s="157"/>
      <c r="D104" s="158"/>
      <c r="E104" s="159"/>
      <c r="F104" s="160"/>
      <c r="G104" s="160"/>
      <c r="H104" s="161"/>
      <c r="I104" s="262"/>
      <c r="J104" s="263"/>
      <c r="K104" s="159">
        <f>SUM(K86:L103)</f>
        <v>610</v>
      </c>
      <c r="L104" s="161"/>
      <c r="M104" s="159">
        <f>SUM(M86:N103)</f>
        <v>577</v>
      </c>
      <c r="N104" s="161"/>
      <c r="O104" s="162">
        <f>SUM(O86:P103)</f>
        <v>1223.1500000000001</v>
      </c>
      <c r="P104" s="163"/>
      <c r="Q104" s="162">
        <f>SUM(Q86:R103)</f>
        <v>155.61000000000001</v>
      </c>
      <c r="R104" s="163"/>
      <c r="S104" s="162">
        <f>SUM(S86:T103)</f>
        <v>31.44</v>
      </c>
      <c r="T104" s="163"/>
      <c r="U104" s="162">
        <f>SUM(U86:V103)</f>
        <v>49.05</v>
      </c>
      <c r="V104" s="163"/>
      <c r="W104" s="20"/>
    </row>
    <row r="105" spans="1:26" ht="15" customHeight="1" x14ac:dyDescent="0.25">
      <c r="A105" s="111">
        <v>6</v>
      </c>
      <c r="B105" s="308" t="s">
        <v>1</v>
      </c>
      <c r="C105" s="299"/>
      <c r="D105" s="296"/>
      <c r="E105" s="317" t="s">
        <v>37</v>
      </c>
      <c r="F105" s="318"/>
      <c r="G105" s="318"/>
      <c r="H105" s="319"/>
      <c r="I105" s="295">
        <v>4742870012146</v>
      </c>
      <c r="J105" s="305"/>
      <c r="K105" s="308">
        <v>310</v>
      </c>
      <c r="L105" s="296"/>
      <c r="M105" s="308">
        <v>300</v>
      </c>
      <c r="N105" s="296"/>
      <c r="O105" s="309">
        <v>333</v>
      </c>
      <c r="P105" s="310"/>
      <c r="Q105" s="309">
        <v>42</v>
      </c>
      <c r="R105" s="310"/>
      <c r="S105" s="309">
        <v>15.6</v>
      </c>
      <c r="T105" s="310"/>
      <c r="U105" s="309">
        <v>10.5</v>
      </c>
      <c r="V105" s="310"/>
      <c r="W105" s="341"/>
      <c r="X105" s="68">
        <v>1200</v>
      </c>
      <c r="Y105" s="129"/>
      <c r="Z105" s="69"/>
    </row>
    <row r="106" spans="1:26" ht="15.75" thickBot="1" x14ac:dyDescent="0.3">
      <c r="A106" s="112"/>
      <c r="B106" s="297"/>
      <c r="C106" s="300"/>
      <c r="D106" s="298"/>
      <c r="E106" s="320"/>
      <c r="F106" s="321"/>
      <c r="G106" s="321"/>
      <c r="H106" s="322"/>
      <c r="I106" s="306"/>
      <c r="J106" s="307"/>
      <c r="K106" s="297"/>
      <c r="L106" s="298"/>
      <c r="M106" s="297"/>
      <c r="N106" s="298"/>
      <c r="O106" s="311"/>
      <c r="P106" s="312"/>
      <c r="Q106" s="311"/>
      <c r="R106" s="312"/>
      <c r="S106" s="311"/>
      <c r="T106" s="312"/>
      <c r="U106" s="311"/>
      <c r="V106" s="312"/>
      <c r="W106" s="342"/>
      <c r="X106" s="70"/>
      <c r="Y106" s="130"/>
      <c r="Z106" s="71"/>
    </row>
    <row r="107" spans="1:26" ht="15" customHeight="1" x14ac:dyDescent="0.25">
      <c r="A107" s="112"/>
      <c r="B107" s="308" t="s">
        <v>2</v>
      </c>
      <c r="C107" s="299"/>
      <c r="D107" s="296"/>
      <c r="E107" s="308" t="s">
        <v>99</v>
      </c>
      <c r="F107" s="299"/>
      <c r="G107" s="299"/>
      <c r="H107" s="296"/>
      <c r="I107" s="295"/>
      <c r="J107" s="299"/>
      <c r="K107" s="295">
        <v>55</v>
      </c>
      <c r="L107" s="305"/>
      <c r="M107" s="299">
        <v>50</v>
      </c>
      <c r="N107" s="296"/>
      <c r="O107" s="301">
        <f>379.5*M107/100</f>
        <v>189.75</v>
      </c>
      <c r="P107" s="302"/>
      <c r="Q107" s="301">
        <f>71*M107/100</f>
        <v>35.5</v>
      </c>
      <c r="R107" s="302"/>
      <c r="S107" s="301">
        <f>9.3*M107/100</f>
        <v>4.6500000000000004</v>
      </c>
      <c r="T107" s="302"/>
      <c r="U107" s="301">
        <f>6.2*M107/100</f>
        <v>3.1</v>
      </c>
      <c r="V107" s="302"/>
      <c r="W107" s="341"/>
      <c r="X107" s="70"/>
      <c r="Y107" s="130"/>
      <c r="Z107" s="71"/>
    </row>
    <row r="108" spans="1:26" ht="15.95" customHeight="1" thickBot="1" x14ac:dyDescent="0.3">
      <c r="A108" s="112"/>
      <c r="B108" s="297"/>
      <c r="C108" s="300"/>
      <c r="D108" s="298"/>
      <c r="E108" s="297"/>
      <c r="F108" s="300"/>
      <c r="G108" s="300"/>
      <c r="H108" s="298"/>
      <c r="I108" s="297"/>
      <c r="J108" s="300"/>
      <c r="K108" s="306"/>
      <c r="L108" s="307"/>
      <c r="M108" s="300"/>
      <c r="N108" s="298"/>
      <c r="O108" s="303"/>
      <c r="P108" s="304"/>
      <c r="Q108" s="303"/>
      <c r="R108" s="304"/>
      <c r="S108" s="303"/>
      <c r="T108" s="304"/>
      <c r="U108" s="303"/>
      <c r="V108" s="304"/>
      <c r="W108" s="342"/>
      <c r="X108" s="70"/>
      <c r="Y108" s="130"/>
      <c r="Z108" s="71"/>
    </row>
    <row r="109" spans="1:26" x14ac:dyDescent="0.25">
      <c r="A109" s="112"/>
      <c r="B109" s="308" t="s">
        <v>3</v>
      </c>
      <c r="C109" s="299"/>
      <c r="D109" s="296"/>
      <c r="E109" s="308" t="s">
        <v>22</v>
      </c>
      <c r="F109" s="299"/>
      <c r="G109" s="299"/>
      <c r="H109" s="296"/>
      <c r="I109" s="295">
        <v>4742870019039</v>
      </c>
      <c r="J109" s="296"/>
      <c r="K109" s="295">
        <v>80</v>
      </c>
      <c r="L109" s="305"/>
      <c r="M109" s="308">
        <v>75</v>
      </c>
      <c r="N109" s="296"/>
      <c r="O109" s="301">
        <v>160.05000000000001</v>
      </c>
      <c r="P109" s="302"/>
      <c r="Q109" s="301">
        <v>4.13</v>
      </c>
      <c r="R109" s="302"/>
      <c r="S109" s="301">
        <v>4.05</v>
      </c>
      <c r="T109" s="302"/>
      <c r="U109" s="301">
        <v>14.1</v>
      </c>
      <c r="V109" s="302"/>
      <c r="W109" s="343"/>
      <c r="X109" s="70"/>
      <c r="Y109" s="130"/>
      <c r="Z109" s="71"/>
    </row>
    <row r="110" spans="1:26" ht="15.75" thickBot="1" x14ac:dyDescent="0.3">
      <c r="A110" s="112"/>
      <c r="B110" s="297"/>
      <c r="C110" s="300"/>
      <c r="D110" s="298"/>
      <c r="E110" s="297"/>
      <c r="F110" s="300"/>
      <c r="G110" s="300"/>
      <c r="H110" s="298"/>
      <c r="I110" s="297"/>
      <c r="J110" s="298"/>
      <c r="K110" s="306"/>
      <c r="L110" s="307"/>
      <c r="M110" s="297"/>
      <c r="N110" s="298"/>
      <c r="O110" s="303"/>
      <c r="P110" s="304"/>
      <c r="Q110" s="303"/>
      <c r="R110" s="304"/>
      <c r="S110" s="303"/>
      <c r="T110" s="304"/>
      <c r="U110" s="303"/>
      <c r="V110" s="304"/>
      <c r="W110" s="344"/>
      <c r="X110" s="70"/>
      <c r="Y110" s="130"/>
      <c r="Z110" s="71"/>
    </row>
    <row r="111" spans="1:26" x14ac:dyDescent="0.25">
      <c r="A111" s="112"/>
      <c r="B111" s="308" t="s">
        <v>4</v>
      </c>
      <c r="C111" s="299"/>
      <c r="D111" s="296"/>
      <c r="E111" s="327" t="s">
        <v>61</v>
      </c>
      <c r="F111" s="328"/>
      <c r="G111" s="328"/>
      <c r="H111" s="329"/>
      <c r="I111" s="348"/>
      <c r="J111" s="349"/>
      <c r="K111" s="327">
        <v>65</v>
      </c>
      <c r="L111" s="329"/>
      <c r="M111" s="308">
        <v>60</v>
      </c>
      <c r="N111" s="296"/>
      <c r="O111" s="301">
        <f>480*M111/100</f>
        <v>288</v>
      </c>
      <c r="P111" s="302"/>
      <c r="Q111" s="301">
        <f>50.8*M111/100</f>
        <v>30.48</v>
      </c>
      <c r="R111" s="302"/>
      <c r="S111" s="301">
        <f>12.8*M111/100</f>
        <v>7.68</v>
      </c>
      <c r="T111" s="302"/>
      <c r="U111" s="301">
        <f>24.1*M111/100</f>
        <v>14.46</v>
      </c>
      <c r="V111" s="302"/>
      <c r="W111" s="343"/>
      <c r="X111" s="70"/>
      <c r="Y111" s="130"/>
      <c r="Z111" s="71"/>
    </row>
    <row r="112" spans="1:26" ht="15.75" thickBot="1" x14ac:dyDescent="0.3">
      <c r="A112" s="112"/>
      <c r="B112" s="297"/>
      <c r="C112" s="300"/>
      <c r="D112" s="298"/>
      <c r="E112" s="330"/>
      <c r="F112" s="331"/>
      <c r="G112" s="331"/>
      <c r="H112" s="332"/>
      <c r="I112" s="350"/>
      <c r="J112" s="351"/>
      <c r="K112" s="330"/>
      <c r="L112" s="332"/>
      <c r="M112" s="297"/>
      <c r="N112" s="298"/>
      <c r="O112" s="303"/>
      <c r="P112" s="304"/>
      <c r="Q112" s="303"/>
      <c r="R112" s="304"/>
      <c r="S112" s="303"/>
      <c r="T112" s="304"/>
      <c r="U112" s="303"/>
      <c r="V112" s="304"/>
      <c r="W112" s="344"/>
      <c r="X112" s="70"/>
      <c r="Y112" s="130"/>
      <c r="Z112" s="71"/>
    </row>
    <row r="113" spans="1:26" x14ac:dyDescent="0.25">
      <c r="A113" s="112"/>
      <c r="B113" s="308" t="s">
        <v>5</v>
      </c>
      <c r="C113" s="299"/>
      <c r="D113" s="296"/>
      <c r="E113" s="327" t="s">
        <v>64</v>
      </c>
      <c r="F113" s="328"/>
      <c r="G113" s="328"/>
      <c r="H113" s="329"/>
      <c r="I113" s="295"/>
      <c r="J113" s="305"/>
      <c r="K113" s="308">
        <v>27</v>
      </c>
      <c r="L113" s="296"/>
      <c r="M113" s="308">
        <v>25</v>
      </c>
      <c r="N113" s="296"/>
      <c r="O113" s="308">
        <f>267*M113/100</f>
        <v>66.75</v>
      </c>
      <c r="P113" s="296"/>
      <c r="Q113" s="308">
        <f>65.6*M113/100</f>
        <v>16.399999999999999</v>
      </c>
      <c r="R113" s="296"/>
      <c r="S113" s="308">
        <f>0.3*M113/100</f>
        <v>7.4999999999999997E-2</v>
      </c>
      <c r="T113" s="296"/>
      <c r="U113" s="308">
        <f>0.1*M113/100</f>
        <v>2.5000000000000001E-2</v>
      </c>
      <c r="V113" s="296"/>
      <c r="W113" s="343"/>
      <c r="X113" s="70"/>
      <c r="Y113" s="130"/>
      <c r="Z113" s="71"/>
    </row>
    <row r="114" spans="1:26" ht="15.75" thickBot="1" x14ac:dyDescent="0.3">
      <c r="A114" s="112"/>
      <c r="B114" s="297"/>
      <c r="C114" s="300"/>
      <c r="D114" s="298"/>
      <c r="E114" s="330"/>
      <c r="F114" s="331"/>
      <c r="G114" s="331"/>
      <c r="H114" s="332"/>
      <c r="I114" s="306"/>
      <c r="J114" s="307"/>
      <c r="K114" s="297"/>
      <c r="L114" s="298"/>
      <c r="M114" s="297"/>
      <c r="N114" s="298"/>
      <c r="O114" s="297"/>
      <c r="P114" s="298"/>
      <c r="Q114" s="297"/>
      <c r="R114" s="298"/>
      <c r="S114" s="297"/>
      <c r="T114" s="298"/>
      <c r="U114" s="297"/>
      <c r="V114" s="298"/>
      <c r="W114" s="344"/>
      <c r="X114" s="70"/>
      <c r="Y114" s="130"/>
      <c r="Z114" s="71"/>
    </row>
    <row r="115" spans="1:26" x14ac:dyDescent="0.25">
      <c r="A115" s="112"/>
      <c r="B115" s="308" t="s">
        <v>6</v>
      </c>
      <c r="C115" s="299"/>
      <c r="D115" s="296"/>
      <c r="E115" s="327" t="s">
        <v>56</v>
      </c>
      <c r="F115" s="328"/>
      <c r="G115" s="328"/>
      <c r="H115" s="329"/>
      <c r="I115" s="295">
        <v>4742870010562</v>
      </c>
      <c r="J115" s="305"/>
      <c r="K115" s="308">
        <v>22</v>
      </c>
      <c r="L115" s="296"/>
      <c r="M115" s="308">
        <v>20</v>
      </c>
      <c r="N115" s="296"/>
      <c r="O115" s="309">
        <v>66.599999999999994</v>
      </c>
      <c r="P115" s="310"/>
      <c r="Q115" s="309">
        <v>16.2</v>
      </c>
      <c r="R115" s="310"/>
      <c r="S115" s="309">
        <v>0</v>
      </c>
      <c r="T115" s="310"/>
      <c r="U115" s="309">
        <v>0</v>
      </c>
      <c r="V115" s="310"/>
      <c r="W115" s="345"/>
      <c r="X115" s="70"/>
      <c r="Y115" s="130"/>
      <c r="Z115" s="71"/>
    </row>
    <row r="116" spans="1:26" ht="15.75" thickBot="1" x14ac:dyDescent="0.3">
      <c r="A116" s="112"/>
      <c r="B116" s="297"/>
      <c r="C116" s="300"/>
      <c r="D116" s="298"/>
      <c r="E116" s="330"/>
      <c r="F116" s="331"/>
      <c r="G116" s="331"/>
      <c r="H116" s="332"/>
      <c r="I116" s="306"/>
      <c r="J116" s="307"/>
      <c r="K116" s="297"/>
      <c r="L116" s="298"/>
      <c r="M116" s="297"/>
      <c r="N116" s="298"/>
      <c r="O116" s="311"/>
      <c r="P116" s="312"/>
      <c r="Q116" s="311"/>
      <c r="R116" s="312"/>
      <c r="S116" s="311"/>
      <c r="T116" s="312"/>
      <c r="U116" s="311"/>
      <c r="V116" s="312"/>
      <c r="W116" s="346"/>
      <c r="X116" s="70"/>
      <c r="Y116" s="130"/>
      <c r="Z116" s="71"/>
    </row>
    <row r="117" spans="1:26" x14ac:dyDescent="0.25">
      <c r="A117" s="112"/>
      <c r="B117" s="308" t="s">
        <v>6</v>
      </c>
      <c r="C117" s="299"/>
      <c r="D117" s="296"/>
      <c r="E117" s="308" t="s">
        <v>55</v>
      </c>
      <c r="F117" s="299"/>
      <c r="G117" s="299"/>
      <c r="H117" s="296"/>
      <c r="I117" s="295">
        <v>4742870015581</v>
      </c>
      <c r="J117" s="305"/>
      <c r="K117" s="308">
        <v>42</v>
      </c>
      <c r="L117" s="296"/>
      <c r="M117" s="308">
        <v>40</v>
      </c>
      <c r="N117" s="296"/>
      <c r="O117" s="309">
        <v>109.4</v>
      </c>
      <c r="P117" s="310"/>
      <c r="Q117" s="309">
        <v>27.4</v>
      </c>
      <c r="R117" s="310"/>
      <c r="S117" s="309">
        <v>0</v>
      </c>
      <c r="T117" s="310"/>
      <c r="U117" s="309">
        <v>0</v>
      </c>
      <c r="V117" s="310"/>
      <c r="W117" s="345"/>
      <c r="X117" s="70"/>
      <c r="Y117" s="130"/>
      <c r="Z117" s="71"/>
    </row>
    <row r="118" spans="1:26" ht="15.75" thickBot="1" x14ac:dyDescent="0.3">
      <c r="A118" s="112"/>
      <c r="B118" s="297"/>
      <c r="C118" s="300"/>
      <c r="D118" s="298"/>
      <c r="E118" s="297"/>
      <c r="F118" s="300"/>
      <c r="G118" s="300"/>
      <c r="H118" s="298"/>
      <c r="I118" s="306"/>
      <c r="J118" s="307"/>
      <c r="K118" s="297"/>
      <c r="L118" s="298"/>
      <c r="M118" s="297"/>
      <c r="N118" s="298"/>
      <c r="O118" s="311"/>
      <c r="P118" s="312"/>
      <c r="Q118" s="311"/>
      <c r="R118" s="312"/>
      <c r="S118" s="311"/>
      <c r="T118" s="312"/>
      <c r="U118" s="311"/>
      <c r="V118" s="312"/>
      <c r="W118" s="346"/>
      <c r="X118" s="70"/>
      <c r="Y118" s="130"/>
      <c r="Z118" s="71"/>
    </row>
    <row r="119" spans="1:26" x14ac:dyDescent="0.25">
      <c r="A119" s="112"/>
      <c r="B119" s="308" t="s">
        <v>7</v>
      </c>
      <c r="C119" s="299"/>
      <c r="D119" s="296"/>
      <c r="E119" s="327" t="s">
        <v>66</v>
      </c>
      <c r="F119" s="328"/>
      <c r="G119" s="328"/>
      <c r="H119" s="329"/>
      <c r="I119" s="348"/>
      <c r="J119" s="296"/>
      <c r="K119" s="295">
        <v>4</v>
      </c>
      <c r="L119" s="305"/>
      <c r="M119" s="308">
        <v>2</v>
      </c>
      <c r="N119" s="296"/>
      <c r="O119" s="301">
        <v>0</v>
      </c>
      <c r="P119" s="302"/>
      <c r="Q119" s="301">
        <v>0</v>
      </c>
      <c r="R119" s="302"/>
      <c r="S119" s="301">
        <v>0</v>
      </c>
      <c r="T119" s="302"/>
      <c r="U119" s="301">
        <v>0</v>
      </c>
      <c r="V119" s="302"/>
      <c r="W119" s="347"/>
      <c r="X119" s="70"/>
      <c r="Y119" s="130"/>
      <c r="Z119" s="71"/>
    </row>
    <row r="120" spans="1:26" ht="15.75" thickBot="1" x14ac:dyDescent="0.3">
      <c r="A120" s="112"/>
      <c r="B120" s="297"/>
      <c r="C120" s="300"/>
      <c r="D120" s="298"/>
      <c r="E120" s="330"/>
      <c r="F120" s="331"/>
      <c r="G120" s="331"/>
      <c r="H120" s="332"/>
      <c r="I120" s="297"/>
      <c r="J120" s="298"/>
      <c r="K120" s="306"/>
      <c r="L120" s="307"/>
      <c r="M120" s="297"/>
      <c r="N120" s="298"/>
      <c r="O120" s="303"/>
      <c r="P120" s="304"/>
      <c r="Q120" s="303"/>
      <c r="R120" s="304"/>
      <c r="S120" s="303"/>
      <c r="T120" s="304"/>
      <c r="U120" s="303"/>
      <c r="V120" s="304"/>
      <c r="W120" s="344"/>
      <c r="X120" s="70"/>
      <c r="Y120" s="130"/>
      <c r="Z120" s="71"/>
    </row>
    <row r="121" spans="1:26" x14ac:dyDescent="0.25">
      <c r="A121" s="112"/>
      <c r="B121" s="308" t="s">
        <v>8</v>
      </c>
      <c r="C121" s="299"/>
      <c r="D121" s="296"/>
      <c r="E121" s="327" t="s">
        <v>8</v>
      </c>
      <c r="F121" s="328"/>
      <c r="G121" s="328"/>
      <c r="H121" s="329"/>
      <c r="I121" s="18"/>
      <c r="J121" s="18"/>
      <c r="K121" s="295"/>
      <c r="L121" s="305"/>
      <c r="M121" s="308"/>
      <c r="N121" s="296"/>
      <c r="O121" s="301"/>
      <c r="P121" s="302"/>
      <c r="Q121" s="301"/>
      <c r="R121" s="302"/>
      <c r="S121" s="301"/>
      <c r="T121" s="302"/>
      <c r="U121" s="301"/>
      <c r="V121" s="302"/>
      <c r="W121" s="347"/>
      <c r="X121" s="70"/>
      <c r="Y121" s="130"/>
      <c r="Z121" s="71"/>
    </row>
    <row r="122" spans="1:26" ht="15.75" thickBot="1" x14ac:dyDescent="0.3">
      <c r="A122" s="113"/>
      <c r="B122" s="297"/>
      <c r="C122" s="300"/>
      <c r="D122" s="298"/>
      <c r="E122" s="330"/>
      <c r="F122" s="331"/>
      <c r="G122" s="331"/>
      <c r="H122" s="332"/>
      <c r="I122" s="19"/>
      <c r="J122" s="19"/>
      <c r="K122" s="306"/>
      <c r="L122" s="307"/>
      <c r="M122" s="297"/>
      <c r="N122" s="298"/>
      <c r="O122" s="303"/>
      <c r="P122" s="304"/>
      <c r="Q122" s="303"/>
      <c r="R122" s="304"/>
      <c r="S122" s="303"/>
      <c r="T122" s="304"/>
      <c r="U122" s="303"/>
      <c r="V122" s="304"/>
      <c r="W122" s="344"/>
      <c r="X122" s="72"/>
      <c r="Y122" s="131"/>
      <c r="Z122" s="73"/>
    </row>
    <row r="123" spans="1:26" ht="15.75" thickBot="1" x14ac:dyDescent="0.3">
      <c r="A123" s="1"/>
      <c r="B123" s="156" t="s">
        <v>16</v>
      </c>
      <c r="C123" s="157"/>
      <c r="D123" s="158"/>
      <c r="E123" s="159"/>
      <c r="F123" s="160"/>
      <c r="G123" s="160"/>
      <c r="H123" s="161"/>
      <c r="I123" s="262"/>
      <c r="J123" s="263"/>
      <c r="K123" s="159">
        <f>SUM(K105:L122)</f>
        <v>605</v>
      </c>
      <c r="L123" s="161"/>
      <c r="M123" s="159">
        <f>SUM(M105:N122)</f>
        <v>572</v>
      </c>
      <c r="N123" s="161"/>
      <c r="O123" s="162">
        <f>SUM(O105:P122)</f>
        <v>1213.55</v>
      </c>
      <c r="P123" s="163"/>
      <c r="Q123" s="159">
        <f>SUM(Q105:R122)</f>
        <v>172.10999999999999</v>
      </c>
      <c r="R123" s="161"/>
      <c r="S123" s="159">
        <f>SUM(S105:T122)</f>
        <v>32.055</v>
      </c>
      <c r="T123" s="161"/>
      <c r="U123" s="159">
        <f>SUM(U105:V122)</f>
        <v>42.184999999999995</v>
      </c>
      <c r="V123" s="161"/>
      <c r="W123" s="20"/>
    </row>
    <row r="124" spans="1:26" ht="15" customHeight="1" x14ac:dyDescent="0.25">
      <c r="A124" s="111">
        <v>7</v>
      </c>
      <c r="B124" s="308" t="s">
        <v>1</v>
      </c>
      <c r="C124" s="299"/>
      <c r="D124" s="296"/>
      <c r="E124" s="317" t="s">
        <v>43</v>
      </c>
      <c r="F124" s="318"/>
      <c r="G124" s="318"/>
      <c r="H124" s="319"/>
      <c r="I124" s="295">
        <v>4742870012160</v>
      </c>
      <c r="J124" s="305"/>
      <c r="K124" s="308">
        <v>310</v>
      </c>
      <c r="L124" s="296"/>
      <c r="M124" s="308">
        <v>300</v>
      </c>
      <c r="N124" s="296"/>
      <c r="O124" s="309">
        <v>399</v>
      </c>
      <c r="P124" s="310"/>
      <c r="Q124" s="309">
        <v>49.2</v>
      </c>
      <c r="R124" s="310"/>
      <c r="S124" s="309">
        <v>12.9</v>
      </c>
      <c r="T124" s="310"/>
      <c r="U124" s="309">
        <v>15.6</v>
      </c>
      <c r="V124" s="310"/>
      <c r="W124" s="341"/>
      <c r="X124" s="68">
        <v>1200</v>
      </c>
      <c r="Y124" s="129"/>
      <c r="Z124" s="69"/>
    </row>
    <row r="125" spans="1:26" ht="15.75" thickBot="1" x14ac:dyDescent="0.3">
      <c r="A125" s="112"/>
      <c r="B125" s="297"/>
      <c r="C125" s="300"/>
      <c r="D125" s="298"/>
      <c r="E125" s="320"/>
      <c r="F125" s="321"/>
      <c r="G125" s="321"/>
      <c r="H125" s="322"/>
      <c r="I125" s="306"/>
      <c r="J125" s="307"/>
      <c r="K125" s="297"/>
      <c r="L125" s="298"/>
      <c r="M125" s="297"/>
      <c r="N125" s="298"/>
      <c r="O125" s="311"/>
      <c r="P125" s="312"/>
      <c r="Q125" s="311"/>
      <c r="R125" s="312"/>
      <c r="S125" s="311"/>
      <c r="T125" s="312"/>
      <c r="U125" s="311"/>
      <c r="V125" s="312"/>
      <c r="W125" s="342"/>
      <c r="X125" s="70"/>
      <c r="Y125" s="130"/>
      <c r="Z125" s="71"/>
    </row>
    <row r="126" spans="1:26" ht="15" customHeight="1" x14ac:dyDescent="0.25">
      <c r="A126" s="112"/>
      <c r="B126" s="308" t="s">
        <v>2</v>
      </c>
      <c r="C126" s="299"/>
      <c r="D126" s="296"/>
      <c r="E126" s="308" t="s">
        <v>99</v>
      </c>
      <c r="F126" s="299"/>
      <c r="G126" s="299"/>
      <c r="H126" s="296"/>
      <c r="I126" s="295"/>
      <c r="J126" s="299"/>
      <c r="K126" s="295">
        <v>55</v>
      </c>
      <c r="L126" s="305"/>
      <c r="M126" s="299">
        <v>50</v>
      </c>
      <c r="N126" s="296"/>
      <c r="O126" s="301">
        <f>379.5*M126/100</f>
        <v>189.75</v>
      </c>
      <c r="P126" s="302"/>
      <c r="Q126" s="301">
        <f>71*M126/100</f>
        <v>35.5</v>
      </c>
      <c r="R126" s="302"/>
      <c r="S126" s="301">
        <f>9.3*M126/100</f>
        <v>4.6500000000000004</v>
      </c>
      <c r="T126" s="302"/>
      <c r="U126" s="301">
        <f>6.2*M126/100</f>
        <v>3.1</v>
      </c>
      <c r="V126" s="302"/>
      <c r="W126" s="341"/>
      <c r="X126" s="70"/>
      <c r="Y126" s="130"/>
      <c r="Z126" s="71"/>
    </row>
    <row r="127" spans="1:26" ht="15.95" customHeight="1" thickBot="1" x14ac:dyDescent="0.3">
      <c r="A127" s="112"/>
      <c r="B127" s="297"/>
      <c r="C127" s="300"/>
      <c r="D127" s="298"/>
      <c r="E127" s="297"/>
      <c r="F127" s="300"/>
      <c r="G127" s="300"/>
      <c r="H127" s="298"/>
      <c r="I127" s="297"/>
      <c r="J127" s="300"/>
      <c r="K127" s="306"/>
      <c r="L127" s="307"/>
      <c r="M127" s="300"/>
      <c r="N127" s="298"/>
      <c r="O127" s="303"/>
      <c r="P127" s="304"/>
      <c r="Q127" s="303"/>
      <c r="R127" s="304"/>
      <c r="S127" s="303"/>
      <c r="T127" s="304"/>
      <c r="U127" s="303"/>
      <c r="V127" s="304"/>
      <c r="W127" s="342"/>
      <c r="X127" s="70"/>
      <c r="Y127" s="130"/>
      <c r="Z127" s="71"/>
    </row>
    <row r="128" spans="1:26" x14ac:dyDescent="0.25">
      <c r="A128" s="112"/>
      <c r="B128" s="308" t="s">
        <v>3</v>
      </c>
      <c r="C128" s="299"/>
      <c r="D128" s="296"/>
      <c r="E128" s="308" t="s">
        <v>21</v>
      </c>
      <c r="F128" s="299"/>
      <c r="G128" s="299"/>
      <c r="H128" s="296"/>
      <c r="I128" s="295">
        <v>4742870019008</v>
      </c>
      <c r="J128" s="296"/>
      <c r="K128" s="358">
        <v>80</v>
      </c>
      <c r="L128" s="359"/>
      <c r="M128" s="308">
        <v>75</v>
      </c>
      <c r="N128" s="296"/>
      <c r="O128" s="301">
        <v>225</v>
      </c>
      <c r="P128" s="302"/>
      <c r="Q128" s="301">
        <v>1.05</v>
      </c>
      <c r="R128" s="302"/>
      <c r="S128" s="301">
        <v>7.2</v>
      </c>
      <c r="T128" s="302"/>
      <c r="U128" s="301">
        <v>21.23</v>
      </c>
      <c r="V128" s="302"/>
      <c r="W128" s="343"/>
      <c r="X128" s="70"/>
      <c r="Y128" s="130"/>
      <c r="Z128" s="71"/>
    </row>
    <row r="129" spans="1:26" ht="15.75" thickBot="1" x14ac:dyDescent="0.3">
      <c r="A129" s="112"/>
      <c r="B129" s="297"/>
      <c r="C129" s="300"/>
      <c r="D129" s="298"/>
      <c r="E129" s="297"/>
      <c r="F129" s="300"/>
      <c r="G129" s="300"/>
      <c r="H129" s="298"/>
      <c r="I129" s="297"/>
      <c r="J129" s="298"/>
      <c r="K129" s="306"/>
      <c r="L129" s="307"/>
      <c r="M129" s="297"/>
      <c r="N129" s="298"/>
      <c r="O129" s="303"/>
      <c r="P129" s="304"/>
      <c r="Q129" s="303"/>
      <c r="R129" s="304"/>
      <c r="S129" s="303"/>
      <c r="T129" s="304"/>
      <c r="U129" s="303"/>
      <c r="V129" s="304"/>
      <c r="W129" s="344"/>
      <c r="X129" s="70"/>
      <c r="Y129" s="130"/>
      <c r="Z129" s="71"/>
    </row>
    <row r="130" spans="1:26" ht="15" customHeight="1" x14ac:dyDescent="0.25">
      <c r="A130" s="112"/>
      <c r="B130" s="308" t="s">
        <v>4</v>
      </c>
      <c r="C130" s="299"/>
      <c r="D130" s="296"/>
      <c r="E130" s="327" t="s">
        <v>61</v>
      </c>
      <c r="F130" s="328"/>
      <c r="G130" s="328"/>
      <c r="H130" s="329"/>
      <c r="I130" s="348"/>
      <c r="J130" s="349"/>
      <c r="K130" s="327">
        <v>65</v>
      </c>
      <c r="L130" s="329"/>
      <c r="M130" s="308">
        <v>60</v>
      </c>
      <c r="N130" s="296"/>
      <c r="O130" s="301">
        <f>480*M130/100</f>
        <v>288</v>
      </c>
      <c r="P130" s="302"/>
      <c r="Q130" s="301">
        <f>50.8*M130/100</f>
        <v>30.48</v>
      </c>
      <c r="R130" s="302"/>
      <c r="S130" s="301">
        <f>12.8*M130/100</f>
        <v>7.68</v>
      </c>
      <c r="T130" s="302"/>
      <c r="U130" s="301">
        <f>24.1*M130/100</f>
        <v>14.46</v>
      </c>
      <c r="V130" s="302"/>
      <c r="W130" s="343"/>
      <c r="X130" s="70"/>
      <c r="Y130" s="130"/>
      <c r="Z130" s="71"/>
    </row>
    <row r="131" spans="1:26" ht="15.75" thickBot="1" x14ac:dyDescent="0.3">
      <c r="A131" s="112"/>
      <c r="B131" s="297"/>
      <c r="C131" s="300"/>
      <c r="D131" s="298"/>
      <c r="E131" s="330"/>
      <c r="F131" s="331"/>
      <c r="G131" s="331"/>
      <c r="H131" s="332"/>
      <c r="I131" s="350"/>
      <c r="J131" s="351"/>
      <c r="K131" s="330"/>
      <c r="L131" s="332"/>
      <c r="M131" s="297"/>
      <c r="N131" s="298"/>
      <c r="O131" s="303"/>
      <c r="P131" s="304"/>
      <c r="Q131" s="303"/>
      <c r="R131" s="304"/>
      <c r="S131" s="303"/>
      <c r="T131" s="304"/>
      <c r="U131" s="303"/>
      <c r="V131" s="304"/>
      <c r="W131" s="344"/>
      <c r="X131" s="70"/>
      <c r="Y131" s="130"/>
      <c r="Z131" s="71"/>
    </row>
    <row r="132" spans="1:26" x14ac:dyDescent="0.25">
      <c r="A132" s="112"/>
      <c r="B132" s="308" t="s">
        <v>5</v>
      </c>
      <c r="C132" s="299"/>
      <c r="D132" s="296"/>
      <c r="E132" s="308" t="s">
        <v>60</v>
      </c>
      <c r="F132" s="299"/>
      <c r="G132" s="299"/>
      <c r="H132" s="296"/>
      <c r="I132" s="348"/>
      <c r="J132" s="349"/>
      <c r="K132" s="295">
        <v>32</v>
      </c>
      <c r="L132" s="305"/>
      <c r="M132" s="308">
        <v>30</v>
      </c>
      <c r="N132" s="296"/>
      <c r="O132" s="301">
        <f>230*M132/100</f>
        <v>69</v>
      </c>
      <c r="P132" s="302"/>
      <c r="Q132" s="301">
        <f>30.6*M132/100</f>
        <v>9.18</v>
      </c>
      <c r="R132" s="302"/>
      <c r="S132" s="301">
        <f>4.7*M132/100</f>
        <v>1.41</v>
      </c>
      <c r="T132" s="302"/>
      <c r="U132" s="301">
        <f>9.2*M132/100</f>
        <v>2.76</v>
      </c>
      <c r="V132" s="302"/>
      <c r="W132" s="343"/>
      <c r="X132" s="70"/>
      <c r="Y132" s="130"/>
      <c r="Z132" s="71"/>
    </row>
    <row r="133" spans="1:26" ht="15.75" thickBot="1" x14ac:dyDescent="0.3">
      <c r="A133" s="112"/>
      <c r="B133" s="297"/>
      <c r="C133" s="300"/>
      <c r="D133" s="298"/>
      <c r="E133" s="297"/>
      <c r="F133" s="300"/>
      <c r="G133" s="300"/>
      <c r="H133" s="298"/>
      <c r="I133" s="350"/>
      <c r="J133" s="351"/>
      <c r="K133" s="306"/>
      <c r="L133" s="307"/>
      <c r="M133" s="297"/>
      <c r="N133" s="298"/>
      <c r="O133" s="303"/>
      <c r="P133" s="304"/>
      <c r="Q133" s="303"/>
      <c r="R133" s="304"/>
      <c r="S133" s="303"/>
      <c r="T133" s="304"/>
      <c r="U133" s="303"/>
      <c r="V133" s="304"/>
      <c r="W133" s="344"/>
      <c r="X133" s="70"/>
      <c r="Y133" s="130"/>
      <c r="Z133" s="71"/>
    </row>
    <row r="134" spans="1:26" ht="15" customHeight="1" x14ac:dyDescent="0.25">
      <c r="A134" s="112"/>
      <c r="B134" s="308" t="s">
        <v>6</v>
      </c>
      <c r="C134" s="299"/>
      <c r="D134" s="296"/>
      <c r="E134" s="352" t="s">
        <v>33</v>
      </c>
      <c r="F134" s="353"/>
      <c r="G134" s="353"/>
      <c r="H134" s="354"/>
      <c r="I134" s="295">
        <v>4742870010555</v>
      </c>
      <c r="J134" s="305"/>
      <c r="K134" s="308">
        <v>22</v>
      </c>
      <c r="L134" s="296"/>
      <c r="M134" s="308">
        <v>20</v>
      </c>
      <c r="N134" s="296"/>
      <c r="O134" s="309">
        <v>66.8</v>
      </c>
      <c r="P134" s="310"/>
      <c r="Q134" s="309">
        <v>16.2</v>
      </c>
      <c r="R134" s="310"/>
      <c r="S134" s="309">
        <v>0</v>
      </c>
      <c r="T134" s="310"/>
      <c r="U134" s="309">
        <v>0</v>
      </c>
      <c r="V134" s="310"/>
      <c r="W134" s="345"/>
      <c r="X134" s="70"/>
      <c r="Y134" s="130"/>
      <c r="Z134" s="71"/>
    </row>
    <row r="135" spans="1:26" ht="15.75" thickBot="1" x14ac:dyDescent="0.3">
      <c r="A135" s="112"/>
      <c r="B135" s="297"/>
      <c r="C135" s="300"/>
      <c r="D135" s="298"/>
      <c r="E135" s="355"/>
      <c r="F135" s="356"/>
      <c r="G135" s="356"/>
      <c r="H135" s="357"/>
      <c r="I135" s="306"/>
      <c r="J135" s="307"/>
      <c r="K135" s="297"/>
      <c r="L135" s="298"/>
      <c r="M135" s="297"/>
      <c r="N135" s="298"/>
      <c r="O135" s="311"/>
      <c r="P135" s="312"/>
      <c r="Q135" s="311"/>
      <c r="R135" s="312"/>
      <c r="S135" s="311"/>
      <c r="T135" s="312"/>
      <c r="U135" s="311"/>
      <c r="V135" s="312"/>
      <c r="W135" s="346"/>
      <c r="X135" s="70"/>
      <c r="Y135" s="130"/>
      <c r="Z135" s="71"/>
    </row>
    <row r="136" spans="1:26" x14ac:dyDescent="0.25">
      <c r="A136" s="112"/>
      <c r="B136" s="308" t="s">
        <v>6</v>
      </c>
      <c r="C136" s="299"/>
      <c r="D136" s="296"/>
      <c r="E136" s="308" t="s">
        <v>54</v>
      </c>
      <c r="F136" s="299"/>
      <c r="G136" s="299"/>
      <c r="H136" s="296"/>
      <c r="I136" s="295">
        <v>4742870015550</v>
      </c>
      <c r="J136" s="305"/>
      <c r="K136" s="308">
        <v>42</v>
      </c>
      <c r="L136" s="296"/>
      <c r="M136" s="308">
        <v>40</v>
      </c>
      <c r="N136" s="296"/>
      <c r="O136" s="309">
        <v>109.4</v>
      </c>
      <c r="P136" s="310"/>
      <c r="Q136" s="309">
        <v>27.4</v>
      </c>
      <c r="R136" s="310"/>
      <c r="S136" s="309">
        <v>0</v>
      </c>
      <c r="T136" s="310"/>
      <c r="U136" s="309">
        <v>0</v>
      </c>
      <c r="V136" s="310"/>
      <c r="W136" s="345"/>
      <c r="X136" s="70"/>
      <c r="Y136" s="130"/>
      <c r="Z136" s="71"/>
    </row>
    <row r="137" spans="1:26" ht="15.75" thickBot="1" x14ac:dyDescent="0.3">
      <c r="A137" s="112"/>
      <c r="B137" s="297"/>
      <c r="C137" s="300"/>
      <c r="D137" s="298"/>
      <c r="E137" s="297"/>
      <c r="F137" s="300"/>
      <c r="G137" s="300"/>
      <c r="H137" s="298"/>
      <c r="I137" s="306"/>
      <c r="J137" s="307"/>
      <c r="K137" s="297"/>
      <c r="L137" s="298"/>
      <c r="M137" s="297"/>
      <c r="N137" s="298"/>
      <c r="O137" s="311"/>
      <c r="P137" s="312"/>
      <c r="Q137" s="311"/>
      <c r="R137" s="312"/>
      <c r="S137" s="311"/>
      <c r="T137" s="312"/>
      <c r="U137" s="311"/>
      <c r="V137" s="312"/>
      <c r="W137" s="346"/>
      <c r="X137" s="70"/>
      <c r="Y137" s="130"/>
      <c r="Z137" s="71"/>
    </row>
    <row r="138" spans="1:26" x14ac:dyDescent="0.25">
      <c r="A138" s="112"/>
      <c r="B138" s="308" t="s">
        <v>7</v>
      </c>
      <c r="C138" s="299"/>
      <c r="D138" s="296"/>
      <c r="E138" s="327" t="s">
        <v>66</v>
      </c>
      <c r="F138" s="328"/>
      <c r="G138" s="328"/>
      <c r="H138" s="329"/>
      <c r="I138" s="348"/>
      <c r="J138" s="296"/>
      <c r="K138" s="295">
        <v>4</v>
      </c>
      <c r="L138" s="305"/>
      <c r="M138" s="308">
        <v>2</v>
      </c>
      <c r="N138" s="296"/>
      <c r="O138" s="301">
        <v>0</v>
      </c>
      <c r="P138" s="302"/>
      <c r="Q138" s="301">
        <v>0</v>
      </c>
      <c r="R138" s="302"/>
      <c r="S138" s="301">
        <v>0</v>
      </c>
      <c r="T138" s="302"/>
      <c r="U138" s="301">
        <v>0</v>
      </c>
      <c r="V138" s="302"/>
      <c r="W138" s="347"/>
      <c r="X138" s="70"/>
      <c r="Y138" s="130"/>
      <c r="Z138" s="71"/>
    </row>
    <row r="139" spans="1:26" ht="15.75" thickBot="1" x14ac:dyDescent="0.3">
      <c r="A139" s="112"/>
      <c r="B139" s="297"/>
      <c r="C139" s="300"/>
      <c r="D139" s="298"/>
      <c r="E139" s="330"/>
      <c r="F139" s="331"/>
      <c r="G139" s="331"/>
      <c r="H139" s="332"/>
      <c r="I139" s="297"/>
      <c r="J139" s="298"/>
      <c r="K139" s="306"/>
      <c r="L139" s="307"/>
      <c r="M139" s="297"/>
      <c r="N139" s="298"/>
      <c r="O139" s="303"/>
      <c r="P139" s="304"/>
      <c r="Q139" s="303"/>
      <c r="R139" s="304"/>
      <c r="S139" s="303"/>
      <c r="T139" s="304"/>
      <c r="U139" s="303"/>
      <c r="V139" s="304"/>
      <c r="W139" s="344"/>
      <c r="X139" s="70"/>
      <c r="Y139" s="130"/>
      <c r="Z139" s="71"/>
    </row>
    <row r="140" spans="1:26" x14ac:dyDescent="0.25">
      <c r="A140" s="112"/>
      <c r="B140" s="308" t="s">
        <v>8</v>
      </c>
      <c r="C140" s="299"/>
      <c r="D140" s="296"/>
      <c r="E140" s="327" t="s">
        <v>8</v>
      </c>
      <c r="F140" s="328"/>
      <c r="G140" s="328"/>
      <c r="H140" s="329"/>
      <c r="I140" s="18"/>
      <c r="J140" s="18"/>
      <c r="K140" s="295"/>
      <c r="L140" s="305"/>
      <c r="M140" s="308"/>
      <c r="N140" s="296"/>
      <c r="O140" s="301"/>
      <c r="P140" s="302"/>
      <c r="Q140" s="301"/>
      <c r="R140" s="302"/>
      <c r="S140" s="301"/>
      <c r="T140" s="302"/>
      <c r="U140" s="301"/>
      <c r="V140" s="302"/>
      <c r="W140" s="347"/>
      <c r="X140" s="70"/>
      <c r="Y140" s="130"/>
      <c r="Z140" s="71"/>
    </row>
    <row r="141" spans="1:26" ht="15.75" thickBot="1" x14ac:dyDescent="0.3">
      <c r="A141" s="113"/>
      <c r="B141" s="297"/>
      <c r="C141" s="300"/>
      <c r="D141" s="298"/>
      <c r="E141" s="330"/>
      <c r="F141" s="331"/>
      <c r="G141" s="331"/>
      <c r="H141" s="332"/>
      <c r="I141" s="19"/>
      <c r="J141" s="19"/>
      <c r="K141" s="306"/>
      <c r="L141" s="307"/>
      <c r="M141" s="297"/>
      <c r="N141" s="298"/>
      <c r="O141" s="303"/>
      <c r="P141" s="304"/>
      <c r="Q141" s="303"/>
      <c r="R141" s="304"/>
      <c r="S141" s="303"/>
      <c r="T141" s="304"/>
      <c r="U141" s="303"/>
      <c r="V141" s="304"/>
      <c r="W141" s="344"/>
      <c r="X141" s="72"/>
      <c r="Y141" s="131"/>
      <c r="Z141" s="73"/>
    </row>
    <row r="142" spans="1:26" ht="15.75" thickBot="1" x14ac:dyDescent="0.3">
      <c r="A142" s="1"/>
      <c r="B142" s="156" t="s">
        <v>16</v>
      </c>
      <c r="C142" s="157"/>
      <c r="D142" s="158"/>
      <c r="E142" s="159"/>
      <c r="F142" s="160"/>
      <c r="G142" s="160"/>
      <c r="H142" s="161"/>
      <c r="I142" s="262"/>
      <c r="J142" s="263"/>
      <c r="K142" s="159">
        <f>SUM(K124:L141)</f>
        <v>610</v>
      </c>
      <c r="L142" s="161"/>
      <c r="M142" s="159">
        <f>SUM(M124:N141)</f>
        <v>577</v>
      </c>
      <c r="N142" s="161"/>
      <c r="O142" s="162">
        <f>SUM(O124:P141)</f>
        <v>1346.95</v>
      </c>
      <c r="P142" s="163"/>
      <c r="Q142" s="159">
        <f>SUM(Q124:R141)</f>
        <v>169.01</v>
      </c>
      <c r="R142" s="161"/>
      <c r="S142" s="159">
        <f>SUM(S124:T141)</f>
        <v>33.839999999999996</v>
      </c>
      <c r="T142" s="161"/>
      <c r="U142" s="159">
        <f>SUM(U124:V141)</f>
        <v>57.15</v>
      </c>
      <c r="V142" s="161"/>
      <c r="W142" s="20"/>
    </row>
    <row r="143" spans="1:26" ht="15" customHeight="1" x14ac:dyDescent="0.25">
      <c r="A143" s="111">
        <v>8</v>
      </c>
      <c r="B143" s="308" t="s">
        <v>1</v>
      </c>
      <c r="C143" s="299"/>
      <c r="D143" s="296"/>
      <c r="E143" s="317" t="s">
        <v>36</v>
      </c>
      <c r="F143" s="318"/>
      <c r="G143" s="318"/>
      <c r="H143" s="319"/>
      <c r="I143" s="313">
        <v>4742870013082</v>
      </c>
      <c r="J143" s="314"/>
      <c r="K143" s="308">
        <v>310</v>
      </c>
      <c r="L143" s="296"/>
      <c r="M143" s="308">
        <v>300</v>
      </c>
      <c r="N143" s="296"/>
      <c r="O143" s="309">
        <v>216</v>
      </c>
      <c r="P143" s="310"/>
      <c r="Q143" s="309">
        <v>27.6</v>
      </c>
      <c r="R143" s="310"/>
      <c r="S143" s="309">
        <v>9.6</v>
      </c>
      <c r="T143" s="310"/>
      <c r="U143" s="309">
        <v>6.3</v>
      </c>
      <c r="V143" s="310"/>
      <c r="W143" s="341"/>
      <c r="X143" s="68">
        <v>1200</v>
      </c>
      <c r="Y143" s="129"/>
      <c r="Z143" s="69"/>
    </row>
    <row r="144" spans="1:26" ht="15.75" thickBot="1" x14ac:dyDescent="0.3">
      <c r="A144" s="112"/>
      <c r="B144" s="297"/>
      <c r="C144" s="300"/>
      <c r="D144" s="298"/>
      <c r="E144" s="320"/>
      <c r="F144" s="321"/>
      <c r="G144" s="321"/>
      <c r="H144" s="322"/>
      <c r="I144" s="315"/>
      <c r="J144" s="316"/>
      <c r="K144" s="297"/>
      <c r="L144" s="298"/>
      <c r="M144" s="297"/>
      <c r="N144" s="298"/>
      <c r="O144" s="311"/>
      <c r="P144" s="312"/>
      <c r="Q144" s="311"/>
      <c r="R144" s="312"/>
      <c r="S144" s="311"/>
      <c r="T144" s="312"/>
      <c r="U144" s="311"/>
      <c r="V144" s="312"/>
      <c r="W144" s="342"/>
      <c r="X144" s="70"/>
      <c r="Y144" s="130"/>
      <c r="Z144" s="71"/>
    </row>
    <row r="145" spans="1:26" ht="15" customHeight="1" x14ac:dyDescent="0.25">
      <c r="A145" s="112"/>
      <c r="B145" s="308" t="s">
        <v>2</v>
      </c>
      <c r="C145" s="299"/>
      <c r="D145" s="296"/>
      <c r="E145" s="308" t="s">
        <v>99</v>
      </c>
      <c r="F145" s="299"/>
      <c r="G145" s="299"/>
      <c r="H145" s="296"/>
      <c r="I145" s="295"/>
      <c r="J145" s="299"/>
      <c r="K145" s="295">
        <v>55</v>
      </c>
      <c r="L145" s="305"/>
      <c r="M145" s="299">
        <v>50</v>
      </c>
      <c r="N145" s="296"/>
      <c r="O145" s="301">
        <f>379.5*M145/100</f>
        <v>189.75</v>
      </c>
      <c r="P145" s="302"/>
      <c r="Q145" s="301">
        <f>71*M145/100</f>
        <v>35.5</v>
      </c>
      <c r="R145" s="302"/>
      <c r="S145" s="301">
        <f>9.3*M145/100</f>
        <v>4.6500000000000004</v>
      </c>
      <c r="T145" s="302"/>
      <c r="U145" s="301">
        <f>6.2*M145/100</f>
        <v>3.1</v>
      </c>
      <c r="V145" s="302"/>
      <c r="W145" s="341"/>
      <c r="X145" s="70"/>
      <c r="Y145" s="130"/>
      <c r="Z145" s="71"/>
    </row>
    <row r="146" spans="1:26" ht="15.95" customHeight="1" thickBot="1" x14ac:dyDescent="0.3">
      <c r="A146" s="112"/>
      <c r="B146" s="297"/>
      <c r="C146" s="300"/>
      <c r="D146" s="298"/>
      <c r="E146" s="297"/>
      <c r="F146" s="300"/>
      <c r="G146" s="300"/>
      <c r="H146" s="298"/>
      <c r="I146" s="297"/>
      <c r="J146" s="300"/>
      <c r="K146" s="306"/>
      <c r="L146" s="307"/>
      <c r="M146" s="300"/>
      <c r="N146" s="298"/>
      <c r="O146" s="303"/>
      <c r="P146" s="304"/>
      <c r="Q146" s="303"/>
      <c r="R146" s="304"/>
      <c r="S146" s="303"/>
      <c r="T146" s="304"/>
      <c r="U146" s="303"/>
      <c r="V146" s="304"/>
      <c r="W146" s="342"/>
      <c r="X146" s="70"/>
      <c r="Y146" s="130"/>
      <c r="Z146" s="71"/>
    </row>
    <row r="147" spans="1:26" x14ac:dyDescent="0.25">
      <c r="A147" s="112"/>
      <c r="B147" s="308" t="s">
        <v>3</v>
      </c>
      <c r="C147" s="299"/>
      <c r="D147" s="296"/>
      <c r="E147" s="308" t="s">
        <v>22</v>
      </c>
      <c r="F147" s="299"/>
      <c r="G147" s="299"/>
      <c r="H147" s="296"/>
      <c r="I147" s="295">
        <v>4742870019039</v>
      </c>
      <c r="J147" s="296"/>
      <c r="K147" s="295">
        <v>80</v>
      </c>
      <c r="L147" s="305"/>
      <c r="M147" s="308">
        <v>75</v>
      </c>
      <c r="N147" s="296"/>
      <c r="O147" s="301">
        <v>160.05000000000001</v>
      </c>
      <c r="P147" s="302"/>
      <c r="Q147" s="301">
        <v>4.13</v>
      </c>
      <c r="R147" s="302"/>
      <c r="S147" s="301">
        <v>4.05</v>
      </c>
      <c r="T147" s="302"/>
      <c r="U147" s="301">
        <v>14.1</v>
      </c>
      <c r="V147" s="302"/>
      <c r="W147" s="343"/>
      <c r="X147" s="70"/>
      <c r="Y147" s="130"/>
      <c r="Z147" s="71"/>
    </row>
    <row r="148" spans="1:26" ht="15.75" thickBot="1" x14ac:dyDescent="0.3">
      <c r="A148" s="112"/>
      <c r="B148" s="297"/>
      <c r="C148" s="300"/>
      <c r="D148" s="298"/>
      <c r="E148" s="297"/>
      <c r="F148" s="300"/>
      <c r="G148" s="300"/>
      <c r="H148" s="298"/>
      <c r="I148" s="297"/>
      <c r="J148" s="298"/>
      <c r="K148" s="306"/>
      <c r="L148" s="307"/>
      <c r="M148" s="297"/>
      <c r="N148" s="298"/>
      <c r="O148" s="303"/>
      <c r="P148" s="304"/>
      <c r="Q148" s="303"/>
      <c r="R148" s="304"/>
      <c r="S148" s="303"/>
      <c r="T148" s="304"/>
      <c r="U148" s="303"/>
      <c r="V148" s="304"/>
      <c r="W148" s="344"/>
      <c r="X148" s="70"/>
      <c r="Y148" s="130"/>
      <c r="Z148" s="71"/>
    </row>
    <row r="149" spans="1:26" ht="15" customHeight="1" x14ac:dyDescent="0.25">
      <c r="A149" s="112"/>
      <c r="B149" s="308" t="s">
        <v>4</v>
      </c>
      <c r="C149" s="299"/>
      <c r="D149" s="296"/>
      <c r="E149" s="327" t="s">
        <v>61</v>
      </c>
      <c r="F149" s="328"/>
      <c r="G149" s="328"/>
      <c r="H149" s="329"/>
      <c r="I149" s="348"/>
      <c r="J149" s="349"/>
      <c r="K149" s="327">
        <v>65</v>
      </c>
      <c r="L149" s="329"/>
      <c r="M149" s="308">
        <v>60</v>
      </c>
      <c r="N149" s="296"/>
      <c r="O149" s="301">
        <f>480*M149/100</f>
        <v>288</v>
      </c>
      <c r="P149" s="302"/>
      <c r="Q149" s="301">
        <f>50.8*M149/100</f>
        <v>30.48</v>
      </c>
      <c r="R149" s="302"/>
      <c r="S149" s="301">
        <f>12.8*M149/100</f>
        <v>7.68</v>
      </c>
      <c r="T149" s="302"/>
      <c r="U149" s="301">
        <f>24.1*M149/100</f>
        <v>14.46</v>
      </c>
      <c r="V149" s="302"/>
      <c r="W149" s="343"/>
      <c r="X149" s="70"/>
      <c r="Y149" s="130"/>
      <c r="Z149" s="71"/>
    </row>
    <row r="150" spans="1:26" ht="15.75" thickBot="1" x14ac:dyDescent="0.3">
      <c r="A150" s="112"/>
      <c r="B150" s="297"/>
      <c r="C150" s="300"/>
      <c r="D150" s="298"/>
      <c r="E150" s="330"/>
      <c r="F150" s="331"/>
      <c r="G150" s="331"/>
      <c r="H150" s="332"/>
      <c r="I150" s="350"/>
      <c r="J150" s="351"/>
      <c r="K150" s="330"/>
      <c r="L150" s="332"/>
      <c r="M150" s="297"/>
      <c r="N150" s="298"/>
      <c r="O150" s="303"/>
      <c r="P150" s="304"/>
      <c r="Q150" s="303"/>
      <c r="R150" s="304"/>
      <c r="S150" s="303"/>
      <c r="T150" s="304"/>
      <c r="U150" s="303"/>
      <c r="V150" s="304"/>
      <c r="W150" s="344"/>
      <c r="X150" s="70"/>
      <c r="Y150" s="130"/>
      <c r="Z150" s="71"/>
    </row>
    <row r="151" spans="1:26" x14ac:dyDescent="0.25">
      <c r="A151" s="112"/>
      <c r="B151" s="308" t="s">
        <v>5</v>
      </c>
      <c r="C151" s="299"/>
      <c r="D151" s="296"/>
      <c r="E151" s="308" t="s">
        <v>25</v>
      </c>
      <c r="F151" s="299"/>
      <c r="G151" s="299"/>
      <c r="H151" s="296"/>
      <c r="I151" s="295">
        <v>4742870011972</v>
      </c>
      <c r="J151" s="296"/>
      <c r="K151" s="295">
        <v>32</v>
      </c>
      <c r="L151" s="305"/>
      <c r="M151" s="308">
        <v>30</v>
      </c>
      <c r="N151" s="296"/>
      <c r="O151" s="309">
        <v>177</v>
      </c>
      <c r="P151" s="310"/>
      <c r="Q151" s="309">
        <v>6.03</v>
      </c>
      <c r="R151" s="310"/>
      <c r="S151" s="309">
        <v>8.8800000000000008</v>
      </c>
      <c r="T151" s="310"/>
      <c r="U151" s="309">
        <v>13.8</v>
      </c>
      <c r="V151" s="310"/>
      <c r="W151" s="343"/>
      <c r="X151" s="70"/>
      <c r="Y151" s="130"/>
      <c r="Z151" s="71"/>
    </row>
    <row r="152" spans="1:26" ht="15.75" thickBot="1" x14ac:dyDescent="0.3">
      <c r="A152" s="112"/>
      <c r="B152" s="297"/>
      <c r="C152" s="300"/>
      <c r="D152" s="298"/>
      <c r="E152" s="297"/>
      <c r="F152" s="300"/>
      <c r="G152" s="300"/>
      <c r="H152" s="298"/>
      <c r="I152" s="297"/>
      <c r="J152" s="298"/>
      <c r="K152" s="306"/>
      <c r="L152" s="307"/>
      <c r="M152" s="297"/>
      <c r="N152" s="298"/>
      <c r="O152" s="311"/>
      <c r="P152" s="312"/>
      <c r="Q152" s="311"/>
      <c r="R152" s="312"/>
      <c r="S152" s="311"/>
      <c r="T152" s="312"/>
      <c r="U152" s="311"/>
      <c r="V152" s="312"/>
      <c r="W152" s="344"/>
      <c r="X152" s="70"/>
      <c r="Y152" s="130"/>
      <c r="Z152" s="71"/>
    </row>
    <row r="153" spans="1:26" ht="15" customHeight="1" x14ac:dyDescent="0.25">
      <c r="A153" s="112"/>
      <c r="B153" s="308" t="s">
        <v>6</v>
      </c>
      <c r="C153" s="299"/>
      <c r="D153" s="296"/>
      <c r="E153" s="352" t="s">
        <v>30</v>
      </c>
      <c r="F153" s="353"/>
      <c r="G153" s="353"/>
      <c r="H153" s="354"/>
      <c r="I153" s="295">
        <v>4742870010579</v>
      </c>
      <c r="J153" s="305"/>
      <c r="K153" s="308">
        <v>22</v>
      </c>
      <c r="L153" s="296"/>
      <c r="M153" s="308">
        <v>20</v>
      </c>
      <c r="N153" s="296"/>
      <c r="O153" s="309">
        <v>66.400000000000006</v>
      </c>
      <c r="P153" s="310"/>
      <c r="Q153" s="309">
        <v>16</v>
      </c>
      <c r="R153" s="310"/>
      <c r="S153" s="309">
        <v>0</v>
      </c>
      <c r="T153" s="310"/>
      <c r="U153" s="309">
        <v>0</v>
      </c>
      <c r="V153" s="310"/>
      <c r="W153" s="345"/>
      <c r="X153" s="70"/>
      <c r="Y153" s="130"/>
      <c r="Z153" s="71"/>
    </row>
    <row r="154" spans="1:26" ht="15.75" thickBot="1" x14ac:dyDescent="0.3">
      <c r="A154" s="112"/>
      <c r="B154" s="297"/>
      <c r="C154" s="300"/>
      <c r="D154" s="298"/>
      <c r="E154" s="355"/>
      <c r="F154" s="356"/>
      <c r="G154" s="356"/>
      <c r="H154" s="357"/>
      <c r="I154" s="306"/>
      <c r="J154" s="307"/>
      <c r="K154" s="297"/>
      <c r="L154" s="298"/>
      <c r="M154" s="297"/>
      <c r="N154" s="298"/>
      <c r="O154" s="311"/>
      <c r="P154" s="312"/>
      <c r="Q154" s="311"/>
      <c r="R154" s="312"/>
      <c r="S154" s="311"/>
      <c r="T154" s="312"/>
      <c r="U154" s="311"/>
      <c r="V154" s="312"/>
      <c r="W154" s="346"/>
      <c r="X154" s="70"/>
      <c r="Y154" s="130"/>
      <c r="Z154" s="71"/>
    </row>
    <row r="155" spans="1:26" x14ac:dyDescent="0.25">
      <c r="A155" s="112"/>
      <c r="B155" s="308" t="s">
        <v>6</v>
      </c>
      <c r="C155" s="299"/>
      <c r="D155" s="296"/>
      <c r="E155" s="308" t="s">
        <v>100</v>
      </c>
      <c r="F155" s="299"/>
      <c r="G155" s="299"/>
      <c r="H155" s="296"/>
      <c r="I155" s="295">
        <v>4742870010548</v>
      </c>
      <c r="J155" s="305"/>
      <c r="K155" s="308">
        <v>42</v>
      </c>
      <c r="L155" s="296"/>
      <c r="M155" s="308">
        <v>40</v>
      </c>
      <c r="N155" s="296"/>
      <c r="O155" s="309">
        <v>109.4</v>
      </c>
      <c r="P155" s="310"/>
      <c r="Q155" s="309">
        <v>27.4</v>
      </c>
      <c r="R155" s="310"/>
      <c r="S155" s="309">
        <v>0</v>
      </c>
      <c r="T155" s="310"/>
      <c r="U155" s="309">
        <v>0</v>
      </c>
      <c r="V155" s="310"/>
      <c r="W155" s="345"/>
      <c r="X155" s="70"/>
      <c r="Y155" s="130"/>
      <c r="Z155" s="71"/>
    </row>
    <row r="156" spans="1:26" ht="15.75" thickBot="1" x14ac:dyDescent="0.3">
      <c r="A156" s="112"/>
      <c r="B156" s="297"/>
      <c r="C156" s="300"/>
      <c r="D156" s="298"/>
      <c r="E156" s="297"/>
      <c r="F156" s="300"/>
      <c r="G156" s="300"/>
      <c r="H156" s="298"/>
      <c r="I156" s="306"/>
      <c r="J156" s="307"/>
      <c r="K156" s="297"/>
      <c r="L156" s="298"/>
      <c r="M156" s="297"/>
      <c r="N156" s="298"/>
      <c r="O156" s="311"/>
      <c r="P156" s="312"/>
      <c r="Q156" s="311"/>
      <c r="R156" s="312"/>
      <c r="S156" s="311"/>
      <c r="T156" s="312"/>
      <c r="U156" s="311"/>
      <c r="V156" s="312"/>
      <c r="W156" s="346"/>
      <c r="X156" s="70"/>
      <c r="Y156" s="130"/>
      <c r="Z156" s="71"/>
    </row>
    <row r="157" spans="1:26" x14ac:dyDescent="0.25">
      <c r="A157" s="112"/>
      <c r="B157" s="308" t="s">
        <v>7</v>
      </c>
      <c r="C157" s="299"/>
      <c r="D157" s="296"/>
      <c r="E157" s="327" t="s">
        <v>66</v>
      </c>
      <c r="F157" s="328"/>
      <c r="G157" s="328"/>
      <c r="H157" s="329"/>
      <c r="I157" s="348"/>
      <c r="J157" s="296"/>
      <c r="K157" s="295">
        <v>4</v>
      </c>
      <c r="L157" s="305"/>
      <c r="M157" s="308">
        <v>2</v>
      </c>
      <c r="N157" s="296"/>
      <c r="O157" s="301">
        <v>0</v>
      </c>
      <c r="P157" s="302"/>
      <c r="Q157" s="301">
        <v>0</v>
      </c>
      <c r="R157" s="302"/>
      <c r="S157" s="301">
        <v>0</v>
      </c>
      <c r="T157" s="302"/>
      <c r="U157" s="301">
        <v>0</v>
      </c>
      <c r="V157" s="302"/>
      <c r="W157" s="347"/>
      <c r="X157" s="70"/>
      <c r="Y157" s="130"/>
      <c r="Z157" s="71"/>
    </row>
    <row r="158" spans="1:26" ht="15.75" thickBot="1" x14ac:dyDescent="0.3">
      <c r="A158" s="112"/>
      <c r="B158" s="297"/>
      <c r="C158" s="300"/>
      <c r="D158" s="298"/>
      <c r="E158" s="330"/>
      <c r="F158" s="331"/>
      <c r="G158" s="331"/>
      <c r="H158" s="332"/>
      <c r="I158" s="297"/>
      <c r="J158" s="298"/>
      <c r="K158" s="306"/>
      <c r="L158" s="307"/>
      <c r="M158" s="297"/>
      <c r="N158" s="298"/>
      <c r="O158" s="303"/>
      <c r="P158" s="304"/>
      <c r="Q158" s="303"/>
      <c r="R158" s="304"/>
      <c r="S158" s="303"/>
      <c r="T158" s="304"/>
      <c r="U158" s="303"/>
      <c r="V158" s="304"/>
      <c r="W158" s="344"/>
      <c r="X158" s="70"/>
      <c r="Y158" s="130"/>
      <c r="Z158" s="71"/>
    </row>
    <row r="159" spans="1:26" x14ac:dyDescent="0.25">
      <c r="A159" s="112"/>
      <c r="B159" s="308" t="s">
        <v>8</v>
      </c>
      <c r="C159" s="299"/>
      <c r="D159" s="296"/>
      <c r="E159" s="327" t="s">
        <v>8</v>
      </c>
      <c r="F159" s="328"/>
      <c r="G159" s="328"/>
      <c r="H159" s="329"/>
      <c r="I159" s="18"/>
      <c r="J159" s="18"/>
      <c r="K159" s="295"/>
      <c r="L159" s="305"/>
      <c r="M159" s="308"/>
      <c r="N159" s="296"/>
      <c r="O159" s="301"/>
      <c r="P159" s="302"/>
      <c r="Q159" s="301"/>
      <c r="R159" s="302"/>
      <c r="S159" s="301"/>
      <c r="T159" s="302"/>
      <c r="U159" s="301"/>
      <c r="V159" s="302"/>
      <c r="W159" s="347"/>
      <c r="X159" s="70"/>
      <c r="Y159" s="130"/>
      <c r="Z159" s="71"/>
    </row>
    <row r="160" spans="1:26" ht="15.75" thickBot="1" x14ac:dyDescent="0.3">
      <c r="A160" s="113"/>
      <c r="B160" s="297"/>
      <c r="C160" s="300"/>
      <c r="D160" s="298"/>
      <c r="E160" s="330"/>
      <c r="F160" s="331"/>
      <c r="G160" s="331"/>
      <c r="H160" s="332"/>
      <c r="I160" s="19"/>
      <c r="J160" s="19"/>
      <c r="K160" s="306"/>
      <c r="L160" s="307"/>
      <c r="M160" s="297"/>
      <c r="N160" s="298"/>
      <c r="O160" s="303"/>
      <c r="P160" s="304"/>
      <c r="Q160" s="303"/>
      <c r="R160" s="304"/>
      <c r="S160" s="303"/>
      <c r="T160" s="304"/>
      <c r="U160" s="303"/>
      <c r="V160" s="304"/>
      <c r="W160" s="344"/>
      <c r="X160" s="72"/>
      <c r="Y160" s="131"/>
      <c r="Z160" s="73"/>
    </row>
    <row r="161" spans="1:23" ht="15.75" thickBot="1" x14ac:dyDescent="0.3">
      <c r="A161" s="1"/>
      <c r="B161" s="156" t="s">
        <v>16</v>
      </c>
      <c r="C161" s="157"/>
      <c r="D161" s="158"/>
      <c r="E161" s="159"/>
      <c r="F161" s="160"/>
      <c r="G161" s="160"/>
      <c r="H161" s="161"/>
      <c r="I161" s="159"/>
      <c r="J161" s="161"/>
      <c r="K161" s="159">
        <f>SUM(K143:L160)</f>
        <v>610</v>
      </c>
      <c r="L161" s="161"/>
      <c r="M161" s="159">
        <f>SUM(M143:N160)</f>
        <v>577</v>
      </c>
      <c r="N161" s="161"/>
      <c r="O161" s="162">
        <f>SUM(O143:P160)</f>
        <v>1206.6000000000001</v>
      </c>
      <c r="P161" s="163"/>
      <c r="Q161" s="159">
        <f>SUM(Q143:R160)</f>
        <v>147.14000000000001</v>
      </c>
      <c r="R161" s="161"/>
      <c r="S161" s="159">
        <f>SUM(S143:T160)</f>
        <v>34.86</v>
      </c>
      <c r="T161" s="161"/>
      <c r="U161" s="159">
        <f>SUM(U143:V160)</f>
        <v>51.760000000000005</v>
      </c>
      <c r="V161" s="161"/>
      <c r="W161" s="20"/>
    </row>
    <row r="163" spans="1:23" x14ac:dyDescent="0.25">
      <c r="W163" s="25"/>
    </row>
    <row r="164" spans="1:23" x14ac:dyDescent="0.25">
      <c r="W164" s="26"/>
    </row>
  </sheetData>
  <mergeCells count="813">
    <mergeCell ref="B3:Q3"/>
    <mergeCell ref="A7:A9"/>
    <mergeCell ref="B7:D9"/>
    <mergeCell ref="E7:H9"/>
    <mergeCell ref="I7:J9"/>
    <mergeCell ref="K7:L9"/>
    <mergeCell ref="M7:N9"/>
    <mergeCell ref="O7:P9"/>
    <mergeCell ref="Q7:R9"/>
    <mergeCell ref="S7:T9"/>
    <mergeCell ref="U7:V9"/>
    <mergeCell ref="W7:W9"/>
    <mergeCell ref="X7:Z9"/>
    <mergeCell ref="A10:A27"/>
    <mergeCell ref="B10:D11"/>
    <mergeCell ref="E10:H11"/>
    <mergeCell ref="I10:J11"/>
    <mergeCell ref="K10:L11"/>
    <mergeCell ref="W10:W11"/>
    <mergeCell ref="X10:Z27"/>
    <mergeCell ref="B12:D13"/>
    <mergeCell ref="E12:H13"/>
    <mergeCell ref="I12:J13"/>
    <mergeCell ref="K12:L13"/>
    <mergeCell ref="M12:N13"/>
    <mergeCell ref="O12:P13"/>
    <mergeCell ref="Q12:R13"/>
    <mergeCell ref="S12:T13"/>
    <mergeCell ref="M10:N11"/>
    <mergeCell ref="O10:P11"/>
    <mergeCell ref="Q10:R11"/>
    <mergeCell ref="S10:T11"/>
    <mergeCell ref="U10:V11"/>
    <mergeCell ref="U12:V13"/>
    <mergeCell ref="W12:W13"/>
    <mergeCell ref="B14:D15"/>
    <mergeCell ref="E14:H15"/>
    <mergeCell ref="I14:J15"/>
    <mergeCell ref="K14:L15"/>
    <mergeCell ref="M14:N15"/>
    <mergeCell ref="O14:P15"/>
    <mergeCell ref="Q14:R15"/>
    <mergeCell ref="B20:D21"/>
    <mergeCell ref="E20:H21"/>
    <mergeCell ref="I20:J21"/>
    <mergeCell ref="K20:L21"/>
    <mergeCell ref="M20:N21"/>
    <mergeCell ref="S14:T15"/>
    <mergeCell ref="U14:V15"/>
    <mergeCell ref="W14:W15"/>
    <mergeCell ref="B16:D17"/>
    <mergeCell ref="E16:H17"/>
    <mergeCell ref="I16:J17"/>
    <mergeCell ref="K16:L17"/>
    <mergeCell ref="M16:N17"/>
    <mergeCell ref="O16:P17"/>
    <mergeCell ref="O20:P21"/>
    <mergeCell ref="Q20:R21"/>
    <mergeCell ref="S20:T21"/>
    <mergeCell ref="U20:V21"/>
    <mergeCell ref="W20:W21"/>
    <mergeCell ref="Q16:R17"/>
    <mergeCell ref="S16:T17"/>
    <mergeCell ref="U16:V17"/>
    <mergeCell ref="W16:W17"/>
    <mergeCell ref="B18:D19"/>
    <mergeCell ref="B24:D25"/>
    <mergeCell ref="E24:H25"/>
    <mergeCell ref="I24:J25"/>
    <mergeCell ref="K24:L25"/>
    <mergeCell ref="M24:N25"/>
    <mergeCell ref="B22:D23"/>
    <mergeCell ref="E22:H23"/>
    <mergeCell ref="I22:J23"/>
    <mergeCell ref="K22:L23"/>
    <mergeCell ref="M22:N23"/>
    <mergeCell ref="O24:P25"/>
    <mergeCell ref="Q24:R25"/>
    <mergeCell ref="S24:T25"/>
    <mergeCell ref="U24:V25"/>
    <mergeCell ref="W24:W25"/>
    <mergeCell ref="Q22:R23"/>
    <mergeCell ref="S22:T23"/>
    <mergeCell ref="U22:V23"/>
    <mergeCell ref="W22:W23"/>
    <mergeCell ref="O22:P23"/>
    <mergeCell ref="S26:T27"/>
    <mergeCell ref="U26:V27"/>
    <mergeCell ref="W26:W27"/>
    <mergeCell ref="B28:D28"/>
    <mergeCell ref="E28:H28"/>
    <mergeCell ref="I28:J28"/>
    <mergeCell ref="K28:L28"/>
    <mergeCell ref="M28:N28"/>
    <mergeCell ref="O28:P28"/>
    <mergeCell ref="B26:D27"/>
    <mergeCell ref="E26:H27"/>
    <mergeCell ref="K26:L27"/>
    <mergeCell ref="M26:N27"/>
    <mergeCell ref="O26:P27"/>
    <mergeCell ref="Q26:R27"/>
    <mergeCell ref="Q28:R28"/>
    <mergeCell ref="S28:T28"/>
    <mergeCell ref="U28:V28"/>
    <mergeCell ref="W31:W32"/>
    <mergeCell ref="W39:W40"/>
    <mergeCell ref="W43:W44"/>
    <mergeCell ref="W41:W42"/>
    <mergeCell ref="W45:W46"/>
    <mergeCell ref="Q45:R46"/>
    <mergeCell ref="S33:T34"/>
    <mergeCell ref="U33:V34"/>
    <mergeCell ref="Q29:R30"/>
    <mergeCell ref="S29:T30"/>
    <mergeCell ref="U29:V30"/>
    <mergeCell ref="W29:W30"/>
    <mergeCell ref="S39:T40"/>
    <mergeCell ref="U39:V40"/>
    <mergeCell ref="U43:V44"/>
    <mergeCell ref="Q41:R42"/>
    <mergeCell ref="S41:T42"/>
    <mergeCell ref="U41:V42"/>
    <mergeCell ref="S45:T46"/>
    <mergeCell ref="U45:V46"/>
    <mergeCell ref="X29:Z46"/>
    <mergeCell ref="Q31:R32"/>
    <mergeCell ref="S31:T32"/>
    <mergeCell ref="U31:V32"/>
    <mergeCell ref="B31:D32"/>
    <mergeCell ref="E31:H32"/>
    <mergeCell ref="I31:J32"/>
    <mergeCell ref="K31:L32"/>
    <mergeCell ref="M31:N32"/>
    <mergeCell ref="O31:P32"/>
    <mergeCell ref="W33:W34"/>
    <mergeCell ref="B35:D36"/>
    <mergeCell ref="E35:H36"/>
    <mergeCell ref="I35:J36"/>
    <mergeCell ref="K35:L36"/>
    <mergeCell ref="M35:N36"/>
    <mergeCell ref="O35:P36"/>
    <mergeCell ref="Q35:R36"/>
    <mergeCell ref="S35:T36"/>
    <mergeCell ref="U35:V36"/>
    <mergeCell ref="W35:W36"/>
    <mergeCell ref="B33:D34"/>
    <mergeCell ref="E33:H34"/>
    <mergeCell ref="I33:J34"/>
    <mergeCell ref="K33:L34"/>
    <mergeCell ref="M33:N34"/>
    <mergeCell ref="O33:P34"/>
    <mergeCell ref="Q33:R34"/>
    <mergeCell ref="B39:D40"/>
    <mergeCell ref="E39:H40"/>
    <mergeCell ref="I39:J40"/>
    <mergeCell ref="K39:L40"/>
    <mergeCell ref="M39:N40"/>
    <mergeCell ref="O39:P40"/>
    <mergeCell ref="Q39:R40"/>
    <mergeCell ref="B43:D44"/>
    <mergeCell ref="E43:H44"/>
    <mergeCell ref="I43:J44"/>
    <mergeCell ref="K43:L44"/>
    <mergeCell ref="M43:N44"/>
    <mergeCell ref="B45:D46"/>
    <mergeCell ref="E45:H46"/>
    <mergeCell ref="K45:L46"/>
    <mergeCell ref="M45:N46"/>
    <mergeCell ref="O45:P46"/>
    <mergeCell ref="B41:D42"/>
    <mergeCell ref="E41:H42"/>
    <mergeCell ref="I41:J42"/>
    <mergeCell ref="K41:L42"/>
    <mergeCell ref="M41:N42"/>
    <mergeCell ref="O41:P42"/>
    <mergeCell ref="A48:A65"/>
    <mergeCell ref="B48:D49"/>
    <mergeCell ref="E48:H49"/>
    <mergeCell ref="I48:J49"/>
    <mergeCell ref="K48:L49"/>
    <mergeCell ref="M48:N49"/>
    <mergeCell ref="O48:P49"/>
    <mergeCell ref="A29:A46"/>
    <mergeCell ref="B29:D30"/>
    <mergeCell ref="E29:H30"/>
    <mergeCell ref="I29:J30"/>
    <mergeCell ref="K29:L30"/>
    <mergeCell ref="M29:N30"/>
    <mergeCell ref="O29:P30"/>
    <mergeCell ref="I58:J59"/>
    <mergeCell ref="K58:L59"/>
    <mergeCell ref="M58:N59"/>
    <mergeCell ref="B52:D53"/>
    <mergeCell ref="E52:H53"/>
    <mergeCell ref="I52:J53"/>
    <mergeCell ref="K52:L53"/>
    <mergeCell ref="M52:N53"/>
    <mergeCell ref="X48:Z65"/>
    <mergeCell ref="Q50:R51"/>
    <mergeCell ref="S50:T51"/>
    <mergeCell ref="U50:V51"/>
    <mergeCell ref="S62:T63"/>
    <mergeCell ref="U62:V63"/>
    <mergeCell ref="W62:W63"/>
    <mergeCell ref="S60:T61"/>
    <mergeCell ref="U60:V61"/>
    <mergeCell ref="W60:W61"/>
    <mergeCell ref="S64:T65"/>
    <mergeCell ref="U64:V65"/>
    <mergeCell ref="W64:W65"/>
    <mergeCell ref="Q64:R65"/>
    <mergeCell ref="B58:D59"/>
    <mergeCell ref="E58:H59"/>
    <mergeCell ref="O58:P59"/>
    <mergeCell ref="B62:D63"/>
    <mergeCell ref="E62:H63"/>
    <mergeCell ref="Q47:R47"/>
    <mergeCell ref="S47:T47"/>
    <mergeCell ref="U47:V47"/>
    <mergeCell ref="W50:W51"/>
    <mergeCell ref="W52:W53"/>
    <mergeCell ref="W54:W55"/>
    <mergeCell ref="S58:T59"/>
    <mergeCell ref="U58:V59"/>
    <mergeCell ref="W58:W59"/>
    <mergeCell ref="Q48:R49"/>
    <mergeCell ref="S48:T49"/>
    <mergeCell ref="U48:V49"/>
    <mergeCell ref="Q58:R59"/>
    <mergeCell ref="Q62:R63"/>
    <mergeCell ref="Q60:R61"/>
    <mergeCell ref="B66:D66"/>
    <mergeCell ref="E66:H66"/>
    <mergeCell ref="I66:J66"/>
    <mergeCell ref="K66:L66"/>
    <mergeCell ref="M66:N66"/>
    <mergeCell ref="O66:P66"/>
    <mergeCell ref="B64:D65"/>
    <mergeCell ref="E64:H65"/>
    <mergeCell ref="K64:L65"/>
    <mergeCell ref="M64:N65"/>
    <mergeCell ref="O64:P65"/>
    <mergeCell ref="Q66:R66"/>
    <mergeCell ref="I62:J63"/>
    <mergeCell ref="K62:L63"/>
    <mergeCell ref="M62:N63"/>
    <mergeCell ref="B60:D61"/>
    <mergeCell ref="E60:H61"/>
    <mergeCell ref="I60:J61"/>
    <mergeCell ref="K60:L61"/>
    <mergeCell ref="M60:N61"/>
    <mergeCell ref="O60:P61"/>
    <mergeCell ref="O62:P63"/>
    <mergeCell ref="S66:T66"/>
    <mergeCell ref="U66:V66"/>
    <mergeCell ref="W69:W70"/>
    <mergeCell ref="S77:T78"/>
    <mergeCell ref="U77:V78"/>
    <mergeCell ref="W77:W78"/>
    <mergeCell ref="S81:T82"/>
    <mergeCell ref="U81:V82"/>
    <mergeCell ref="W81:W82"/>
    <mergeCell ref="S79:T80"/>
    <mergeCell ref="U79:V80"/>
    <mergeCell ref="W79:W80"/>
    <mergeCell ref="S71:T72"/>
    <mergeCell ref="U71:V72"/>
    <mergeCell ref="Q67:R68"/>
    <mergeCell ref="S67:T68"/>
    <mergeCell ref="U67:V68"/>
    <mergeCell ref="W67:W68"/>
    <mergeCell ref="S75:T76"/>
    <mergeCell ref="U75:V76"/>
    <mergeCell ref="W75:W76"/>
    <mergeCell ref="O79:P80"/>
    <mergeCell ref="X67:Z84"/>
    <mergeCell ref="Q69:R70"/>
    <mergeCell ref="S69:T70"/>
    <mergeCell ref="U69:V70"/>
    <mergeCell ref="W83:W84"/>
    <mergeCell ref="Q83:R84"/>
    <mergeCell ref="O81:P82"/>
    <mergeCell ref="Q81:R82"/>
    <mergeCell ref="Q79:R80"/>
    <mergeCell ref="B69:D70"/>
    <mergeCell ref="E69:H70"/>
    <mergeCell ref="I69:J70"/>
    <mergeCell ref="K69:L70"/>
    <mergeCell ref="M69:N70"/>
    <mergeCell ref="O69:P70"/>
    <mergeCell ref="W71:W72"/>
    <mergeCell ref="B73:D74"/>
    <mergeCell ref="E73:H74"/>
    <mergeCell ref="I73:J74"/>
    <mergeCell ref="K73:L74"/>
    <mergeCell ref="M73:N74"/>
    <mergeCell ref="O73:P74"/>
    <mergeCell ref="Q73:R74"/>
    <mergeCell ref="S73:T74"/>
    <mergeCell ref="U73:V74"/>
    <mergeCell ref="W73:W74"/>
    <mergeCell ref="E71:H72"/>
    <mergeCell ref="I71:J72"/>
    <mergeCell ref="K71:L72"/>
    <mergeCell ref="M71:N72"/>
    <mergeCell ref="O71:P72"/>
    <mergeCell ref="Q71:R72"/>
    <mergeCell ref="B71:D72"/>
    <mergeCell ref="B77:D78"/>
    <mergeCell ref="E77:H78"/>
    <mergeCell ref="I77:J78"/>
    <mergeCell ref="K77:L78"/>
    <mergeCell ref="M77:N78"/>
    <mergeCell ref="O77:P78"/>
    <mergeCell ref="Q77:R78"/>
    <mergeCell ref="B75:D76"/>
    <mergeCell ref="E75:H76"/>
    <mergeCell ref="I75:J76"/>
    <mergeCell ref="K75:L76"/>
    <mergeCell ref="M75:N76"/>
    <mergeCell ref="O75:P76"/>
    <mergeCell ref="Q75:R76"/>
    <mergeCell ref="B85:D85"/>
    <mergeCell ref="E85:H85"/>
    <mergeCell ref="I85:J85"/>
    <mergeCell ref="K85:L85"/>
    <mergeCell ref="M85:N85"/>
    <mergeCell ref="O85:P85"/>
    <mergeCell ref="B83:D84"/>
    <mergeCell ref="E83:H84"/>
    <mergeCell ref="K83:L84"/>
    <mergeCell ref="M83:N84"/>
    <mergeCell ref="O83:P84"/>
    <mergeCell ref="B81:D82"/>
    <mergeCell ref="E81:H82"/>
    <mergeCell ref="I81:J82"/>
    <mergeCell ref="K81:L82"/>
    <mergeCell ref="M81:N82"/>
    <mergeCell ref="B79:D80"/>
    <mergeCell ref="E79:H80"/>
    <mergeCell ref="I79:J80"/>
    <mergeCell ref="K79:L80"/>
    <mergeCell ref="M79:N80"/>
    <mergeCell ref="A86:A103"/>
    <mergeCell ref="B86:D87"/>
    <mergeCell ref="E86:H87"/>
    <mergeCell ref="I86:J87"/>
    <mergeCell ref="K86:L87"/>
    <mergeCell ref="M86:N87"/>
    <mergeCell ref="O86:P87"/>
    <mergeCell ref="S83:T84"/>
    <mergeCell ref="U83:V84"/>
    <mergeCell ref="A67:A84"/>
    <mergeCell ref="B67:D68"/>
    <mergeCell ref="E67:H68"/>
    <mergeCell ref="I67:J68"/>
    <mergeCell ref="K67:L68"/>
    <mergeCell ref="M67:N68"/>
    <mergeCell ref="O67:P68"/>
    <mergeCell ref="Q86:R87"/>
    <mergeCell ref="S86:T87"/>
    <mergeCell ref="U86:V87"/>
    <mergeCell ref="B90:D91"/>
    <mergeCell ref="E90:H91"/>
    <mergeCell ref="I90:J91"/>
    <mergeCell ref="K90:L91"/>
    <mergeCell ref="M90:N91"/>
    <mergeCell ref="W86:W87"/>
    <mergeCell ref="X86:Z103"/>
    <mergeCell ref="Q88:R89"/>
    <mergeCell ref="S88:T89"/>
    <mergeCell ref="U88:V89"/>
    <mergeCell ref="Q85:R85"/>
    <mergeCell ref="S85:T85"/>
    <mergeCell ref="U85:V85"/>
    <mergeCell ref="W88:W89"/>
    <mergeCell ref="W90:W91"/>
    <mergeCell ref="W92:W93"/>
    <mergeCell ref="S94:T95"/>
    <mergeCell ref="U94:V95"/>
    <mergeCell ref="W94:W95"/>
    <mergeCell ref="S100:T101"/>
    <mergeCell ref="U100:V101"/>
    <mergeCell ref="W100:W101"/>
    <mergeCell ref="S96:T97"/>
    <mergeCell ref="U96:V97"/>
    <mergeCell ref="W96:W97"/>
    <mergeCell ref="S102:T103"/>
    <mergeCell ref="U102:V103"/>
    <mergeCell ref="W102:W103"/>
    <mergeCell ref="Q102:R103"/>
    <mergeCell ref="O90:P91"/>
    <mergeCell ref="Q90:R91"/>
    <mergeCell ref="S90:T91"/>
    <mergeCell ref="U90:V91"/>
    <mergeCell ref="B88:D89"/>
    <mergeCell ref="E88:H89"/>
    <mergeCell ref="I88:J89"/>
    <mergeCell ref="K88:L89"/>
    <mergeCell ref="M88:N89"/>
    <mergeCell ref="O88:P89"/>
    <mergeCell ref="B92:D93"/>
    <mergeCell ref="E92:H93"/>
    <mergeCell ref="I92:J93"/>
    <mergeCell ref="K92:L93"/>
    <mergeCell ref="M92:N93"/>
    <mergeCell ref="O92:P93"/>
    <mergeCell ref="Q92:R93"/>
    <mergeCell ref="S92:T93"/>
    <mergeCell ref="U92:V93"/>
    <mergeCell ref="B94:D95"/>
    <mergeCell ref="E94:H95"/>
    <mergeCell ref="I94:J95"/>
    <mergeCell ref="K94:L95"/>
    <mergeCell ref="M94:N95"/>
    <mergeCell ref="O94:P95"/>
    <mergeCell ref="Q94:R95"/>
    <mergeCell ref="B100:D101"/>
    <mergeCell ref="E100:H101"/>
    <mergeCell ref="I100:J101"/>
    <mergeCell ref="K100:L101"/>
    <mergeCell ref="M100:N101"/>
    <mergeCell ref="B96:D97"/>
    <mergeCell ref="E96:H97"/>
    <mergeCell ref="I96:J97"/>
    <mergeCell ref="K96:L97"/>
    <mergeCell ref="M96:N97"/>
    <mergeCell ref="O96:P97"/>
    <mergeCell ref="O100:P101"/>
    <mergeCell ref="Q100:R101"/>
    <mergeCell ref="Q96:R97"/>
    <mergeCell ref="B98:D99"/>
    <mergeCell ref="E98:H99"/>
    <mergeCell ref="I98:J99"/>
    <mergeCell ref="B104:D104"/>
    <mergeCell ref="E104:H104"/>
    <mergeCell ref="I104:J104"/>
    <mergeCell ref="K104:L104"/>
    <mergeCell ref="M104:N104"/>
    <mergeCell ref="O104:P104"/>
    <mergeCell ref="B102:D103"/>
    <mergeCell ref="E102:H103"/>
    <mergeCell ref="K102:L103"/>
    <mergeCell ref="M102:N103"/>
    <mergeCell ref="O102:P103"/>
    <mergeCell ref="Q104:R104"/>
    <mergeCell ref="S104:T104"/>
    <mergeCell ref="U104:V104"/>
    <mergeCell ref="W107:W108"/>
    <mergeCell ref="S113:T114"/>
    <mergeCell ref="U113:V114"/>
    <mergeCell ref="W113:W114"/>
    <mergeCell ref="S119:T120"/>
    <mergeCell ref="U119:V120"/>
    <mergeCell ref="W119:W120"/>
    <mergeCell ref="S115:T116"/>
    <mergeCell ref="U115:V116"/>
    <mergeCell ref="W115:W116"/>
    <mergeCell ref="S109:T110"/>
    <mergeCell ref="U109:V110"/>
    <mergeCell ref="Q105:R106"/>
    <mergeCell ref="S105:T106"/>
    <mergeCell ref="U105:V106"/>
    <mergeCell ref="W105:W106"/>
    <mergeCell ref="O115:P116"/>
    <mergeCell ref="X105:Z122"/>
    <mergeCell ref="Q107:R108"/>
    <mergeCell ref="S107:T108"/>
    <mergeCell ref="U107:V108"/>
    <mergeCell ref="W121:W122"/>
    <mergeCell ref="Q121:R122"/>
    <mergeCell ref="B107:D108"/>
    <mergeCell ref="E107:H108"/>
    <mergeCell ref="I107:J108"/>
    <mergeCell ref="K107:L108"/>
    <mergeCell ref="M107:N108"/>
    <mergeCell ref="O107:P108"/>
    <mergeCell ref="W109:W110"/>
    <mergeCell ref="B111:D112"/>
    <mergeCell ref="E111:H112"/>
    <mergeCell ref="I111:J112"/>
    <mergeCell ref="K111:L112"/>
    <mergeCell ref="M111:N112"/>
    <mergeCell ref="O111:P112"/>
    <mergeCell ref="Q111:R112"/>
    <mergeCell ref="S111:T112"/>
    <mergeCell ref="U111:V112"/>
    <mergeCell ref="W111:W112"/>
    <mergeCell ref="E109:H110"/>
    <mergeCell ref="I109:J110"/>
    <mergeCell ref="K109:L110"/>
    <mergeCell ref="M109:N110"/>
    <mergeCell ref="O109:P110"/>
    <mergeCell ref="Q109:R110"/>
    <mergeCell ref="B113:D114"/>
    <mergeCell ref="E113:H114"/>
    <mergeCell ref="I113:J114"/>
    <mergeCell ref="K113:L114"/>
    <mergeCell ref="M113:N114"/>
    <mergeCell ref="O113:P114"/>
    <mergeCell ref="Q113:R114"/>
    <mergeCell ref="B109:D110"/>
    <mergeCell ref="O119:P120"/>
    <mergeCell ref="Q119:R120"/>
    <mergeCell ref="Q115:R116"/>
    <mergeCell ref="B123:D123"/>
    <mergeCell ref="E123:H123"/>
    <mergeCell ref="I123:J123"/>
    <mergeCell ref="K123:L123"/>
    <mergeCell ref="M123:N123"/>
    <mergeCell ref="O123:P123"/>
    <mergeCell ref="B121:D122"/>
    <mergeCell ref="E121:H122"/>
    <mergeCell ref="K121:L122"/>
    <mergeCell ref="M121:N122"/>
    <mergeCell ref="O121:P122"/>
    <mergeCell ref="B119:D120"/>
    <mergeCell ref="E119:H120"/>
    <mergeCell ref="I119:J120"/>
    <mergeCell ref="K119:L120"/>
    <mergeCell ref="M119:N120"/>
    <mergeCell ref="B115:D116"/>
    <mergeCell ref="E115:H116"/>
    <mergeCell ref="I115:J116"/>
    <mergeCell ref="K115:L116"/>
    <mergeCell ref="M115:N116"/>
    <mergeCell ref="A124:A141"/>
    <mergeCell ref="B124:D125"/>
    <mergeCell ref="E124:H125"/>
    <mergeCell ref="I124:J125"/>
    <mergeCell ref="K124:L125"/>
    <mergeCell ref="M124:N125"/>
    <mergeCell ref="O124:P125"/>
    <mergeCell ref="S121:T122"/>
    <mergeCell ref="U121:V122"/>
    <mergeCell ref="A105:A122"/>
    <mergeCell ref="B105:D106"/>
    <mergeCell ref="E105:H106"/>
    <mergeCell ref="I105:J106"/>
    <mergeCell ref="K105:L106"/>
    <mergeCell ref="M105:N106"/>
    <mergeCell ref="O105:P106"/>
    <mergeCell ref="Q124:R125"/>
    <mergeCell ref="S124:T125"/>
    <mergeCell ref="U124:V125"/>
    <mergeCell ref="B128:D129"/>
    <mergeCell ref="E128:H129"/>
    <mergeCell ref="I128:J129"/>
    <mergeCell ref="K128:L129"/>
    <mergeCell ref="M128:N129"/>
    <mergeCell ref="S123:T123"/>
    <mergeCell ref="U123:V123"/>
    <mergeCell ref="W126:W127"/>
    <mergeCell ref="W128:W129"/>
    <mergeCell ref="W130:W131"/>
    <mergeCell ref="U132:V133"/>
    <mergeCell ref="W132:W133"/>
    <mergeCell ref="U138:V139"/>
    <mergeCell ref="W138:W139"/>
    <mergeCell ref="U134:V135"/>
    <mergeCell ref="W134:W135"/>
    <mergeCell ref="B126:D127"/>
    <mergeCell ref="E126:H127"/>
    <mergeCell ref="I126:J127"/>
    <mergeCell ref="K126:L127"/>
    <mergeCell ref="M126:N127"/>
    <mergeCell ref="O126:P127"/>
    <mergeCell ref="W124:W125"/>
    <mergeCell ref="X124:Z141"/>
    <mergeCell ref="Q126:R127"/>
    <mergeCell ref="S126:T127"/>
    <mergeCell ref="U126:V127"/>
    <mergeCell ref="W140:W141"/>
    <mergeCell ref="Q140:R141"/>
    <mergeCell ref="B130:D131"/>
    <mergeCell ref="E130:H131"/>
    <mergeCell ref="I130:J131"/>
    <mergeCell ref="K130:L131"/>
    <mergeCell ref="M130:N131"/>
    <mergeCell ref="O130:P131"/>
    <mergeCell ref="Q130:R131"/>
    <mergeCell ref="S130:T131"/>
    <mergeCell ref="U130:V131"/>
    <mergeCell ref="B132:D133"/>
    <mergeCell ref="E132:H133"/>
    <mergeCell ref="I132:J133"/>
    <mergeCell ref="K132:L133"/>
    <mergeCell ref="M132:N133"/>
    <mergeCell ref="O132:P133"/>
    <mergeCell ref="Q132:R133"/>
    <mergeCell ref="M138:N139"/>
    <mergeCell ref="S132:T133"/>
    <mergeCell ref="B134:D135"/>
    <mergeCell ref="E134:H135"/>
    <mergeCell ref="I134:J135"/>
    <mergeCell ref="K134:L135"/>
    <mergeCell ref="M134:N135"/>
    <mergeCell ref="O134:P135"/>
    <mergeCell ref="O138:P139"/>
    <mergeCell ref="Q138:R139"/>
    <mergeCell ref="S138:T139"/>
    <mergeCell ref="Q134:R135"/>
    <mergeCell ref="S134:T135"/>
    <mergeCell ref="B142:D142"/>
    <mergeCell ref="E142:H142"/>
    <mergeCell ref="I142:J142"/>
    <mergeCell ref="K142:L142"/>
    <mergeCell ref="M142:N142"/>
    <mergeCell ref="O142:P142"/>
    <mergeCell ref="B140:D141"/>
    <mergeCell ref="E140:H141"/>
    <mergeCell ref="K140:L141"/>
    <mergeCell ref="M140:N141"/>
    <mergeCell ref="O140:P141"/>
    <mergeCell ref="W143:W144"/>
    <mergeCell ref="X143:Z160"/>
    <mergeCell ref="Q145:R146"/>
    <mergeCell ref="S145:T146"/>
    <mergeCell ref="U145:V146"/>
    <mergeCell ref="Q142:R142"/>
    <mergeCell ref="S142:T142"/>
    <mergeCell ref="U142:V142"/>
    <mergeCell ref="A143:A160"/>
    <mergeCell ref="B143:D144"/>
    <mergeCell ref="E143:H144"/>
    <mergeCell ref="I143:J144"/>
    <mergeCell ref="K143:L144"/>
    <mergeCell ref="M143:N144"/>
    <mergeCell ref="O143:P144"/>
    <mergeCell ref="W145:W146"/>
    <mergeCell ref="B147:D148"/>
    <mergeCell ref="E147:H148"/>
    <mergeCell ref="I147:J148"/>
    <mergeCell ref="K147:L148"/>
    <mergeCell ref="M147:N148"/>
    <mergeCell ref="O147:P148"/>
    <mergeCell ref="Q147:R148"/>
    <mergeCell ref="S147:T148"/>
    <mergeCell ref="B145:D146"/>
    <mergeCell ref="E145:H146"/>
    <mergeCell ref="I145:J146"/>
    <mergeCell ref="K145:L146"/>
    <mergeCell ref="M145:N146"/>
    <mergeCell ref="O145:P146"/>
    <mergeCell ref="W149:W150"/>
    <mergeCell ref="B151:D152"/>
    <mergeCell ref="E151:H152"/>
    <mergeCell ref="I151:J152"/>
    <mergeCell ref="K151:L152"/>
    <mergeCell ref="M151:N152"/>
    <mergeCell ref="O151:P152"/>
    <mergeCell ref="Q151:R152"/>
    <mergeCell ref="W147:W148"/>
    <mergeCell ref="B149:D150"/>
    <mergeCell ref="E149:H150"/>
    <mergeCell ref="I149:J150"/>
    <mergeCell ref="K149:L150"/>
    <mergeCell ref="M149:N150"/>
    <mergeCell ref="O149:P150"/>
    <mergeCell ref="Q149:R150"/>
    <mergeCell ref="S149:T150"/>
    <mergeCell ref="W157:W158"/>
    <mergeCell ref="Q153:R154"/>
    <mergeCell ref="S153:T154"/>
    <mergeCell ref="U153:V154"/>
    <mergeCell ref="W153:W154"/>
    <mergeCell ref="B157:D158"/>
    <mergeCell ref="E157:H158"/>
    <mergeCell ref="I157:J158"/>
    <mergeCell ref="K157:L158"/>
    <mergeCell ref="M157:N158"/>
    <mergeCell ref="B153:D154"/>
    <mergeCell ref="E153:H154"/>
    <mergeCell ref="I153:J154"/>
    <mergeCell ref="K153:L154"/>
    <mergeCell ref="M153:N154"/>
    <mergeCell ref="O153:P154"/>
    <mergeCell ref="W159:W160"/>
    <mergeCell ref="B161:D161"/>
    <mergeCell ref="E161:H161"/>
    <mergeCell ref="I161:J161"/>
    <mergeCell ref="K161:L161"/>
    <mergeCell ref="M161:N161"/>
    <mergeCell ref="O161:P161"/>
    <mergeCell ref="B159:D160"/>
    <mergeCell ref="E159:H160"/>
    <mergeCell ref="K159:L160"/>
    <mergeCell ref="M159:N160"/>
    <mergeCell ref="O159:P160"/>
    <mergeCell ref="Q159:R160"/>
    <mergeCell ref="Q161:R161"/>
    <mergeCell ref="S161:T161"/>
    <mergeCell ref="U161:V161"/>
    <mergeCell ref="K98:L99"/>
    <mergeCell ref="M98:N99"/>
    <mergeCell ref="O98:P99"/>
    <mergeCell ref="Q98:R99"/>
    <mergeCell ref="S159:T160"/>
    <mergeCell ref="U159:V160"/>
    <mergeCell ref="O157:P158"/>
    <mergeCell ref="Q157:R158"/>
    <mergeCell ref="S157:T158"/>
    <mergeCell ref="U157:V158"/>
    <mergeCell ref="S151:T152"/>
    <mergeCell ref="U151:V152"/>
    <mergeCell ref="U149:V150"/>
    <mergeCell ref="Q143:R144"/>
    <mergeCell ref="S143:T144"/>
    <mergeCell ref="U143:V144"/>
    <mergeCell ref="S140:T141"/>
    <mergeCell ref="U140:V141"/>
    <mergeCell ref="U147:V148"/>
    <mergeCell ref="O128:P129"/>
    <mergeCell ref="Q128:R129"/>
    <mergeCell ref="S128:T129"/>
    <mergeCell ref="U128:V129"/>
    <mergeCell ref="Q123:R123"/>
    <mergeCell ref="E18:H19"/>
    <mergeCell ref="I18:J19"/>
    <mergeCell ref="K18:L19"/>
    <mergeCell ref="M18:N19"/>
    <mergeCell ref="B155:D156"/>
    <mergeCell ref="E155:H156"/>
    <mergeCell ref="I155:J156"/>
    <mergeCell ref="K155:L156"/>
    <mergeCell ref="M155:N156"/>
    <mergeCell ref="B136:D137"/>
    <mergeCell ref="E136:H137"/>
    <mergeCell ref="I136:J137"/>
    <mergeCell ref="K136:L137"/>
    <mergeCell ref="M136:N137"/>
    <mergeCell ref="B117:D118"/>
    <mergeCell ref="E117:H118"/>
    <mergeCell ref="I117:J118"/>
    <mergeCell ref="K117:L118"/>
    <mergeCell ref="M117:N118"/>
    <mergeCell ref="B138:D139"/>
    <mergeCell ref="E138:H139"/>
    <mergeCell ref="I138:J139"/>
    <mergeCell ref="K138:L139"/>
    <mergeCell ref="I56:J57"/>
    <mergeCell ref="O18:P19"/>
    <mergeCell ref="Q18:R19"/>
    <mergeCell ref="S18:T19"/>
    <mergeCell ref="U18:V19"/>
    <mergeCell ref="W18:W19"/>
    <mergeCell ref="Q155:R156"/>
    <mergeCell ref="S155:T156"/>
    <mergeCell ref="U155:V156"/>
    <mergeCell ref="W155:W156"/>
    <mergeCell ref="O155:P156"/>
    <mergeCell ref="O136:P137"/>
    <mergeCell ref="Q136:R137"/>
    <mergeCell ref="S136:T137"/>
    <mergeCell ref="U136:V137"/>
    <mergeCell ref="W136:W137"/>
    <mergeCell ref="Q117:R118"/>
    <mergeCell ref="S117:T118"/>
    <mergeCell ref="U117:V118"/>
    <mergeCell ref="W117:W118"/>
    <mergeCell ref="S98:T99"/>
    <mergeCell ref="U98:V99"/>
    <mergeCell ref="W98:W99"/>
    <mergeCell ref="O117:P118"/>
    <mergeCell ref="W151:W152"/>
    <mergeCell ref="B56:D57"/>
    <mergeCell ref="E56:H57"/>
    <mergeCell ref="K56:L57"/>
    <mergeCell ref="M56:N57"/>
    <mergeCell ref="B37:D38"/>
    <mergeCell ref="E37:H38"/>
    <mergeCell ref="I37:J38"/>
    <mergeCell ref="K37:L38"/>
    <mergeCell ref="M37:N38"/>
    <mergeCell ref="B54:D55"/>
    <mergeCell ref="E54:H55"/>
    <mergeCell ref="I54:J55"/>
    <mergeCell ref="K54:L55"/>
    <mergeCell ref="M54:N55"/>
    <mergeCell ref="B50:D51"/>
    <mergeCell ref="E50:H51"/>
    <mergeCell ref="I50:J51"/>
    <mergeCell ref="K50:L51"/>
    <mergeCell ref="M50:N51"/>
    <mergeCell ref="B47:D47"/>
    <mergeCell ref="E47:H47"/>
    <mergeCell ref="I47:J47"/>
    <mergeCell ref="K47:L47"/>
    <mergeCell ref="M47:N47"/>
    <mergeCell ref="O56:P57"/>
    <mergeCell ref="Q56:R57"/>
    <mergeCell ref="S56:T57"/>
    <mergeCell ref="U56:V57"/>
    <mergeCell ref="W56:W57"/>
    <mergeCell ref="Q37:R38"/>
    <mergeCell ref="S37:T38"/>
    <mergeCell ref="U37:V38"/>
    <mergeCell ref="W37:W38"/>
    <mergeCell ref="O37:P38"/>
    <mergeCell ref="O43:P44"/>
    <mergeCell ref="O54:P55"/>
    <mergeCell ref="Q54:R55"/>
    <mergeCell ref="S54:T55"/>
    <mergeCell ref="U54:V55"/>
    <mergeCell ref="O52:P53"/>
    <mergeCell ref="Q52:R53"/>
    <mergeCell ref="S52:T53"/>
    <mergeCell ref="U52:V53"/>
    <mergeCell ref="O50:P51"/>
    <mergeCell ref="W48:W49"/>
    <mergeCell ref="O47:P47"/>
    <mergeCell ref="Q43:R44"/>
    <mergeCell ref="S43:T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zoomScale="60" zoomScaleNormal="60" workbookViewId="0">
      <selection activeCell="AF21" sqref="AF21"/>
    </sheetView>
  </sheetViews>
  <sheetFormatPr defaultColWidth="8.85546875" defaultRowHeight="15" x14ac:dyDescent="0.25"/>
  <cols>
    <col min="8" max="8" width="13.7109375" customWidth="1"/>
    <col min="9" max="9" width="14.140625" bestFit="1" customWidth="1"/>
    <col min="23" max="23" width="16" customWidth="1"/>
  </cols>
  <sheetData>
    <row r="1" spans="1:31" x14ac:dyDescent="0.25">
      <c r="Z1" s="29" t="s">
        <v>113</v>
      </c>
    </row>
    <row r="2" spans="1:31" x14ac:dyDescent="0.25">
      <c r="Z2" s="29" t="s">
        <v>114</v>
      </c>
    </row>
    <row r="3" spans="1:31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"/>
      <c r="Z3" s="29" t="s">
        <v>115</v>
      </c>
    </row>
    <row r="4" spans="1:31" x14ac:dyDescent="0.25">
      <c r="Z4" s="29" t="s">
        <v>116</v>
      </c>
    </row>
    <row r="5" spans="1:31" x14ac:dyDescent="0.25">
      <c r="Z5" s="4"/>
    </row>
    <row r="6" spans="1:31" ht="15.75" thickBot="1" x14ac:dyDescent="0.3"/>
    <row r="7" spans="1:31" x14ac:dyDescent="0.25">
      <c r="A7" s="120" t="s">
        <v>0</v>
      </c>
      <c r="B7" s="123"/>
      <c r="C7" s="124"/>
      <c r="D7" s="125"/>
      <c r="E7" s="68" t="s">
        <v>9</v>
      </c>
      <c r="F7" s="129"/>
      <c r="G7" s="129"/>
      <c r="H7" s="69"/>
      <c r="I7" s="68" t="s">
        <v>10</v>
      </c>
      <c r="J7" s="69"/>
      <c r="K7" s="68" t="s">
        <v>34</v>
      </c>
      <c r="L7" s="69"/>
      <c r="M7" s="68" t="s">
        <v>11</v>
      </c>
      <c r="N7" s="69"/>
      <c r="O7" s="68" t="s">
        <v>12</v>
      </c>
      <c r="P7" s="69"/>
      <c r="Q7" s="68" t="s">
        <v>13</v>
      </c>
      <c r="R7" s="69"/>
      <c r="S7" s="68" t="s">
        <v>14</v>
      </c>
      <c r="T7" s="69"/>
      <c r="U7" s="68" t="s">
        <v>15</v>
      </c>
      <c r="V7" s="69"/>
      <c r="W7" s="111" t="s">
        <v>59</v>
      </c>
      <c r="X7" s="333" t="s">
        <v>18</v>
      </c>
      <c r="Y7" s="334"/>
      <c r="Z7" s="335"/>
    </row>
    <row r="8" spans="1:31" x14ac:dyDescent="0.25">
      <c r="A8" s="121"/>
      <c r="B8" s="123"/>
      <c r="C8" s="124"/>
      <c r="D8" s="125"/>
      <c r="E8" s="70"/>
      <c r="F8" s="130"/>
      <c r="G8" s="130"/>
      <c r="H8" s="71"/>
      <c r="I8" s="70"/>
      <c r="J8" s="71"/>
      <c r="K8" s="70"/>
      <c r="L8" s="71"/>
      <c r="M8" s="70"/>
      <c r="N8" s="71"/>
      <c r="O8" s="70"/>
      <c r="P8" s="71"/>
      <c r="Q8" s="70"/>
      <c r="R8" s="71"/>
      <c r="S8" s="70"/>
      <c r="T8" s="71"/>
      <c r="U8" s="70"/>
      <c r="V8" s="71"/>
      <c r="W8" s="112"/>
      <c r="X8" s="336"/>
      <c r="Y8" s="276"/>
      <c r="Z8" s="337"/>
    </row>
    <row r="9" spans="1:31" ht="15.75" thickBot="1" x14ac:dyDescent="0.3">
      <c r="A9" s="122"/>
      <c r="B9" s="126"/>
      <c r="C9" s="127"/>
      <c r="D9" s="128"/>
      <c r="E9" s="72"/>
      <c r="F9" s="131"/>
      <c r="G9" s="131"/>
      <c r="H9" s="73"/>
      <c r="I9" s="72"/>
      <c r="J9" s="73"/>
      <c r="K9" s="72"/>
      <c r="L9" s="73"/>
      <c r="M9" s="72"/>
      <c r="N9" s="73"/>
      <c r="O9" s="72"/>
      <c r="P9" s="73"/>
      <c r="Q9" s="72"/>
      <c r="R9" s="73"/>
      <c r="S9" s="72"/>
      <c r="T9" s="73"/>
      <c r="U9" s="72"/>
      <c r="V9" s="73"/>
      <c r="W9" s="113"/>
      <c r="X9" s="338"/>
      <c r="Y9" s="339"/>
      <c r="Z9" s="340"/>
      <c r="AB9" s="13"/>
      <c r="AC9" s="13"/>
      <c r="AD9" s="13"/>
      <c r="AE9" s="13"/>
    </row>
    <row r="10" spans="1:31" x14ac:dyDescent="0.25">
      <c r="A10" s="111">
        <v>1</v>
      </c>
      <c r="B10" s="308" t="s">
        <v>1</v>
      </c>
      <c r="C10" s="299"/>
      <c r="D10" s="296"/>
      <c r="E10" s="308" t="s">
        <v>98</v>
      </c>
      <c r="F10" s="299"/>
      <c r="G10" s="299"/>
      <c r="H10" s="296"/>
      <c r="I10" s="323"/>
      <c r="J10" s="324"/>
      <c r="K10" s="308">
        <v>150</v>
      </c>
      <c r="L10" s="296"/>
      <c r="M10" s="308">
        <v>130</v>
      </c>
      <c r="N10" s="296"/>
      <c r="O10" s="309">
        <f>380*M10/100</f>
        <v>494</v>
      </c>
      <c r="P10" s="310"/>
      <c r="Q10" s="309">
        <v>21</v>
      </c>
      <c r="R10" s="310"/>
      <c r="S10" s="309">
        <v>28</v>
      </c>
      <c r="T10" s="310"/>
      <c r="U10" s="309">
        <v>8.4</v>
      </c>
      <c r="V10" s="310"/>
      <c r="W10" s="341"/>
      <c r="X10" s="68">
        <v>1200</v>
      </c>
      <c r="Y10" s="129"/>
      <c r="Z10" s="69"/>
      <c r="AB10" s="17"/>
      <c r="AC10" s="14"/>
      <c r="AD10" s="14"/>
      <c r="AE10" s="14"/>
    </row>
    <row r="11" spans="1:31" ht="15.75" thickBot="1" x14ac:dyDescent="0.3">
      <c r="A11" s="112"/>
      <c r="B11" s="297"/>
      <c r="C11" s="300"/>
      <c r="D11" s="298"/>
      <c r="E11" s="297"/>
      <c r="F11" s="300"/>
      <c r="G11" s="300"/>
      <c r="H11" s="298"/>
      <c r="I11" s="325"/>
      <c r="J11" s="326"/>
      <c r="K11" s="297"/>
      <c r="L11" s="298"/>
      <c r="M11" s="297"/>
      <c r="N11" s="298"/>
      <c r="O11" s="311"/>
      <c r="P11" s="312"/>
      <c r="Q11" s="311"/>
      <c r="R11" s="312"/>
      <c r="S11" s="311"/>
      <c r="T11" s="312"/>
      <c r="U11" s="311"/>
      <c r="V11" s="312"/>
      <c r="W11" s="342"/>
      <c r="X11" s="70"/>
      <c r="Y11" s="130"/>
      <c r="Z11" s="71"/>
      <c r="AB11" s="14"/>
      <c r="AC11" s="14"/>
      <c r="AD11" s="14"/>
      <c r="AE11" s="14"/>
    </row>
    <row r="12" spans="1:31" x14ac:dyDescent="0.25">
      <c r="A12" s="112"/>
      <c r="B12" s="308" t="s">
        <v>2</v>
      </c>
      <c r="C12" s="299"/>
      <c r="D12" s="296"/>
      <c r="E12" s="308" t="s">
        <v>20</v>
      </c>
      <c r="F12" s="299"/>
      <c r="G12" s="299"/>
      <c r="H12" s="296"/>
      <c r="I12" s="295"/>
      <c r="J12" s="299"/>
      <c r="K12" s="295">
        <v>55</v>
      </c>
      <c r="L12" s="305"/>
      <c r="M12" s="299">
        <v>50</v>
      </c>
      <c r="N12" s="296"/>
      <c r="O12" s="301">
        <v>260</v>
      </c>
      <c r="P12" s="302"/>
      <c r="Q12" s="301">
        <v>50</v>
      </c>
      <c r="R12" s="302"/>
      <c r="S12" s="301">
        <v>6</v>
      </c>
      <c r="T12" s="302"/>
      <c r="U12" s="301">
        <v>5</v>
      </c>
      <c r="V12" s="302"/>
      <c r="W12" s="341"/>
      <c r="X12" s="70"/>
      <c r="Y12" s="130"/>
      <c r="Z12" s="71"/>
    </row>
    <row r="13" spans="1:31" ht="15.75" thickBot="1" x14ac:dyDescent="0.3">
      <c r="A13" s="112"/>
      <c r="B13" s="297"/>
      <c r="C13" s="300"/>
      <c r="D13" s="298"/>
      <c r="E13" s="297"/>
      <c r="F13" s="300"/>
      <c r="G13" s="300"/>
      <c r="H13" s="298"/>
      <c r="I13" s="297"/>
      <c r="J13" s="300"/>
      <c r="K13" s="306"/>
      <c r="L13" s="307"/>
      <c r="M13" s="300"/>
      <c r="N13" s="298"/>
      <c r="O13" s="303"/>
      <c r="P13" s="304"/>
      <c r="Q13" s="303"/>
      <c r="R13" s="304"/>
      <c r="S13" s="303"/>
      <c r="T13" s="304"/>
      <c r="U13" s="303"/>
      <c r="V13" s="304"/>
      <c r="W13" s="342"/>
      <c r="X13" s="70"/>
      <c r="Y13" s="130"/>
      <c r="Z13" s="71"/>
    </row>
    <row r="14" spans="1:31" x14ac:dyDescent="0.25">
      <c r="A14" s="112"/>
      <c r="B14" s="308" t="s">
        <v>3</v>
      </c>
      <c r="C14" s="299"/>
      <c r="D14" s="296"/>
      <c r="E14" s="308" t="s">
        <v>101</v>
      </c>
      <c r="F14" s="299"/>
      <c r="G14" s="299"/>
      <c r="H14" s="296"/>
      <c r="I14" s="295"/>
      <c r="J14" s="305"/>
      <c r="K14" s="308">
        <v>130</v>
      </c>
      <c r="L14" s="296"/>
      <c r="M14" s="308">
        <v>120</v>
      </c>
      <c r="N14" s="296"/>
      <c r="O14" s="309">
        <f>180*M14/100</f>
        <v>216</v>
      </c>
      <c r="P14" s="310"/>
      <c r="Q14" s="309">
        <f>0*M14/100</f>
        <v>0</v>
      </c>
      <c r="R14" s="310"/>
      <c r="S14" s="309">
        <v>27</v>
      </c>
      <c r="T14" s="310"/>
      <c r="U14" s="309">
        <v>11.6</v>
      </c>
      <c r="V14" s="310"/>
      <c r="W14" s="343"/>
      <c r="X14" s="70"/>
      <c r="Y14" s="130"/>
      <c r="Z14" s="71"/>
    </row>
    <row r="15" spans="1:31" ht="15.75" thickBot="1" x14ac:dyDescent="0.3">
      <c r="A15" s="112"/>
      <c r="B15" s="297"/>
      <c r="C15" s="300"/>
      <c r="D15" s="298"/>
      <c r="E15" s="297"/>
      <c r="F15" s="300"/>
      <c r="G15" s="300"/>
      <c r="H15" s="298"/>
      <c r="I15" s="306"/>
      <c r="J15" s="307"/>
      <c r="K15" s="297"/>
      <c r="L15" s="298"/>
      <c r="M15" s="297"/>
      <c r="N15" s="298"/>
      <c r="O15" s="311"/>
      <c r="P15" s="312"/>
      <c r="Q15" s="311"/>
      <c r="R15" s="312"/>
      <c r="S15" s="311"/>
      <c r="T15" s="312"/>
      <c r="U15" s="311"/>
      <c r="V15" s="312"/>
      <c r="W15" s="344"/>
      <c r="X15" s="70"/>
      <c r="Y15" s="130"/>
      <c r="Z15" s="71"/>
    </row>
    <row r="16" spans="1:31" x14ac:dyDescent="0.25">
      <c r="A16" s="112"/>
      <c r="B16" s="308" t="s">
        <v>4</v>
      </c>
      <c r="C16" s="299"/>
      <c r="D16" s="296"/>
      <c r="E16" s="327" t="s">
        <v>61</v>
      </c>
      <c r="F16" s="328"/>
      <c r="G16" s="328"/>
      <c r="H16" s="329"/>
      <c r="I16" s="348"/>
      <c r="J16" s="349"/>
      <c r="K16" s="327">
        <v>65</v>
      </c>
      <c r="L16" s="329"/>
      <c r="M16" s="308">
        <v>60</v>
      </c>
      <c r="N16" s="296"/>
      <c r="O16" s="301">
        <f>480*M16/100</f>
        <v>288</v>
      </c>
      <c r="P16" s="302"/>
      <c r="Q16" s="301">
        <f>50.8*M16/100</f>
        <v>30.48</v>
      </c>
      <c r="R16" s="302"/>
      <c r="S16" s="301">
        <f>12.8*M16/100</f>
        <v>7.68</v>
      </c>
      <c r="T16" s="302"/>
      <c r="U16" s="301">
        <f>24.1*M16/100</f>
        <v>14.46</v>
      </c>
      <c r="V16" s="302"/>
      <c r="W16" s="343"/>
      <c r="X16" s="70"/>
      <c r="Y16" s="130"/>
      <c r="Z16" s="71"/>
    </row>
    <row r="17" spans="1:31" ht="15.75" thickBot="1" x14ac:dyDescent="0.3">
      <c r="A17" s="112"/>
      <c r="B17" s="297"/>
      <c r="C17" s="300"/>
      <c r="D17" s="298"/>
      <c r="E17" s="330"/>
      <c r="F17" s="331"/>
      <c r="G17" s="331"/>
      <c r="H17" s="332"/>
      <c r="I17" s="350"/>
      <c r="J17" s="351"/>
      <c r="K17" s="330"/>
      <c r="L17" s="332"/>
      <c r="M17" s="297"/>
      <c r="N17" s="298"/>
      <c r="O17" s="303"/>
      <c r="P17" s="304"/>
      <c r="Q17" s="303"/>
      <c r="R17" s="304"/>
      <c r="S17" s="303"/>
      <c r="T17" s="304"/>
      <c r="U17" s="303"/>
      <c r="V17" s="304"/>
      <c r="W17" s="344"/>
      <c r="X17" s="70"/>
      <c r="Y17" s="130"/>
      <c r="Z17" s="71"/>
    </row>
    <row r="18" spans="1:31" x14ac:dyDescent="0.25">
      <c r="A18" s="112"/>
      <c r="B18" s="308" t="s">
        <v>17</v>
      </c>
      <c r="C18" s="299"/>
      <c r="D18" s="296"/>
      <c r="E18" s="308" t="s">
        <v>82</v>
      </c>
      <c r="F18" s="299"/>
      <c r="G18" s="299"/>
      <c r="H18" s="296"/>
      <c r="I18" s="295"/>
      <c r="J18" s="305"/>
      <c r="K18" s="308">
        <v>3</v>
      </c>
      <c r="L18" s="296"/>
      <c r="M18" s="308">
        <v>2</v>
      </c>
      <c r="N18" s="296"/>
      <c r="O18" s="309">
        <f>1*M18/100</f>
        <v>0.02</v>
      </c>
      <c r="P18" s="310"/>
      <c r="Q18" s="309">
        <f>0.2*M18/100</f>
        <v>4.0000000000000001E-3</v>
      </c>
      <c r="R18" s="310"/>
      <c r="S18" s="309">
        <f>0.1*M18/100</f>
        <v>2E-3</v>
      </c>
      <c r="T18" s="310"/>
      <c r="U18" s="309">
        <v>0</v>
      </c>
      <c r="V18" s="310"/>
      <c r="W18" s="343"/>
      <c r="X18" s="70"/>
      <c r="Y18" s="130"/>
      <c r="Z18" s="71"/>
    </row>
    <row r="19" spans="1:31" ht="15.75" thickBot="1" x14ac:dyDescent="0.3">
      <c r="A19" s="112"/>
      <c r="B19" s="297"/>
      <c r="C19" s="300"/>
      <c r="D19" s="298"/>
      <c r="E19" s="297"/>
      <c r="F19" s="300"/>
      <c r="G19" s="300"/>
      <c r="H19" s="298"/>
      <c r="I19" s="306"/>
      <c r="J19" s="307"/>
      <c r="K19" s="297"/>
      <c r="L19" s="298"/>
      <c r="M19" s="297"/>
      <c r="N19" s="298"/>
      <c r="O19" s="311"/>
      <c r="P19" s="312"/>
      <c r="Q19" s="311"/>
      <c r="R19" s="312"/>
      <c r="S19" s="311"/>
      <c r="T19" s="312"/>
      <c r="U19" s="311"/>
      <c r="V19" s="312"/>
      <c r="W19" s="344"/>
      <c r="X19" s="70"/>
      <c r="Y19" s="130"/>
      <c r="Z19" s="71"/>
    </row>
    <row r="20" spans="1:31" x14ac:dyDescent="0.25">
      <c r="A20" s="112"/>
      <c r="B20" s="308" t="s">
        <v>5</v>
      </c>
      <c r="C20" s="299"/>
      <c r="D20" s="296"/>
      <c r="E20" s="308" t="s">
        <v>44</v>
      </c>
      <c r="F20" s="299"/>
      <c r="G20" s="299"/>
      <c r="H20" s="296"/>
      <c r="I20" s="295">
        <v>4742870011989</v>
      </c>
      <c r="J20" s="305"/>
      <c r="K20" s="308">
        <v>32</v>
      </c>
      <c r="L20" s="296"/>
      <c r="M20" s="308">
        <v>30</v>
      </c>
      <c r="N20" s="296"/>
      <c r="O20" s="309">
        <v>183.6</v>
      </c>
      <c r="P20" s="310"/>
      <c r="Q20" s="309">
        <v>2.25</v>
      </c>
      <c r="R20" s="310"/>
      <c r="S20" s="309">
        <v>9.4499999999999993</v>
      </c>
      <c r="T20" s="310"/>
      <c r="U20" s="309">
        <v>14.58</v>
      </c>
      <c r="V20" s="310"/>
      <c r="W20" s="343"/>
      <c r="X20" s="70"/>
      <c r="Y20" s="130"/>
      <c r="Z20" s="71"/>
    </row>
    <row r="21" spans="1:31" ht="15.75" thickBot="1" x14ac:dyDescent="0.3">
      <c r="A21" s="112"/>
      <c r="B21" s="297"/>
      <c r="C21" s="300"/>
      <c r="D21" s="298"/>
      <c r="E21" s="297"/>
      <c r="F21" s="300"/>
      <c r="G21" s="300"/>
      <c r="H21" s="298"/>
      <c r="I21" s="306"/>
      <c r="J21" s="307"/>
      <c r="K21" s="297"/>
      <c r="L21" s="298"/>
      <c r="M21" s="297"/>
      <c r="N21" s="298"/>
      <c r="O21" s="311"/>
      <c r="P21" s="312"/>
      <c r="Q21" s="311"/>
      <c r="R21" s="312"/>
      <c r="S21" s="311"/>
      <c r="T21" s="312"/>
      <c r="U21" s="311"/>
      <c r="V21" s="312"/>
      <c r="W21" s="344"/>
      <c r="X21" s="70"/>
      <c r="Y21" s="130"/>
      <c r="Z21" s="71"/>
    </row>
    <row r="22" spans="1:31" x14ac:dyDescent="0.25">
      <c r="A22" s="112"/>
      <c r="B22" s="308" t="s">
        <v>6</v>
      </c>
      <c r="C22" s="299"/>
      <c r="D22" s="296"/>
      <c r="E22" s="327" t="s">
        <v>53</v>
      </c>
      <c r="F22" s="328"/>
      <c r="G22" s="328"/>
      <c r="H22" s="329"/>
      <c r="I22" s="348">
        <v>4742870017790</v>
      </c>
      <c r="J22" s="349"/>
      <c r="K22" s="327">
        <v>42</v>
      </c>
      <c r="L22" s="329"/>
      <c r="M22" s="308">
        <v>40</v>
      </c>
      <c r="N22" s="296"/>
      <c r="O22" s="309">
        <v>109.4</v>
      </c>
      <c r="P22" s="310"/>
      <c r="Q22" s="309">
        <v>27.4</v>
      </c>
      <c r="R22" s="310"/>
      <c r="S22" s="309">
        <v>0</v>
      </c>
      <c r="T22" s="310"/>
      <c r="U22" s="309">
        <v>0</v>
      </c>
      <c r="V22" s="310"/>
      <c r="W22" s="345"/>
      <c r="X22" s="70"/>
      <c r="Y22" s="130"/>
      <c r="Z22" s="71"/>
    </row>
    <row r="23" spans="1:31" ht="15.75" thickBot="1" x14ac:dyDescent="0.3">
      <c r="A23" s="112"/>
      <c r="B23" s="297"/>
      <c r="C23" s="300"/>
      <c r="D23" s="298"/>
      <c r="E23" s="330"/>
      <c r="F23" s="331"/>
      <c r="G23" s="331"/>
      <c r="H23" s="332"/>
      <c r="I23" s="350"/>
      <c r="J23" s="351"/>
      <c r="K23" s="330"/>
      <c r="L23" s="332"/>
      <c r="M23" s="297"/>
      <c r="N23" s="298"/>
      <c r="O23" s="311"/>
      <c r="P23" s="312"/>
      <c r="Q23" s="311"/>
      <c r="R23" s="312"/>
      <c r="S23" s="311"/>
      <c r="T23" s="312"/>
      <c r="U23" s="311"/>
      <c r="V23" s="312"/>
      <c r="W23" s="346"/>
      <c r="X23" s="70"/>
      <c r="Y23" s="130"/>
      <c r="Z23" s="71"/>
    </row>
    <row r="24" spans="1:31" x14ac:dyDescent="0.25">
      <c r="A24" s="112"/>
      <c r="B24" s="308" t="s">
        <v>7</v>
      </c>
      <c r="C24" s="299"/>
      <c r="D24" s="296"/>
      <c r="E24" s="327" t="s">
        <v>66</v>
      </c>
      <c r="F24" s="328"/>
      <c r="G24" s="328"/>
      <c r="H24" s="329"/>
      <c r="I24" s="348"/>
      <c r="J24" s="296"/>
      <c r="K24" s="295">
        <v>4</v>
      </c>
      <c r="L24" s="305"/>
      <c r="M24" s="308">
        <v>2</v>
      </c>
      <c r="N24" s="296"/>
      <c r="O24" s="301">
        <v>0</v>
      </c>
      <c r="P24" s="302"/>
      <c r="Q24" s="301">
        <v>0</v>
      </c>
      <c r="R24" s="302"/>
      <c r="S24" s="301">
        <v>0</v>
      </c>
      <c r="T24" s="302"/>
      <c r="U24" s="301">
        <v>0</v>
      </c>
      <c r="V24" s="302"/>
      <c r="W24" s="347"/>
      <c r="X24" s="70"/>
      <c r="Y24" s="130"/>
      <c r="Z24" s="71"/>
    </row>
    <row r="25" spans="1:31" ht="15.75" thickBot="1" x14ac:dyDescent="0.3">
      <c r="A25" s="112"/>
      <c r="B25" s="297"/>
      <c r="C25" s="300"/>
      <c r="D25" s="298"/>
      <c r="E25" s="330"/>
      <c r="F25" s="331"/>
      <c r="G25" s="331"/>
      <c r="H25" s="332"/>
      <c r="I25" s="297"/>
      <c r="J25" s="298"/>
      <c r="K25" s="306"/>
      <c r="L25" s="307"/>
      <c r="M25" s="297"/>
      <c r="N25" s="298"/>
      <c r="O25" s="303"/>
      <c r="P25" s="304"/>
      <c r="Q25" s="303"/>
      <c r="R25" s="304"/>
      <c r="S25" s="303"/>
      <c r="T25" s="304"/>
      <c r="U25" s="303"/>
      <c r="V25" s="304"/>
      <c r="W25" s="344"/>
      <c r="X25" s="70"/>
      <c r="Y25" s="130"/>
      <c r="Z25" s="71"/>
    </row>
    <row r="26" spans="1:31" x14ac:dyDescent="0.25">
      <c r="A26" s="112"/>
      <c r="B26" s="308" t="s">
        <v>8</v>
      </c>
      <c r="C26" s="299"/>
      <c r="D26" s="296"/>
      <c r="E26" s="327" t="s">
        <v>8</v>
      </c>
      <c r="F26" s="328"/>
      <c r="G26" s="328"/>
      <c r="H26" s="329"/>
      <c r="I26" s="18"/>
      <c r="J26" s="18"/>
      <c r="K26" s="295"/>
      <c r="L26" s="305"/>
      <c r="M26" s="308"/>
      <c r="N26" s="296"/>
      <c r="O26" s="301"/>
      <c r="P26" s="302"/>
      <c r="Q26" s="301"/>
      <c r="R26" s="302"/>
      <c r="S26" s="301"/>
      <c r="T26" s="302"/>
      <c r="U26" s="301"/>
      <c r="V26" s="302"/>
      <c r="W26" s="347"/>
      <c r="X26" s="70"/>
      <c r="Y26" s="130"/>
      <c r="Z26" s="71"/>
    </row>
    <row r="27" spans="1:31" ht="15.75" thickBot="1" x14ac:dyDescent="0.3">
      <c r="A27" s="113"/>
      <c r="B27" s="297"/>
      <c r="C27" s="300"/>
      <c r="D27" s="298"/>
      <c r="E27" s="330"/>
      <c r="F27" s="331"/>
      <c r="G27" s="331"/>
      <c r="H27" s="332"/>
      <c r="I27" s="19"/>
      <c r="J27" s="19"/>
      <c r="K27" s="306"/>
      <c r="L27" s="307"/>
      <c r="M27" s="297"/>
      <c r="N27" s="298"/>
      <c r="O27" s="303"/>
      <c r="P27" s="304"/>
      <c r="Q27" s="303"/>
      <c r="R27" s="304"/>
      <c r="S27" s="303"/>
      <c r="T27" s="304"/>
      <c r="U27" s="303"/>
      <c r="V27" s="304"/>
      <c r="W27" s="344"/>
      <c r="X27" s="72"/>
      <c r="Y27" s="131"/>
      <c r="Z27" s="73"/>
    </row>
    <row r="28" spans="1:31" ht="15.75" thickBot="1" x14ac:dyDescent="0.3">
      <c r="A28" s="1"/>
      <c r="B28" s="156" t="s">
        <v>16</v>
      </c>
      <c r="C28" s="157"/>
      <c r="D28" s="158"/>
      <c r="E28" s="159"/>
      <c r="F28" s="160"/>
      <c r="G28" s="160"/>
      <c r="H28" s="161"/>
      <c r="I28" s="262"/>
      <c r="J28" s="263"/>
      <c r="K28" s="159">
        <f>SUM(K10:L27)</f>
        <v>481</v>
      </c>
      <c r="L28" s="161"/>
      <c r="M28" s="159">
        <f>SUM(M10:N27)</f>
        <v>434</v>
      </c>
      <c r="N28" s="161"/>
      <c r="O28" s="162">
        <f>SUM(O10:P27)</f>
        <v>1551.02</v>
      </c>
      <c r="P28" s="163"/>
      <c r="Q28" s="159">
        <f>SUM(Q10:R27)</f>
        <v>131.13400000000001</v>
      </c>
      <c r="R28" s="161"/>
      <c r="S28" s="159">
        <f>SUM(S10:T27)</f>
        <v>78.132000000000005</v>
      </c>
      <c r="T28" s="161"/>
      <c r="U28" s="159">
        <f>SUM(U10:V27)</f>
        <v>54.04</v>
      </c>
      <c r="V28" s="161"/>
      <c r="W28" s="20"/>
      <c r="AB28" s="13"/>
      <c r="AC28" s="13"/>
      <c r="AD28" s="13"/>
      <c r="AE28" s="13"/>
    </row>
    <row r="29" spans="1:31" x14ac:dyDescent="0.25">
      <c r="A29" s="111">
        <v>2</v>
      </c>
      <c r="B29" s="308" t="s">
        <v>1</v>
      </c>
      <c r="C29" s="299"/>
      <c r="D29" s="296"/>
      <c r="E29" s="327" t="s">
        <v>91</v>
      </c>
      <c r="F29" s="328"/>
      <c r="G29" s="328"/>
      <c r="H29" s="329"/>
      <c r="I29" s="295"/>
      <c r="J29" s="305"/>
      <c r="K29" s="308">
        <v>150</v>
      </c>
      <c r="L29" s="296"/>
      <c r="M29" s="308">
        <v>130</v>
      </c>
      <c r="N29" s="296"/>
      <c r="O29" s="309">
        <v>494</v>
      </c>
      <c r="P29" s="310"/>
      <c r="Q29" s="309">
        <v>12</v>
      </c>
      <c r="R29" s="310"/>
      <c r="S29" s="309">
        <v>21</v>
      </c>
      <c r="T29" s="310"/>
      <c r="U29" s="309">
        <v>5.3</v>
      </c>
      <c r="V29" s="310"/>
      <c r="W29" s="341"/>
      <c r="X29" s="68">
        <v>1200</v>
      </c>
      <c r="Y29" s="129"/>
      <c r="Z29" s="69"/>
      <c r="AB29" s="14"/>
      <c r="AC29" s="14"/>
      <c r="AD29" s="14"/>
      <c r="AE29" s="14"/>
    </row>
    <row r="30" spans="1:31" ht="15.75" thickBot="1" x14ac:dyDescent="0.3">
      <c r="A30" s="112"/>
      <c r="B30" s="297"/>
      <c r="C30" s="300"/>
      <c r="D30" s="298"/>
      <c r="E30" s="330"/>
      <c r="F30" s="331"/>
      <c r="G30" s="331"/>
      <c r="H30" s="332"/>
      <c r="I30" s="306"/>
      <c r="J30" s="307"/>
      <c r="K30" s="297"/>
      <c r="L30" s="298"/>
      <c r="M30" s="297"/>
      <c r="N30" s="298"/>
      <c r="O30" s="311"/>
      <c r="P30" s="312"/>
      <c r="Q30" s="311"/>
      <c r="R30" s="312"/>
      <c r="S30" s="311"/>
      <c r="T30" s="312"/>
      <c r="U30" s="311"/>
      <c r="V30" s="312"/>
      <c r="W30" s="342"/>
      <c r="X30" s="70"/>
      <c r="Y30" s="130"/>
      <c r="Z30" s="71"/>
      <c r="AB30" s="17"/>
      <c r="AC30" s="14"/>
      <c r="AD30" s="14"/>
      <c r="AE30" s="14"/>
    </row>
    <row r="31" spans="1:31" x14ac:dyDescent="0.25">
      <c r="A31" s="112"/>
      <c r="B31" s="308" t="s">
        <v>2</v>
      </c>
      <c r="C31" s="299"/>
      <c r="D31" s="296"/>
      <c r="E31" s="308" t="s">
        <v>20</v>
      </c>
      <c r="F31" s="299"/>
      <c r="G31" s="299"/>
      <c r="H31" s="296"/>
      <c r="I31" s="295"/>
      <c r="J31" s="299"/>
      <c r="K31" s="295">
        <v>55</v>
      </c>
      <c r="L31" s="305"/>
      <c r="M31" s="299">
        <v>50</v>
      </c>
      <c r="N31" s="296"/>
      <c r="O31" s="301">
        <v>260</v>
      </c>
      <c r="P31" s="302"/>
      <c r="Q31" s="301">
        <v>50</v>
      </c>
      <c r="R31" s="302"/>
      <c r="S31" s="301">
        <v>6</v>
      </c>
      <c r="T31" s="302"/>
      <c r="U31" s="301">
        <v>5</v>
      </c>
      <c r="V31" s="302"/>
      <c r="W31" s="341"/>
      <c r="X31" s="70"/>
      <c r="Y31" s="130"/>
      <c r="Z31" s="71"/>
    </row>
    <row r="32" spans="1:31" ht="15.75" thickBot="1" x14ac:dyDescent="0.3">
      <c r="A32" s="112"/>
      <c r="B32" s="297"/>
      <c r="C32" s="300"/>
      <c r="D32" s="298"/>
      <c r="E32" s="297"/>
      <c r="F32" s="300"/>
      <c r="G32" s="300"/>
      <c r="H32" s="298"/>
      <c r="I32" s="297"/>
      <c r="J32" s="300"/>
      <c r="K32" s="306"/>
      <c r="L32" s="307"/>
      <c r="M32" s="300"/>
      <c r="N32" s="298"/>
      <c r="O32" s="303"/>
      <c r="P32" s="304"/>
      <c r="Q32" s="303"/>
      <c r="R32" s="304"/>
      <c r="S32" s="303"/>
      <c r="T32" s="304"/>
      <c r="U32" s="303"/>
      <c r="V32" s="304"/>
      <c r="W32" s="342"/>
      <c r="X32" s="70"/>
      <c r="Y32" s="130"/>
      <c r="Z32" s="71"/>
    </row>
    <row r="33" spans="1:31" x14ac:dyDescent="0.25">
      <c r="A33" s="112"/>
      <c r="B33" s="308" t="s">
        <v>3</v>
      </c>
      <c r="C33" s="299"/>
      <c r="D33" s="296"/>
      <c r="E33" s="308" t="s">
        <v>102</v>
      </c>
      <c r="F33" s="299"/>
      <c r="G33" s="299"/>
      <c r="H33" s="296"/>
      <c r="I33" s="295"/>
      <c r="J33" s="305"/>
      <c r="K33" s="308">
        <v>130</v>
      </c>
      <c r="L33" s="296"/>
      <c r="M33" s="308">
        <v>120</v>
      </c>
      <c r="N33" s="296"/>
      <c r="O33" s="309">
        <v>231</v>
      </c>
      <c r="P33" s="310"/>
      <c r="Q33" s="309">
        <f>0*M33/120</f>
        <v>0</v>
      </c>
      <c r="R33" s="310"/>
      <c r="S33" s="309">
        <v>30</v>
      </c>
      <c r="T33" s="310"/>
      <c r="U33" s="309">
        <v>12</v>
      </c>
      <c r="V33" s="310"/>
      <c r="W33" s="343"/>
      <c r="X33" s="70"/>
      <c r="Y33" s="130"/>
      <c r="Z33" s="71"/>
    </row>
    <row r="34" spans="1:31" ht="15.75" thickBot="1" x14ac:dyDescent="0.3">
      <c r="A34" s="112"/>
      <c r="B34" s="297"/>
      <c r="C34" s="300"/>
      <c r="D34" s="298"/>
      <c r="E34" s="297"/>
      <c r="F34" s="300"/>
      <c r="G34" s="300"/>
      <c r="H34" s="298"/>
      <c r="I34" s="306"/>
      <c r="J34" s="307"/>
      <c r="K34" s="297"/>
      <c r="L34" s="298"/>
      <c r="M34" s="297"/>
      <c r="N34" s="298"/>
      <c r="O34" s="311"/>
      <c r="P34" s="312"/>
      <c r="Q34" s="311"/>
      <c r="R34" s="312"/>
      <c r="S34" s="311"/>
      <c r="T34" s="312"/>
      <c r="U34" s="311"/>
      <c r="V34" s="312"/>
      <c r="W34" s="344"/>
      <c r="X34" s="70"/>
      <c r="Y34" s="130"/>
      <c r="Z34" s="71"/>
    </row>
    <row r="35" spans="1:31" x14ac:dyDescent="0.25">
      <c r="A35" s="112"/>
      <c r="B35" s="308" t="s">
        <v>4</v>
      </c>
      <c r="C35" s="299"/>
      <c r="D35" s="296"/>
      <c r="E35" s="327" t="s">
        <v>61</v>
      </c>
      <c r="F35" s="328"/>
      <c r="G35" s="328"/>
      <c r="H35" s="329"/>
      <c r="I35" s="348"/>
      <c r="J35" s="349"/>
      <c r="K35" s="327">
        <v>65</v>
      </c>
      <c r="L35" s="329"/>
      <c r="M35" s="308">
        <v>60</v>
      </c>
      <c r="N35" s="296"/>
      <c r="O35" s="301">
        <f>480*M35/100</f>
        <v>288</v>
      </c>
      <c r="P35" s="302"/>
      <c r="Q35" s="301">
        <f>50.8*M35/100</f>
        <v>30.48</v>
      </c>
      <c r="R35" s="302"/>
      <c r="S35" s="301">
        <f>12.8*M35/100</f>
        <v>7.68</v>
      </c>
      <c r="T35" s="302"/>
      <c r="U35" s="301">
        <f>24.1*M35/100</f>
        <v>14.46</v>
      </c>
      <c r="V35" s="302"/>
      <c r="W35" s="343"/>
      <c r="X35" s="70"/>
      <c r="Y35" s="130"/>
      <c r="Z35" s="71"/>
    </row>
    <row r="36" spans="1:31" ht="15.75" thickBot="1" x14ac:dyDescent="0.3">
      <c r="A36" s="112"/>
      <c r="B36" s="297"/>
      <c r="C36" s="300"/>
      <c r="D36" s="298"/>
      <c r="E36" s="330"/>
      <c r="F36" s="331"/>
      <c r="G36" s="331"/>
      <c r="H36" s="332"/>
      <c r="I36" s="350"/>
      <c r="J36" s="351"/>
      <c r="K36" s="330"/>
      <c r="L36" s="332"/>
      <c r="M36" s="297"/>
      <c r="N36" s="298"/>
      <c r="O36" s="303"/>
      <c r="P36" s="304"/>
      <c r="Q36" s="303"/>
      <c r="R36" s="304"/>
      <c r="S36" s="303"/>
      <c r="T36" s="304"/>
      <c r="U36" s="303"/>
      <c r="V36" s="304"/>
      <c r="W36" s="344"/>
      <c r="X36" s="70"/>
      <c r="Y36" s="130"/>
      <c r="Z36" s="71"/>
      <c r="AB36" s="9"/>
    </row>
    <row r="37" spans="1:31" x14ac:dyDescent="0.25">
      <c r="A37" s="112"/>
      <c r="B37" s="308" t="s">
        <v>17</v>
      </c>
      <c r="C37" s="299"/>
      <c r="D37" s="296"/>
      <c r="E37" s="308" t="s">
        <v>83</v>
      </c>
      <c r="F37" s="299"/>
      <c r="G37" s="299"/>
      <c r="H37" s="296"/>
      <c r="I37" s="295"/>
      <c r="J37" s="305"/>
      <c r="K37" s="308">
        <v>3</v>
      </c>
      <c r="L37" s="296"/>
      <c r="M37" s="308">
        <v>2</v>
      </c>
      <c r="N37" s="296"/>
      <c r="O37" s="309">
        <f>1*M37/100</f>
        <v>0.02</v>
      </c>
      <c r="P37" s="310"/>
      <c r="Q37" s="309">
        <f>1*M37/100</f>
        <v>0.02</v>
      </c>
      <c r="R37" s="310"/>
      <c r="S37" s="309">
        <f>0.1*M37/100</f>
        <v>2E-3</v>
      </c>
      <c r="T37" s="310"/>
      <c r="U37" s="309">
        <v>0</v>
      </c>
      <c r="V37" s="310"/>
      <c r="W37" s="343"/>
      <c r="X37" s="70"/>
      <c r="Y37" s="130"/>
      <c r="Z37" s="71"/>
    </row>
    <row r="38" spans="1:31" ht="15.75" thickBot="1" x14ac:dyDescent="0.3">
      <c r="A38" s="112"/>
      <c r="B38" s="297"/>
      <c r="C38" s="300"/>
      <c r="D38" s="298"/>
      <c r="E38" s="297"/>
      <c r="F38" s="300"/>
      <c r="G38" s="300"/>
      <c r="H38" s="298"/>
      <c r="I38" s="306"/>
      <c r="J38" s="307"/>
      <c r="K38" s="297"/>
      <c r="L38" s="298"/>
      <c r="M38" s="297"/>
      <c r="N38" s="298"/>
      <c r="O38" s="311"/>
      <c r="P38" s="312"/>
      <c r="Q38" s="311"/>
      <c r="R38" s="312"/>
      <c r="S38" s="311"/>
      <c r="T38" s="312"/>
      <c r="U38" s="311"/>
      <c r="V38" s="312"/>
      <c r="W38" s="344"/>
      <c r="X38" s="70"/>
      <c r="Y38" s="130"/>
      <c r="Z38" s="71"/>
      <c r="AB38" s="12"/>
      <c r="AC38" s="12"/>
      <c r="AD38" s="12"/>
      <c r="AE38" s="12"/>
    </row>
    <row r="39" spans="1:31" x14ac:dyDescent="0.25">
      <c r="A39" s="112"/>
      <c r="B39" s="308" t="s">
        <v>5</v>
      </c>
      <c r="C39" s="299"/>
      <c r="D39" s="296"/>
      <c r="E39" s="308" t="s">
        <v>25</v>
      </c>
      <c r="F39" s="299"/>
      <c r="G39" s="299"/>
      <c r="H39" s="296"/>
      <c r="I39" s="295">
        <v>4742870011972</v>
      </c>
      <c r="J39" s="296"/>
      <c r="K39" s="295">
        <v>32</v>
      </c>
      <c r="L39" s="305"/>
      <c r="M39" s="308">
        <v>30</v>
      </c>
      <c r="N39" s="296"/>
      <c r="O39" s="309">
        <v>177</v>
      </c>
      <c r="P39" s="310"/>
      <c r="Q39" s="309">
        <v>6.03</v>
      </c>
      <c r="R39" s="310"/>
      <c r="S39" s="309">
        <v>8.8800000000000008</v>
      </c>
      <c r="T39" s="310"/>
      <c r="U39" s="309">
        <v>13.8</v>
      </c>
      <c r="V39" s="310"/>
      <c r="W39" s="343"/>
      <c r="X39" s="70"/>
      <c r="Y39" s="130"/>
      <c r="Z39" s="71"/>
      <c r="AB39" s="12"/>
      <c r="AC39" s="12"/>
      <c r="AD39" s="12"/>
      <c r="AE39" s="12"/>
    </row>
    <row r="40" spans="1:31" ht="15.75" thickBot="1" x14ac:dyDescent="0.3">
      <c r="A40" s="112"/>
      <c r="B40" s="297"/>
      <c r="C40" s="300"/>
      <c r="D40" s="298"/>
      <c r="E40" s="297"/>
      <c r="F40" s="300"/>
      <c r="G40" s="300"/>
      <c r="H40" s="298"/>
      <c r="I40" s="297"/>
      <c r="J40" s="298"/>
      <c r="K40" s="306"/>
      <c r="L40" s="307"/>
      <c r="M40" s="297"/>
      <c r="N40" s="298"/>
      <c r="O40" s="311"/>
      <c r="P40" s="312"/>
      <c r="Q40" s="311"/>
      <c r="R40" s="312"/>
      <c r="S40" s="311"/>
      <c r="T40" s="312"/>
      <c r="U40" s="311"/>
      <c r="V40" s="312"/>
      <c r="W40" s="344"/>
      <c r="X40" s="70"/>
      <c r="Y40" s="130"/>
      <c r="Z40" s="71"/>
      <c r="AB40" s="12"/>
      <c r="AC40" s="12"/>
      <c r="AD40" s="12"/>
      <c r="AE40" s="12"/>
    </row>
    <row r="41" spans="1:31" x14ac:dyDescent="0.25">
      <c r="A41" s="112"/>
      <c r="B41" s="308" t="s">
        <v>6</v>
      </c>
      <c r="C41" s="299"/>
      <c r="D41" s="296"/>
      <c r="E41" s="327" t="s">
        <v>54</v>
      </c>
      <c r="F41" s="328"/>
      <c r="G41" s="328"/>
      <c r="H41" s="329"/>
      <c r="I41" s="295">
        <v>4742870015550</v>
      </c>
      <c r="J41" s="305"/>
      <c r="K41" s="308">
        <v>42</v>
      </c>
      <c r="L41" s="296"/>
      <c r="M41" s="308">
        <v>40</v>
      </c>
      <c r="N41" s="296"/>
      <c r="O41" s="309">
        <v>109.4</v>
      </c>
      <c r="P41" s="310"/>
      <c r="Q41" s="309">
        <v>27.4</v>
      </c>
      <c r="R41" s="310"/>
      <c r="S41" s="309">
        <v>0</v>
      </c>
      <c r="T41" s="310"/>
      <c r="U41" s="309">
        <v>0</v>
      </c>
      <c r="V41" s="310"/>
      <c r="W41" s="345"/>
      <c r="X41" s="70"/>
      <c r="Y41" s="130"/>
      <c r="Z41" s="71"/>
      <c r="AB41" s="10"/>
      <c r="AC41" s="10"/>
      <c r="AD41" s="10"/>
      <c r="AE41" s="10"/>
    </row>
    <row r="42" spans="1:31" ht="15.75" thickBot="1" x14ac:dyDescent="0.3">
      <c r="A42" s="112"/>
      <c r="B42" s="297"/>
      <c r="C42" s="300"/>
      <c r="D42" s="298"/>
      <c r="E42" s="330"/>
      <c r="F42" s="331"/>
      <c r="G42" s="331"/>
      <c r="H42" s="332"/>
      <c r="I42" s="306"/>
      <c r="J42" s="307"/>
      <c r="K42" s="297"/>
      <c r="L42" s="298"/>
      <c r="M42" s="297"/>
      <c r="N42" s="298"/>
      <c r="O42" s="311"/>
      <c r="P42" s="312"/>
      <c r="Q42" s="311"/>
      <c r="R42" s="312"/>
      <c r="S42" s="311"/>
      <c r="T42" s="312"/>
      <c r="U42" s="311"/>
      <c r="V42" s="312"/>
      <c r="W42" s="346"/>
      <c r="X42" s="70"/>
      <c r="Y42" s="130"/>
      <c r="Z42" s="71"/>
    </row>
    <row r="43" spans="1:31" x14ac:dyDescent="0.25">
      <c r="A43" s="112"/>
      <c r="B43" s="308" t="s">
        <v>7</v>
      </c>
      <c r="C43" s="299"/>
      <c r="D43" s="296"/>
      <c r="E43" s="327" t="s">
        <v>66</v>
      </c>
      <c r="F43" s="328"/>
      <c r="G43" s="328"/>
      <c r="H43" s="329"/>
      <c r="I43" s="348"/>
      <c r="J43" s="296"/>
      <c r="K43" s="295">
        <v>4</v>
      </c>
      <c r="L43" s="305"/>
      <c r="M43" s="308">
        <v>2</v>
      </c>
      <c r="N43" s="296"/>
      <c r="O43" s="301">
        <v>0</v>
      </c>
      <c r="P43" s="302"/>
      <c r="Q43" s="301">
        <v>0</v>
      </c>
      <c r="R43" s="302"/>
      <c r="S43" s="301">
        <v>0</v>
      </c>
      <c r="T43" s="302"/>
      <c r="U43" s="301">
        <v>0</v>
      </c>
      <c r="V43" s="302"/>
      <c r="W43" s="347"/>
      <c r="X43" s="70"/>
      <c r="Y43" s="130"/>
      <c r="Z43" s="71"/>
    </row>
    <row r="44" spans="1:31" ht="15.75" thickBot="1" x14ac:dyDescent="0.3">
      <c r="A44" s="112"/>
      <c r="B44" s="297"/>
      <c r="C44" s="300"/>
      <c r="D44" s="298"/>
      <c r="E44" s="330"/>
      <c r="F44" s="331"/>
      <c r="G44" s="331"/>
      <c r="H44" s="332"/>
      <c r="I44" s="297"/>
      <c r="J44" s="298"/>
      <c r="K44" s="306"/>
      <c r="L44" s="307"/>
      <c r="M44" s="297"/>
      <c r="N44" s="298"/>
      <c r="O44" s="303"/>
      <c r="P44" s="304"/>
      <c r="Q44" s="303"/>
      <c r="R44" s="304"/>
      <c r="S44" s="303"/>
      <c r="T44" s="304"/>
      <c r="U44" s="303"/>
      <c r="V44" s="304"/>
      <c r="W44" s="344"/>
      <c r="X44" s="70"/>
      <c r="Y44" s="130"/>
      <c r="Z44" s="71"/>
    </row>
    <row r="45" spans="1:31" x14ac:dyDescent="0.25">
      <c r="A45" s="112"/>
      <c r="B45" s="308" t="s">
        <v>8</v>
      </c>
      <c r="C45" s="299"/>
      <c r="D45" s="296"/>
      <c r="E45" s="327" t="s">
        <v>8</v>
      </c>
      <c r="F45" s="328"/>
      <c r="G45" s="328"/>
      <c r="H45" s="329"/>
      <c r="I45" s="18"/>
      <c r="J45" s="18"/>
      <c r="K45" s="295"/>
      <c r="L45" s="305"/>
      <c r="M45" s="308"/>
      <c r="N45" s="296"/>
      <c r="O45" s="301"/>
      <c r="P45" s="302"/>
      <c r="Q45" s="301"/>
      <c r="R45" s="302"/>
      <c r="S45" s="301"/>
      <c r="T45" s="302"/>
      <c r="U45" s="301"/>
      <c r="V45" s="302"/>
      <c r="W45" s="347"/>
      <c r="X45" s="70"/>
      <c r="Y45" s="130"/>
      <c r="Z45" s="71"/>
    </row>
    <row r="46" spans="1:31" ht="15.75" thickBot="1" x14ac:dyDescent="0.3">
      <c r="A46" s="113"/>
      <c r="B46" s="297"/>
      <c r="C46" s="300"/>
      <c r="D46" s="298"/>
      <c r="E46" s="330"/>
      <c r="F46" s="331"/>
      <c r="G46" s="331"/>
      <c r="H46" s="332"/>
      <c r="I46" s="19"/>
      <c r="J46" s="19"/>
      <c r="K46" s="306"/>
      <c r="L46" s="307"/>
      <c r="M46" s="297"/>
      <c r="N46" s="298"/>
      <c r="O46" s="303"/>
      <c r="P46" s="304"/>
      <c r="Q46" s="303"/>
      <c r="R46" s="304"/>
      <c r="S46" s="303"/>
      <c r="T46" s="304"/>
      <c r="U46" s="303"/>
      <c r="V46" s="304"/>
      <c r="W46" s="344"/>
      <c r="X46" s="72"/>
      <c r="Y46" s="131"/>
      <c r="Z46" s="73"/>
    </row>
    <row r="47" spans="1:31" ht="15.75" thickBot="1" x14ac:dyDescent="0.3">
      <c r="A47" s="1"/>
      <c r="B47" s="156" t="s">
        <v>16</v>
      </c>
      <c r="C47" s="157"/>
      <c r="D47" s="158"/>
      <c r="E47" s="159"/>
      <c r="F47" s="160"/>
      <c r="G47" s="160"/>
      <c r="H47" s="161"/>
      <c r="I47" s="262"/>
      <c r="J47" s="263"/>
      <c r="K47" s="159">
        <f>SUM(K29:L46)</f>
        <v>481</v>
      </c>
      <c r="L47" s="161"/>
      <c r="M47" s="159">
        <f>SUM(M29:N46)</f>
        <v>434</v>
      </c>
      <c r="N47" s="161"/>
      <c r="O47" s="162">
        <f>SUM(O29:P46)</f>
        <v>1559.42</v>
      </c>
      <c r="P47" s="163"/>
      <c r="Q47" s="159">
        <f>SUM(Q29:R46)</f>
        <v>125.93</v>
      </c>
      <c r="R47" s="161"/>
      <c r="S47" s="159">
        <f>SUM(S29:T46)</f>
        <v>73.561999999999998</v>
      </c>
      <c r="T47" s="161"/>
      <c r="U47" s="159">
        <f>SUM(U29:V46)</f>
        <v>50.56</v>
      </c>
      <c r="V47" s="161"/>
      <c r="W47" s="20"/>
    </row>
    <row r="48" spans="1:31" x14ac:dyDescent="0.25">
      <c r="A48" s="111">
        <v>3</v>
      </c>
      <c r="B48" s="308" t="s">
        <v>1</v>
      </c>
      <c r="C48" s="299"/>
      <c r="D48" s="296"/>
      <c r="E48" s="327" t="s">
        <v>42</v>
      </c>
      <c r="F48" s="328"/>
      <c r="G48" s="328"/>
      <c r="H48" s="329"/>
      <c r="I48" s="295"/>
      <c r="J48" s="305"/>
      <c r="K48" s="308">
        <v>150</v>
      </c>
      <c r="L48" s="296"/>
      <c r="M48" s="308">
        <v>130</v>
      </c>
      <c r="N48" s="296"/>
      <c r="O48" s="309">
        <v>485</v>
      </c>
      <c r="P48" s="310"/>
      <c r="Q48" s="309">
        <v>21</v>
      </c>
      <c r="R48" s="310"/>
      <c r="S48" s="309">
        <v>22</v>
      </c>
      <c r="T48" s="310"/>
      <c r="U48" s="309">
        <v>5.4</v>
      </c>
      <c r="V48" s="310"/>
      <c r="W48" s="341"/>
      <c r="X48" s="68">
        <v>1200</v>
      </c>
      <c r="Y48" s="129"/>
      <c r="Z48" s="69"/>
    </row>
    <row r="49" spans="1:31" ht="15.75" thickBot="1" x14ac:dyDescent="0.3">
      <c r="A49" s="112"/>
      <c r="B49" s="297"/>
      <c r="C49" s="300"/>
      <c r="D49" s="298"/>
      <c r="E49" s="330"/>
      <c r="F49" s="331"/>
      <c r="G49" s="331"/>
      <c r="H49" s="332"/>
      <c r="I49" s="306"/>
      <c r="J49" s="307"/>
      <c r="K49" s="297"/>
      <c r="L49" s="298"/>
      <c r="M49" s="297"/>
      <c r="N49" s="298"/>
      <c r="O49" s="311"/>
      <c r="P49" s="312"/>
      <c r="Q49" s="311"/>
      <c r="R49" s="312"/>
      <c r="S49" s="311"/>
      <c r="T49" s="312"/>
      <c r="U49" s="311"/>
      <c r="V49" s="312"/>
      <c r="W49" s="342"/>
      <c r="X49" s="70"/>
      <c r="Y49" s="130"/>
      <c r="Z49" s="71"/>
    </row>
    <row r="50" spans="1:31" x14ac:dyDescent="0.25">
      <c r="A50" s="112"/>
      <c r="B50" s="308" t="s">
        <v>2</v>
      </c>
      <c r="C50" s="299"/>
      <c r="D50" s="296"/>
      <c r="E50" s="308" t="s">
        <v>20</v>
      </c>
      <c r="F50" s="299"/>
      <c r="G50" s="299"/>
      <c r="H50" s="296"/>
      <c r="I50" s="295"/>
      <c r="J50" s="299"/>
      <c r="K50" s="295">
        <v>55</v>
      </c>
      <c r="L50" s="305"/>
      <c r="M50" s="299">
        <v>50</v>
      </c>
      <c r="N50" s="296"/>
      <c r="O50" s="301">
        <v>260</v>
      </c>
      <c r="P50" s="302"/>
      <c r="Q50" s="301">
        <v>50</v>
      </c>
      <c r="R50" s="302"/>
      <c r="S50" s="301">
        <v>6</v>
      </c>
      <c r="T50" s="302"/>
      <c r="U50" s="301">
        <v>5</v>
      </c>
      <c r="V50" s="302"/>
      <c r="W50" s="341"/>
      <c r="X50" s="70"/>
      <c r="Y50" s="130"/>
      <c r="Z50" s="71"/>
    </row>
    <row r="51" spans="1:31" ht="15.75" thickBot="1" x14ac:dyDescent="0.3">
      <c r="A51" s="112"/>
      <c r="B51" s="297"/>
      <c r="C51" s="300"/>
      <c r="D51" s="298"/>
      <c r="E51" s="297"/>
      <c r="F51" s="300"/>
      <c r="G51" s="300"/>
      <c r="H51" s="298"/>
      <c r="I51" s="297"/>
      <c r="J51" s="300"/>
      <c r="K51" s="306"/>
      <c r="L51" s="307"/>
      <c r="M51" s="300"/>
      <c r="N51" s="298"/>
      <c r="O51" s="303"/>
      <c r="P51" s="304"/>
      <c r="Q51" s="303"/>
      <c r="R51" s="304"/>
      <c r="S51" s="303"/>
      <c r="T51" s="304"/>
      <c r="U51" s="303"/>
      <c r="V51" s="304"/>
      <c r="W51" s="342"/>
      <c r="X51" s="70"/>
      <c r="Y51" s="130"/>
      <c r="Z51" s="71"/>
    </row>
    <row r="52" spans="1:31" x14ac:dyDescent="0.25">
      <c r="A52" s="112"/>
      <c r="B52" s="308" t="s">
        <v>3</v>
      </c>
      <c r="C52" s="299"/>
      <c r="D52" s="296"/>
      <c r="E52" s="308" t="s">
        <v>101</v>
      </c>
      <c r="F52" s="299"/>
      <c r="G52" s="299"/>
      <c r="H52" s="296"/>
      <c r="I52" s="295"/>
      <c r="J52" s="305"/>
      <c r="K52" s="308">
        <v>130</v>
      </c>
      <c r="L52" s="296"/>
      <c r="M52" s="308">
        <v>120</v>
      </c>
      <c r="N52" s="296"/>
      <c r="O52" s="309">
        <f>180*M52/100</f>
        <v>216</v>
      </c>
      <c r="P52" s="310"/>
      <c r="Q52" s="309">
        <f>0*M52/100</f>
        <v>0</v>
      </c>
      <c r="R52" s="310"/>
      <c r="S52" s="309">
        <v>27</v>
      </c>
      <c r="T52" s="310"/>
      <c r="U52" s="309">
        <v>11.6</v>
      </c>
      <c r="V52" s="310"/>
      <c r="W52" s="343"/>
      <c r="X52" s="70"/>
      <c r="Y52" s="130"/>
      <c r="Z52" s="71"/>
    </row>
    <row r="53" spans="1:31" ht="15.75" thickBot="1" x14ac:dyDescent="0.3">
      <c r="A53" s="112"/>
      <c r="B53" s="297"/>
      <c r="C53" s="300"/>
      <c r="D53" s="298"/>
      <c r="E53" s="297"/>
      <c r="F53" s="300"/>
      <c r="G53" s="300"/>
      <c r="H53" s="298"/>
      <c r="I53" s="306"/>
      <c r="J53" s="307"/>
      <c r="K53" s="297"/>
      <c r="L53" s="298"/>
      <c r="M53" s="297"/>
      <c r="N53" s="298"/>
      <c r="O53" s="311"/>
      <c r="P53" s="312"/>
      <c r="Q53" s="311"/>
      <c r="R53" s="312"/>
      <c r="S53" s="311"/>
      <c r="T53" s="312"/>
      <c r="U53" s="311"/>
      <c r="V53" s="312"/>
      <c r="W53" s="344"/>
      <c r="X53" s="70"/>
      <c r="Y53" s="130"/>
      <c r="Z53" s="71"/>
    </row>
    <row r="54" spans="1:31" ht="15" customHeight="1" x14ac:dyDescent="0.25">
      <c r="A54" s="112"/>
      <c r="B54" s="327" t="s">
        <v>4</v>
      </c>
      <c r="C54" s="328"/>
      <c r="D54" s="329"/>
      <c r="E54" s="327" t="s">
        <v>61</v>
      </c>
      <c r="F54" s="328"/>
      <c r="G54" s="328"/>
      <c r="H54" s="329"/>
      <c r="I54" s="348"/>
      <c r="J54" s="349"/>
      <c r="K54" s="327">
        <v>65</v>
      </c>
      <c r="L54" s="329"/>
      <c r="M54" s="308">
        <v>60</v>
      </c>
      <c r="N54" s="296"/>
      <c r="O54" s="301">
        <f>480*M54/100</f>
        <v>288</v>
      </c>
      <c r="P54" s="302"/>
      <c r="Q54" s="301">
        <f>50.8*M54/100</f>
        <v>30.48</v>
      </c>
      <c r="R54" s="302"/>
      <c r="S54" s="301">
        <f>12.8*M54/100</f>
        <v>7.68</v>
      </c>
      <c r="T54" s="302"/>
      <c r="U54" s="301">
        <f>24.1*M54/100</f>
        <v>14.46</v>
      </c>
      <c r="V54" s="302"/>
      <c r="W54" s="343"/>
      <c r="X54" s="70"/>
      <c r="Y54" s="130"/>
      <c r="Z54" s="71"/>
    </row>
    <row r="55" spans="1:31" ht="15.75" thickBot="1" x14ac:dyDescent="0.3">
      <c r="A55" s="112"/>
      <c r="B55" s="330"/>
      <c r="C55" s="331"/>
      <c r="D55" s="332"/>
      <c r="E55" s="330"/>
      <c r="F55" s="331"/>
      <c r="G55" s="331"/>
      <c r="H55" s="332"/>
      <c r="I55" s="350"/>
      <c r="J55" s="351"/>
      <c r="K55" s="330"/>
      <c r="L55" s="332"/>
      <c r="M55" s="297"/>
      <c r="N55" s="298"/>
      <c r="O55" s="303"/>
      <c r="P55" s="304"/>
      <c r="Q55" s="303"/>
      <c r="R55" s="304"/>
      <c r="S55" s="303"/>
      <c r="T55" s="304"/>
      <c r="U55" s="303"/>
      <c r="V55" s="304"/>
      <c r="W55" s="344"/>
      <c r="X55" s="70"/>
      <c r="Y55" s="130"/>
      <c r="Z55" s="71"/>
      <c r="AB55" s="9"/>
    </row>
    <row r="56" spans="1:31" ht="15" customHeight="1" x14ac:dyDescent="0.25">
      <c r="A56" s="112"/>
      <c r="B56" s="308" t="s">
        <v>17</v>
      </c>
      <c r="C56" s="299"/>
      <c r="D56" s="296"/>
      <c r="E56" s="317" t="s">
        <v>84</v>
      </c>
      <c r="F56" s="318"/>
      <c r="G56" s="318"/>
      <c r="H56" s="319"/>
      <c r="I56" s="295"/>
      <c r="J56" s="305"/>
      <c r="K56" s="308">
        <v>3</v>
      </c>
      <c r="L56" s="296"/>
      <c r="M56" s="308">
        <v>2</v>
      </c>
      <c r="N56" s="296"/>
      <c r="O56" s="309">
        <f>1*M56/100</f>
        <v>0.02</v>
      </c>
      <c r="P56" s="310"/>
      <c r="Q56" s="309">
        <f>1.8*M56/100</f>
        <v>3.6000000000000004E-2</v>
      </c>
      <c r="R56" s="310"/>
      <c r="S56" s="309">
        <f>0.1*M56/100</f>
        <v>2E-3</v>
      </c>
      <c r="T56" s="310"/>
      <c r="U56" s="309">
        <v>0</v>
      </c>
      <c r="V56" s="310"/>
      <c r="W56" s="343"/>
      <c r="X56" s="70"/>
      <c r="Y56" s="130"/>
      <c r="Z56" s="71"/>
    </row>
    <row r="57" spans="1:31" ht="15.75" thickBot="1" x14ac:dyDescent="0.3">
      <c r="A57" s="112"/>
      <c r="B57" s="297"/>
      <c r="C57" s="300"/>
      <c r="D57" s="298"/>
      <c r="E57" s="320"/>
      <c r="F57" s="321"/>
      <c r="G57" s="321"/>
      <c r="H57" s="322"/>
      <c r="I57" s="306"/>
      <c r="J57" s="307"/>
      <c r="K57" s="297"/>
      <c r="L57" s="298"/>
      <c r="M57" s="297"/>
      <c r="N57" s="298"/>
      <c r="O57" s="311"/>
      <c r="P57" s="312"/>
      <c r="Q57" s="311"/>
      <c r="R57" s="312"/>
      <c r="S57" s="311"/>
      <c r="T57" s="312"/>
      <c r="U57" s="311"/>
      <c r="V57" s="312"/>
      <c r="W57" s="344"/>
      <c r="X57" s="70"/>
      <c r="Y57" s="130"/>
      <c r="Z57" s="71"/>
      <c r="AB57" s="12"/>
      <c r="AC57" s="12"/>
      <c r="AD57" s="12"/>
      <c r="AE57" s="12"/>
    </row>
    <row r="58" spans="1:31" x14ac:dyDescent="0.25">
      <c r="A58" s="112"/>
      <c r="B58" s="308" t="s">
        <v>5</v>
      </c>
      <c r="C58" s="299"/>
      <c r="D58" s="296"/>
      <c r="E58" s="308" t="s">
        <v>44</v>
      </c>
      <c r="F58" s="299"/>
      <c r="G58" s="299"/>
      <c r="H58" s="296"/>
      <c r="I58" s="295">
        <v>4742870011989</v>
      </c>
      <c r="J58" s="305"/>
      <c r="K58" s="308">
        <v>32</v>
      </c>
      <c r="L58" s="296"/>
      <c r="M58" s="308">
        <v>30</v>
      </c>
      <c r="N58" s="296"/>
      <c r="O58" s="309">
        <v>183.6</v>
      </c>
      <c r="P58" s="310"/>
      <c r="Q58" s="309">
        <v>2.25</v>
      </c>
      <c r="R58" s="310"/>
      <c r="S58" s="309">
        <v>9.4499999999999993</v>
      </c>
      <c r="T58" s="310"/>
      <c r="U58" s="309">
        <v>14.58</v>
      </c>
      <c r="V58" s="310"/>
      <c r="W58" s="343"/>
      <c r="X58" s="70"/>
      <c r="Y58" s="130"/>
      <c r="Z58" s="71"/>
      <c r="AB58" s="12"/>
      <c r="AC58" s="12"/>
      <c r="AD58" s="12"/>
      <c r="AE58" s="12"/>
    </row>
    <row r="59" spans="1:31" ht="15.75" thickBot="1" x14ac:dyDescent="0.3">
      <c r="A59" s="112"/>
      <c r="B59" s="297"/>
      <c r="C59" s="300"/>
      <c r="D59" s="298"/>
      <c r="E59" s="297"/>
      <c r="F59" s="300"/>
      <c r="G59" s="300"/>
      <c r="H59" s="298"/>
      <c r="I59" s="306"/>
      <c r="J59" s="307"/>
      <c r="K59" s="297"/>
      <c r="L59" s="298"/>
      <c r="M59" s="297"/>
      <c r="N59" s="298"/>
      <c r="O59" s="311"/>
      <c r="P59" s="312"/>
      <c r="Q59" s="311"/>
      <c r="R59" s="312"/>
      <c r="S59" s="311"/>
      <c r="T59" s="312"/>
      <c r="U59" s="311"/>
      <c r="V59" s="312"/>
      <c r="W59" s="344"/>
      <c r="X59" s="70"/>
      <c r="Y59" s="130"/>
      <c r="Z59" s="71"/>
      <c r="AB59" s="12"/>
      <c r="AC59" s="12"/>
      <c r="AD59" s="12"/>
      <c r="AE59" s="12"/>
    </row>
    <row r="60" spans="1:31" x14ac:dyDescent="0.25">
      <c r="A60" s="112"/>
      <c r="B60" s="308" t="s">
        <v>6</v>
      </c>
      <c r="C60" s="299"/>
      <c r="D60" s="296"/>
      <c r="E60" s="308" t="s">
        <v>55</v>
      </c>
      <c r="F60" s="299"/>
      <c r="G60" s="299"/>
      <c r="H60" s="296"/>
      <c r="I60" s="295">
        <v>4742870015581</v>
      </c>
      <c r="J60" s="305"/>
      <c r="K60" s="308">
        <v>42</v>
      </c>
      <c r="L60" s="296"/>
      <c r="M60" s="308">
        <v>40</v>
      </c>
      <c r="N60" s="296"/>
      <c r="O60" s="309">
        <v>109.4</v>
      </c>
      <c r="P60" s="310"/>
      <c r="Q60" s="309">
        <v>27.4</v>
      </c>
      <c r="R60" s="310"/>
      <c r="S60" s="309">
        <v>0</v>
      </c>
      <c r="T60" s="310"/>
      <c r="U60" s="309">
        <v>0</v>
      </c>
      <c r="V60" s="310"/>
      <c r="W60" s="345"/>
      <c r="X60" s="70"/>
      <c r="Y60" s="130"/>
      <c r="Z60" s="71"/>
      <c r="AB60" s="10"/>
      <c r="AC60" s="10"/>
      <c r="AD60" s="10"/>
      <c r="AE60" s="10"/>
    </row>
    <row r="61" spans="1:31" ht="15.75" thickBot="1" x14ac:dyDescent="0.3">
      <c r="A61" s="112"/>
      <c r="B61" s="297"/>
      <c r="C61" s="300"/>
      <c r="D61" s="298"/>
      <c r="E61" s="297"/>
      <c r="F61" s="300"/>
      <c r="G61" s="300"/>
      <c r="H61" s="298"/>
      <c r="I61" s="306"/>
      <c r="J61" s="307"/>
      <c r="K61" s="297"/>
      <c r="L61" s="298"/>
      <c r="M61" s="297"/>
      <c r="N61" s="298"/>
      <c r="O61" s="311"/>
      <c r="P61" s="312"/>
      <c r="Q61" s="311"/>
      <c r="R61" s="312"/>
      <c r="S61" s="311"/>
      <c r="T61" s="312"/>
      <c r="U61" s="311"/>
      <c r="V61" s="312"/>
      <c r="W61" s="346"/>
      <c r="X61" s="70"/>
      <c r="Y61" s="130"/>
      <c r="Z61" s="71"/>
    </row>
    <row r="62" spans="1:31" x14ac:dyDescent="0.25">
      <c r="A62" s="112"/>
      <c r="B62" s="308" t="s">
        <v>7</v>
      </c>
      <c r="C62" s="299"/>
      <c r="D62" s="296"/>
      <c r="E62" s="327" t="s">
        <v>66</v>
      </c>
      <c r="F62" s="328"/>
      <c r="G62" s="328"/>
      <c r="H62" s="329"/>
      <c r="I62" s="348"/>
      <c r="J62" s="296"/>
      <c r="K62" s="295">
        <v>4</v>
      </c>
      <c r="L62" s="305"/>
      <c r="M62" s="308">
        <v>2</v>
      </c>
      <c r="N62" s="296"/>
      <c r="O62" s="301">
        <v>0</v>
      </c>
      <c r="P62" s="302"/>
      <c r="Q62" s="301">
        <v>0</v>
      </c>
      <c r="R62" s="302"/>
      <c r="S62" s="301">
        <v>0</v>
      </c>
      <c r="T62" s="302"/>
      <c r="U62" s="301">
        <v>0</v>
      </c>
      <c r="V62" s="302"/>
      <c r="W62" s="347"/>
      <c r="X62" s="70"/>
      <c r="Y62" s="130"/>
      <c r="Z62" s="71"/>
    </row>
    <row r="63" spans="1:31" ht="15.75" thickBot="1" x14ac:dyDescent="0.3">
      <c r="A63" s="112"/>
      <c r="B63" s="297"/>
      <c r="C63" s="300"/>
      <c r="D63" s="298"/>
      <c r="E63" s="330"/>
      <c r="F63" s="331"/>
      <c r="G63" s="331"/>
      <c r="H63" s="332"/>
      <c r="I63" s="297"/>
      <c r="J63" s="298"/>
      <c r="K63" s="306"/>
      <c r="L63" s="307"/>
      <c r="M63" s="297"/>
      <c r="N63" s="298"/>
      <c r="O63" s="303"/>
      <c r="P63" s="304"/>
      <c r="Q63" s="303"/>
      <c r="R63" s="304"/>
      <c r="S63" s="303"/>
      <c r="T63" s="304"/>
      <c r="U63" s="303"/>
      <c r="V63" s="304"/>
      <c r="W63" s="344"/>
      <c r="X63" s="70"/>
      <c r="Y63" s="130"/>
      <c r="Z63" s="71"/>
    </row>
    <row r="64" spans="1:31" x14ac:dyDescent="0.25">
      <c r="A64" s="112"/>
      <c r="B64" s="308" t="s">
        <v>8</v>
      </c>
      <c r="C64" s="299"/>
      <c r="D64" s="296"/>
      <c r="E64" s="327" t="s">
        <v>8</v>
      </c>
      <c r="F64" s="328"/>
      <c r="G64" s="328"/>
      <c r="H64" s="329"/>
      <c r="I64" s="18"/>
      <c r="J64" s="18"/>
      <c r="K64" s="295"/>
      <c r="L64" s="305"/>
      <c r="M64" s="308"/>
      <c r="N64" s="296"/>
      <c r="O64" s="301"/>
      <c r="P64" s="302"/>
      <c r="Q64" s="301"/>
      <c r="R64" s="302"/>
      <c r="S64" s="301"/>
      <c r="T64" s="302"/>
      <c r="U64" s="301"/>
      <c r="V64" s="302"/>
      <c r="W64" s="347"/>
      <c r="X64" s="70"/>
      <c r="Y64" s="130"/>
      <c r="Z64" s="71"/>
    </row>
    <row r="65" spans="1:26" ht="15.75" thickBot="1" x14ac:dyDescent="0.3">
      <c r="A65" s="113"/>
      <c r="B65" s="297"/>
      <c r="C65" s="300"/>
      <c r="D65" s="298"/>
      <c r="E65" s="330"/>
      <c r="F65" s="331"/>
      <c r="G65" s="331"/>
      <c r="H65" s="332"/>
      <c r="I65" s="19"/>
      <c r="J65" s="19"/>
      <c r="K65" s="306"/>
      <c r="L65" s="307"/>
      <c r="M65" s="297"/>
      <c r="N65" s="298"/>
      <c r="O65" s="303"/>
      <c r="P65" s="304"/>
      <c r="Q65" s="303"/>
      <c r="R65" s="304"/>
      <c r="S65" s="303"/>
      <c r="T65" s="304"/>
      <c r="U65" s="303"/>
      <c r="V65" s="304"/>
      <c r="W65" s="344"/>
      <c r="X65" s="72"/>
      <c r="Y65" s="131"/>
      <c r="Z65" s="73"/>
    </row>
    <row r="66" spans="1:26" ht="15.75" thickBot="1" x14ac:dyDescent="0.3">
      <c r="A66" s="1"/>
      <c r="B66" s="156" t="s">
        <v>16</v>
      </c>
      <c r="C66" s="157"/>
      <c r="D66" s="158"/>
      <c r="E66" s="159"/>
      <c r="F66" s="160"/>
      <c r="G66" s="160"/>
      <c r="H66" s="161"/>
      <c r="I66" s="262"/>
      <c r="J66" s="263"/>
      <c r="K66" s="159">
        <f>SUM(K48:L65)</f>
        <v>481</v>
      </c>
      <c r="L66" s="161"/>
      <c r="M66" s="159">
        <f>SUM(M48:N65)</f>
        <v>434</v>
      </c>
      <c r="N66" s="161"/>
      <c r="O66" s="162">
        <f>SUM(O48:P65)</f>
        <v>1542.02</v>
      </c>
      <c r="P66" s="163"/>
      <c r="Q66" s="159">
        <f>SUM(Q48:R65)</f>
        <v>131.166</v>
      </c>
      <c r="R66" s="161"/>
      <c r="S66" s="159">
        <f>SUM(S48:T65)</f>
        <v>72.132000000000005</v>
      </c>
      <c r="T66" s="161"/>
      <c r="U66" s="159">
        <f>SUM(U48:V65)</f>
        <v>51.04</v>
      </c>
      <c r="V66" s="161"/>
      <c r="W66" s="20"/>
    </row>
    <row r="67" spans="1:26" x14ac:dyDescent="0.25">
      <c r="A67" s="111">
        <v>4</v>
      </c>
      <c r="B67" s="308" t="s">
        <v>1</v>
      </c>
      <c r="C67" s="299"/>
      <c r="D67" s="296"/>
      <c r="E67" s="327" t="s">
        <v>97</v>
      </c>
      <c r="F67" s="328"/>
      <c r="G67" s="328"/>
      <c r="H67" s="329"/>
      <c r="I67" s="295"/>
      <c r="J67" s="305"/>
      <c r="K67" s="308">
        <v>150</v>
      </c>
      <c r="L67" s="296"/>
      <c r="M67" s="308">
        <v>130</v>
      </c>
      <c r="N67" s="296"/>
      <c r="O67" s="309">
        <v>490</v>
      </c>
      <c r="P67" s="310"/>
      <c r="Q67" s="309">
        <v>80</v>
      </c>
      <c r="R67" s="310"/>
      <c r="S67" s="309">
        <v>24</v>
      </c>
      <c r="T67" s="310"/>
      <c r="U67" s="309">
        <v>8</v>
      </c>
      <c r="V67" s="310"/>
      <c r="W67" s="341"/>
      <c r="X67" s="68">
        <v>1200</v>
      </c>
      <c r="Y67" s="129"/>
      <c r="Z67" s="69"/>
    </row>
    <row r="68" spans="1:26" ht="15.75" thickBot="1" x14ac:dyDescent="0.3">
      <c r="A68" s="112"/>
      <c r="B68" s="297"/>
      <c r="C68" s="300"/>
      <c r="D68" s="298"/>
      <c r="E68" s="330"/>
      <c r="F68" s="331"/>
      <c r="G68" s="331"/>
      <c r="H68" s="332"/>
      <c r="I68" s="306"/>
      <c r="J68" s="307"/>
      <c r="K68" s="297"/>
      <c r="L68" s="298"/>
      <c r="M68" s="297"/>
      <c r="N68" s="298"/>
      <c r="O68" s="311"/>
      <c r="P68" s="312"/>
      <c r="Q68" s="311"/>
      <c r="R68" s="312"/>
      <c r="S68" s="311"/>
      <c r="T68" s="312"/>
      <c r="U68" s="311"/>
      <c r="V68" s="312"/>
      <c r="W68" s="342"/>
      <c r="X68" s="70"/>
      <c r="Y68" s="130"/>
      <c r="Z68" s="71"/>
    </row>
    <row r="69" spans="1:26" x14ac:dyDescent="0.25">
      <c r="A69" s="112"/>
      <c r="B69" s="308" t="s">
        <v>2</v>
      </c>
      <c r="C69" s="299"/>
      <c r="D69" s="296"/>
      <c r="E69" s="308" t="s">
        <v>20</v>
      </c>
      <c r="F69" s="299"/>
      <c r="G69" s="299"/>
      <c r="H69" s="296"/>
      <c r="I69" s="295"/>
      <c r="J69" s="299"/>
      <c r="K69" s="295">
        <v>55</v>
      </c>
      <c r="L69" s="305"/>
      <c r="M69" s="299">
        <v>50</v>
      </c>
      <c r="N69" s="296"/>
      <c r="O69" s="301">
        <v>260</v>
      </c>
      <c r="P69" s="302"/>
      <c r="Q69" s="301">
        <v>50</v>
      </c>
      <c r="R69" s="302"/>
      <c r="S69" s="301">
        <v>6</v>
      </c>
      <c r="T69" s="302"/>
      <c r="U69" s="301">
        <v>5</v>
      </c>
      <c r="V69" s="302"/>
      <c r="W69" s="341"/>
      <c r="X69" s="70"/>
      <c r="Y69" s="130"/>
      <c r="Z69" s="71"/>
    </row>
    <row r="70" spans="1:26" ht="15.75" thickBot="1" x14ac:dyDescent="0.3">
      <c r="A70" s="112"/>
      <c r="B70" s="297"/>
      <c r="C70" s="300"/>
      <c r="D70" s="298"/>
      <c r="E70" s="297"/>
      <c r="F70" s="300"/>
      <c r="G70" s="300"/>
      <c r="H70" s="298"/>
      <c r="I70" s="297"/>
      <c r="J70" s="300"/>
      <c r="K70" s="306"/>
      <c r="L70" s="307"/>
      <c r="M70" s="300"/>
      <c r="N70" s="298"/>
      <c r="O70" s="303"/>
      <c r="P70" s="304"/>
      <c r="Q70" s="303"/>
      <c r="R70" s="304"/>
      <c r="S70" s="303"/>
      <c r="T70" s="304"/>
      <c r="U70" s="303"/>
      <c r="V70" s="304"/>
      <c r="W70" s="342"/>
      <c r="X70" s="70"/>
      <c r="Y70" s="130"/>
      <c r="Z70" s="71"/>
    </row>
    <row r="71" spans="1:26" x14ac:dyDescent="0.25">
      <c r="A71" s="112"/>
      <c r="B71" s="308" t="s">
        <v>3</v>
      </c>
      <c r="C71" s="299"/>
      <c r="D71" s="296"/>
      <c r="E71" s="308" t="s">
        <v>102</v>
      </c>
      <c r="F71" s="299"/>
      <c r="G71" s="299"/>
      <c r="H71" s="296"/>
      <c r="I71" s="295"/>
      <c r="J71" s="305"/>
      <c r="K71" s="308">
        <v>130</v>
      </c>
      <c r="L71" s="296"/>
      <c r="M71" s="308">
        <v>120</v>
      </c>
      <c r="N71" s="296"/>
      <c r="O71" s="309">
        <v>231</v>
      </c>
      <c r="P71" s="310"/>
      <c r="Q71" s="309">
        <f>0*M71/120</f>
        <v>0</v>
      </c>
      <c r="R71" s="310"/>
      <c r="S71" s="309">
        <v>30</v>
      </c>
      <c r="T71" s="310"/>
      <c r="U71" s="309">
        <v>12</v>
      </c>
      <c r="V71" s="310"/>
      <c r="W71" s="343"/>
      <c r="X71" s="70"/>
      <c r="Y71" s="130"/>
      <c r="Z71" s="71"/>
    </row>
    <row r="72" spans="1:26" ht="15.75" thickBot="1" x14ac:dyDescent="0.3">
      <c r="A72" s="112"/>
      <c r="B72" s="297"/>
      <c r="C72" s="300"/>
      <c r="D72" s="298"/>
      <c r="E72" s="297"/>
      <c r="F72" s="300"/>
      <c r="G72" s="300"/>
      <c r="H72" s="298"/>
      <c r="I72" s="306"/>
      <c r="J72" s="307"/>
      <c r="K72" s="297"/>
      <c r="L72" s="298"/>
      <c r="M72" s="297"/>
      <c r="N72" s="298"/>
      <c r="O72" s="311"/>
      <c r="P72" s="312"/>
      <c r="Q72" s="311"/>
      <c r="R72" s="312"/>
      <c r="S72" s="311"/>
      <c r="T72" s="312"/>
      <c r="U72" s="311"/>
      <c r="V72" s="312"/>
      <c r="W72" s="344"/>
      <c r="X72" s="70"/>
      <c r="Y72" s="130"/>
      <c r="Z72" s="71"/>
    </row>
    <row r="73" spans="1:26" x14ac:dyDescent="0.25">
      <c r="A73" s="112"/>
      <c r="B73" s="308" t="s">
        <v>4</v>
      </c>
      <c r="C73" s="299"/>
      <c r="D73" s="296"/>
      <c r="E73" s="327" t="s">
        <v>61</v>
      </c>
      <c r="F73" s="328"/>
      <c r="G73" s="328"/>
      <c r="H73" s="329"/>
      <c r="I73" s="348"/>
      <c r="J73" s="349"/>
      <c r="K73" s="327">
        <v>65</v>
      </c>
      <c r="L73" s="329"/>
      <c r="M73" s="308">
        <v>60</v>
      </c>
      <c r="N73" s="296"/>
      <c r="O73" s="301">
        <f>480*M73/100</f>
        <v>288</v>
      </c>
      <c r="P73" s="302"/>
      <c r="Q73" s="301">
        <f>50.8*M73/100</f>
        <v>30.48</v>
      </c>
      <c r="R73" s="302"/>
      <c r="S73" s="301">
        <f>12.8*M73/100</f>
        <v>7.68</v>
      </c>
      <c r="T73" s="302"/>
      <c r="U73" s="301">
        <f>24.1*M73/100</f>
        <v>14.46</v>
      </c>
      <c r="V73" s="302"/>
      <c r="W73" s="343"/>
      <c r="X73" s="70"/>
      <c r="Y73" s="130"/>
      <c r="Z73" s="71"/>
    </row>
    <row r="74" spans="1:26" ht="15.75" thickBot="1" x14ac:dyDescent="0.3">
      <c r="A74" s="112"/>
      <c r="B74" s="297"/>
      <c r="C74" s="300"/>
      <c r="D74" s="298"/>
      <c r="E74" s="330"/>
      <c r="F74" s="331"/>
      <c r="G74" s="331"/>
      <c r="H74" s="332"/>
      <c r="I74" s="350"/>
      <c r="J74" s="351"/>
      <c r="K74" s="330"/>
      <c r="L74" s="332"/>
      <c r="M74" s="297"/>
      <c r="N74" s="298"/>
      <c r="O74" s="303"/>
      <c r="P74" s="304"/>
      <c r="Q74" s="303"/>
      <c r="R74" s="304"/>
      <c r="S74" s="303"/>
      <c r="T74" s="304"/>
      <c r="U74" s="303"/>
      <c r="V74" s="304"/>
      <c r="W74" s="344"/>
      <c r="X74" s="70"/>
      <c r="Y74" s="130"/>
      <c r="Z74" s="71"/>
    </row>
    <row r="75" spans="1:26" ht="15" customHeight="1" x14ac:dyDescent="0.25">
      <c r="A75" s="112"/>
      <c r="B75" s="308" t="s">
        <v>17</v>
      </c>
      <c r="C75" s="299"/>
      <c r="D75" s="296"/>
      <c r="E75" s="308" t="s">
        <v>85</v>
      </c>
      <c r="F75" s="299"/>
      <c r="G75" s="299"/>
      <c r="H75" s="296"/>
      <c r="I75" s="295"/>
      <c r="J75" s="305"/>
      <c r="K75" s="308">
        <v>3</v>
      </c>
      <c r="L75" s="296"/>
      <c r="M75" s="308">
        <v>2</v>
      </c>
      <c r="N75" s="296"/>
      <c r="O75" s="309">
        <f>1*M75/100</f>
        <v>0.02</v>
      </c>
      <c r="P75" s="310"/>
      <c r="Q75" s="309">
        <f>2.6*M75/100</f>
        <v>5.2000000000000005E-2</v>
      </c>
      <c r="R75" s="310"/>
      <c r="S75" s="309">
        <f>0.1*M75/100</f>
        <v>2E-3</v>
      </c>
      <c r="T75" s="310"/>
      <c r="U75" s="309">
        <v>0</v>
      </c>
      <c r="V75" s="310"/>
      <c r="W75" s="343"/>
      <c r="X75" s="70"/>
      <c r="Y75" s="130"/>
      <c r="Z75" s="71"/>
    </row>
    <row r="76" spans="1:26" ht="15.75" thickBot="1" x14ac:dyDescent="0.3">
      <c r="A76" s="112"/>
      <c r="B76" s="297"/>
      <c r="C76" s="300"/>
      <c r="D76" s="298"/>
      <c r="E76" s="297"/>
      <c r="F76" s="300"/>
      <c r="G76" s="300"/>
      <c r="H76" s="298"/>
      <c r="I76" s="306"/>
      <c r="J76" s="307"/>
      <c r="K76" s="297"/>
      <c r="L76" s="298"/>
      <c r="M76" s="297"/>
      <c r="N76" s="298"/>
      <c r="O76" s="311"/>
      <c r="P76" s="312"/>
      <c r="Q76" s="311"/>
      <c r="R76" s="312"/>
      <c r="S76" s="311"/>
      <c r="T76" s="312"/>
      <c r="U76" s="311"/>
      <c r="V76" s="312"/>
      <c r="W76" s="344"/>
      <c r="X76" s="70"/>
      <c r="Y76" s="130"/>
      <c r="Z76" s="71"/>
    </row>
    <row r="77" spans="1:26" x14ac:dyDescent="0.25">
      <c r="A77" s="112"/>
      <c r="B77" s="308" t="s">
        <v>5</v>
      </c>
      <c r="C77" s="299"/>
      <c r="D77" s="296"/>
      <c r="E77" s="308" t="s">
        <v>25</v>
      </c>
      <c r="F77" s="299"/>
      <c r="G77" s="299"/>
      <c r="H77" s="296"/>
      <c r="I77" s="295">
        <v>4742870011972</v>
      </c>
      <c r="J77" s="296"/>
      <c r="K77" s="295">
        <v>32</v>
      </c>
      <c r="L77" s="305"/>
      <c r="M77" s="308">
        <v>30</v>
      </c>
      <c r="N77" s="296"/>
      <c r="O77" s="309">
        <v>177</v>
      </c>
      <c r="P77" s="310"/>
      <c r="Q77" s="309">
        <v>6.03</v>
      </c>
      <c r="R77" s="310"/>
      <c r="S77" s="309">
        <v>8.8800000000000008</v>
      </c>
      <c r="T77" s="310"/>
      <c r="U77" s="309">
        <v>13.8</v>
      </c>
      <c r="V77" s="310"/>
      <c r="W77" s="343"/>
      <c r="X77" s="70"/>
      <c r="Y77" s="130"/>
      <c r="Z77" s="71"/>
    </row>
    <row r="78" spans="1:26" ht="15.75" thickBot="1" x14ac:dyDescent="0.3">
      <c r="A78" s="112"/>
      <c r="B78" s="297"/>
      <c r="C78" s="300"/>
      <c r="D78" s="298"/>
      <c r="E78" s="297"/>
      <c r="F78" s="300"/>
      <c r="G78" s="300"/>
      <c r="H78" s="298"/>
      <c r="I78" s="297"/>
      <c r="J78" s="298"/>
      <c r="K78" s="306"/>
      <c r="L78" s="307"/>
      <c r="M78" s="297"/>
      <c r="N78" s="298"/>
      <c r="O78" s="311"/>
      <c r="P78" s="312"/>
      <c r="Q78" s="311"/>
      <c r="R78" s="312"/>
      <c r="S78" s="311"/>
      <c r="T78" s="312"/>
      <c r="U78" s="311"/>
      <c r="V78" s="312"/>
      <c r="W78" s="344"/>
      <c r="X78" s="70"/>
      <c r="Y78" s="130"/>
      <c r="Z78" s="71"/>
    </row>
    <row r="79" spans="1:26" x14ac:dyDescent="0.25">
      <c r="A79" s="112"/>
      <c r="B79" s="308" t="s">
        <v>6</v>
      </c>
      <c r="C79" s="299"/>
      <c r="D79" s="296"/>
      <c r="E79" s="308" t="s">
        <v>48</v>
      </c>
      <c r="F79" s="299"/>
      <c r="G79" s="299"/>
      <c r="H79" s="296"/>
      <c r="I79" s="348">
        <v>4742870010548</v>
      </c>
      <c r="J79" s="349"/>
      <c r="K79" s="327">
        <v>42</v>
      </c>
      <c r="L79" s="329"/>
      <c r="M79" s="308">
        <v>40</v>
      </c>
      <c r="N79" s="296"/>
      <c r="O79" s="309">
        <v>109.4</v>
      </c>
      <c r="P79" s="310"/>
      <c r="Q79" s="309">
        <v>27.4</v>
      </c>
      <c r="R79" s="310"/>
      <c r="S79" s="309">
        <v>0</v>
      </c>
      <c r="T79" s="310"/>
      <c r="U79" s="309">
        <v>0</v>
      </c>
      <c r="V79" s="310"/>
      <c r="W79" s="345"/>
      <c r="X79" s="70"/>
      <c r="Y79" s="130"/>
      <c r="Z79" s="71"/>
    </row>
    <row r="80" spans="1:26" ht="15.75" thickBot="1" x14ac:dyDescent="0.3">
      <c r="A80" s="112"/>
      <c r="B80" s="297"/>
      <c r="C80" s="300"/>
      <c r="D80" s="298"/>
      <c r="E80" s="297"/>
      <c r="F80" s="300"/>
      <c r="G80" s="300"/>
      <c r="H80" s="298"/>
      <c r="I80" s="350"/>
      <c r="J80" s="351"/>
      <c r="K80" s="330"/>
      <c r="L80" s="332"/>
      <c r="M80" s="297"/>
      <c r="N80" s="298"/>
      <c r="O80" s="311"/>
      <c r="P80" s="312"/>
      <c r="Q80" s="311"/>
      <c r="R80" s="312"/>
      <c r="S80" s="311"/>
      <c r="T80" s="312"/>
      <c r="U80" s="311"/>
      <c r="V80" s="312"/>
      <c r="W80" s="346"/>
      <c r="X80" s="70"/>
      <c r="Y80" s="130"/>
      <c r="Z80" s="71"/>
    </row>
    <row r="81" spans="1:26" x14ac:dyDescent="0.25">
      <c r="A81" s="112"/>
      <c r="B81" s="308" t="s">
        <v>7</v>
      </c>
      <c r="C81" s="299"/>
      <c r="D81" s="296"/>
      <c r="E81" s="327" t="s">
        <v>66</v>
      </c>
      <c r="F81" s="328"/>
      <c r="G81" s="328"/>
      <c r="H81" s="329"/>
      <c r="I81" s="348"/>
      <c r="J81" s="296"/>
      <c r="K81" s="295">
        <v>4</v>
      </c>
      <c r="L81" s="305"/>
      <c r="M81" s="308">
        <v>2</v>
      </c>
      <c r="N81" s="296"/>
      <c r="O81" s="301">
        <v>0</v>
      </c>
      <c r="P81" s="302"/>
      <c r="Q81" s="301">
        <v>0</v>
      </c>
      <c r="R81" s="302"/>
      <c r="S81" s="301">
        <v>0</v>
      </c>
      <c r="T81" s="302"/>
      <c r="U81" s="301">
        <v>0</v>
      </c>
      <c r="V81" s="302"/>
      <c r="W81" s="347"/>
      <c r="X81" s="70"/>
      <c r="Y81" s="130"/>
      <c r="Z81" s="71"/>
    </row>
    <row r="82" spans="1:26" ht="15.75" thickBot="1" x14ac:dyDescent="0.3">
      <c r="A82" s="112"/>
      <c r="B82" s="297"/>
      <c r="C82" s="300"/>
      <c r="D82" s="298"/>
      <c r="E82" s="330"/>
      <c r="F82" s="331"/>
      <c r="G82" s="331"/>
      <c r="H82" s="332"/>
      <c r="I82" s="297"/>
      <c r="J82" s="298"/>
      <c r="K82" s="306"/>
      <c r="L82" s="307"/>
      <c r="M82" s="297"/>
      <c r="N82" s="298"/>
      <c r="O82" s="303"/>
      <c r="P82" s="304"/>
      <c r="Q82" s="303"/>
      <c r="R82" s="304"/>
      <c r="S82" s="303"/>
      <c r="T82" s="304"/>
      <c r="U82" s="303"/>
      <c r="V82" s="304"/>
      <c r="W82" s="344"/>
      <c r="X82" s="70"/>
      <c r="Y82" s="130"/>
      <c r="Z82" s="71"/>
    </row>
    <row r="83" spans="1:26" x14ac:dyDescent="0.25">
      <c r="A83" s="112"/>
      <c r="B83" s="308" t="s">
        <v>8</v>
      </c>
      <c r="C83" s="299"/>
      <c r="D83" s="296"/>
      <c r="E83" s="327" t="s">
        <v>8</v>
      </c>
      <c r="F83" s="328"/>
      <c r="G83" s="328"/>
      <c r="H83" s="329"/>
      <c r="I83" s="18"/>
      <c r="J83" s="18"/>
      <c r="K83" s="295"/>
      <c r="L83" s="305"/>
      <c r="M83" s="308"/>
      <c r="N83" s="296"/>
      <c r="O83" s="301"/>
      <c r="P83" s="302"/>
      <c r="Q83" s="301"/>
      <c r="R83" s="302"/>
      <c r="S83" s="301"/>
      <c r="T83" s="302"/>
      <c r="U83" s="301"/>
      <c r="V83" s="302"/>
      <c r="W83" s="347"/>
      <c r="X83" s="70"/>
      <c r="Y83" s="130"/>
      <c r="Z83" s="71"/>
    </row>
    <row r="84" spans="1:26" ht="15.75" thickBot="1" x14ac:dyDescent="0.3">
      <c r="A84" s="113"/>
      <c r="B84" s="297"/>
      <c r="C84" s="300"/>
      <c r="D84" s="298"/>
      <c r="E84" s="330"/>
      <c r="F84" s="331"/>
      <c r="G84" s="331"/>
      <c r="H84" s="332"/>
      <c r="I84" s="19"/>
      <c r="J84" s="19"/>
      <c r="K84" s="306"/>
      <c r="L84" s="307"/>
      <c r="M84" s="297"/>
      <c r="N84" s="298"/>
      <c r="O84" s="303"/>
      <c r="P84" s="304"/>
      <c r="Q84" s="303"/>
      <c r="R84" s="304"/>
      <c r="S84" s="303"/>
      <c r="T84" s="304"/>
      <c r="U84" s="303"/>
      <c r="V84" s="304"/>
      <c r="W84" s="344"/>
      <c r="X84" s="72"/>
      <c r="Y84" s="131"/>
      <c r="Z84" s="73"/>
    </row>
    <row r="85" spans="1:26" ht="15.75" thickBot="1" x14ac:dyDescent="0.3">
      <c r="A85" s="1"/>
      <c r="B85" s="156" t="s">
        <v>16</v>
      </c>
      <c r="C85" s="157"/>
      <c r="D85" s="158"/>
      <c r="E85" s="159"/>
      <c r="F85" s="160"/>
      <c r="G85" s="160"/>
      <c r="H85" s="161"/>
      <c r="I85" s="262"/>
      <c r="J85" s="263"/>
      <c r="K85" s="159">
        <f>SUM(K67:L84)</f>
        <v>481</v>
      </c>
      <c r="L85" s="161"/>
      <c r="M85" s="159">
        <f>SUM(M67:N84)</f>
        <v>434</v>
      </c>
      <c r="N85" s="161"/>
      <c r="O85" s="162">
        <f>SUM(O67:P84)</f>
        <v>1555.42</v>
      </c>
      <c r="P85" s="163"/>
      <c r="Q85" s="159">
        <f>SUM(Q67:R84)</f>
        <v>193.96199999999999</v>
      </c>
      <c r="R85" s="161"/>
      <c r="S85" s="159">
        <f>SUM(S67:T84)</f>
        <v>76.561999999999998</v>
      </c>
      <c r="T85" s="161"/>
      <c r="U85" s="159">
        <f>SUM(U67:V84)</f>
        <v>53.260000000000005</v>
      </c>
      <c r="V85" s="161"/>
      <c r="W85" s="20"/>
    </row>
    <row r="86" spans="1:26" ht="15" customHeight="1" x14ac:dyDescent="0.25">
      <c r="A86" s="111">
        <v>5</v>
      </c>
      <c r="B86" s="308" t="s">
        <v>1</v>
      </c>
      <c r="C86" s="299"/>
      <c r="D86" s="296"/>
      <c r="E86" s="317" t="s">
        <v>36</v>
      </c>
      <c r="F86" s="318"/>
      <c r="G86" s="318"/>
      <c r="H86" s="319"/>
      <c r="I86" s="313">
        <v>4742870013082</v>
      </c>
      <c r="J86" s="314"/>
      <c r="K86" s="308">
        <v>310</v>
      </c>
      <c r="L86" s="296"/>
      <c r="M86" s="308">
        <v>300</v>
      </c>
      <c r="N86" s="296"/>
      <c r="O86" s="309">
        <v>216</v>
      </c>
      <c r="P86" s="310"/>
      <c r="Q86" s="309">
        <v>27.6</v>
      </c>
      <c r="R86" s="310"/>
      <c r="S86" s="309">
        <v>9.6</v>
      </c>
      <c r="T86" s="310"/>
      <c r="U86" s="309">
        <v>6.3</v>
      </c>
      <c r="V86" s="310"/>
      <c r="W86" s="341"/>
      <c r="X86" s="68">
        <v>1200</v>
      </c>
      <c r="Y86" s="129"/>
      <c r="Z86" s="69"/>
    </row>
    <row r="87" spans="1:26" ht="15.75" thickBot="1" x14ac:dyDescent="0.3">
      <c r="A87" s="112"/>
      <c r="B87" s="297"/>
      <c r="C87" s="300"/>
      <c r="D87" s="298"/>
      <c r="E87" s="320"/>
      <c r="F87" s="321"/>
      <c r="G87" s="321"/>
      <c r="H87" s="322"/>
      <c r="I87" s="315"/>
      <c r="J87" s="316"/>
      <c r="K87" s="297"/>
      <c r="L87" s="298"/>
      <c r="M87" s="297"/>
      <c r="N87" s="298"/>
      <c r="O87" s="311"/>
      <c r="P87" s="312"/>
      <c r="Q87" s="311"/>
      <c r="R87" s="312"/>
      <c r="S87" s="311"/>
      <c r="T87" s="312"/>
      <c r="U87" s="311"/>
      <c r="V87" s="312"/>
      <c r="W87" s="342"/>
      <c r="X87" s="70"/>
      <c r="Y87" s="130"/>
      <c r="Z87" s="71"/>
    </row>
    <row r="88" spans="1:26" ht="15" customHeight="1" x14ac:dyDescent="0.25">
      <c r="A88" s="112"/>
      <c r="B88" s="308" t="s">
        <v>2</v>
      </c>
      <c r="C88" s="299"/>
      <c r="D88" s="296"/>
      <c r="E88" s="308" t="s">
        <v>20</v>
      </c>
      <c r="F88" s="299"/>
      <c r="G88" s="299"/>
      <c r="H88" s="296"/>
      <c r="I88" s="295"/>
      <c r="J88" s="299"/>
      <c r="K88" s="295">
        <v>55</v>
      </c>
      <c r="L88" s="305"/>
      <c r="M88" s="299">
        <v>50</v>
      </c>
      <c r="N88" s="296"/>
      <c r="O88" s="301">
        <v>260</v>
      </c>
      <c r="P88" s="302"/>
      <c r="Q88" s="301">
        <v>50</v>
      </c>
      <c r="R88" s="302"/>
      <c r="S88" s="301">
        <v>6</v>
      </c>
      <c r="T88" s="302"/>
      <c r="U88" s="301">
        <v>5</v>
      </c>
      <c r="V88" s="302"/>
      <c r="W88" s="341"/>
      <c r="X88" s="70"/>
      <c r="Y88" s="130"/>
      <c r="Z88" s="71"/>
    </row>
    <row r="89" spans="1:26" ht="15.95" customHeight="1" thickBot="1" x14ac:dyDescent="0.3">
      <c r="A89" s="112"/>
      <c r="B89" s="297"/>
      <c r="C89" s="300"/>
      <c r="D89" s="298"/>
      <c r="E89" s="297"/>
      <c r="F89" s="300"/>
      <c r="G89" s="300"/>
      <c r="H89" s="298"/>
      <c r="I89" s="297"/>
      <c r="J89" s="300"/>
      <c r="K89" s="306"/>
      <c r="L89" s="307"/>
      <c r="M89" s="300"/>
      <c r="N89" s="298"/>
      <c r="O89" s="303"/>
      <c r="P89" s="304"/>
      <c r="Q89" s="303"/>
      <c r="R89" s="304"/>
      <c r="S89" s="303"/>
      <c r="T89" s="304"/>
      <c r="U89" s="303"/>
      <c r="V89" s="304"/>
      <c r="W89" s="342"/>
      <c r="X89" s="70"/>
      <c r="Y89" s="130"/>
      <c r="Z89" s="71"/>
    </row>
    <row r="90" spans="1:26" x14ac:dyDescent="0.25">
      <c r="A90" s="112"/>
      <c r="B90" s="308" t="s">
        <v>3</v>
      </c>
      <c r="C90" s="299"/>
      <c r="D90" s="296"/>
      <c r="E90" s="308" t="s">
        <v>101</v>
      </c>
      <c r="F90" s="299"/>
      <c r="G90" s="299"/>
      <c r="H90" s="296"/>
      <c r="I90" s="295"/>
      <c r="J90" s="305"/>
      <c r="K90" s="308">
        <v>130</v>
      </c>
      <c r="L90" s="296"/>
      <c r="M90" s="308">
        <v>120</v>
      </c>
      <c r="N90" s="296"/>
      <c r="O90" s="309">
        <f>180*M90/100</f>
        <v>216</v>
      </c>
      <c r="P90" s="310"/>
      <c r="Q90" s="309">
        <f>0*M90/100</f>
        <v>0</v>
      </c>
      <c r="R90" s="310"/>
      <c r="S90" s="309">
        <v>27</v>
      </c>
      <c r="T90" s="310"/>
      <c r="U90" s="309">
        <v>11.6</v>
      </c>
      <c r="V90" s="310"/>
      <c r="W90" s="343"/>
      <c r="X90" s="70"/>
      <c r="Y90" s="130"/>
      <c r="Z90" s="71"/>
    </row>
    <row r="91" spans="1:26" ht="15.75" thickBot="1" x14ac:dyDescent="0.3">
      <c r="A91" s="112"/>
      <c r="B91" s="297"/>
      <c r="C91" s="300"/>
      <c r="D91" s="298"/>
      <c r="E91" s="297"/>
      <c r="F91" s="300"/>
      <c r="G91" s="300"/>
      <c r="H91" s="298"/>
      <c r="I91" s="306"/>
      <c r="J91" s="307"/>
      <c r="K91" s="297"/>
      <c r="L91" s="298"/>
      <c r="M91" s="297"/>
      <c r="N91" s="298"/>
      <c r="O91" s="311"/>
      <c r="P91" s="312"/>
      <c r="Q91" s="311"/>
      <c r="R91" s="312"/>
      <c r="S91" s="311"/>
      <c r="T91" s="312"/>
      <c r="U91" s="311"/>
      <c r="V91" s="312"/>
      <c r="W91" s="344"/>
      <c r="X91" s="70"/>
      <c r="Y91" s="130"/>
      <c r="Z91" s="71"/>
    </row>
    <row r="92" spans="1:26" ht="15" customHeight="1" x14ac:dyDescent="0.25">
      <c r="A92" s="112"/>
      <c r="B92" s="308" t="s">
        <v>4</v>
      </c>
      <c r="C92" s="299"/>
      <c r="D92" s="296"/>
      <c r="E92" s="327" t="s">
        <v>61</v>
      </c>
      <c r="F92" s="328"/>
      <c r="G92" s="328"/>
      <c r="H92" s="329"/>
      <c r="I92" s="348"/>
      <c r="J92" s="349"/>
      <c r="K92" s="327">
        <v>65</v>
      </c>
      <c r="L92" s="329"/>
      <c r="M92" s="308">
        <v>60</v>
      </c>
      <c r="N92" s="296"/>
      <c r="O92" s="301">
        <f>480*M92/100</f>
        <v>288</v>
      </c>
      <c r="P92" s="302"/>
      <c r="Q92" s="301">
        <f>50.8*M92/100</f>
        <v>30.48</v>
      </c>
      <c r="R92" s="302"/>
      <c r="S92" s="301">
        <f>12.8*M92/100</f>
        <v>7.68</v>
      </c>
      <c r="T92" s="302"/>
      <c r="U92" s="301">
        <f>24.1*M92/100</f>
        <v>14.46</v>
      </c>
      <c r="V92" s="302"/>
      <c r="W92" s="343"/>
      <c r="X92" s="70"/>
      <c r="Y92" s="130"/>
      <c r="Z92" s="71"/>
    </row>
    <row r="93" spans="1:26" ht="15.75" thickBot="1" x14ac:dyDescent="0.3">
      <c r="A93" s="112"/>
      <c r="B93" s="297"/>
      <c r="C93" s="300"/>
      <c r="D93" s="298"/>
      <c r="E93" s="330"/>
      <c r="F93" s="331"/>
      <c r="G93" s="331"/>
      <c r="H93" s="332"/>
      <c r="I93" s="350"/>
      <c r="J93" s="351"/>
      <c r="K93" s="330"/>
      <c r="L93" s="332"/>
      <c r="M93" s="297"/>
      <c r="N93" s="298"/>
      <c r="O93" s="303"/>
      <c r="P93" s="304"/>
      <c r="Q93" s="303"/>
      <c r="R93" s="304"/>
      <c r="S93" s="303"/>
      <c r="T93" s="304"/>
      <c r="U93" s="303"/>
      <c r="V93" s="304"/>
      <c r="W93" s="344"/>
      <c r="X93" s="70"/>
      <c r="Y93" s="130"/>
      <c r="Z93" s="71"/>
    </row>
    <row r="94" spans="1:26" x14ac:dyDescent="0.25">
      <c r="A94" s="112"/>
      <c r="B94" s="308" t="s">
        <v>5</v>
      </c>
      <c r="C94" s="299"/>
      <c r="D94" s="296"/>
      <c r="E94" s="308" t="s">
        <v>25</v>
      </c>
      <c r="F94" s="299"/>
      <c r="G94" s="299"/>
      <c r="H94" s="296"/>
      <c r="I94" s="295">
        <v>4742870011972</v>
      </c>
      <c r="J94" s="296"/>
      <c r="K94" s="295">
        <v>32</v>
      </c>
      <c r="L94" s="305"/>
      <c r="M94" s="308">
        <v>30</v>
      </c>
      <c r="N94" s="296"/>
      <c r="O94" s="309">
        <v>177</v>
      </c>
      <c r="P94" s="310"/>
      <c r="Q94" s="309">
        <v>6.03</v>
      </c>
      <c r="R94" s="310"/>
      <c r="S94" s="309">
        <v>8.8800000000000008</v>
      </c>
      <c r="T94" s="310"/>
      <c r="U94" s="309">
        <v>13.8</v>
      </c>
      <c r="V94" s="310"/>
      <c r="W94" s="343"/>
      <c r="X94" s="70"/>
      <c r="Y94" s="130"/>
      <c r="Z94" s="71"/>
    </row>
    <row r="95" spans="1:26" ht="15.75" thickBot="1" x14ac:dyDescent="0.3">
      <c r="A95" s="112"/>
      <c r="B95" s="297"/>
      <c r="C95" s="300"/>
      <c r="D95" s="298"/>
      <c r="E95" s="297"/>
      <c r="F95" s="300"/>
      <c r="G95" s="300"/>
      <c r="H95" s="298"/>
      <c r="I95" s="297"/>
      <c r="J95" s="298"/>
      <c r="K95" s="306"/>
      <c r="L95" s="307"/>
      <c r="M95" s="297"/>
      <c r="N95" s="298"/>
      <c r="O95" s="311"/>
      <c r="P95" s="312"/>
      <c r="Q95" s="311"/>
      <c r="R95" s="312"/>
      <c r="S95" s="311"/>
      <c r="T95" s="312"/>
      <c r="U95" s="311"/>
      <c r="V95" s="312"/>
      <c r="W95" s="344"/>
      <c r="X95" s="70"/>
      <c r="Y95" s="130"/>
      <c r="Z95" s="71"/>
    </row>
    <row r="96" spans="1:26" ht="15" customHeight="1" x14ac:dyDescent="0.25">
      <c r="A96" s="112"/>
      <c r="B96" s="308" t="s">
        <v>6</v>
      </c>
      <c r="C96" s="299"/>
      <c r="D96" s="296"/>
      <c r="E96" s="352" t="s">
        <v>94</v>
      </c>
      <c r="F96" s="353"/>
      <c r="G96" s="353"/>
      <c r="H96" s="354"/>
      <c r="I96" s="348">
        <v>4742870010586</v>
      </c>
      <c r="J96" s="349"/>
      <c r="K96" s="327">
        <v>22</v>
      </c>
      <c r="L96" s="329"/>
      <c r="M96" s="308">
        <v>20</v>
      </c>
      <c r="N96" s="296"/>
      <c r="O96" s="309">
        <v>66</v>
      </c>
      <c r="P96" s="310"/>
      <c r="Q96" s="309">
        <v>16</v>
      </c>
      <c r="R96" s="310"/>
      <c r="S96" s="309">
        <v>0</v>
      </c>
      <c r="T96" s="310"/>
      <c r="U96" s="309">
        <v>0</v>
      </c>
      <c r="V96" s="310"/>
      <c r="W96" s="345"/>
      <c r="X96" s="70"/>
      <c r="Y96" s="130"/>
      <c r="Z96" s="71"/>
    </row>
    <row r="97" spans="1:26" ht="15.75" thickBot="1" x14ac:dyDescent="0.3">
      <c r="A97" s="112"/>
      <c r="B97" s="297"/>
      <c r="C97" s="300"/>
      <c r="D97" s="298"/>
      <c r="E97" s="355"/>
      <c r="F97" s="356"/>
      <c r="G97" s="356"/>
      <c r="H97" s="357"/>
      <c r="I97" s="350"/>
      <c r="J97" s="351"/>
      <c r="K97" s="330"/>
      <c r="L97" s="332"/>
      <c r="M97" s="297"/>
      <c r="N97" s="298"/>
      <c r="O97" s="311"/>
      <c r="P97" s="312"/>
      <c r="Q97" s="311"/>
      <c r="R97" s="312"/>
      <c r="S97" s="311"/>
      <c r="T97" s="312"/>
      <c r="U97" s="311"/>
      <c r="V97" s="312"/>
      <c r="W97" s="346"/>
      <c r="X97" s="70"/>
      <c r="Y97" s="130"/>
      <c r="Z97" s="71"/>
    </row>
    <row r="98" spans="1:26" x14ac:dyDescent="0.25">
      <c r="A98" s="112"/>
      <c r="B98" s="308" t="s">
        <v>7</v>
      </c>
      <c r="C98" s="299"/>
      <c r="D98" s="296"/>
      <c r="E98" s="327" t="s">
        <v>66</v>
      </c>
      <c r="F98" s="328"/>
      <c r="G98" s="328"/>
      <c r="H98" s="329"/>
      <c r="I98" s="348"/>
      <c r="J98" s="296"/>
      <c r="K98" s="295">
        <v>4</v>
      </c>
      <c r="L98" s="305"/>
      <c r="M98" s="308">
        <v>2</v>
      </c>
      <c r="N98" s="296"/>
      <c r="O98" s="301">
        <v>0</v>
      </c>
      <c r="P98" s="302"/>
      <c r="Q98" s="301">
        <v>0</v>
      </c>
      <c r="R98" s="302"/>
      <c r="S98" s="301">
        <v>0</v>
      </c>
      <c r="T98" s="302"/>
      <c r="U98" s="301">
        <v>0</v>
      </c>
      <c r="V98" s="302"/>
      <c r="W98" s="347"/>
      <c r="X98" s="70"/>
      <c r="Y98" s="130"/>
      <c r="Z98" s="71"/>
    </row>
    <row r="99" spans="1:26" ht="15.75" thickBot="1" x14ac:dyDescent="0.3">
      <c r="A99" s="112"/>
      <c r="B99" s="297"/>
      <c r="C99" s="300"/>
      <c r="D99" s="298"/>
      <c r="E99" s="330"/>
      <c r="F99" s="331"/>
      <c r="G99" s="331"/>
      <c r="H99" s="332"/>
      <c r="I99" s="297"/>
      <c r="J99" s="298"/>
      <c r="K99" s="306"/>
      <c r="L99" s="307"/>
      <c r="M99" s="297"/>
      <c r="N99" s="298"/>
      <c r="O99" s="303"/>
      <c r="P99" s="304"/>
      <c r="Q99" s="303"/>
      <c r="R99" s="304"/>
      <c r="S99" s="303"/>
      <c r="T99" s="304"/>
      <c r="U99" s="303"/>
      <c r="V99" s="304"/>
      <c r="W99" s="344"/>
      <c r="X99" s="70"/>
      <c r="Y99" s="130"/>
      <c r="Z99" s="71"/>
    </row>
    <row r="100" spans="1:26" x14ac:dyDescent="0.25">
      <c r="A100" s="112"/>
      <c r="B100" s="308" t="s">
        <v>8</v>
      </c>
      <c r="C100" s="299"/>
      <c r="D100" s="296"/>
      <c r="E100" s="327" t="s">
        <v>8</v>
      </c>
      <c r="F100" s="328"/>
      <c r="G100" s="328"/>
      <c r="H100" s="329"/>
      <c r="I100" s="18"/>
      <c r="J100" s="18"/>
      <c r="K100" s="295"/>
      <c r="L100" s="305"/>
      <c r="M100" s="308"/>
      <c r="N100" s="296"/>
      <c r="O100" s="301"/>
      <c r="P100" s="302"/>
      <c r="Q100" s="301"/>
      <c r="R100" s="302"/>
      <c r="S100" s="301"/>
      <c r="T100" s="302"/>
      <c r="U100" s="301"/>
      <c r="V100" s="302"/>
      <c r="W100" s="347"/>
      <c r="X100" s="70"/>
      <c r="Y100" s="130"/>
      <c r="Z100" s="71"/>
    </row>
    <row r="101" spans="1:26" ht="15.75" thickBot="1" x14ac:dyDescent="0.3">
      <c r="A101" s="113"/>
      <c r="B101" s="297"/>
      <c r="C101" s="300"/>
      <c r="D101" s="298"/>
      <c r="E101" s="330"/>
      <c r="F101" s="331"/>
      <c r="G101" s="331"/>
      <c r="H101" s="332"/>
      <c r="I101" s="19"/>
      <c r="J101" s="19"/>
      <c r="K101" s="306"/>
      <c r="L101" s="307"/>
      <c r="M101" s="297"/>
      <c r="N101" s="298"/>
      <c r="O101" s="303"/>
      <c r="P101" s="304"/>
      <c r="Q101" s="303"/>
      <c r="R101" s="304"/>
      <c r="S101" s="303"/>
      <c r="T101" s="304"/>
      <c r="U101" s="303"/>
      <c r="V101" s="304"/>
      <c r="W101" s="344"/>
      <c r="X101" s="72"/>
      <c r="Y101" s="131"/>
      <c r="Z101" s="73"/>
    </row>
    <row r="102" spans="1:26" ht="15.75" thickBot="1" x14ac:dyDescent="0.3">
      <c r="A102" s="1"/>
      <c r="B102" s="156" t="s">
        <v>16</v>
      </c>
      <c r="C102" s="157"/>
      <c r="D102" s="158"/>
      <c r="E102" s="159"/>
      <c r="F102" s="160"/>
      <c r="G102" s="160"/>
      <c r="H102" s="161"/>
      <c r="I102" s="262"/>
      <c r="J102" s="263"/>
      <c r="K102" s="159">
        <f>SUM(K86:L101)</f>
        <v>618</v>
      </c>
      <c r="L102" s="161"/>
      <c r="M102" s="159">
        <f>SUM(M86:N101)</f>
        <v>582</v>
      </c>
      <c r="N102" s="161"/>
      <c r="O102" s="162">
        <f>SUM(O86:P101)</f>
        <v>1223</v>
      </c>
      <c r="P102" s="163"/>
      <c r="Q102" s="162">
        <f>SUM(Q86:R101)</f>
        <v>130.11000000000001</v>
      </c>
      <c r="R102" s="163"/>
      <c r="S102" s="162">
        <f>SUM(S86:T101)</f>
        <v>59.160000000000004</v>
      </c>
      <c r="T102" s="163"/>
      <c r="U102" s="162">
        <f>SUM(U86:V101)</f>
        <v>51.16</v>
      </c>
      <c r="V102" s="163"/>
      <c r="W102" s="20"/>
    </row>
    <row r="103" spans="1:26" ht="15" customHeight="1" x14ac:dyDescent="0.25">
      <c r="A103" s="111">
        <v>6</v>
      </c>
      <c r="B103" s="308" t="s">
        <v>1</v>
      </c>
      <c r="C103" s="299"/>
      <c r="D103" s="296"/>
      <c r="E103" s="317" t="s">
        <v>43</v>
      </c>
      <c r="F103" s="318"/>
      <c r="G103" s="318"/>
      <c r="H103" s="319"/>
      <c r="I103" s="295">
        <v>4742870012160</v>
      </c>
      <c r="J103" s="305"/>
      <c r="K103" s="308">
        <v>310</v>
      </c>
      <c r="L103" s="296"/>
      <c r="M103" s="308">
        <v>300</v>
      </c>
      <c r="N103" s="296"/>
      <c r="O103" s="309">
        <v>399</v>
      </c>
      <c r="P103" s="310"/>
      <c r="Q103" s="309">
        <v>49.2</v>
      </c>
      <c r="R103" s="310"/>
      <c r="S103" s="309">
        <v>12.9</v>
      </c>
      <c r="T103" s="310"/>
      <c r="U103" s="309">
        <v>15.6</v>
      </c>
      <c r="V103" s="310"/>
      <c r="W103" s="341"/>
      <c r="X103" s="68">
        <v>1200</v>
      </c>
      <c r="Y103" s="129"/>
      <c r="Z103" s="69"/>
    </row>
    <row r="104" spans="1:26" ht="15.75" thickBot="1" x14ac:dyDescent="0.3">
      <c r="A104" s="112"/>
      <c r="B104" s="297"/>
      <c r="C104" s="300"/>
      <c r="D104" s="298"/>
      <c r="E104" s="320"/>
      <c r="F104" s="321"/>
      <c r="G104" s="321"/>
      <c r="H104" s="322"/>
      <c r="I104" s="306"/>
      <c r="J104" s="307"/>
      <c r="K104" s="297"/>
      <c r="L104" s="298"/>
      <c r="M104" s="297"/>
      <c r="N104" s="298"/>
      <c r="O104" s="311"/>
      <c r="P104" s="312"/>
      <c r="Q104" s="311"/>
      <c r="R104" s="312"/>
      <c r="S104" s="311"/>
      <c r="T104" s="312"/>
      <c r="U104" s="311"/>
      <c r="V104" s="312"/>
      <c r="W104" s="342"/>
      <c r="X104" s="70"/>
      <c r="Y104" s="130"/>
      <c r="Z104" s="71"/>
    </row>
    <row r="105" spans="1:26" ht="15" customHeight="1" x14ac:dyDescent="0.25">
      <c r="A105" s="112"/>
      <c r="B105" s="308" t="s">
        <v>2</v>
      </c>
      <c r="C105" s="299"/>
      <c r="D105" s="296"/>
      <c r="E105" s="308" t="s">
        <v>20</v>
      </c>
      <c r="F105" s="299"/>
      <c r="G105" s="299"/>
      <c r="H105" s="296"/>
      <c r="I105" s="295"/>
      <c r="J105" s="299"/>
      <c r="K105" s="295">
        <v>55</v>
      </c>
      <c r="L105" s="305"/>
      <c r="M105" s="299">
        <v>50</v>
      </c>
      <c r="N105" s="296"/>
      <c r="O105" s="301">
        <v>260</v>
      </c>
      <c r="P105" s="302"/>
      <c r="Q105" s="301">
        <v>50</v>
      </c>
      <c r="R105" s="302"/>
      <c r="S105" s="301">
        <v>6</v>
      </c>
      <c r="T105" s="302"/>
      <c r="U105" s="301">
        <v>5</v>
      </c>
      <c r="V105" s="302"/>
      <c r="W105" s="341"/>
      <c r="X105" s="70"/>
      <c r="Y105" s="130"/>
      <c r="Z105" s="71"/>
    </row>
    <row r="106" spans="1:26" ht="15.95" customHeight="1" thickBot="1" x14ac:dyDescent="0.3">
      <c r="A106" s="112"/>
      <c r="B106" s="297"/>
      <c r="C106" s="300"/>
      <c r="D106" s="298"/>
      <c r="E106" s="297"/>
      <c r="F106" s="300"/>
      <c r="G106" s="300"/>
      <c r="H106" s="298"/>
      <c r="I106" s="297"/>
      <c r="J106" s="300"/>
      <c r="K106" s="306"/>
      <c r="L106" s="307"/>
      <c r="M106" s="300"/>
      <c r="N106" s="298"/>
      <c r="O106" s="303"/>
      <c r="P106" s="304"/>
      <c r="Q106" s="303"/>
      <c r="R106" s="304"/>
      <c r="S106" s="303"/>
      <c r="T106" s="304"/>
      <c r="U106" s="303"/>
      <c r="V106" s="304"/>
      <c r="W106" s="342"/>
      <c r="X106" s="70"/>
      <c r="Y106" s="130"/>
      <c r="Z106" s="71"/>
    </row>
    <row r="107" spans="1:26" x14ac:dyDescent="0.25">
      <c r="A107" s="112"/>
      <c r="B107" s="308" t="s">
        <v>3</v>
      </c>
      <c r="C107" s="299"/>
      <c r="D107" s="296"/>
      <c r="E107" s="308" t="s">
        <v>102</v>
      </c>
      <c r="F107" s="299"/>
      <c r="G107" s="299"/>
      <c r="H107" s="296"/>
      <c r="I107" s="295"/>
      <c r="J107" s="305"/>
      <c r="K107" s="308">
        <v>130</v>
      </c>
      <c r="L107" s="296"/>
      <c r="M107" s="308">
        <v>120</v>
      </c>
      <c r="N107" s="296"/>
      <c r="O107" s="309">
        <v>231</v>
      </c>
      <c r="P107" s="310"/>
      <c r="Q107" s="309">
        <f>0*M107/120</f>
        <v>0</v>
      </c>
      <c r="R107" s="310"/>
      <c r="S107" s="309">
        <v>30</v>
      </c>
      <c r="T107" s="310"/>
      <c r="U107" s="309">
        <v>12</v>
      </c>
      <c r="V107" s="310"/>
      <c r="W107" s="343"/>
      <c r="X107" s="70"/>
      <c r="Y107" s="130"/>
      <c r="Z107" s="71"/>
    </row>
    <row r="108" spans="1:26" ht="15.75" thickBot="1" x14ac:dyDescent="0.3">
      <c r="A108" s="112"/>
      <c r="B108" s="297"/>
      <c r="C108" s="300"/>
      <c r="D108" s="298"/>
      <c r="E108" s="297"/>
      <c r="F108" s="300"/>
      <c r="G108" s="300"/>
      <c r="H108" s="298"/>
      <c r="I108" s="306"/>
      <c r="J108" s="307"/>
      <c r="K108" s="297"/>
      <c r="L108" s="298"/>
      <c r="M108" s="297"/>
      <c r="N108" s="298"/>
      <c r="O108" s="311"/>
      <c r="P108" s="312"/>
      <c r="Q108" s="311"/>
      <c r="R108" s="312"/>
      <c r="S108" s="311"/>
      <c r="T108" s="312"/>
      <c r="U108" s="311"/>
      <c r="V108" s="312"/>
      <c r="W108" s="344"/>
      <c r="X108" s="70"/>
      <c r="Y108" s="130"/>
      <c r="Z108" s="71"/>
    </row>
    <row r="109" spans="1:26" x14ac:dyDescent="0.25">
      <c r="A109" s="112"/>
      <c r="B109" s="308" t="s">
        <v>4</v>
      </c>
      <c r="C109" s="299"/>
      <c r="D109" s="296"/>
      <c r="E109" s="327" t="s">
        <v>61</v>
      </c>
      <c r="F109" s="328"/>
      <c r="G109" s="328"/>
      <c r="H109" s="329"/>
      <c r="I109" s="348"/>
      <c r="J109" s="349"/>
      <c r="K109" s="327">
        <v>65</v>
      </c>
      <c r="L109" s="329"/>
      <c r="M109" s="308">
        <v>60</v>
      </c>
      <c r="N109" s="296"/>
      <c r="O109" s="301">
        <f>480*M109/100</f>
        <v>288</v>
      </c>
      <c r="P109" s="302"/>
      <c r="Q109" s="301">
        <f>50.8*M109/100</f>
        <v>30.48</v>
      </c>
      <c r="R109" s="302"/>
      <c r="S109" s="301">
        <f>12.8*M109/100</f>
        <v>7.68</v>
      </c>
      <c r="T109" s="302"/>
      <c r="U109" s="301">
        <f>24.1*M109/100</f>
        <v>14.46</v>
      </c>
      <c r="V109" s="302"/>
      <c r="W109" s="343"/>
      <c r="X109" s="70"/>
      <c r="Y109" s="130"/>
      <c r="Z109" s="71"/>
    </row>
    <row r="110" spans="1:26" ht="15.75" thickBot="1" x14ac:dyDescent="0.3">
      <c r="A110" s="112"/>
      <c r="B110" s="297"/>
      <c r="C110" s="300"/>
      <c r="D110" s="298"/>
      <c r="E110" s="330"/>
      <c r="F110" s="331"/>
      <c r="G110" s="331"/>
      <c r="H110" s="332"/>
      <c r="I110" s="350"/>
      <c r="J110" s="351"/>
      <c r="K110" s="330"/>
      <c r="L110" s="332"/>
      <c r="M110" s="297"/>
      <c r="N110" s="298"/>
      <c r="O110" s="303"/>
      <c r="P110" s="304"/>
      <c r="Q110" s="303"/>
      <c r="R110" s="304"/>
      <c r="S110" s="303"/>
      <c r="T110" s="304"/>
      <c r="U110" s="303"/>
      <c r="V110" s="304"/>
      <c r="W110" s="344"/>
      <c r="X110" s="70"/>
      <c r="Y110" s="130"/>
      <c r="Z110" s="71"/>
    </row>
    <row r="111" spans="1:26" x14ac:dyDescent="0.25">
      <c r="A111" s="112"/>
      <c r="B111" s="308" t="s">
        <v>5</v>
      </c>
      <c r="C111" s="299"/>
      <c r="D111" s="296"/>
      <c r="E111" s="327" t="s">
        <v>64</v>
      </c>
      <c r="F111" s="328"/>
      <c r="G111" s="328"/>
      <c r="H111" s="329"/>
      <c r="I111" s="295"/>
      <c r="J111" s="305"/>
      <c r="K111" s="308">
        <v>27</v>
      </c>
      <c r="L111" s="296"/>
      <c r="M111" s="308">
        <v>25</v>
      </c>
      <c r="N111" s="296"/>
      <c r="O111" s="308">
        <f>267*M111/100</f>
        <v>66.75</v>
      </c>
      <c r="P111" s="296"/>
      <c r="Q111" s="308">
        <f>65.6*M111/100</f>
        <v>16.399999999999999</v>
      </c>
      <c r="R111" s="296"/>
      <c r="S111" s="308">
        <f>0.3*M111/100</f>
        <v>7.4999999999999997E-2</v>
      </c>
      <c r="T111" s="296"/>
      <c r="U111" s="308">
        <f>0.1*M111/100</f>
        <v>2.5000000000000001E-2</v>
      </c>
      <c r="V111" s="296"/>
      <c r="W111" s="343"/>
      <c r="X111" s="70"/>
      <c r="Y111" s="130"/>
      <c r="Z111" s="71"/>
    </row>
    <row r="112" spans="1:26" ht="15.75" thickBot="1" x14ac:dyDescent="0.3">
      <c r="A112" s="112"/>
      <c r="B112" s="297"/>
      <c r="C112" s="300"/>
      <c r="D112" s="298"/>
      <c r="E112" s="330"/>
      <c r="F112" s="331"/>
      <c r="G112" s="331"/>
      <c r="H112" s="332"/>
      <c r="I112" s="306"/>
      <c r="J112" s="307"/>
      <c r="K112" s="297"/>
      <c r="L112" s="298"/>
      <c r="M112" s="297"/>
      <c r="N112" s="298"/>
      <c r="O112" s="297"/>
      <c r="P112" s="298"/>
      <c r="Q112" s="297"/>
      <c r="R112" s="298"/>
      <c r="S112" s="297"/>
      <c r="T112" s="298"/>
      <c r="U112" s="297"/>
      <c r="V112" s="298"/>
      <c r="W112" s="344"/>
      <c r="X112" s="70"/>
      <c r="Y112" s="130"/>
      <c r="Z112" s="71"/>
    </row>
    <row r="113" spans="1:26" x14ac:dyDescent="0.25">
      <c r="A113" s="112"/>
      <c r="B113" s="308" t="s">
        <v>6</v>
      </c>
      <c r="C113" s="299"/>
      <c r="D113" s="296"/>
      <c r="E113" s="327" t="s">
        <v>56</v>
      </c>
      <c r="F113" s="328"/>
      <c r="G113" s="328"/>
      <c r="H113" s="329"/>
      <c r="I113" s="295">
        <v>4742870010562</v>
      </c>
      <c r="J113" s="305"/>
      <c r="K113" s="308">
        <v>22</v>
      </c>
      <c r="L113" s="296"/>
      <c r="M113" s="308">
        <v>20</v>
      </c>
      <c r="N113" s="296"/>
      <c r="O113" s="309">
        <v>66.599999999999994</v>
      </c>
      <c r="P113" s="310"/>
      <c r="Q113" s="309">
        <v>16.2</v>
      </c>
      <c r="R113" s="310"/>
      <c r="S113" s="309">
        <v>0</v>
      </c>
      <c r="T113" s="310"/>
      <c r="U113" s="309">
        <v>0</v>
      </c>
      <c r="V113" s="310"/>
      <c r="W113" s="345"/>
      <c r="X113" s="70"/>
      <c r="Y113" s="130"/>
      <c r="Z113" s="71"/>
    </row>
    <row r="114" spans="1:26" ht="15.75" thickBot="1" x14ac:dyDescent="0.3">
      <c r="A114" s="112"/>
      <c r="B114" s="297"/>
      <c r="C114" s="300"/>
      <c r="D114" s="298"/>
      <c r="E114" s="330"/>
      <c r="F114" s="331"/>
      <c r="G114" s="331"/>
      <c r="H114" s="332"/>
      <c r="I114" s="306"/>
      <c r="J114" s="307"/>
      <c r="K114" s="297"/>
      <c r="L114" s="298"/>
      <c r="M114" s="297"/>
      <c r="N114" s="298"/>
      <c r="O114" s="311"/>
      <c r="P114" s="312"/>
      <c r="Q114" s="311"/>
      <c r="R114" s="312"/>
      <c r="S114" s="311"/>
      <c r="T114" s="312"/>
      <c r="U114" s="311"/>
      <c r="V114" s="312"/>
      <c r="W114" s="346"/>
      <c r="X114" s="70"/>
      <c r="Y114" s="130"/>
      <c r="Z114" s="71"/>
    </row>
    <row r="115" spans="1:26" x14ac:dyDescent="0.25">
      <c r="A115" s="112"/>
      <c r="B115" s="308" t="s">
        <v>7</v>
      </c>
      <c r="C115" s="299"/>
      <c r="D115" s="296"/>
      <c r="E115" s="327" t="s">
        <v>66</v>
      </c>
      <c r="F115" s="328"/>
      <c r="G115" s="328"/>
      <c r="H115" s="329"/>
      <c r="I115" s="348"/>
      <c r="J115" s="296"/>
      <c r="K115" s="295">
        <v>4</v>
      </c>
      <c r="L115" s="305"/>
      <c r="M115" s="308">
        <v>2</v>
      </c>
      <c r="N115" s="296"/>
      <c r="O115" s="301">
        <v>0</v>
      </c>
      <c r="P115" s="302"/>
      <c r="Q115" s="301">
        <v>0</v>
      </c>
      <c r="R115" s="302"/>
      <c r="S115" s="301">
        <v>0</v>
      </c>
      <c r="T115" s="302"/>
      <c r="U115" s="301">
        <v>0</v>
      </c>
      <c r="V115" s="302"/>
      <c r="W115" s="347"/>
      <c r="X115" s="70"/>
      <c r="Y115" s="130"/>
      <c r="Z115" s="71"/>
    </row>
    <row r="116" spans="1:26" ht="15.75" thickBot="1" x14ac:dyDescent="0.3">
      <c r="A116" s="112"/>
      <c r="B116" s="297"/>
      <c r="C116" s="300"/>
      <c r="D116" s="298"/>
      <c r="E116" s="330"/>
      <c r="F116" s="331"/>
      <c r="G116" s="331"/>
      <c r="H116" s="332"/>
      <c r="I116" s="297"/>
      <c r="J116" s="298"/>
      <c r="K116" s="306"/>
      <c r="L116" s="307"/>
      <c r="M116" s="297"/>
      <c r="N116" s="298"/>
      <c r="O116" s="303"/>
      <c r="P116" s="304"/>
      <c r="Q116" s="303"/>
      <c r="R116" s="304"/>
      <c r="S116" s="303"/>
      <c r="T116" s="304"/>
      <c r="U116" s="303"/>
      <c r="V116" s="304"/>
      <c r="W116" s="344"/>
      <c r="X116" s="70"/>
      <c r="Y116" s="130"/>
      <c r="Z116" s="71"/>
    </row>
    <row r="117" spans="1:26" x14ac:dyDescent="0.25">
      <c r="A117" s="112"/>
      <c r="B117" s="308" t="s">
        <v>8</v>
      </c>
      <c r="C117" s="299"/>
      <c r="D117" s="296"/>
      <c r="E117" s="327" t="s">
        <v>8</v>
      </c>
      <c r="F117" s="328"/>
      <c r="G117" s="328"/>
      <c r="H117" s="329"/>
      <c r="I117" s="18"/>
      <c r="J117" s="18"/>
      <c r="K117" s="295"/>
      <c r="L117" s="305"/>
      <c r="M117" s="308"/>
      <c r="N117" s="296"/>
      <c r="O117" s="301"/>
      <c r="P117" s="302"/>
      <c r="Q117" s="301"/>
      <c r="R117" s="302"/>
      <c r="S117" s="301"/>
      <c r="T117" s="302"/>
      <c r="U117" s="301"/>
      <c r="V117" s="302"/>
      <c r="W117" s="347"/>
      <c r="X117" s="70"/>
      <c r="Y117" s="130"/>
      <c r="Z117" s="71"/>
    </row>
    <row r="118" spans="1:26" ht="15.75" thickBot="1" x14ac:dyDescent="0.3">
      <c r="A118" s="113"/>
      <c r="B118" s="297"/>
      <c r="C118" s="300"/>
      <c r="D118" s="298"/>
      <c r="E118" s="330"/>
      <c r="F118" s="331"/>
      <c r="G118" s="331"/>
      <c r="H118" s="332"/>
      <c r="I118" s="19"/>
      <c r="J118" s="19"/>
      <c r="K118" s="306"/>
      <c r="L118" s="307"/>
      <c r="M118" s="297"/>
      <c r="N118" s="298"/>
      <c r="O118" s="303"/>
      <c r="P118" s="304"/>
      <c r="Q118" s="303"/>
      <c r="R118" s="304"/>
      <c r="S118" s="303"/>
      <c r="T118" s="304"/>
      <c r="U118" s="303"/>
      <c r="V118" s="304"/>
      <c r="W118" s="344"/>
      <c r="X118" s="72"/>
      <c r="Y118" s="131"/>
      <c r="Z118" s="73"/>
    </row>
    <row r="119" spans="1:26" ht="15.75" thickBot="1" x14ac:dyDescent="0.3">
      <c r="A119" s="1"/>
      <c r="B119" s="156" t="s">
        <v>16</v>
      </c>
      <c r="C119" s="157"/>
      <c r="D119" s="158"/>
      <c r="E119" s="159"/>
      <c r="F119" s="160"/>
      <c r="G119" s="160"/>
      <c r="H119" s="161"/>
      <c r="I119" s="262"/>
      <c r="J119" s="263"/>
      <c r="K119" s="159">
        <f>SUM(K103:L118)</f>
        <v>613</v>
      </c>
      <c r="L119" s="161"/>
      <c r="M119" s="159">
        <f>SUM(M103:N118)</f>
        <v>577</v>
      </c>
      <c r="N119" s="161"/>
      <c r="O119" s="162">
        <f>SUM(O103:P118)</f>
        <v>1311.35</v>
      </c>
      <c r="P119" s="163"/>
      <c r="Q119" s="159">
        <f>SUM(Q103:R118)</f>
        <v>162.28</v>
      </c>
      <c r="R119" s="161"/>
      <c r="S119" s="159">
        <f>SUM(S103:T118)</f>
        <v>56.655000000000001</v>
      </c>
      <c r="T119" s="161"/>
      <c r="U119" s="159">
        <f>SUM(U103:V118)</f>
        <v>47.085000000000001</v>
      </c>
      <c r="V119" s="161"/>
      <c r="W119" s="20"/>
    </row>
    <row r="120" spans="1:26" ht="15" customHeight="1" x14ac:dyDescent="0.25">
      <c r="A120" s="111">
        <v>7</v>
      </c>
      <c r="B120" s="308" t="s">
        <v>1</v>
      </c>
      <c r="C120" s="299"/>
      <c r="D120" s="296"/>
      <c r="E120" s="317" t="s">
        <v>37</v>
      </c>
      <c r="F120" s="318"/>
      <c r="G120" s="318"/>
      <c r="H120" s="319"/>
      <c r="I120" s="295">
        <v>4742870012146</v>
      </c>
      <c r="J120" s="305"/>
      <c r="K120" s="308">
        <v>310</v>
      </c>
      <c r="L120" s="296"/>
      <c r="M120" s="308">
        <v>300</v>
      </c>
      <c r="N120" s="296"/>
      <c r="O120" s="309">
        <v>333</v>
      </c>
      <c r="P120" s="310"/>
      <c r="Q120" s="309">
        <v>42</v>
      </c>
      <c r="R120" s="310"/>
      <c r="S120" s="309">
        <v>15.6</v>
      </c>
      <c r="T120" s="310"/>
      <c r="U120" s="309">
        <v>10.5</v>
      </c>
      <c r="V120" s="310"/>
      <c r="W120" s="341"/>
      <c r="X120" s="68">
        <v>1200</v>
      </c>
      <c r="Y120" s="129"/>
      <c r="Z120" s="69"/>
    </row>
    <row r="121" spans="1:26" ht="15.75" thickBot="1" x14ac:dyDescent="0.3">
      <c r="A121" s="112"/>
      <c r="B121" s="297"/>
      <c r="C121" s="300"/>
      <c r="D121" s="298"/>
      <c r="E121" s="320"/>
      <c r="F121" s="321"/>
      <c r="G121" s="321"/>
      <c r="H121" s="322"/>
      <c r="I121" s="306"/>
      <c r="J121" s="307"/>
      <c r="K121" s="297"/>
      <c r="L121" s="298"/>
      <c r="M121" s="297"/>
      <c r="N121" s="298"/>
      <c r="O121" s="311"/>
      <c r="P121" s="312"/>
      <c r="Q121" s="311"/>
      <c r="R121" s="312"/>
      <c r="S121" s="311"/>
      <c r="T121" s="312"/>
      <c r="U121" s="311"/>
      <c r="V121" s="312"/>
      <c r="W121" s="342"/>
      <c r="X121" s="70"/>
      <c r="Y121" s="130"/>
      <c r="Z121" s="71"/>
    </row>
    <row r="122" spans="1:26" ht="15" customHeight="1" x14ac:dyDescent="0.25">
      <c r="A122" s="112"/>
      <c r="B122" s="308" t="s">
        <v>2</v>
      </c>
      <c r="C122" s="299"/>
      <c r="D122" s="296"/>
      <c r="E122" s="308" t="s">
        <v>20</v>
      </c>
      <c r="F122" s="299"/>
      <c r="G122" s="299"/>
      <c r="H122" s="296"/>
      <c r="I122" s="295"/>
      <c r="J122" s="299"/>
      <c r="K122" s="295">
        <v>55</v>
      </c>
      <c r="L122" s="305"/>
      <c r="M122" s="299">
        <v>50</v>
      </c>
      <c r="N122" s="296"/>
      <c r="O122" s="301">
        <v>260</v>
      </c>
      <c r="P122" s="302"/>
      <c r="Q122" s="301">
        <v>50</v>
      </c>
      <c r="R122" s="302"/>
      <c r="S122" s="301">
        <v>6</v>
      </c>
      <c r="T122" s="302"/>
      <c r="U122" s="301">
        <v>5</v>
      </c>
      <c r="V122" s="302"/>
      <c r="W122" s="341"/>
      <c r="X122" s="70"/>
      <c r="Y122" s="130"/>
      <c r="Z122" s="71"/>
    </row>
    <row r="123" spans="1:26" ht="15.95" customHeight="1" thickBot="1" x14ac:dyDescent="0.3">
      <c r="A123" s="112"/>
      <c r="B123" s="297"/>
      <c r="C123" s="300"/>
      <c r="D123" s="298"/>
      <c r="E123" s="297"/>
      <c r="F123" s="300"/>
      <c r="G123" s="300"/>
      <c r="H123" s="298"/>
      <c r="I123" s="297"/>
      <c r="J123" s="300"/>
      <c r="K123" s="306"/>
      <c r="L123" s="307"/>
      <c r="M123" s="300"/>
      <c r="N123" s="298"/>
      <c r="O123" s="303"/>
      <c r="P123" s="304"/>
      <c r="Q123" s="303"/>
      <c r="R123" s="304"/>
      <c r="S123" s="303"/>
      <c r="T123" s="304"/>
      <c r="U123" s="303"/>
      <c r="V123" s="304"/>
      <c r="W123" s="342"/>
      <c r="X123" s="70"/>
      <c r="Y123" s="130"/>
      <c r="Z123" s="71"/>
    </row>
    <row r="124" spans="1:26" x14ac:dyDescent="0.25">
      <c r="A124" s="112"/>
      <c r="B124" s="308" t="s">
        <v>3</v>
      </c>
      <c r="C124" s="299"/>
      <c r="D124" s="296"/>
      <c r="E124" s="308" t="s">
        <v>101</v>
      </c>
      <c r="F124" s="299"/>
      <c r="G124" s="299"/>
      <c r="H124" s="296"/>
      <c r="I124" s="295"/>
      <c r="J124" s="305"/>
      <c r="K124" s="308">
        <v>130</v>
      </c>
      <c r="L124" s="296"/>
      <c r="M124" s="308">
        <v>120</v>
      </c>
      <c r="N124" s="296"/>
      <c r="O124" s="309">
        <f>180*M124/100</f>
        <v>216</v>
      </c>
      <c r="P124" s="310"/>
      <c r="Q124" s="309">
        <f>0*M124/100</f>
        <v>0</v>
      </c>
      <c r="R124" s="310"/>
      <c r="S124" s="309">
        <v>27</v>
      </c>
      <c r="T124" s="310"/>
      <c r="U124" s="309">
        <v>11.6</v>
      </c>
      <c r="V124" s="310"/>
      <c r="W124" s="343"/>
      <c r="X124" s="70"/>
      <c r="Y124" s="130"/>
      <c r="Z124" s="71"/>
    </row>
    <row r="125" spans="1:26" ht="15.75" thickBot="1" x14ac:dyDescent="0.3">
      <c r="A125" s="112"/>
      <c r="B125" s="297"/>
      <c r="C125" s="300"/>
      <c r="D125" s="298"/>
      <c r="E125" s="297"/>
      <c r="F125" s="300"/>
      <c r="G125" s="300"/>
      <c r="H125" s="298"/>
      <c r="I125" s="306"/>
      <c r="J125" s="307"/>
      <c r="K125" s="297"/>
      <c r="L125" s="298"/>
      <c r="M125" s="297"/>
      <c r="N125" s="298"/>
      <c r="O125" s="311"/>
      <c r="P125" s="312"/>
      <c r="Q125" s="311"/>
      <c r="R125" s="312"/>
      <c r="S125" s="311"/>
      <c r="T125" s="312"/>
      <c r="U125" s="311"/>
      <c r="V125" s="312"/>
      <c r="W125" s="344"/>
      <c r="X125" s="70"/>
      <c r="Y125" s="130"/>
      <c r="Z125" s="71"/>
    </row>
    <row r="126" spans="1:26" ht="15" customHeight="1" x14ac:dyDescent="0.25">
      <c r="A126" s="112"/>
      <c r="B126" s="308" t="s">
        <v>4</v>
      </c>
      <c r="C126" s="299"/>
      <c r="D126" s="296"/>
      <c r="E126" s="327" t="s">
        <v>61</v>
      </c>
      <c r="F126" s="328"/>
      <c r="G126" s="328"/>
      <c r="H126" s="329"/>
      <c r="I126" s="348"/>
      <c r="J126" s="349"/>
      <c r="K126" s="327">
        <v>65</v>
      </c>
      <c r="L126" s="329"/>
      <c r="M126" s="308">
        <v>60</v>
      </c>
      <c r="N126" s="296"/>
      <c r="O126" s="301">
        <f>480*M126/100</f>
        <v>288</v>
      </c>
      <c r="P126" s="302"/>
      <c r="Q126" s="301">
        <f>50.8*M126/100</f>
        <v>30.48</v>
      </c>
      <c r="R126" s="302"/>
      <c r="S126" s="301">
        <f>12.8*M126/100</f>
        <v>7.68</v>
      </c>
      <c r="T126" s="302"/>
      <c r="U126" s="301">
        <f>24.1*M126/100</f>
        <v>14.46</v>
      </c>
      <c r="V126" s="302"/>
      <c r="W126" s="343"/>
      <c r="X126" s="70"/>
      <c r="Y126" s="130"/>
      <c r="Z126" s="71"/>
    </row>
    <row r="127" spans="1:26" ht="15.75" thickBot="1" x14ac:dyDescent="0.3">
      <c r="A127" s="112"/>
      <c r="B127" s="297"/>
      <c r="C127" s="300"/>
      <c r="D127" s="298"/>
      <c r="E127" s="330"/>
      <c r="F127" s="331"/>
      <c r="G127" s="331"/>
      <c r="H127" s="332"/>
      <c r="I127" s="350"/>
      <c r="J127" s="351"/>
      <c r="K127" s="330"/>
      <c r="L127" s="332"/>
      <c r="M127" s="297"/>
      <c r="N127" s="298"/>
      <c r="O127" s="303"/>
      <c r="P127" s="304"/>
      <c r="Q127" s="303"/>
      <c r="R127" s="304"/>
      <c r="S127" s="303"/>
      <c r="T127" s="304"/>
      <c r="U127" s="303"/>
      <c r="V127" s="304"/>
      <c r="W127" s="344"/>
      <c r="X127" s="70"/>
      <c r="Y127" s="130"/>
      <c r="Z127" s="71"/>
    </row>
    <row r="128" spans="1:26" x14ac:dyDescent="0.25">
      <c r="A128" s="112"/>
      <c r="B128" s="308" t="s">
        <v>5</v>
      </c>
      <c r="C128" s="299"/>
      <c r="D128" s="296"/>
      <c r="E128" s="308" t="s">
        <v>60</v>
      </c>
      <c r="F128" s="299"/>
      <c r="G128" s="299"/>
      <c r="H128" s="296"/>
      <c r="I128" s="348"/>
      <c r="J128" s="349"/>
      <c r="K128" s="295">
        <v>32</v>
      </c>
      <c r="L128" s="305"/>
      <c r="M128" s="308">
        <v>30</v>
      </c>
      <c r="N128" s="296"/>
      <c r="O128" s="301">
        <f>230*M128/100</f>
        <v>69</v>
      </c>
      <c r="P128" s="302"/>
      <c r="Q128" s="301">
        <f>30.6*M128/100</f>
        <v>9.18</v>
      </c>
      <c r="R128" s="302"/>
      <c r="S128" s="301">
        <f>4.7*M128/100</f>
        <v>1.41</v>
      </c>
      <c r="T128" s="302"/>
      <c r="U128" s="301">
        <f>9.2*M128/100</f>
        <v>2.76</v>
      </c>
      <c r="V128" s="302"/>
      <c r="W128" s="343"/>
      <c r="X128" s="70"/>
      <c r="Y128" s="130"/>
      <c r="Z128" s="71"/>
    </row>
    <row r="129" spans="1:26" ht="15.75" thickBot="1" x14ac:dyDescent="0.3">
      <c r="A129" s="112"/>
      <c r="B129" s="297"/>
      <c r="C129" s="300"/>
      <c r="D129" s="298"/>
      <c r="E129" s="297"/>
      <c r="F129" s="300"/>
      <c r="G129" s="300"/>
      <c r="H129" s="298"/>
      <c r="I129" s="350"/>
      <c r="J129" s="351"/>
      <c r="K129" s="306"/>
      <c r="L129" s="307"/>
      <c r="M129" s="297"/>
      <c r="N129" s="298"/>
      <c r="O129" s="303"/>
      <c r="P129" s="304"/>
      <c r="Q129" s="303"/>
      <c r="R129" s="304"/>
      <c r="S129" s="303"/>
      <c r="T129" s="304"/>
      <c r="U129" s="303"/>
      <c r="V129" s="304"/>
      <c r="W129" s="344"/>
      <c r="X129" s="70"/>
      <c r="Y129" s="130"/>
      <c r="Z129" s="71"/>
    </row>
    <row r="130" spans="1:26" ht="15" customHeight="1" x14ac:dyDescent="0.25">
      <c r="A130" s="112"/>
      <c r="B130" s="308" t="s">
        <v>6</v>
      </c>
      <c r="C130" s="299"/>
      <c r="D130" s="296"/>
      <c r="E130" s="352" t="s">
        <v>95</v>
      </c>
      <c r="F130" s="353"/>
      <c r="G130" s="353"/>
      <c r="H130" s="354"/>
      <c r="I130" s="295">
        <v>4742870010555</v>
      </c>
      <c r="J130" s="305"/>
      <c r="K130" s="308">
        <v>22</v>
      </c>
      <c r="L130" s="296"/>
      <c r="M130" s="308">
        <v>20</v>
      </c>
      <c r="N130" s="296"/>
      <c r="O130" s="309">
        <v>66.8</v>
      </c>
      <c r="P130" s="310"/>
      <c r="Q130" s="309">
        <v>16.2</v>
      </c>
      <c r="R130" s="310"/>
      <c r="S130" s="309">
        <v>0</v>
      </c>
      <c r="T130" s="310"/>
      <c r="U130" s="309">
        <v>0</v>
      </c>
      <c r="V130" s="310"/>
      <c r="W130" s="345"/>
      <c r="X130" s="70"/>
      <c r="Y130" s="130"/>
      <c r="Z130" s="71"/>
    </row>
    <row r="131" spans="1:26" ht="15.75" thickBot="1" x14ac:dyDescent="0.3">
      <c r="A131" s="112"/>
      <c r="B131" s="297"/>
      <c r="C131" s="300"/>
      <c r="D131" s="298"/>
      <c r="E131" s="355"/>
      <c r="F131" s="356"/>
      <c r="G131" s="356"/>
      <c r="H131" s="357"/>
      <c r="I131" s="306"/>
      <c r="J131" s="307"/>
      <c r="K131" s="297"/>
      <c r="L131" s="298"/>
      <c r="M131" s="297"/>
      <c r="N131" s="298"/>
      <c r="O131" s="311"/>
      <c r="P131" s="312"/>
      <c r="Q131" s="311"/>
      <c r="R131" s="312"/>
      <c r="S131" s="311"/>
      <c r="T131" s="312"/>
      <c r="U131" s="311"/>
      <c r="V131" s="312"/>
      <c r="W131" s="346"/>
      <c r="X131" s="70"/>
      <c r="Y131" s="130"/>
      <c r="Z131" s="71"/>
    </row>
    <row r="132" spans="1:26" x14ac:dyDescent="0.25">
      <c r="A132" s="112"/>
      <c r="B132" s="308" t="s">
        <v>7</v>
      </c>
      <c r="C132" s="299"/>
      <c r="D132" s="296"/>
      <c r="E132" s="327" t="s">
        <v>66</v>
      </c>
      <c r="F132" s="328"/>
      <c r="G132" s="328"/>
      <c r="H132" s="329"/>
      <c r="I132" s="348"/>
      <c r="J132" s="296"/>
      <c r="K132" s="295">
        <v>4</v>
      </c>
      <c r="L132" s="305"/>
      <c r="M132" s="308">
        <v>2</v>
      </c>
      <c r="N132" s="296"/>
      <c r="O132" s="301">
        <v>0</v>
      </c>
      <c r="P132" s="302"/>
      <c r="Q132" s="301">
        <v>0</v>
      </c>
      <c r="R132" s="302"/>
      <c r="S132" s="301">
        <v>0</v>
      </c>
      <c r="T132" s="302"/>
      <c r="U132" s="301">
        <v>0</v>
      </c>
      <c r="V132" s="302"/>
      <c r="W132" s="347"/>
      <c r="X132" s="70"/>
      <c r="Y132" s="130"/>
      <c r="Z132" s="71"/>
    </row>
    <row r="133" spans="1:26" ht="15.75" thickBot="1" x14ac:dyDescent="0.3">
      <c r="A133" s="112"/>
      <c r="B133" s="297"/>
      <c r="C133" s="300"/>
      <c r="D133" s="298"/>
      <c r="E133" s="330"/>
      <c r="F133" s="331"/>
      <c r="G133" s="331"/>
      <c r="H133" s="332"/>
      <c r="I133" s="297"/>
      <c r="J133" s="298"/>
      <c r="K133" s="306"/>
      <c r="L133" s="307"/>
      <c r="M133" s="297"/>
      <c r="N133" s="298"/>
      <c r="O133" s="303"/>
      <c r="P133" s="304"/>
      <c r="Q133" s="303"/>
      <c r="R133" s="304"/>
      <c r="S133" s="303"/>
      <c r="T133" s="304"/>
      <c r="U133" s="303"/>
      <c r="V133" s="304"/>
      <c r="W133" s="344"/>
      <c r="X133" s="70"/>
      <c r="Y133" s="130"/>
      <c r="Z133" s="71"/>
    </row>
    <row r="134" spans="1:26" x14ac:dyDescent="0.25">
      <c r="A134" s="112"/>
      <c r="B134" s="308" t="s">
        <v>8</v>
      </c>
      <c r="C134" s="299"/>
      <c r="D134" s="296"/>
      <c r="E134" s="327" t="s">
        <v>8</v>
      </c>
      <c r="F134" s="328"/>
      <c r="G134" s="328"/>
      <c r="H134" s="329"/>
      <c r="I134" s="18"/>
      <c r="J134" s="18"/>
      <c r="K134" s="295"/>
      <c r="L134" s="305"/>
      <c r="M134" s="308"/>
      <c r="N134" s="296"/>
      <c r="O134" s="301"/>
      <c r="P134" s="302"/>
      <c r="Q134" s="301"/>
      <c r="R134" s="302"/>
      <c r="S134" s="301"/>
      <c r="T134" s="302"/>
      <c r="U134" s="301"/>
      <c r="V134" s="302"/>
      <c r="W134" s="347"/>
      <c r="X134" s="70"/>
      <c r="Y134" s="130"/>
      <c r="Z134" s="71"/>
    </row>
    <row r="135" spans="1:26" ht="15.75" thickBot="1" x14ac:dyDescent="0.3">
      <c r="A135" s="113"/>
      <c r="B135" s="297"/>
      <c r="C135" s="300"/>
      <c r="D135" s="298"/>
      <c r="E135" s="330"/>
      <c r="F135" s="331"/>
      <c r="G135" s="331"/>
      <c r="H135" s="332"/>
      <c r="I135" s="19"/>
      <c r="J135" s="19"/>
      <c r="K135" s="306"/>
      <c r="L135" s="307"/>
      <c r="M135" s="297"/>
      <c r="N135" s="298"/>
      <c r="O135" s="303"/>
      <c r="P135" s="304"/>
      <c r="Q135" s="303"/>
      <c r="R135" s="304"/>
      <c r="S135" s="303"/>
      <c r="T135" s="304"/>
      <c r="U135" s="303"/>
      <c r="V135" s="304"/>
      <c r="W135" s="344"/>
      <c r="X135" s="72"/>
      <c r="Y135" s="131"/>
      <c r="Z135" s="73"/>
    </row>
    <row r="136" spans="1:26" ht="15.75" thickBot="1" x14ac:dyDescent="0.3">
      <c r="A136" s="1"/>
      <c r="B136" s="156" t="s">
        <v>16</v>
      </c>
      <c r="C136" s="157"/>
      <c r="D136" s="158"/>
      <c r="E136" s="159"/>
      <c r="F136" s="160"/>
      <c r="G136" s="160"/>
      <c r="H136" s="161"/>
      <c r="I136" s="262"/>
      <c r="J136" s="263"/>
      <c r="K136" s="159">
        <f>SUM(K120:L135)</f>
        <v>618</v>
      </c>
      <c r="L136" s="161"/>
      <c r="M136" s="159">
        <f>SUM(M120:N135)</f>
        <v>582</v>
      </c>
      <c r="N136" s="161"/>
      <c r="O136" s="162">
        <f>SUM(O120:P135)</f>
        <v>1232.8</v>
      </c>
      <c r="P136" s="163"/>
      <c r="Q136" s="159">
        <f>SUM(Q120:R135)</f>
        <v>147.85999999999999</v>
      </c>
      <c r="R136" s="161"/>
      <c r="S136" s="159">
        <f>SUM(S120:T135)</f>
        <v>57.69</v>
      </c>
      <c r="T136" s="161"/>
      <c r="U136" s="159">
        <f>SUM(U120:V135)</f>
        <v>44.32</v>
      </c>
      <c r="V136" s="161"/>
      <c r="W136" s="20"/>
    </row>
    <row r="137" spans="1:26" ht="15" customHeight="1" x14ac:dyDescent="0.25">
      <c r="A137" s="111">
        <v>8</v>
      </c>
      <c r="B137" s="308" t="s">
        <v>1</v>
      </c>
      <c r="C137" s="299"/>
      <c r="D137" s="296"/>
      <c r="E137" s="317" t="s">
        <v>38</v>
      </c>
      <c r="F137" s="318"/>
      <c r="G137" s="318"/>
      <c r="H137" s="319"/>
      <c r="I137" s="295">
        <v>4742870012153</v>
      </c>
      <c r="J137" s="305"/>
      <c r="K137" s="308">
        <v>310</v>
      </c>
      <c r="L137" s="296"/>
      <c r="M137" s="308">
        <v>300</v>
      </c>
      <c r="N137" s="296"/>
      <c r="O137" s="309">
        <v>276</v>
      </c>
      <c r="P137" s="310"/>
      <c r="Q137" s="309">
        <v>36</v>
      </c>
      <c r="R137" s="310"/>
      <c r="S137" s="309">
        <v>10.5</v>
      </c>
      <c r="T137" s="310"/>
      <c r="U137" s="309">
        <v>7.5</v>
      </c>
      <c r="V137" s="310"/>
      <c r="W137" s="341"/>
      <c r="X137" s="68">
        <v>1200</v>
      </c>
      <c r="Y137" s="129"/>
      <c r="Z137" s="69"/>
    </row>
    <row r="138" spans="1:26" ht="15.75" thickBot="1" x14ac:dyDescent="0.3">
      <c r="A138" s="112"/>
      <c r="B138" s="297"/>
      <c r="C138" s="300"/>
      <c r="D138" s="298"/>
      <c r="E138" s="320"/>
      <c r="F138" s="321"/>
      <c r="G138" s="321"/>
      <c r="H138" s="322"/>
      <c r="I138" s="306"/>
      <c r="J138" s="307"/>
      <c r="K138" s="297"/>
      <c r="L138" s="298"/>
      <c r="M138" s="297"/>
      <c r="N138" s="298"/>
      <c r="O138" s="311"/>
      <c r="P138" s="312"/>
      <c r="Q138" s="311"/>
      <c r="R138" s="312"/>
      <c r="S138" s="311"/>
      <c r="T138" s="312"/>
      <c r="U138" s="311"/>
      <c r="V138" s="312"/>
      <c r="W138" s="342"/>
      <c r="X138" s="70"/>
      <c r="Y138" s="130"/>
      <c r="Z138" s="71"/>
    </row>
    <row r="139" spans="1:26" ht="15" customHeight="1" x14ac:dyDescent="0.25">
      <c r="A139" s="112"/>
      <c r="B139" s="308" t="s">
        <v>2</v>
      </c>
      <c r="C139" s="299"/>
      <c r="D139" s="296"/>
      <c r="E139" s="308" t="s">
        <v>20</v>
      </c>
      <c r="F139" s="299"/>
      <c r="G139" s="299"/>
      <c r="H139" s="296"/>
      <c r="I139" s="295"/>
      <c r="J139" s="299"/>
      <c r="K139" s="295">
        <v>55</v>
      </c>
      <c r="L139" s="305"/>
      <c r="M139" s="299">
        <v>50</v>
      </c>
      <c r="N139" s="296"/>
      <c r="O139" s="301">
        <v>260</v>
      </c>
      <c r="P139" s="302"/>
      <c r="Q139" s="301">
        <v>50</v>
      </c>
      <c r="R139" s="302"/>
      <c r="S139" s="301">
        <v>6</v>
      </c>
      <c r="T139" s="302"/>
      <c r="U139" s="301">
        <v>5</v>
      </c>
      <c r="V139" s="302"/>
      <c r="W139" s="341"/>
      <c r="X139" s="70"/>
      <c r="Y139" s="130"/>
      <c r="Z139" s="71"/>
    </row>
    <row r="140" spans="1:26" ht="15.95" customHeight="1" thickBot="1" x14ac:dyDescent="0.3">
      <c r="A140" s="112"/>
      <c r="B140" s="297"/>
      <c r="C140" s="300"/>
      <c r="D140" s="298"/>
      <c r="E140" s="297"/>
      <c r="F140" s="300"/>
      <c r="G140" s="300"/>
      <c r="H140" s="298"/>
      <c r="I140" s="297"/>
      <c r="J140" s="300"/>
      <c r="K140" s="306"/>
      <c r="L140" s="307"/>
      <c r="M140" s="300"/>
      <c r="N140" s="298"/>
      <c r="O140" s="303"/>
      <c r="P140" s="304"/>
      <c r="Q140" s="303"/>
      <c r="R140" s="304"/>
      <c r="S140" s="303"/>
      <c r="T140" s="304"/>
      <c r="U140" s="303"/>
      <c r="V140" s="304"/>
      <c r="W140" s="342"/>
      <c r="X140" s="70"/>
      <c r="Y140" s="130"/>
      <c r="Z140" s="71"/>
    </row>
    <row r="141" spans="1:26" x14ac:dyDescent="0.25">
      <c r="A141" s="112"/>
      <c r="B141" s="308" t="s">
        <v>3</v>
      </c>
      <c r="C141" s="299"/>
      <c r="D141" s="296"/>
      <c r="E141" s="308" t="s">
        <v>102</v>
      </c>
      <c r="F141" s="299"/>
      <c r="G141" s="299"/>
      <c r="H141" s="296"/>
      <c r="I141" s="295"/>
      <c r="J141" s="305"/>
      <c r="K141" s="308">
        <v>130</v>
      </c>
      <c r="L141" s="296"/>
      <c r="M141" s="308">
        <v>120</v>
      </c>
      <c r="N141" s="296"/>
      <c r="O141" s="309">
        <v>231</v>
      </c>
      <c r="P141" s="310"/>
      <c r="Q141" s="309">
        <f>0*M141/120</f>
        <v>0</v>
      </c>
      <c r="R141" s="310"/>
      <c r="S141" s="309">
        <v>30</v>
      </c>
      <c r="T141" s="310"/>
      <c r="U141" s="309">
        <v>12</v>
      </c>
      <c r="V141" s="310"/>
      <c r="W141" s="343"/>
      <c r="X141" s="70"/>
      <c r="Y141" s="130"/>
      <c r="Z141" s="71"/>
    </row>
    <row r="142" spans="1:26" ht="15.75" thickBot="1" x14ac:dyDescent="0.3">
      <c r="A142" s="112"/>
      <c r="B142" s="297"/>
      <c r="C142" s="300"/>
      <c r="D142" s="298"/>
      <c r="E142" s="297"/>
      <c r="F142" s="300"/>
      <c r="G142" s="300"/>
      <c r="H142" s="298"/>
      <c r="I142" s="306"/>
      <c r="J142" s="307"/>
      <c r="K142" s="297"/>
      <c r="L142" s="298"/>
      <c r="M142" s="297"/>
      <c r="N142" s="298"/>
      <c r="O142" s="311"/>
      <c r="P142" s="312"/>
      <c r="Q142" s="311"/>
      <c r="R142" s="312"/>
      <c r="S142" s="311"/>
      <c r="T142" s="312"/>
      <c r="U142" s="311"/>
      <c r="V142" s="312"/>
      <c r="W142" s="344"/>
      <c r="X142" s="70"/>
      <c r="Y142" s="130"/>
      <c r="Z142" s="71"/>
    </row>
    <row r="143" spans="1:26" ht="15" customHeight="1" x14ac:dyDescent="0.25">
      <c r="A143" s="112"/>
      <c r="B143" s="308" t="s">
        <v>4</v>
      </c>
      <c r="C143" s="299"/>
      <c r="D143" s="296"/>
      <c r="E143" s="327" t="s">
        <v>61</v>
      </c>
      <c r="F143" s="328"/>
      <c r="G143" s="328"/>
      <c r="H143" s="329"/>
      <c r="I143" s="348"/>
      <c r="J143" s="349"/>
      <c r="K143" s="327">
        <v>65</v>
      </c>
      <c r="L143" s="329"/>
      <c r="M143" s="308">
        <v>60</v>
      </c>
      <c r="N143" s="296"/>
      <c r="O143" s="301">
        <f>480*M143/100</f>
        <v>288</v>
      </c>
      <c r="P143" s="302"/>
      <c r="Q143" s="301">
        <f>50.8*M143/100</f>
        <v>30.48</v>
      </c>
      <c r="R143" s="302"/>
      <c r="S143" s="301">
        <f>12.8*M143/100</f>
        <v>7.68</v>
      </c>
      <c r="T143" s="302"/>
      <c r="U143" s="301">
        <f>24.1*M143/100</f>
        <v>14.46</v>
      </c>
      <c r="V143" s="302"/>
      <c r="W143" s="343"/>
      <c r="X143" s="70"/>
      <c r="Y143" s="130"/>
      <c r="Z143" s="71"/>
    </row>
    <row r="144" spans="1:26" ht="15.75" thickBot="1" x14ac:dyDescent="0.3">
      <c r="A144" s="112"/>
      <c r="B144" s="297"/>
      <c r="C144" s="300"/>
      <c r="D144" s="298"/>
      <c r="E144" s="330"/>
      <c r="F144" s="331"/>
      <c r="G144" s="331"/>
      <c r="H144" s="332"/>
      <c r="I144" s="350"/>
      <c r="J144" s="351"/>
      <c r="K144" s="330"/>
      <c r="L144" s="332"/>
      <c r="M144" s="297"/>
      <c r="N144" s="298"/>
      <c r="O144" s="303"/>
      <c r="P144" s="304"/>
      <c r="Q144" s="303"/>
      <c r="R144" s="304"/>
      <c r="S144" s="303"/>
      <c r="T144" s="304"/>
      <c r="U144" s="303"/>
      <c r="V144" s="304"/>
      <c r="W144" s="344"/>
      <c r="X144" s="70"/>
      <c r="Y144" s="130"/>
      <c r="Z144" s="71"/>
    </row>
    <row r="145" spans="1:26" x14ac:dyDescent="0.25">
      <c r="A145" s="112"/>
      <c r="B145" s="308" t="s">
        <v>5</v>
      </c>
      <c r="C145" s="299"/>
      <c r="D145" s="296"/>
      <c r="E145" s="308" t="s">
        <v>25</v>
      </c>
      <c r="F145" s="299"/>
      <c r="G145" s="299"/>
      <c r="H145" s="296"/>
      <c r="I145" s="295">
        <v>4742870011972</v>
      </c>
      <c r="J145" s="296"/>
      <c r="K145" s="295">
        <v>32</v>
      </c>
      <c r="L145" s="305"/>
      <c r="M145" s="308">
        <v>30</v>
      </c>
      <c r="N145" s="296"/>
      <c r="O145" s="309">
        <v>177</v>
      </c>
      <c r="P145" s="310"/>
      <c r="Q145" s="309">
        <v>6.03</v>
      </c>
      <c r="R145" s="310"/>
      <c r="S145" s="309">
        <v>8.8800000000000008</v>
      </c>
      <c r="T145" s="310"/>
      <c r="U145" s="309">
        <v>13.8</v>
      </c>
      <c r="V145" s="310"/>
      <c r="W145" s="343"/>
      <c r="X145" s="70"/>
      <c r="Y145" s="130"/>
      <c r="Z145" s="71"/>
    </row>
    <row r="146" spans="1:26" ht="15.75" thickBot="1" x14ac:dyDescent="0.3">
      <c r="A146" s="112"/>
      <c r="B146" s="297"/>
      <c r="C146" s="300"/>
      <c r="D146" s="298"/>
      <c r="E146" s="297"/>
      <c r="F146" s="300"/>
      <c r="G146" s="300"/>
      <c r="H146" s="298"/>
      <c r="I146" s="297"/>
      <c r="J146" s="298"/>
      <c r="K146" s="306"/>
      <c r="L146" s="307"/>
      <c r="M146" s="297"/>
      <c r="N146" s="298"/>
      <c r="O146" s="311"/>
      <c r="P146" s="312"/>
      <c r="Q146" s="311"/>
      <c r="R146" s="312"/>
      <c r="S146" s="311"/>
      <c r="T146" s="312"/>
      <c r="U146" s="311"/>
      <c r="V146" s="312"/>
      <c r="W146" s="344"/>
      <c r="X146" s="70"/>
      <c r="Y146" s="130"/>
      <c r="Z146" s="71"/>
    </row>
    <row r="147" spans="1:26" ht="15" customHeight="1" x14ac:dyDescent="0.25">
      <c r="A147" s="112"/>
      <c r="B147" s="308" t="s">
        <v>6</v>
      </c>
      <c r="C147" s="299"/>
      <c r="D147" s="296"/>
      <c r="E147" s="352" t="s">
        <v>96</v>
      </c>
      <c r="F147" s="353"/>
      <c r="G147" s="353"/>
      <c r="H147" s="354"/>
      <c r="I147" s="295">
        <v>4742870010579</v>
      </c>
      <c r="J147" s="305"/>
      <c r="K147" s="308">
        <v>22</v>
      </c>
      <c r="L147" s="296"/>
      <c r="M147" s="308">
        <v>20</v>
      </c>
      <c r="N147" s="296"/>
      <c r="O147" s="309">
        <v>66.400000000000006</v>
      </c>
      <c r="P147" s="310"/>
      <c r="Q147" s="309">
        <v>16</v>
      </c>
      <c r="R147" s="310"/>
      <c r="S147" s="309">
        <v>0</v>
      </c>
      <c r="T147" s="310"/>
      <c r="U147" s="309">
        <v>0</v>
      </c>
      <c r="V147" s="310"/>
      <c r="W147" s="345"/>
      <c r="X147" s="70"/>
      <c r="Y147" s="130"/>
      <c r="Z147" s="71"/>
    </row>
    <row r="148" spans="1:26" ht="15.75" thickBot="1" x14ac:dyDescent="0.3">
      <c r="A148" s="112"/>
      <c r="B148" s="297"/>
      <c r="C148" s="300"/>
      <c r="D148" s="298"/>
      <c r="E148" s="355"/>
      <c r="F148" s="356"/>
      <c r="G148" s="356"/>
      <c r="H148" s="357"/>
      <c r="I148" s="306"/>
      <c r="J148" s="307"/>
      <c r="K148" s="297"/>
      <c r="L148" s="298"/>
      <c r="M148" s="297"/>
      <c r="N148" s="298"/>
      <c r="O148" s="311"/>
      <c r="P148" s="312"/>
      <c r="Q148" s="311"/>
      <c r="R148" s="312"/>
      <c r="S148" s="311"/>
      <c r="T148" s="312"/>
      <c r="U148" s="311"/>
      <c r="V148" s="312"/>
      <c r="W148" s="346"/>
      <c r="X148" s="70"/>
      <c r="Y148" s="130"/>
      <c r="Z148" s="71"/>
    </row>
    <row r="149" spans="1:26" x14ac:dyDescent="0.25">
      <c r="A149" s="112"/>
      <c r="B149" s="308" t="s">
        <v>7</v>
      </c>
      <c r="C149" s="299"/>
      <c r="D149" s="296"/>
      <c r="E149" s="327" t="s">
        <v>66</v>
      </c>
      <c r="F149" s="328"/>
      <c r="G149" s="328"/>
      <c r="H149" s="329"/>
      <c r="I149" s="348"/>
      <c r="J149" s="296"/>
      <c r="K149" s="295">
        <v>4</v>
      </c>
      <c r="L149" s="305"/>
      <c r="M149" s="308">
        <v>2</v>
      </c>
      <c r="N149" s="296"/>
      <c r="O149" s="301">
        <v>0</v>
      </c>
      <c r="P149" s="302"/>
      <c r="Q149" s="301">
        <v>0</v>
      </c>
      <c r="R149" s="302"/>
      <c r="S149" s="301">
        <v>0</v>
      </c>
      <c r="T149" s="302"/>
      <c r="U149" s="301">
        <v>0</v>
      </c>
      <c r="V149" s="302"/>
      <c r="W149" s="347"/>
      <c r="X149" s="70"/>
      <c r="Y149" s="130"/>
      <c r="Z149" s="71"/>
    </row>
    <row r="150" spans="1:26" ht="15.75" thickBot="1" x14ac:dyDescent="0.3">
      <c r="A150" s="112"/>
      <c r="B150" s="297"/>
      <c r="C150" s="300"/>
      <c r="D150" s="298"/>
      <c r="E150" s="330"/>
      <c r="F150" s="331"/>
      <c r="G150" s="331"/>
      <c r="H150" s="332"/>
      <c r="I150" s="297"/>
      <c r="J150" s="298"/>
      <c r="K150" s="306"/>
      <c r="L150" s="307"/>
      <c r="M150" s="297"/>
      <c r="N150" s="298"/>
      <c r="O150" s="303"/>
      <c r="P150" s="304"/>
      <c r="Q150" s="303"/>
      <c r="R150" s="304"/>
      <c r="S150" s="303"/>
      <c r="T150" s="304"/>
      <c r="U150" s="303"/>
      <c r="V150" s="304"/>
      <c r="W150" s="344"/>
      <c r="X150" s="70"/>
      <c r="Y150" s="130"/>
      <c r="Z150" s="71"/>
    </row>
    <row r="151" spans="1:26" x14ac:dyDescent="0.25">
      <c r="A151" s="112"/>
      <c r="B151" s="308" t="s">
        <v>8</v>
      </c>
      <c r="C151" s="299"/>
      <c r="D151" s="296"/>
      <c r="E151" s="327" t="s">
        <v>8</v>
      </c>
      <c r="F151" s="328"/>
      <c r="G151" s="328"/>
      <c r="H151" s="329"/>
      <c r="I151" s="18"/>
      <c r="J151" s="18"/>
      <c r="K151" s="295"/>
      <c r="L151" s="305"/>
      <c r="M151" s="308"/>
      <c r="N151" s="296"/>
      <c r="O151" s="301"/>
      <c r="P151" s="302"/>
      <c r="Q151" s="301"/>
      <c r="R151" s="302"/>
      <c r="S151" s="301"/>
      <c r="T151" s="302"/>
      <c r="U151" s="301"/>
      <c r="V151" s="302"/>
      <c r="W151" s="347"/>
      <c r="X151" s="70"/>
      <c r="Y151" s="130"/>
      <c r="Z151" s="71"/>
    </row>
    <row r="152" spans="1:26" ht="15.75" thickBot="1" x14ac:dyDescent="0.3">
      <c r="A152" s="113"/>
      <c r="B152" s="297"/>
      <c r="C152" s="300"/>
      <c r="D152" s="298"/>
      <c r="E152" s="330"/>
      <c r="F152" s="331"/>
      <c r="G152" s="331"/>
      <c r="H152" s="332"/>
      <c r="I152" s="19"/>
      <c r="J152" s="19"/>
      <c r="K152" s="306"/>
      <c r="L152" s="307"/>
      <c r="M152" s="297"/>
      <c r="N152" s="298"/>
      <c r="O152" s="303"/>
      <c r="P152" s="304"/>
      <c r="Q152" s="303"/>
      <c r="R152" s="304"/>
      <c r="S152" s="303"/>
      <c r="T152" s="304"/>
      <c r="U152" s="303"/>
      <c r="V152" s="304"/>
      <c r="W152" s="344"/>
      <c r="X152" s="72"/>
      <c r="Y152" s="131"/>
      <c r="Z152" s="73"/>
    </row>
    <row r="153" spans="1:26" ht="15.75" thickBot="1" x14ac:dyDescent="0.3">
      <c r="A153" s="1"/>
      <c r="B153" s="156" t="s">
        <v>16</v>
      </c>
      <c r="C153" s="157"/>
      <c r="D153" s="158"/>
      <c r="E153" s="159"/>
      <c r="F153" s="160"/>
      <c r="G153" s="160"/>
      <c r="H153" s="161"/>
      <c r="I153" s="159"/>
      <c r="J153" s="161"/>
      <c r="K153" s="159">
        <f>SUM(K137:L152)</f>
        <v>618</v>
      </c>
      <c r="L153" s="161"/>
      <c r="M153" s="159">
        <f>SUM(M137:N152)</f>
        <v>582</v>
      </c>
      <c r="N153" s="161"/>
      <c r="O153" s="162">
        <f>SUM(O137:P152)</f>
        <v>1298.4000000000001</v>
      </c>
      <c r="P153" s="163"/>
      <c r="Q153" s="159">
        <f>SUM(Q137:R152)</f>
        <v>138.51</v>
      </c>
      <c r="R153" s="161"/>
      <c r="S153" s="159">
        <f>SUM(S137:T152)</f>
        <v>63.06</v>
      </c>
      <c r="T153" s="161"/>
      <c r="U153" s="159">
        <f>SUM(U137:V152)</f>
        <v>52.760000000000005</v>
      </c>
      <c r="V153" s="161"/>
      <c r="W153" s="20"/>
    </row>
    <row r="155" spans="1:26" x14ac:dyDescent="0.25">
      <c r="W155" s="25"/>
    </row>
    <row r="156" spans="1:26" ht="15" customHeight="1" x14ac:dyDescent="0.25">
      <c r="W156" s="26"/>
    </row>
  </sheetData>
  <mergeCells count="773">
    <mergeCell ref="B3:Q3"/>
    <mergeCell ref="A7:A9"/>
    <mergeCell ref="B7:D9"/>
    <mergeCell ref="E7:H9"/>
    <mergeCell ref="I7:J9"/>
    <mergeCell ref="K7:L9"/>
    <mergeCell ref="M7:N9"/>
    <mergeCell ref="O7:P9"/>
    <mergeCell ref="Q7:R9"/>
    <mergeCell ref="S7:T9"/>
    <mergeCell ref="U7:V9"/>
    <mergeCell ref="W7:W9"/>
    <mergeCell ref="X7:Z9"/>
    <mergeCell ref="A10:A27"/>
    <mergeCell ref="B10:D11"/>
    <mergeCell ref="E10:H11"/>
    <mergeCell ref="I10:J11"/>
    <mergeCell ref="K10:L11"/>
    <mergeCell ref="W10:W11"/>
    <mergeCell ref="X10:Z27"/>
    <mergeCell ref="B12:D13"/>
    <mergeCell ref="E12:H13"/>
    <mergeCell ref="I12:J13"/>
    <mergeCell ref="K12:L13"/>
    <mergeCell ref="M12:N13"/>
    <mergeCell ref="O12:P13"/>
    <mergeCell ref="Q12:R13"/>
    <mergeCell ref="S12:T13"/>
    <mergeCell ref="M10:N11"/>
    <mergeCell ref="O10:P11"/>
    <mergeCell ref="Q10:R11"/>
    <mergeCell ref="S10:T11"/>
    <mergeCell ref="U10:V11"/>
    <mergeCell ref="U12:V13"/>
    <mergeCell ref="W12:W13"/>
    <mergeCell ref="B14:D15"/>
    <mergeCell ref="E14:H15"/>
    <mergeCell ref="I14:J15"/>
    <mergeCell ref="K14:L15"/>
    <mergeCell ref="M14:N15"/>
    <mergeCell ref="O14:P15"/>
    <mergeCell ref="Q14:R15"/>
    <mergeCell ref="Q16:R17"/>
    <mergeCell ref="S16:T17"/>
    <mergeCell ref="U16:V17"/>
    <mergeCell ref="W16:W17"/>
    <mergeCell ref="S14:T15"/>
    <mergeCell ref="U14:V15"/>
    <mergeCell ref="W14:W15"/>
    <mergeCell ref="B16:D17"/>
    <mergeCell ref="E16:H17"/>
    <mergeCell ref="I16:J17"/>
    <mergeCell ref="K16:L17"/>
    <mergeCell ref="M16:N17"/>
    <mergeCell ref="O16:P17"/>
    <mergeCell ref="B22:D23"/>
    <mergeCell ref="E22:H23"/>
    <mergeCell ref="I22:J23"/>
    <mergeCell ref="K22:L23"/>
    <mergeCell ref="M22:N23"/>
    <mergeCell ref="B18:D19"/>
    <mergeCell ref="E18:H19"/>
    <mergeCell ref="I18:J19"/>
    <mergeCell ref="K18:L19"/>
    <mergeCell ref="M18:N19"/>
    <mergeCell ref="B20:D21"/>
    <mergeCell ref="E20:H21"/>
    <mergeCell ref="I20:J21"/>
    <mergeCell ref="K20:L21"/>
    <mergeCell ref="M20:N21"/>
    <mergeCell ref="O22:P23"/>
    <mergeCell ref="Q22:R23"/>
    <mergeCell ref="S22:T23"/>
    <mergeCell ref="U22:V23"/>
    <mergeCell ref="W22:W23"/>
    <mergeCell ref="Q18:R19"/>
    <mergeCell ref="S18:T19"/>
    <mergeCell ref="U18:V19"/>
    <mergeCell ref="W18:W19"/>
    <mergeCell ref="O18:P19"/>
    <mergeCell ref="O20:P21"/>
    <mergeCell ref="Q20:R21"/>
    <mergeCell ref="S20:T21"/>
    <mergeCell ref="U20:V21"/>
    <mergeCell ref="W20:W21"/>
    <mergeCell ref="Q24:R25"/>
    <mergeCell ref="S24:T25"/>
    <mergeCell ref="U24:V25"/>
    <mergeCell ref="W24:W25"/>
    <mergeCell ref="B26:D27"/>
    <mergeCell ref="E26:H27"/>
    <mergeCell ref="K26:L27"/>
    <mergeCell ref="M26:N27"/>
    <mergeCell ref="O26:P27"/>
    <mergeCell ref="B24:D25"/>
    <mergeCell ref="E24:H25"/>
    <mergeCell ref="I24:J25"/>
    <mergeCell ref="K24:L25"/>
    <mergeCell ref="M24:N25"/>
    <mergeCell ref="O24:P25"/>
    <mergeCell ref="Q26:R27"/>
    <mergeCell ref="S26:T27"/>
    <mergeCell ref="U26:V27"/>
    <mergeCell ref="W26:W27"/>
    <mergeCell ref="B28:D28"/>
    <mergeCell ref="E28:H28"/>
    <mergeCell ref="I28:J28"/>
    <mergeCell ref="K28:L28"/>
    <mergeCell ref="M28:N28"/>
    <mergeCell ref="O28:P28"/>
    <mergeCell ref="Q28:R28"/>
    <mergeCell ref="S28:T28"/>
    <mergeCell ref="U28:V28"/>
    <mergeCell ref="A29:A46"/>
    <mergeCell ref="B29:D30"/>
    <mergeCell ref="E29:H30"/>
    <mergeCell ref="I29:J30"/>
    <mergeCell ref="K29:L30"/>
    <mergeCell ref="M29:N30"/>
    <mergeCell ref="X29:Z46"/>
    <mergeCell ref="B31:D32"/>
    <mergeCell ref="E31:H32"/>
    <mergeCell ref="I31:J32"/>
    <mergeCell ref="K31:L32"/>
    <mergeCell ref="M31:N32"/>
    <mergeCell ref="O31:P32"/>
    <mergeCell ref="Q31:R32"/>
    <mergeCell ref="S31:T32"/>
    <mergeCell ref="U31:V32"/>
    <mergeCell ref="O29:P30"/>
    <mergeCell ref="Q29:R30"/>
    <mergeCell ref="S29:T30"/>
    <mergeCell ref="U29:V30"/>
    <mergeCell ref="W29:W30"/>
    <mergeCell ref="W31:W32"/>
    <mergeCell ref="B33:D34"/>
    <mergeCell ref="E33:H34"/>
    <mergeCell ref="I33:J34"/>
    <mergeCell ref="K33:L34"/>
    <mergeCell ref="M33:N34"/>
    <mergeCell ref="O33:P34"/>
    <mergeCell ref="Q33:R34"/>
    <mergeCell ref="S33:T34"/>
    <mergeCell ref="S35:T36"/>
    <mergeCell ref="U35:V36"/>
    <mergeCell ref="W35:W36"/>
    <mergeCell ref="U33:V34"/>
    <mergeCell ref="W33:W34"/>
    <mergeCell ref="B35:D36"/>
    <mergeCell ref="E35:H36"/>
    <mergeCell ref="I35:J36"/>
    <mergeCell ref="K35:L36"/>
    <mergeCell ref="M35:N36"/>
    <mergeCell ref="O35:P36"/>
    <mergeCell ref="Q35:R36"/>
    <mergeCell ref="O37:P38"/>
    <mergeCell ref="Q37:R38"/>
    <mergeCell ref="S37:T38"/>
    <mergeCell ref="U37:V38"/>
    <mergeCell ref="W37:W38"/>
    <mergeCell ref="B37:D38"/>
    <mergeCell ref="E37:H38"/>
    <mergeCell ref="I37:J38"/>
    <mergeCell ref="K37:L38"/>
    <mergeCell ref="M37:N38"/>
    <mergeCell ref="B43:D44"/>
    <mergeCell ref="E43:H44"/>
    <mergeCell ref="I43:J44"/>
    <mergeCell ref="K43:L44"/>
    <mergeCell ref="M43:N44"/>
    <mergeCell ref="B41:D42"/>
    <mergeCell ref="E41:H42"/>
    <mergeCell ref="I41:J42"/>
    <mergeCell ref="K41:L42"/>
    <mergeCell ref="M41:N42"/>
    <mergeCell ref="O43:P44"/>
    <mergeCell ref="Q43:R44"/>
    <mergeCell ref="S43:T44"/>
    <mergeCell ref="U43:V44"/>
    <mergeCell ref="W43:W44"/>
    <mergeCell ref="Q41:R42"/>
    <mergeCell ref="U41:V42"/>
    <mergeCell ref="W41:W42"/>
    <mergeCell ref="O41:P42"/>
    <mergeCell ref="W45:W46"/>
    <mergeCell ref="B47:D47"/>
    <mergeCell ref="E47:H47"/>
    <mergeCell ref="I47:J47"/>
    <mergeCell ref="K47:L47"/>
    <mergeCell ref="M47:N47"/>
    <mergeCell ref="O47:P47"/>
    <mergeCell ref="B45:D46"/>
    <mergeCell ref="E45:H46"/>
    <mergeCell ref="K45:L46"/>
    <mergeCell ref="M45:N46"/>
    <mergeCell ref="O45:P46"/>
    <mergeCell ref="Q45:R46"/>
    <mergeCell ref="U47:V47"/>
    <mergeCell ref="A48:A65"/>
    <mergeCell ref="B48:D49"/>
    <mergeCell ref="E48:H49"/>
    <mergeCell ref="I48:J49"/>
    <mergeCell ref="K48:L49"/>
    <mergeCell ref="M48:N49"/>
    <mergeCell ref="O48:P49"/>
    <mergeCell ref="S45:T46"/>
    <mergeCell ref="U45:V46"/>
    <mergeCell ref="Q48:R49"/>
    <mergeCell ref="S48:T49"/>
    <mergeCell ref="U48:V49"/>
    <mergeCell ref="B52:D53"/>
    <mergeCell ref="E52:H53"/>
    <mergeCell ref="I52:J53"/>
    <mergeCell ref="K52:L53"/>
    <mergeCell ref="M52:N53"/>
    <mergeCell ref="B50:D51"/>
    <mergeCell ref="E50:H51"/>
    <mergeCell ref="I50:J51"/>
    <mergeCell ref="K50:L51"/>
    <mergeCell ref="M50:N51"/>
    <mergeCell ref="B60:D61"/>
    <mergeCell ref="E60:H61"/>
    <mergeCell ref="X48:Z65"/>
    <mergeCell ref="Q50:R51"/>
    <mergeCell ref="S50:T51"/>
    <mergeCell ref="U50:V51"/>
    <mergeCell ref="Q60:R61"/>
    <mergeCell ref="S60:T61"/>
    <mergeCell ref="U60:V61"/>
    <mergeCell ref="W60:W61"/>
    <mergeCell ref="Q56:R57"/>
    <mergeCell ref="S56:T57"/>
    <mergeCell ref="U56:V57"/>
    <mergeCell ref="W56:W57"/>
    <mergeCell ref="Q62:R63"/>
    <mergeCell ref="S62:T63"/>
    <mergeCell ref="U62:V63"/>
    <mergeCell ref="W62:W63"/>
    <mergeCell ref="Q54:R55"/>
    <mergeCell ref="S54:T55"/>
    <mergeCell ref="W50:W51"/>
    <mergeCell ref="Q52:R53"/>
    <mergeCell ref="S52:T53"/>
    <mergeCell ref="U52:V53"/>
    <mergeCell ref="S64:T65"/>
    <mergeCell ref="U64:V65"/>
    <mergeCell ref="B56:D57"/>
    <mergeCell ref="E56:H57"/>
    <mergeCell ref="I56:J57"/>
    <mergeCell ref="K56:L57"/>
    <mergeCell ref="M56:N57"/>
    <mergeCell ref="O60:P61"/>
    <mergeCell ref="W48:W49"/>
    <mergeCell ref="O56:P57"/>
    <mergeCell ref="O54:P55"/>
    <mergeCell ref="O52:P53"/>
    <mergeCell ref="O50:P51"/>
    <mergeCell ref="K54:L55"/>
    <mergeCell ref="M54:N55"/>
    <mergeCell ref="W64:W65"/>
    <mergeCell ref="I60:J61"/>
    <mergeCell ref="K60:L61"/>
    <mergeCell ref="M60:N61"/>
    <mergeCell ref="B66:D66"/>
    <mergeCell ref="E66:H66"/>
    <mergeCell ref="I66:J66"/>
    <mergeCell ref="K66:L66"/>
    <mergeCell ref="M66:N66"/>
    <mergeCell ref="O66:P66"/>
    <mergeCell ref="Q66:R66"/>
    <mergeCell ref="S66:T66"/>
    <mergeCell ref="U66:V66"/>
    <mergeCell ref="B64:D65"/>
    <mergeCell ref="E64:H65"/>
    <mergeCell ref="K64:L65"/>
    <mergeCell ref="M64:N65"/>
    <mergeCell ref="O64:P65"/>
    <mergeCell ref="B62:D63"/>
    <mergeCell ref="E62:H63"/>
    <mergeCell ref="I62:J63"/>
    <mergeCell ref="K62:L63"/>
    <mergeCell ref="M62:N63"/>
    <mergeCell ref="O62:P63"/>
    <mergeCell ref="A67:A84"/>
    <mergeCell ref="B67:D68"/>
    <mergeCell ref="E67:H68"/>
    <mergeCell ref="I67:J68"/>
    <mergeCell ref="K67:L68"/>
    <mergeCell ref="M67:N68"/>
    <mergeCell ref="X67:Z84"/>
    <mergeCell ref="B69:D70"/>
    <mergeCell ref="E69:H70"/>
    <mergeCell ref="I69:J70"/>
    <mergeCell ref="K69:L70"/>
    <mergeCell ref="M69:N70"/>
    <mergeCell ref="O69:P70"/>
    <mergeCell ref="Q69:R70"/>
    <mergeCell ref="S69:T70"/>
    <mergeCell ref="U69:V70"/>
    <mergeCell ref="O67:P68"/>
    <mergeCell ref="Q67:R68"/>
    <mergeCell ref="S67:T68"/>
    <mergeCell ref="U67:V68"/>
    <mergeCell ref="W67:W68"/>
    <mergeCell ref="W69:W70"/>
    <mergeCell ref="B71:D72"/>
    <mergeCell ref="E71:H72"/>
    <mergeCell ref="I71:J72"/>
    <mergeCell ref="K71:L72"/>
    <mergeCell ref="M71:N72"/>
    <mergeCell ref="O71:P72"/>
    <mergeCell ref="Q71:R72"/>
    <mergeCell ref="S71:T72"/>
    <mergeCell ref="U73:V74"/>
    <mergeCell ref="W73:W74"/>
    <mergeCell ref="U71:V72"/>
    <mergeCell ref="W71:W72"/>
    <mergeCell ref="S73:T74"/>
    <mergeCell ref="E73:H74"/>
    <mergeCell ref="I73:J74"/>
    <mergeCell ref="K73:L74"/>
    <mergeCell ref="M73:N74"/>
    <mergeCell ref="O73:P74"/>
    <mergeCell ref="Q73:R74"/>
    <mergeCell ref="B81:D82"/>
    <mergeCell ref="E81:H82"/>
    <mergeCell ref="I81:J82"/>
    <mergeCell ref="K81:L82"/>
    <mergeCell ref="M81:N82"/>
    <mergeCell ref="B79:D80"/>
    <mergeCell ref="E79:H80"/>
    <mergeCell ref="I79:J80"/>
    <mergeCell ref="K79:L80"/>
    <mergeCell ref="M79:N80"/>
    <mergeCell ref="O81:P82"/>
    <mergeCell ref="Q81:R82"/>
    <mergeCell ref="M75:N76"/>
    <mergeCell ref="Q77:R78"/>
    <mergeCell ref="B83:D84"/>
    <mergeCell ref="E83:H84"/>
    <mergeCell ref="K83:L84"/>
    <mergeCell ref="M83:N84"/>
    <mergeCell ref="O83:P84"/>
    <mergeCell ref="S81:T82"/>
    <mergeCell ref="U81:V82"/>
    <mergeCell ref="W81:W82"/>
    <mergeCell ref="Q79:R80"/>
    <mergeCell ref="S79:T80"/>
    <mergeCell ref="U79:V80"/>
    <mergeCell ref="W79:W80"/>
    <mergeCell ref="O79:P80"/>
    <mergeCell ref="S83:T84"/>
    <mergeCell ref="U83:V84"/>
    <mergeCell ref="W83:W84"/>
    <mergeCell ref="Q83:R84"/>
    <mergeCell ref="U85:V85"/>
    <mergeCell ref="W88:W89"/>
    <mergeCell ref="U96:V97"/>
    <mergeCell ref="W96:W97"/>
    <mergeCell ref="U94:V95"/>
    <mergeCell ref="W94:W95"/>
    <mergeCell ref="W100:W101"/>
    <mergeCell ref="B85:D85"/>
    <mergeCell ref="E85:H85"/>
    <mergeCell ref="I85:J85"/>
    <mergeCell ref="K85:L85"/>
    <mergeCell ref="M85:N85"/>
    <mergeCell ref="O85:P85"/>
    <mergeCell ref="U90:V91"/>
    <mergeCell ref="Q86:R87"/>
    <mergeCell ref="S86:T87"/>
    <mergeCell ref="U86:V87"/>
    <mergeCell ref="W86:W87"/>
    <mergeCell ref="K90:L91"/>
    <mergeCell ref="M90:N91"/>
    <mergeCell ref="O90:P91"/>
    <mergeCell ref="Q90:R91"/>
    <mergeCell ref="B94:D95"/>
    <mergeCell ref="E94:H95"/>
    <mergeCell ref="X86:Z101"/>
    <mergeCell ref="Q88:R89"/>
    <mergeCell ref="S88:T89"/>
    <mergeCell ref="U88:V89"/>
    <mergeCell ref="B88:D89"/>
    <mergeCell ref="E88:H89"/>
    <mergeCell ref="I88:J89"/>
    <mergeCell ref="K88:L89"/>
    <mergeCell ref="M88:N89"/>
    <mergeCell ref="O88:P89"/>
    <mergeCell ref="W90:W91"/>
    <mergeCell ref="B92:D93"/>
    <mergeCell ref="E92:H93"/>
    <mergeCell ref="I92:J93"/>
    <mergeCell ref="K92:L93"/>
    <mergeCell ref="M92:N93"/>
    <mergeCell ref="O92:P93"/>
    <mergeCell ref="Q92:R93"/>
    <mergeCell ref="S92:T93"/>
    <mergeCell ref="U92:V93"/>
    <mergeCell ref="W92:W93"/>
    <mergeCell ref="B90:D91"/>
    <mergeCell ref="E90:H91"/>
    <mergeCell ref="I90:J91"/>
    <mergeCell ref="I94:J95"/>
    <mergeCell ref="K94:L95"/>
    <mergeCell ref="M94:N95"/>
    <mergeCell ref="O94:P95"/>
    <mergeCell ref="Q94:R95"/>
    <mergeCell ref="Q96:R97"/>
    <mergeCell ref="S96:T97"/>
    <mergeCell ref="S94:T95"/>
    <mergeCell ref="B96:D97"/>
    <mergeCell ref="E96:H97"/>
    <mergeCell ref="I96:J97"/>
    <mergeCell ref="K96:L97"/>
    <mergeCell ref="M96:N97"/>
    <mergeCell ref="O96:P97"/>
    <mergeCell ref="B102:D102"/>
    <mergeCell ref="E102:H102"/>
    <mergeCell ref="I102:J102"/>
    <mergeCell ref="K102:L102"/>
    <mergeCell ref="M102:N102"/>
    <mergeCell ref="Q98:R99"/>
    <mergeCell ref="S98:T99"/>
    <mergeCell ref="U98:V99"/>
    <mergeCell ref="W98:W99"/>
    <mergeCell ref="B100:D101"/>
    <mergeCell ref="E100:H101"/>
    <mergeCell ref="K100:L101"/>
    <mergeCell ref="M100:N101"/>
    <mergeCell ref="O100:P101"/>
    <mergeCell ref="B98:D99"/>
    <mergeCell ref="E98:H99"/>
    <mergeCell ref="I98:J99"/>
    <mergeCell ref="K98:L99"/>
    <mergeCell ref="M98:N99"/>
    <mergeCell ref="O98:P99"/>
    <mergeCell ref="U102:V102"/>
    <mergeCell ref="A103:A118"/>
    <mergeCell ref="B103:D104"/>
    <mergeCell ref="E103:H104"/>
    <mergeCell ref="I103:J104"/>
    <mergeCell ref="K103:L104"/>
    <mergeCell ref="M103:N104"/>
    <mergeCell ref="Q100:R101"/>
    <mergeCell ref="S100:T101"/>
    <mergeCell ref="U100:V101"/>
    <mergeCell ref="A86:A101"/>
    <mergeCell ref="B86:D87"/>
    <mergeCell ref="E86:H87"/>
    <mergeCell ref="I86:J87"/>
    <mergeCell ref="K86:L87"/>
    <mergeCell ref="M86:N87"/>
    <mergeCell ref="O86:P87"/>
    <mergeCell ref="U107:V108"/>
    <mergeCell ref="B113:D114"/>
    <mergeCell ref="E113:H114"/>
    <mergeCell ref="I113:J114"/>
    <mergeCell ref="K113:L114"/>
    <mergeCell ref="M113:N114"/>
    <mergeCell ref="U115:V116"/>
    <mergeCell ref="U117:V118"/>
    <mergeCell ref="X103:Z118"/>
    <mergeCell ref="B105:D106"/>
    <mergeCell ref="E105:H106"/>
    <mergeCell ref="I105:J106"/>
    <mergeCell ref="K105:L106"/>
    <mergeCell ref="M105:N106"/>
    <mergeCell ref="O105:P106"/>
    <mergeCell ref="Q105:R106"/>
    <mergeCell ref="S105:T106"/>
    <mergeCell ref="U105:V106"/>
    <mergeCell ref="O103:P104"/>
    <mergeCell ref="Q103:R104"/>
    <mergeCell ref="S103:T104"/>
    <mergeCell ref="U103:V104"/>
    <mergeCell ref="W103:W104"/>
    <mergeCell ref="W105:W106"/>
    <mergeCell ref="B107:D108"/>
    <mergeCell ref="E107:H108"/>
    <mergeCell ref="I107:J108"/>
    <mergeCell ref="K107:L108"/>
    <mergeCell ref="M107:N108"/>
    <mergeCell ref="O107:P108"/>
    <mergeCell ref="Q107:R108"/>
    <mergeCell ref="S107:T108"/>
    <mergeCell ref="W107:W108"/>
    <mergeCell ref="B109:D110"/>
    <mergeCell ref="E109:H110"/>
    <mergeCell ref="I109:J110"/>
    <mergeCell ref="K109:L110"/>
    <mergeCell ref="M109:N110"/>
    <mergeCell ref="O109:P110"/>
    <mergeCell ref="Q109:R110"/>
    <mergeCell ref="U111:V112"/>
    <mergeCell ref="W111:W112"/>
    <mergeCell ref="S109:T110"/>
    <mergeCell ref="U109:V110"/>
    <mergeCell ref="W109:W110"/>
    <mergeCell ref="B111:D112"/>
    <mergeCell ref="E111:H112"/>
    <mergeCell ref="I111:J112"/>
    <mergeCell ref="K111:L112"/>
    <mergeCell ref="M111:N112"/>
    <mergeCell ref="O111:P112"/>
    <mergeCell ref="W115:W116"/>
    <mergeCell ref="B115:D116"/>
    <mergeCell ref="E115:H116"/>
    <mergeCell ref="I115:J116"/>
    <mergeCell ref="K115:L116"/>
    <mergeCell ref="M115:N116"/>
    <mergeCell ref="O113:P114"/>
    <mergeCell ref="Q113:R114"/>
    <mergeCell ref="S113:T114"/>
    <mergeCell ref="U113:V114"/>
    <mergeCell ref="W113:W114"/>
    <mergeCell ref="W117:W118"/>
    <mergeCell ref="B119:D119"/>
    <mergeCell ref="E119:H119"/>
    <mergeCell ref="I119:J119"/>
    <mergeCell ref="K119:L119"/>
    <mergeCell ref="M119:N119"/>
    <mergeCell ref="O119:P119"/>
    <mergeCell ref="B117:D118"/>
    <mergeCell ref="E117:H118"/>
    <mergeCell ref="K117:L118"/>
    <mergeCell ref="M117:N118"/>
    <mergeCell ref="O117:P118"/>
    <mergeCell ref="Q117:R118"/>
    <mergeCell ref="U124:V125"/>
    <mergeCell ref="U120:V121"/>
    <mergeCell ref="W120:W121"/>
    <mergeCell ref="X120:Z135"/>
    <mergeCell ref="Q122:R123"/>
    <mergeCell ref="S122:T123"/>
    <mergeCell ref="U122:V123"/>
    <mergeCell ref="Q119:R119"/>
    <mergeCell ref="S119:T119"/>
    <mergeCell ref="U119:V119"/>
    <mergeCell ref="W122:W123"/>
    <mergeCell ref="W134:W135"/>
    <mergeCell ref="B122:D123"/>
    <mergeCell ref="E122:H123"/>
    <mergeCell ref="I122:J123"/>
    <mergeCell ref="K122:L123"/>
    <mergeCell ref="M122:N123"/>
    <mergeCell ref="O122:P123"/>
    <mergeCell ref="W124:W125"/>
    <mergeCell ref="B126:D127"/>
    <mergeCell ref="E126:H127"/>
    <mergeCell ref="I126:J127"/>
    <mergeCell ref="K126:L127"/>
    <mergeCell ref="M126:N127"/>
    <mergeCell ref="O126:P127"/>
    <mergeCell ref="Q126:R127"/>
    <mergeCell ref="S126:T127"/>
    <mergeCell ref="U126:V127"/>
    <mergeCell ref="W126:W127"/>
    <mergeCell ref="B124:D125"/>
    <mergeCell ref="E124:H125"/>
    <mergeCell ref="I124:J125"/>
    <mergeCell ref="K124:L125"/>
    <mergeCell ref="M124:N125"/>
    <mergeCell ref="O124:P125"/>
    <mergeCell ref="Q124:R125"/>
    <mergeCell ref="B128:D129"/>
    <mergeCell ref="E128:H129"/>
    <mergeCell ref="I128:J129"/>
    <mergeCell ref="K128:L129"/>
    <mergeCell ref="M128:N129"/>
    <mergeCell ref="O128:P129"/>
    <mergeCell ref="Q128:R129"/>
    <mergeCell ref="U130:V131"/>
    <mergeCell ref="W130:W131"/>
    <mergeCell ref="S128:T129"/>
    <mergeCell ref="U128:V129"/>
    <mergeCell ref="W128:W129"/>
    <mergeCell ref="B130:D131"/>
    <mergeCell ref="E130:H131"/>
    <mergeCell ref="I130:J131"/>
    <mergeCell ref="K130:L131"/>
    <mergeCell ref="M130:N131"/>
    <mergeCell ref="O130:P131"/>
    <mergeCell ref="B136:D136"/>
    <mergeCell ref="E136:H136"/>
    <mergeCell ref="I136:J136"/>
    <mergeCell ref="K136:L136"/>
    <mergeCell ref="M136:N136"/>
    <mergeCell ref="Q132:R133"/>
    <mergeCell ref="S132:T133"/>
    <mergeCell ref="U132:V133"/>
    <mergeCell ref="W132:W133"/>
    <mergeCell ref="B134:D135"/>
    <mergeCell ref="E134:H135"/>
    <mergeCell ref="K134:L135"/>
    <mergeCell ref="M134:N135"/>
    <mergeCell ref="O134:P135"/>
    <mergeCell ref="B132:D133"/>
    <mergeCell ref="E132:H133"/>
    <mergeCell ref="I132:J133"/>
    <mergeCell ref="K132:L133"/>
    <mergeCell ref="M132:N133"/>
    <mergeCell ref="O132:P133"/>
    <mergeCell ref="A137:A152"/>
    <mergeCell ref="B137:D138"/>
    <mergeCell ref="E137:H138"/>
    <mergeCell ref="I137:J138"/>
    <mergeCell ref="K137:L138"/>
    <mergeCell ref="M137:N138"/>
    <mergeCell ref="Q134:R135"/>
    <mergeCell ref="S134:T135"/>
    <mergeCell ref="U134:V135"/>
    <mergeCell ref="A120:A135"/>
    <mergeCell ref="B120:D121"/>
    <mergeCell ref="E120:H121"/>
    <mergeCell ref="I120:J121"/>
    <mergeCell ref="K120:L121"/>
    <mergeCell ref="M120:N121"/>
    <mergeCell ref="O120:P121"/>
    <mergeCell ref="B141:D142"/>
    <mergeCell ref="E141:H142"/>
    <mergeCell ref="I141:J142"/>
    <mergeCell ref="K141:L142"/>
    <mergeCell ref="M141:N142"/>
    <mergeCell ref="O141:P142"/>
    <mergeCell ref="Q141:R142"/>
    <mergeCell ref="S141:T142"/>
    <mergeCell ref="X137:Z152"/>
    <mergeCell ref="B139:D140"/>
    <mergeCell ref="E139:H140"/>
    <mergeCell ref="I139:J140"/>
    <mergeCell ref="K139:L140"/>
    <mergeCell ref="M139:N140"/>
    <mergeCell ref="O139:P140"/>
    <mergeCell ref="Q139:R140"/>
    <mergeCell ref="S139:T140"/>
    <mergeCell ref="U139:V140"/>
    <mergeCell ref="O137:P138"/>
    <mergeCell ref="Q137:R138"/>
    <mergeCell ref="S137:T138"/>
    <mergeCell ref="U137:V138"/>
    <mergeCell ref="W137:W138"/>
    <mergeCell ref="W141:W142"/>
    <mergeCell ref="B143:D144"/>
    <mergeCell ref="E143:H144"/>
    <mergeCell ref="I143:J144"/>
    <mergeCell ref="K143:L144"/>
    <mergeCell ref="M143:N144"/>
    <mergeCell ref="O143:P144"/>
    <mergeCell ref="Q143:R144"/>
    <mergeCell ref="W139:W140"/>
    <mergeCell ref="W145:W146"/>
    <mergeCell ref="B147:D148"/>
    <mergeCell ref="E147:H148"/>
    <mergeCell ref="I147:J148"/>
    <mergeCell ref="K147:L148"/>
    <mergeCell ref="M147:N148"/>
    <mergeCell ref="S143:T144"/>
    <mergeCell ref="U143:V144"/>
    <mergeCell ref="W143:W144"/>
    <mergeCell ref="B145:D146"/>
    <mergeCell ref="E145:H146"/>
    <mergeCell ref="I145:J146"/>
    <mergeCell ref="K145:L146"/>
    <mergeCell ref="M145:N146"/>
    <mergeCell ref="O145:P146"/>
    <mergeCell ref="Q145:R146"/>
    <mergeCell ref="S145:T146"/>
    <mergeCell ref="U145:V146"/>
    <mergeCell ref="W149:W150"/>
    <mergeCell ref="B149:D150"/>
    <mergeCell ref="E149:H150"/>
    <mergeCell ref="I149:J150"/>
    <mergeCell ref="K149:L150"/>
    <mergeCell ref="M149:N150"/>
    <mergeCell ref="O147:P148"/>
    <mergeCell ref="Q147:R148"/>
    <mergeCell ref="S147:T148"/>
    <mergeCell ref="U147:V148"/>
    <mergeCell ref="W147:W148"/>
    <mergeCell ref="O149:P150"/>
    <mergeCell ref="Q149:R150"/>
    <mergeCell ref="S149:T150"/>
    <mergeCell ref="U149:V150"/>
    <mergeCell ref="W151:W152"/>
    <mergeCell ref="B153:D153"/>
    <mergeCell ref="E153:H153"/>
    <mergeCell ref="I153:J153"/>
    <mergeCell ref="K153:L153"/>
    <mergeCell ref="M153:N153"/>
    <mergeCell ref="O153:P153"/>
    <mergeCell ref="B151:D152"/>
    <mergeCell ref="E151:H152"/>
    <mergeCell ref="K151:L152"/>
    <mergeCell ref="M151:N152"/>
    <mergeCell ref="O151:P152"/>
    <mergeCell ref="Q151:R152"/>
    <mergeCell ref="Q153:R153"/>
    <mergeCell ref="S153:T153"/>
    <mergeCell ref="U153:V153"/>
    <mergeCell ref="S151:T152"/>
    <mergeCell ref="U151:V152"/>
    <mergeCell ref="U141:V142"/>
    <mergeCell ref="O136:P136"/>
    <mergeCell ref="Q136:R136"/>
    <mergeCell ref="S136:T136"/>
    <mergeCell ref="U136:V136"/>
    <mergeCell ref="U39:V40"/>
    <mergeCell ref="W39:W40"/>
    <mergeCell ref="B58:D59"/>
    <mergeCell ref="E58:H59"/>
    <mergeCell ref="I58:J59"/>
    <mergeCell ref="K58:L59"/>
    <mergeCell ref="M58:N59"/>
    <mergeCell ref="B39:D40"/>
    <mergeCell ref="E39:H40"/>
    <mergeCell ref="I39:J40"/>
    <mergeCell ref="K39:L40"/>
    <mergeCell ref="M39:N40"/>
    <mergeCell ref="O39:P40"/>
    <mergeCell ref="U54:V55"/>
    <mergeCell ref="W54:W55"/>
    <mergeCell ref="W52:W53"/>
    <mergeCell ref="B54:D55"/>
    <mergeCell ref="E54:H55"/>
    <mergeCell ref="I54:J55"/>
    <mergeCell ref="U77:V78"/>
    <mergeCell ref="W77:W78"/>
    <mergeCell ref="B77:D78"/>
    <mergeCell ref="E77:H78"/>
    <mergeCell ref="I77:J78"/>
    <mergeCell ref="K77:L78"/>
    <mergeCell ref="M77:N78"/>
    <mergeCell ref="O77:P78"/>
    <mergeCell ref="O58:P59"/>
    <mergeCell ref="Q58:R59"/>
    <mergeCell ref="S58:T59"/>
    <mergeCell ref="U58:V59"/>
    <mergeCell ref="W58:W59"/>
    <mergeCell ref="O75:P76"/>
    <mergeCell ref="Q75:R76"/>
    <mergeCell ref="S75:T76"/>
    <mergeCell ref="U75:V76"/>
    <mergeCell ref="W75:W76"/>
    <mergeCell ref="B75:D76"/>
    <mergeCell ref="E75:H76"/>
    <mergeCell ref="I75:J76"/>
    <mergeCell ref="K75:L76"/>
    <mergeCell ref="S77:T78"/>
    <mergeCell ref="B73:D74"/>
    <mergeCell ref="Q39:R40"/>
    <mergeCell ref="S39:T40"/>
    <mergeCell ref="Q130:R131"/>
    <mergeCell ref="S130:T131"/>
    <mergeCell ref="Q120:R121"/>
    <mergeCell ref="S120:T121"/>
    <mergeCell ref="S117:T118"/>
    <mergeCell ref="O115:P116"/>
    <mergeCell ref="Q115:R116"/>
    <mergeCell ref="S115:T116"/>
    <mergeCell ref="Q111:R112"/>
    <mergeCell ref="S111:T112"/>
    <mergeCell ref="O102:P102"/>
    <mergeCell ref="Q102:R102"/>
    <mergeCell ref="S102:T102"/>
    <mergeCell ref="S124:T125"/>
    <mergeCell ref="S90:T91"/>
    <mergeCell ref="Q85:R85"/>
    <mergeCell ref="S85:T85"/>
    <mergeCell ref="Q47:R47"/>
    <mergeCell ref="S47:T47"/>
    <mergeCell ref="S41:T42"/>
    <mergeCell ref="Q64:R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CC292BD136D4B8C07AC8758B05323" ma:contentTypeVersion="9" ma:contentTypeDescription="Create a new document." ma:contentTypeScope="" ma:versionID="598e49d33e2c5cd1886cee2a34c1469f">
  <xsd:schema xmlns:xsd="http://www.w3.org/2001/XMLSchema" xmlns:xs="http://www.w3.org/2001/XMLSchema" xmlns:p="http://schemas.microsoft.com/office/2006/metadata/properties" xmlns:ns2="7f4e2096-dfde-40d7-a1c6-9af630383b25" xmlns:ns3="6abfe484-5dad-44c8-b708-ef77b7b48de4" targetNamespace="http://schemas.microsoft.com/office/2006/metadata/properties" ma:root="true" ma:fieldsID="6d35d8cbd96907e4ac56653696445d6d" ns2:_="" ns3:_="">
    <xsd:import namespace="7f4e2096-dfde-40d7-a1c6-9af630383b25"/>
    <xsd:import namespace="6abfe484-5dad-44c8-b708-ef77b7b48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e2096-dfde-40d7-a1c6-9af630383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41daaa-b5db-4e7c-b77b-51885b61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fe484-5dad-44c8-b708-ef77b7b48d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0f7e52d-9162-4b45-8e1e-c4e3351f6496}" ma:internalName="TaxCatchAll" ma:showField="CatchAllData" ma:web="6abfe484-5dad-44c8-b708-ef77b7b48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fe484-5dad-44c8-b708-ef77b7b48de4" xsi:nil="true"/>
    <lcf76f155ced4ddcb4097134ff3c332f xmlns="7f4e2096-dfde-40d7-a1c6-9af630383b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326693-1083-4FF7-AA02-FF81FD7EC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e2096-dfde-40d7-a1c6-9af630383b25"/>
    <ds:schemaRef ds:uri="6abfe484-5dad-44c8-b708-ef77b7b48d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4AD61-8132-4BC2-B392-5BA62ACFDC93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7f4e2096-dfde-40d7-a1c6-9af630383b25"/>
    <ds:schemaRef ds:uri="6abfe484-5dad-44c8-b708-ef77b7b48de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ED8F14-774F-4F3A-A5F4-5E7EF1F88B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Ratsioon 1-4 (dehüdreeritud HS)</vt:lpstr>
      <vt:lpstr>Ratsioon 5-8 (wet pouch HS)</vt:lpstr>
      <vt:lpstr>Ratsioon 9-16 (dehüdreeritud L)</vt:lpstr>
      <vt:lpstr>Ratsioon 17-24 (wet pouch LÕ)</vt:lpstr>
      <vt:lpstr>Ratsioon V1-V8 (vegetaarne)</vt:lpstr>
      <vt:lpstr>Ratsioon GV1-GV8</vt:lpstr>
      <vt:lpstr>Ratsioon LV1-LV8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20250324_AK_RKIK_Lisa_2_KTP_tooted_kogused</dc:title>
  <dc:creator>marcus.polluvee@rkik.ee</dc:creator>
  <cp:lastModifiedBy>Katrina Belov</cp:lastModifiedBy>
  <cp:lastPrinted>2024-09-18T08:29:52Z</cp:lastPrinted>
  <dcterms:created xsi:type="dcterms:W3CDTF">2021-07-27T08:48:38Z</dcterms:created>
  <dcterms:modified xsi:type="dcterms:W3CDTF">2025-04-01T08:46:23Z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0x01010046CCC292BD136D4B8C07AC8758B05323</vt:lpwstr>
  </property>
</Properties>
</file>