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kks34250\Downloads\"/>
    </mc:Choice>
  </mc:AlternateContent>
  <xr:revisionPtr revIDLastSave="0" documentId="13_ncr:1_{410B4696-0253-4680-A026-2D74281BACB1}" xr6:coauthVersionLast="47" xr6:coauthVersionMax="47" xr10:uidLastSave="{00000000-0000-0000-0000-000000000000}"/>
  <bookViews>
    <workbookView xWindow="-120" yWindow="-120" windowWidth="38640" windowHeight="21120" xr2:uid="{4D1749CD-7348-40E3-9063-2FA36ECE44CB}"/>
  </bookViews>
  <sheets>
    <sheet name="aruanne" sheetId="1" r:id="rId1"/>
    <sheet name="LISA" sheetId="13" r:id="rId2"/>
    <sheet name="lisa 1" sheetId="4" r:id="rId3"/>
    <sheet name="lisa 2" sheetId="2" r:id="rId4"/>
  </sheets>
  <definedNames>
    <definedName name="_xlnm._FilterDatabase" localSheetId="0" hidden="1">aruanne!$A$3:$G$27</definedName>
    <definedName name="_xlnm._FilterDatabase" localSheetId="1" hidden="1">LISA!$A$4:$G$51</definedName>
    <definedName name="_xlnm._FilterDatabase" localSheetId="3" hidden="1">'lisa 2'!$A$4:$J$13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4" l="1"/>
  <c r="F15" i="13" l="1"/>
  <c r="F20" i="13" s="1"/>
  <c r="F25" i="13" s="1"/>
  <c r="D15" i="13"/>
  <c r="D20" i="13" l="1"/>
  <c r="D25" i="13" l="1"/>
  <c r="E36" i="13" l="1"/>
  <c r="E40" i="13" l="1"/>
  <c r="E7" i="1" l="1"/>
  <c r="C8" i="2" l="1"/>
  <c r="C11" i="2" l="1"/>
  <c r="E15" i="1"/>
  <c r="D31" i="13"/>
  <c r="E43" i="13"/>
  <c r="D43" i="13"/>
  <c r="F31" i="13"/>
  <c r="G47" i="13"/>
  <c r="F32" i="13"/>
  <c r="D32" i="13"/>
  <c r="G39" i="13"/>
  <c r="E42" i="13"/>
  <c r="F41" i="13"/>
  <c r="D41" i="13"/>
  <c r="D13" i="13" s="1"/>
  <c r="G44" i="13"/>
  <c r="E27" i="13"/>
  <c r="F13" i="13" l="1"/>
  <c r="D18" i="13"/>
  <c r="D14" i="13"/>
  <c r="E14" i="13"/>
  <c r="F8" i="13"/>
  <c r="G42" i="13"/>
  <c r="G27" i="13"/>
  <c r="D8" i="13"/>
  <c r="E41" i="13"/>
  <c r="E13" i="13" s="1"/>
  <c r="F43" i="13"/>
  <c r="F18" i="13" l="1"/>
  <c r="D23" i="13"/>
  <c r="D19" i="13"/>
  <c r="E19" i="13"/>
  <c r="E18" i="13"/>
  <c r="E23" i="13" s="1"/>
  <c r="F14" i="13"/>
  <c r="G13" i="13"/>
  <c r="G41" i="13"/>
  <c r="F19" i="13" l="1"/>
  <c r="F23" i="13"/>
  <c r="E24" i="13"/>
  <c r="D24" i="13"/>
  <c r="G18" i="13"/>
  <c r="G14" i="13"/>
  <c r="G19" i="13" l="1"/>
  <c r="G23" i="13"/>
  <c r="F24" i="13"/>
  <c r="G24" i="13" s="1"/>
  <c r="C12" i="4" l="1"/>
  <c r="D16" i="1" l="1"/>
  <c r="D15" i="1"/>
  <c r="F10" i="13" l="1"/>
  <c r="D10" i="13"/>
  <c r="G24" i="1" l="1"/>
  <c r="G23" i="1"/>
  <c r="G11" i="2" l="1"/>
  <c r="G8" i="2"/>
  <c r="F29" i="13" l="1"/>
  <c r="F28" i="13"/>
  <c r="D28" i="13"/>
  <c r="D29" i="13"/>
  <c r="F49" i="13" l="1"/>
  <c r="D49" i="13"/>
  <c r="E50" i="13"/>
  <c r="F33" i="13"/>
  <c r="D33" i="13"/>
  <c r="F30" i="13"/>
  <c r="D30" i="13"/>
  <c r="F34" i="13"/>
  <c r="D34" i="13"/>
  <c r="E37" i="13"/>
  <c r="E48" i="13"/>
  <c r="F9" i="13"/>
  <c r="D9" i="13"/>
  <c r="E31" i="13"/>
  <c r="E15" i="13" l="1"/>
  <c r="G15" i="13" s="1"/>
  <c r="D26" i="13"/>
  <c r="F26" i="13"/>
  <c r="D12" i="13"/>
  <c r="F12" i="13"/>
  <c r="C14" i="1"/>
  <c r="E32" i="13"/>
  <c r="E14" i="1"/>
  <c r="E8" i="13"/>
  <c r="D21" i="13"/>
  <c r="E10" i="13"/>
  <c r="C13" i="1"/>
  <c r="D7" i="13"/>
  <c r="E13" i="1"/>
  <c r="F7" i="13"/>
  <c r="E29" i="13"/>
  <c r="E28" i="13"/>
  <c r="G45" i="13"/>
  <c r="G46" i="13"/>
  <c r="G51" i="13"/>
  <c r="G37" i="13"/>
  <c r="G35" i="13"/>
  <c r="G36" i="13"/>
  <c r="G40" i="13"/>
  <c r="G38" i="13"/>
  <c r="E49" i="13"/>
  <c r="G50" i="13"/>
  <c r="E33" i="13"/>
  <c r="E30" i="13"/>
  <c r="E34" i="13"/>
  <c r="E12" i="13" s="1"/>
  <c r="E9" i="13"/>
  <c r="E20" i="13" l="1"/>
  <c r="F17" i="13"/>
  <c r="E26" i="13"/>
  <c r="D17" i="13"/>
  <c r="E17" i="13"/>
  <c r="G12" i="13"/>
  <c r="G10" i="13"/>
  <c r="C12" i="1"/>
  <c r="G8" i="13"/>
  <c r="F6" i="13"/>
  <c r="D6" i="13"/>
  <c r="E7" i="13"/>
  <c r="G9" i="13"/>
  <c r="E21" i="13"/>
  <c r="G49" i="13"/>
  <c r="G29" i="13"/>
  <c r="D14" i="1"/>
  <c r="G30" i="13"/>
  <c r="G33" i="13"/>
  <c r="G31" i="13"/>
  <c r="G43" i="13"/>
  <c r="G28" i="13"/>
  <c r="G34" i="13"/>
  <c r="D13" i="1"/>
  <c r="D16" i="13"/>
  <c r="F18" i="1"/>
  <c r="F15" i="1"/>
  <c r="F12" i="1"/>
  <c r="F10" i="1" s="1"/>
  <c r="F8" i="1" s="1"/>
  <c r="F11" i="1"/>
  <c r="F9" i="1" s="1"/>
  <c r="F7" i="1"/>
  <c r="F5" i="1" s="1"/>
  <c r="F22" i="13" l="1"/>
  <c r="E25" i="13"/>
  <c r="G20" i="13"/>
  <c r="G26" i="13"/>
  <c r="E22" i="13"/>
  <c r="D22" i="13"/>
  <c r="G17" i="13"/>
  <c r="G7" i="13"/>
  <c r="E6" i="13"/>
  <c r="D11" i="13"/>
  <c r="D12" i="1"/>
  <c r="G25" i="13" l="1"/>
  <c r="G22" i="13"/>
  <c r="E16" i="13"/>
  <c r="F25" i="1"/>
  <c r="F21" i="13" l="1"/>
  <c r="G48" i="13"/>
  <c r="E11" i="13"/>
  <c r="F27" i="1"/>
  <c r="G32" i="13" l="1"/>
  <c r="E12" i="1" l="1"/>
  <c r="G21" i="13"/>
  <c r="F16" i="13"/>
  <c r="F11" i="13" l="1"/>
  <c r="G16" i="13"/>
  <c r="G6" i="13" l="1"/>
  <c r="G11" i="13"/>
  <c r="I12" i="2" l="1"/>
  <c r="E12" i="2"/>
  <c r="D17" i="1" l="1"/>
  <c r="E18" i="1" l="1"/>
  <c r="E11" i="1" l="1"/>
  <c r="C11" i="1"/>
  <c r="G15" i="1"/>
  <c r="G16" i="1"/>
  <c r="D11" i="1"/>
  <c r="D9" i="1" s="1"/>
  <c r="G14" i="1"/>
  <c r="D7" i="1"/>
  <c r="D6" i="1"/>
  <c r="D13" i="2"/>
  <c r="D10" i="2"/>
  <c r="D6" i="2"/>
  <c r="D5" i="2"/>
  <c r="G11" i="1" l="1"/>
  <c r="E9" i="1"/>
  <c r="E13" i="2"/>
  <c r="D11" i="2"/>
  <c r="C9" i="1"/>
  <c r="G17" i="1"/>
  <c r="G9" i="1" l="1"/>
  <c r="H10" i="2"/>
  <c r="H13" i="2"/>
  <c r="H11" i="2"/>
  <c r="H5" i="2"/>
  <c r="I5" i="2" s="1"/>
  <c r="E11" i="2"/>
  <c r="E5" i="2"/>
  <c r="G7" i="1"/>
  <c r="G6" i="1"/>
  <c r="E5" i="1"/>
  <c r="D5" i="1"/>
  <c r="C5" i="1"/>
  <c r="C10" i="1"/>
  <c r="C8" i="1" s="1"/>
  <c r="G13" i="1"/>
  <c r="I11" i="2" l="1"/>
  <c r="G5" i="1"/>
  <c r="H6" i="2"/>
  <c r="D10" i="1"/>
  <c r="D8" i="1" s="1"/>
  <c r="E10" i="1"/>
  <c r="E8" i="1" s="1"/>
  <c r="G12" i="1"/>
  <c r="C6" i="4" l="1"/>
  <c r="G10" i="1"/>
  <c r="G8" i="1" s="1"/>
  <c r="H8" i="2" l="1"/>
  <c r="D8" i="2"/>
  <c r="C15" i="4"/>
  <c r="B6" i="4" l="1"/>
  <c r="B14" i="4" s="1"/>
  <c r="I9" i="2" l="1"/>
  <c r="E9" i="2"/>
  <c r="I7" i="2"/>
  <c r="E7" i="2"/>
  <c r="B15" i="4" l="1"/>
  <c r="B16" i="4" s="1"/>
  <c r="I13" i="2"/>
  <c r="C14" i="4"/>
  <c r="E10" i="2"/>
  <c r="I10" i="2"/>
  <c r="E6" i="2"/>
  <c r="E8" i="2"/>
  <c r="I6" i="2" l="1"/>
  <c r="C16" i="4"/>
  <c r="I8" i="2"/>
  <c r="E25" i="1" l="1"/>
  <c r="E27" i="1" l="1"/>
</calcChain>
</file>

<file path=xl/sharedStrings.xml><?xml version="1.0" encoding="utf-8"?>
<sst xmlns="http://schemas.openxmlformats.org/spreadsheetml/2006/main" count="127" uniqueCount="77">
  <si>
    <t>eurodes</t>
  </si>
  <si>
    <t>Algne eelarve</t>
  </si>
  <si>
    <t>Lõplik eelarve</t>
  </si>
  <si>
    <t>Täitmine miinus lõplik eelarve</t>
  </si>
  <si>
    <t>Saadud toetused</t>
  </si>
  <si>
    <t>Tulu majandustegevusest</t>
  </si>
  <si>
    <t>sh piirmääraga vahendid</t>
  </si>
  <si>
    <t>KULUD</t>
  </si>
  <si>
    <t xml:space="preserve">INVESTEERINGUD </t>
  </si>
  <si>
    <t>KORRIGEERIMISED</t>
  </si>
  <si>
    <t>Kontroll</t>
  </si>
  <si>
    <t>saldoandmik</t>
  </si>
  <si>
    <t>TULUD</t>
  </si>
  <si>
    <t>Saadud riigisisesed toetused</t>
  </si>
  <si>
    <t>Saadud välistoetused vahendamiseks riigiasutustele</t>
  </si>
  <si>
    <t>Kulud</t>
  </si>
  <si>
    <t>Investeeringud</t>
  </si>
  <si>
    <t xml:space="preserve">JAOTAMATA </t>
  </si>
  <si>
    <t>Eelarve täitmise ja raamatupidamisaruannete võrdlus</t>
  </si>
  <si>
    <t>Kirje</t>
  </si>
  <si>
    <t>Selgitus</t>
  </si>
  <si>
    <t>Finantstulud</t>
  </si>
  <si>
    <t>Finantskulud</t>
  </si>
  <si>
    <t>Riigikantselei</t>
  </si>
  <si>
    <t>15ettemaksed</t>
  </si>
  <si>
    <t>Valitsemisala</t>
  </si>
  <si>
    <t>Lõpliku eelarve kujunemine</t>
  </si>
  <si>
    <t>Tulud</t>
  </si>
  <si>
    <t>Esialgne eelarve</t>
  </si>
  <si>
    <t>Üle toodud eelmisest aastast</t>
  </si>
  <si>
    <t>Sihtotstarbeliste vahendite reservist</t>
  </si>
  <si>
    <t>Eelarves kavandatud toetused</t>
  </si>
  <si>
    <t>Tegelikult saadud toetused ja avatud sildfinantseerimine</t>
  </si>
  <si>
    <t>Kokku lõplik eelarve</t>
  </si>
  <si>
    <t>Käibemaks</t>
  </si>
  <si>
    <t>Käibemaksukulu tegevuskuludelt</t>
  </si>
  <si>
    <t>Tööjõukulud</t>
  </si>
  <si>
    <t>Majandamiskulud</t>
  </si>
  <si>
    <t>Muud kulud</t>
  </si>
  <si>
    <t>Kulud kokku</t>
  </si>
  <si>
    <t>Edasiantud välistoetused ja kaasfinantseerimine riigiasutustele</t>
  </si>
  <si>
    <t>Eelarves kavandatud välistoetuste kaasrahastamine</t>
  </si>
  <si>
    <t>Tegelik välistoetuste kaasrahastamine</t>
  </si>
  <si>
    <t>Tulud majandustegevusest</t>
  </si>
  <si>
    <t>sh käibemaks</t>
  </si>
  <si>
    <t>Käibemaksukulu investeeringutelt</t>
  </si>
  <si>
    <t>Tegevuskulud, v.a käibemaksukulu</t>
  </si>
  <si>
    <t>Kulud, investeeringud</t>
  </si>
  <si>
    <t>Vabariigi Valitsuse ja peaministri tegevuse toetamine</t>
  </si>
  <si>
    <t xml:space="preserve">RIIGIKANTSELEI </t>
  </si>
  <si>
    <t>Täitmine 2024</t>
  </si>
  <si>
    <t>RE aruanne 2024</t>
  </si>
  <si>
    <t>Vahe 2024</t>
  </si>
  <si>
    <t>Täitmine 2025</t>
  </si>
  <si>
    <t>Sotsiaaltoetused</t>
  </si>
  <si>
    <t>Muud toetused</t>
  </si>
  <si>
    <t>Muud kulud, sh amortisatsioon</t>
  </si>
  <si>
    <t>Seaduses toodud kulude detailsem jaotus asutuste, majandusliku sisu ja liikide lõikes</t>
  </si>
  <si>
    <t>2025. a riigieelarve täitmise aruande lisa</t>
  </si>
  <si>
    <t>Sh piirmääraga kulud</t>
  </si>
  <si>
    <t>Sh arvestuslikud kulud</t>
  </si>
  <si>
    <t>Sh välistoetus koos riigieelarvelise kaasfinantseeringuga</t>
  </si>
  <si>
    <t>Tulemusvaldkond: RIIGIVALITSEMINE</t>
  </si>
  <si>
    <t>Programmi tegevus: Vabariigi Valitsuse ja peaministri tegevuse toetamine</t>
  </si>
  <si>
    <t>Arvestuslikud kulud</t>
  </si>
  <si>
    <t>Välistoetus koos riigieelarvelise kaasfinantseeringuga</t>
  </si>
  <si>
    <t>Sh amortisatsioon</t>
  </si>
  <si>
    <t>Muudatused 18.06.2025 lisaeelarve seaduse alusel</t>
  </si>
  <si>
    <t>Tuludest sõltuvate kulude tegelik limiit</t>
  </si>
  <si>
    <t>RE aruanne 2025</t>
  </si>
  <si>
    <t>Vahe 2025</t>
  </si>
  <si>
    <t>Vabariigi Valitsuse ja peaministri tegevuse toetamise programm</t>
  </si>
  <si>
    <t>2025. aasta riigieelarve täitmise aruanne</t>
  </si>
  <si>
    <t>Lisa 2</t>
  </si>
  <si>
    <t>Raamatupidamis-andmed 2025</t>
  </si>
  <si>
    <t>Raamatupidamis-andmed 2024</t>
  </si>
  <si>
    <t>Lisa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</si>
</sst>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Calibri  "/>
      <charset val="186"/>
    </font>
    <font>
      <sz val="10"/>
      <name val="Calibri  "/>
      <charset val="186"/>
    </font>
    <font>
      <sz val="10"/>
      <color theme="1"/>
      <name val="Calibri  "/>
      <charset val="186"/>
    </font>
    <font>
      <sz val="10"/>
      <color rgb="FFFF0000"/>
      <name val="Calibri  "/>
      <charset val="186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0"/>
      <color theme="1"/>
      <name val="Calibri  "/>
      <charset val="186"/>
    </font>
    <font>
      <sz val="10"/>
      <color theme="5" tint="-0.499984740745262"/>
      <name val="Calibri  "/>
      <charset val="186"/>
    </font>
    <font>
      <b/>
      <sz val="10"/>
      <color rgb="FF0000FF"/>
      <name val="Calibri  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3" fontId="3" fillId="0" borderId="0" xfId="0" applyNumberFormat="1" applyFont="1"/>
    <xf numFmtId="0" fontId="4" fillId="0" borderId="0" xfId="0" applyFont="1"/>
    <xf numFmtId="3" fontId="5" fillId="0" borderId="0" xfId="0" applyNumberFormat="1" applyFont="1"/>
    <xf numFmtId="4" fontId="5" fillId="0" borderId="0" xfId="0" applyNumberFormat="1" applyFont="1" applyAlignment="1">
      <alignment horizontal="right"/>
    </xf>
    <xf numFmtId="4" fontId="5" fillId="0" borderId="0" xfId="0" applyNumberFormat="1" applyFont="1"/>
    <xf numFmtId="4" fontId="5" fillId="0" borderId="0" xfId="0" applyNumberFormat="1" applyFont="1" applyAlignment="1">
      <alignment wrapText="1"/>
    </xf>
    <xf numFmtId="0" fontId="4" fillId="0" borderId="1" xfId="0" applyFont="1" applyBorder="1" applyAlignment="1">
      <alignment vertical="top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6" fillId="0" borderId="0" xfId="0" applyNumberFormat="1" applyFont="1" applyAlignment="1">
      <alignment wrapText="1"/>
    </xf>
    <xf numFmtId="4" fontId="7" fillId="0" borderId="0" xfId="0" applyNumberFormat="1" applyFont="1" applyAlignment="1">
      <alignment wrapText="1"/>
    </xf>
    <xf numFmtId="4" fontId="6" fillId="0" borderId="0" xfId="0" applyNumberFormat="1" applyFont="1"/>
    <xf numFmtId="0" fontId="8" fillId="0" borderId="0" xfId="0" applyFont="1"/>
    <xf numFmtId="4" fontId="6" fillId="0" borderId="0" xfId="0" applyNumberFormat="1" applyFont="1" applyAlignment="1">
      <alignment horizontal="right" wrapText="1"/>
    </xf>
    <xf numFmtId="0" fontId="6" fillId="0" borderId="0" xfId="0" applyFont="1"/>
    <xf numFmtId="0" fontId="6" fillId="0" borderId="1" xfId="0" applyFont="1" applyBorder="1"/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wrapText="1"/>
    </xf>
    <xf numFmtId="4" fontId="6" fillId="0" borderId="1" xfId="0" applyNumberFormat="1" applyFont="1" applyBorder="1"/>
    <xf numFmtId="4" fontId="8" fillId="0" borderId="0" xfId="0" applyNumberFormat="1" applyFont="1"/>
    <xf numFmtId="4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" fontId="8" fillId="0" borderId="0" xfId="0" applyNumberFormat="1" applyFont="1" applyAlignment="1">
      <alignment horizontal="right"/>
    </xf>
    <xf numFmtId="0" fontId="5" fillId="0" borderId="0" xfId="0" applyFont="1"/>
    <xf numFmtId="0" fontId="5" fillId="0" borderId="1" xfId="0" applyFont="1" applyBorder="1" applyAlignment="1">
      <alignment vertical="top"/>
    </xf>
    <xf numFmtId="3" fontId="5" fillId="0" borderId="1" xfId="0" applyNumberFormat="1" applyFont="1" applyBorder="1"/>
    <xf numFmtId="3" fontId="5" fillId="0" borderId="1" xfId="0" applyNumberFormat="1" applyFont="1" applyBorder="1" applyAlignment="1">
      <alignment vertical="top"/>
    </xf>
    <xf numFmtId="0" fontId="5" fillId="0" borderId="1" xfId="0" applyFont="1" applyBorder="1"/>
    <xf numFmtId="3" fontId="4" fillId="0" borderId="1" xfId="0" applyNumberFormat="1" applyFont="1" applyBorder="1" applyAlignment="1">
      <alignment vertical="top"/>
    </xf>
    <xf numFmtId="3" fontId="4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3" fontId="8" fillId="0" borderId="0" xfId="0" applyNumberFormat="1" applyFont="1"/>
    <xf numFmtId="3" fontId="10" fillId="0" borderId="1" xfId="2" applyNumberFormat="1" applyFont="1" applyBorder="1" applyAlignment="1" applyProtection="1">
      <alignment horizontal="left"/>
      <protection locked="0"/>
    </xf>
    <xf numFmtId="3" fontId="11" fillId="0" borderId="1" xfId="2" applyNumberFormat="1" applyFont="1" applyBorder="1" applyAlignment="1" applyProtection="1">
      <alignment horizontal="center"/>
      <protection locked="0"/>
    </xf>
    <xf numFmtId="3" fontId="9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wrapText="1"/>
    </xf>
    <xf numFmtId="0" fontId="9" fillId="4" borderId="1" xfId="0" applyFont="1" applyFill="1" applyBorder="1" applyAlignment="1">
      <alignment horizontal="left"/>
    </xf>
    <xf numFmtId="0" fontId="8" fillId="4" borderId="1" xfId="0" applyFont="1" applyFill="1" applyBorder="1"/>
    <xf numFmtId="3" fontId="8" fillId="4" borderId="1" xfId="0" applyNumberFormat="1" applyFont="1" applyFill="1" applyBorder="1"/>
    <xf numFmtId="0" fontId="9" fillId="0" borderId="1" xfId="0" applyFont="1" applyBorder="1"/>
    <xf numFmtId="3" fontId="9" fillId="0" borderId="1" xfId="0" applyNumberFormat="1" applyFont="1" applyBorder="1"/>
    <xf numFmtId="0" fontId="8" fillId="0" borderId="1" xfId="0" applyFont="1" applyBorder="1"/>
    <xf numFmtId="3" fontId="8" fillId="0" borderId="1" xfId="0" applyNumberFormat="1" applyFont="1" applyBorder="1"/>
    <xf numFmtId="0" fontId="9" fillId="0" borderId="1" xfId="0" applyFont="1" applyBorder="1" applyAlignment="1">
      <alignment horizontal="left"/>
    </xf>
    <xf numFmtId="3" fontId="11" fillId="0" borderId="1" xfId="0" applyNumberFormat="1" applyFont="1" applyBorder="1"/>
    <xf numFmtId="0" fontId="12" fillId="0" borderId="0" xfId="0" applyFont="1"/>
    <xf numFmtId="3" fontId="6" fillId="0" borderId="0" xfId="0" applyNumberFormat="1" applyFont="1"/>
    <xf numFmtId="3" fontId="7" fillId="0" borderId="0" xfId="0" applyNumberFormat="1" applyFont="1"/>
    <xf numFmtId="3" fontId="12" fillId="0" borderId="1" xfId="0" applyNumberFormat="1" applyFont="1" applyBorder="1" applyAlignment="1">
      <alignment horizontal="center" wrapText="1"/>
    </xf>
    <xf numFmtId="0" fontId="12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3" fontId="5" fillId="0" borderId="1" xfId="0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6" fillId="0" borderId="1" xfId="2" applyNumberFormat="1" applyFont="1" applyBorder="1" applyAlignment="1" applyProtection="1">
      <alignment horizontal="right"/>
      <protection locked="0"/>
    </xf>
    <xf numFmtId="3" fontId="6" fillId="0" borderId="1" xfId="0" applyNumberFormat="1" applyFont="1" applyBorder="1" applyAlignment="1">
      <alignment horizontal="right"/>
    </xf>
    <xf numFmtId="0" fontId="12" fillId="0" borderId="1" xfId="2" applyFont="1" applyBorder="1" applyAlignment="1" applyProtection="1">
      <alignment horizontal="left"/>
      <protection locked="0"/>
    </xf>
    <xf numFmtId="3" fontId="4" fillId="0" borderId="1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left"/>
      <protection locked="0"/>
    </xf>
    <xf numFmtId="3" fontId="5" fillId="0" borderId="1" xfId="2" applyNumberFormat="1" applyFont="1" applyBorder="1" applyAlignment="1" applyProtection="1">
      <alignment horizontal="right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6" fillId="0" borderId="1" xfId="1" applyFont="1" applyBorder="1" applyAlignment="1" applyProtection="1">
      <alignment horizontal="left"/>
      <protection locked="0"/>
    </xf>
    <xf numFmtId="0" fontId="5" fillId="0" borderId="1" xfId="2" applyFont="1" applyBorder="1" applyAlignment="1" applyProtection="1">
      <alignment horizontal="center"/>
      <protection locked="0"/>
    </xf>
    <xf numFmtId="0" fontId="4" fillId="0" borderId="1" xfId="2" applyFont="1" applyBorder="1" applyAlignment="1" applyProtection="1">
      <alignment horizontal="left"/>
      <protection locked="0"/>
    </xf>
    <xf numFmtId="0" fontId="12" fillId="0" borderId="1" xfId="1" applyFont="1" applyBorder="1"/>
    <xf numFmtId="0" fontId="12" fillId="2" borderId="1" xfId="0" applyFont="1" applyFill="1" applyBorder="1" applyAlignment="1">
      <alignment horizontal="left"/>
    </xf>
    <xf numFmtId="3" fontId="12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3" fontId="14" fillId="2" borderId="1" xfId="0" applyNumberFormat="1" applyFont="1" applyFill="1" applyBorder="1" applyAlignment="1">
      <alignment horizontal="right"/>
    </xf>
    <xf numFmtId="3" fontId="6" fillId="2" borderId="1" xfId="2" applyNumberFormat="1" applyFont="1" applyFill="1" applyBorder="1" applyAlignment="1" applyProtection="1">
      <alignment horizontal="right"/>
      <protection locked="0"/>
    </xf>
    <xf numFmtId="0" fontId="6" fillId="2" borderId="1" xfId="0" applyFont="1" applyFill="1" applyBorder="1"/>
    <xf numFmtId="0" fontId="6" fillId="2" borderId="1" xfId="2" applyFont="1" applyFill="1" applyBorder="1" applyAlignment="1" applyProtection="1">
      <alignment horizontal="left"/>
      <protection locked="0"/>
    </xf>
    <xf numFmtId="3" fontId="5" fillId="2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3" fontId="13" fillId="2" borderId="1" xfId="0" applyNumberFormat="1" applyFont="1" applyFill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center" vertical="center" wrapText="1"/>
    </xf>
  </cellXfs>
  <cellStyles count="7">
    <cellStyle name="Comma 2" xfId="6" xr:uid="{68AF3142-48B6-46A0-9B66-4AC016C8CCBB}"/>
    <cellStyle name="Normaallaad" xfId="0" builtinId="0"/>
    <cellStyle name="Normaallaad 2" xfId="5" xr:uid="{625F7053-1720-45B8-BC60-DA405838C2BD}"/>
    <cellStyle name="Normal 10 2" xfId="1" xr:uid="{D70F4CDE-1FE7-448C-B78C-16802263EF7D}"/>
    <cellStyle name="Normal 25 3 6" xfId="4" xr:uid="{C2461F04-5869-445E-B9DC-9D0918BE1F25}"/>
    <cellStyle name="Normal 25 9" xfId="2" xr:uid="{8906365B-27A6-4989-AF6D-1E0C5258DC94}"/>
    <cellStyle name="Normal 25 9 2" xfId="3" xr:uid="{9FD4BB3A-C968-4E24-8E39-E7D1D70EBE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09F5C-00A4-4BD3-B743-9BFC60E719C1}">
  <dimension ref="A1:G28"/>
  <sheetViews>
    <sheetView tabSelected="1" zoomScaleNormal="100" workbookViewId="0">
      <selection activeCell="F45" sqref="F45"/>
    </sheetView>
  </sheetViews>
  <sheetFormatPr defaultRowHeight="13"/>
  <cols>
    <col min="1" max="1" width="7.453125" style="14" customWidth="1"/>
    <col min="2" max="2" width="46.1796875" style="14" customWidth="1"/>
    <col min="3" max="6" width="15.453125" style="33" customWidth="1"/>
    <col min="7" max="7" width="22" style="33" customWidth="1"/>
    <col min="8" max="16384" width="8.7265625" style="14"/>
  </cols>
  <sheetData>
    <row r="1" spans="1:7">
      <c r="A1" s="47" t="s">
        <v>72</v>
      </c>
      <c r="B1" s="16"/>
      <c r="C1" s="3"/>
      <c r="D1" s="48"/>
      <c r="E1" s="49"/>
      <c r="F1" s="49"/>
      <c r="G1" s="48"/>
    </row>
    <row r="2" spans="1:7">
      <c r="A2" s="16" t="s">
        <v>0</v>
      </c>
      <c r="B2" s="16"/>
      <c r="C2" s="3"/>
      <c r="D2" s="48"/>
      <c r="E2" s="48"/>
      <c r="F2" s="48"/>
      <c r="G2" s="48"/>
    </row>
    <row r="3" spans="1:7" ht="26">
      <c r="A3" s="17"/>
      <c r="B3" s="17"/>
      <c r="C3" s="77" t="s">
        <v>1</v>
      </c>
      <c r="D3" s="77" t="s">
        <v>2</v>
      </c>
      <c r="E3" s="77" t="s">
        <v>53</v>
      </c>
      <c r="F3" s="77" t="s">
        <v>50</v>
      </c>
      <c r="G3" s="50" t="s">
        <v>3</v>
      </c>
    </row>
    <row r="4" spans="1:7">
      <c r="A4" s="51" t="s">
        <v>49</v>
      </c>
      <c r="B4" s="52"/>
      <c r="C4" s="53"/>
      <c r="D4" s="54"/>
      <c r="E4" s="55"/>
      <c r="F4" s="55"/>
      <c r="G4" s="56"/>
    </row>
    <row r="5" spans="1:7">
      <c r="A5" s="57" t="s">
        <v>12</v>
      </c>
      <c r="B5" s="57"/>
      <c r="C5" s="58">
        <f>C6+C7</f>
        <v>4165999</v>
      </c>
      <c r="D5" s="58">
        <f t="shared" ref="D5:G5" si="0">D6+D7</f>
        <v>4165999</v>
      </c>
      <c r="E5" s="58">
        <f t="shared" si="0"/>
        <v>4664287.6899999995</v>
      </c>
      <c r="F5" s="58">
        <f t="shared" ref="F5" si="1">F6+F7</f>
        <v>2028726.6200000006</v>
      </c>
      <c r="G5" s="58">
        <f t="shared" si="0"/>
        <v>498288.6899999993</v>
      </c>
    </row>
    <row r="6" spans="1:7">
      <c r="A6" s="59"/>
      <c r="B6" s="59" t="s">
        <v>5</v>
      </c>
      <c r="C6" s="60">
        <v>0</v>
      </c>
      <c r="D6" s="60">
        <f>C6</f>
        <v>0</v>
      </c>
      <c r="E6" s="60">
        <v>299.16000000000003</v>
      </c>
      <c r="F6" s="60">
        <v>651.82000000000005</v>
      </c>
      <c r="G6" s="60">
        <f t="shared" ref="G6:G11" si="2">E6-D6</f>
        <v>299.16000000000003</v>
      </c>
    </row>
    <row r="7" spans="1:7">
      <c r="A7" s="59"/>
      <c r="B7" s="59" t="s">
        <v>4</v>
      </c>
      <c r="C7" s="60">
        <v>4165999</v>
      </c>
      <c r="D7" s="60">
        <f>C7</f>
        <v>4165999</v>
      </c>
      <c r="E7" s="60">
        <f>10809877.03-5956791.55-189096.95</f>
        <v>4663988.5299999993</v>
      </c>
      <c r="F7" s="60">
        <f>4523536.23-2389816.52-105644.91</f>
        <v>2028074.8000000005</v>
      </c>
      <c r="G7" s="60">
        <f t="shared" si="2"/>
        <v>497989.52999999933</v>
      </c>
    </row>
    <row r="8" spans="1:7">
      <c r="A8" s="57" t="s">
        <v>7</v>
      </c>
      <c r="B8" s="57"/>
      <c r="C8" s="58">
        <f>C10+C14+C23</f>
        <v>-23551110</v>
      </c>
      <c r="D8" s="58">
        <f>D10+D14+D23</f>
        <v>-29663926.280000001</v>
      </c>
      <c r="E8" s="58">
        <f t="shared" ref="E8:F8" si="3">E10+E14+E23</f>
        <v>-26639722.440000001</v>
      </c>
      <c r="F8" s="58">
        <f t="shared" si="3"/>
        <v>-18200421.809999999</v>
      </c>
      <c r="G8" s="58">
        <f>G10+G14+G23</f>
        <v>3024203.8399999989</v>
      </c>
    </row>
    <row r="9" spans="1:7">
      <c r="A9" s="59"/>
      <c r="B9" s="59" t="s">
        <v>6</v>
      </c>
      <c r="C9" s="60">
        <f>C11</f>
        <v>-14905861</v>
      </c>
      <c r="D9" s="60">
        <f>D11+D24</f>
        <v>-19711349.280000001</v>
      </c>
      <c r="E9" s="60">
        <f>E11</f>
        <v>-17344153.830000002</v>
      </c>
      <c r="F9" s="60">
        <f>F11</f>
        <v>-13364426.220000001</v>
      </c>
      <c r="G9" s="60">
        <f t="shared" si="2"/>
        <v>2367195.4499999993</v>
      </c>
    </row>
    <row r="10" spans="1:7">
      <c r="A10" s="61" t="s">
        <v>62</v>
      </c>
      <c r="B10" s="61"/>
      <c r="C10" s="58">
        <f>C12</f>
        <v>-21026955</v>
      </c>
      <c r="D10" s="58">
        <f t="shared" ref="D10:G11" si="4">D12</f>
        <v>-27555748.75</v>
      </c>
      <c r="E10" s="58">
        <f t="shared" si="4"/>
        <v>-24704446.760000002</v>
      </c>
      <c r="F10" s="58">
        <f t="shared" ref="F10" si="5">F12</f>
        <v>-17036662.399999999</v>
      </c>
      <c r="G10" s="58">
        <f t="shared" si="4"/>
        <v>2851301.9899999984</v>
      </c>
    </row>
    <row r="11" spans="1:7">
      <c r="A11" s="62"/>
      <c r="B11" s="59" t="s">
        <v>6</v>
      </c>
      <c r="C11" s="60">
        <f>C13</f>
        <v>-14905861</v>
      </c>
      <c r="D11" s="60">
        <f t="shared" si="4"/>
        <v>-19711349.280000001</v>
      </c>
      <c r="E11" s="60">
        <f t="shared" si="4"/>
        <v>-17344153.830000002</v>
      </c>
      <c r="F11" s="60">
        <f t="shared" ref="F11" si="6">F13</f>
        <v>-13364426.220000001</v>
      </c>
      <c r="G11" s="60">
        <f t="shared" si="2"/>
        <v>2367195.4499999993</v>
      </c>
    </row>
    <row r="12" spans="1:7" s="32" customFormat="1">
      <c r="A12" s="57" t="s">
        <v>48</v>
      </c>
      <c r="B12" s="57"/>
      <c r="C12" s="58">
        <f>LISA!D21</f>
        <v>-21026955</v>
      </c>
      <c r="D12" s="58">
        <f>LISA!E21</f>
        <v>-27555748.75</v>
      </c>
      <c r="E12" s="58">
        <f>LISA!F21</f>
        <v>-24704446.760000002</v>
      </c>
      <c r="F12" s="58">
        <f>-18152924.41-1270172.15-3382.36+2389816.52</f>
        <v>-17036662.399999999</v>
      </c>
      <c r="G12" s="58">
        <f>E12-D12</f>
        <v>2851301.9899999984</v>
      </c>
    </row>
    <row r="13" spans="1:7">
      <c r="A13" s="63"/>
      <c r="B13" s="59" t="s">
        <v>6</v>
      </c>
      <c r="C13" s="60">
        <f>LISA!D34</f>
        <v>-14905861</v>
      </c>
      <c r="D13" s="60">
        <f>LISA!E34</f>
        <v>-19711349.280000001</v>
      </c>
      <c r="E13" s="60">
        <f>LISA!F34</f>
        <v>-17344153.830000002</v>
      </c>
      <c r="F13" s="60">
        <v>-13364426.220000001</v>
      </c>
      <c r="G13" s="60">
        <f>E13-D13</f>
        <v>2367195.4499999993</v>
      </c>
    </row>
    <row r="14" spans="1:7">
      <c r="A14" s="64" t="s">
        <v>34</v>
      </c>
      <c r="B14" s="64"/>
      <c r="C14" s="58">
        <f>LISA!D49</f>
        <v>-2524155</v>
      </c>
      <c r="D14" s="58">
        <f>LISA!E49</f>
        <v>-2108177.5300000003</v>
      </c>
      <c r="E14" s="58">
        <f>LISA!F49</f>
        <v>-1935275.68</v>
      </c>
      <c r="F14" s="58">
        <v>-1163759.4099999999</v>
      </c>
      <c r="G14" s="60">
        <f>E14-D14</f>
        <v>172901.85000000033</v>
      </c>
    </row>
    <row r="15" spans="1:7">
      <c r="A15" s="65" t="s">
        <v>8</v>
      </c>
      <c r="B15" s="65"/>
      <c r="C15" s="58">
        <v>0</v>
      </c>
      <c r="D15" s="58">
        <f>-41013-90000-56147</f>
        <v>-187160</v>
      </c>
      <c r="E15" s="58">
        <f>-97159.5-13073.46</f>
        <v>-110232.95999999999</v>
      </c>
      <c r="F15" s="58">
        <f>-54656-12024.32</f>
        <v>-66680.320000000007</v>
      </c>
      <c r="G15" s="58">
        <f>E15-D15</f>
        <v>76927.040000000008</v>
      </c>
    </row>
    <row r="16" spans="1:7">
      <c r="A16" s="63"/>
      <c r="B16" s="59" t="s">
        <v>6</v>
      </c>
      <c r="C16" s="60">
        <v>0</v>
      </c>
      <c r="D16" s="60">
        <f>-41013-90000-56147</f>
        <v>-187160</v>
      </c>
      <c r="E16" s="60">
        <v>-97159.5</v>
      </c>
      <c r="F16" s="60">
        <v>-54656</v>
      </c>
      <c r="G16" s="60">
        <f t="shared" ref="G16:G17" si="7">E16-D16</f>
        <v>90000.5</v>
      </c>
    </row>
    <row r="17" spans="1:7">
      <c r="A17" s="63"/>
      <c r="B17" s="59" t="s">
        <v>44</v>
      </c>
      <c r="C17" s="60">
        <v>0</v>
      </c>
      <c r="D17" s="60">
        <f>C17</f>
        <v>0</v>
      </c>
      <c r="E17" s="60">
        <v>-13073.46</v>
      </c>
      <c r="F17" s="60">
        <v>-12024.32</v>
      </c>
      <c r="G17" s="60">
        <f t="shared" si="7"/>
        <v>-13073.46</v>
      </c>
    </row>
    <row r="18" spans="1:7">
      <c r="A18" s="61" t="s">
        <v>9</v>
      </c>
      <c r="B18" s="61"/>
      <c r="C18" s="58"/>
      <c r="D18" s="58"/>
      <c r="E18" s="58">
        <f>SUM(E19:E21)</f>
        <v>189096.95</v>
      </c>
      <c r="F18" s="58">
        <f>SUM(F19:F21)</f>
        <v>105644.91</v>
      </c>
      <c r="G18" s="58"/>
    </row>
    <row r="19" spans="1:7">
      <c r="A19" s="62"/>
      <c r="B19" s="62" t="s">
        <v>13</v>
      </c>
      <c r="C19" s="60"/>
      <c r="D19" s="60"/>
      <c r="E19" s="60">
        <v>189096.95</v>
      </c>
      <c r="F19" s="60">
        <v>105644.91</v>
      </c>
      <c r="G19" s="60"/>
    </row>
    <row r="20" spans="1:7" hidden="1">
      <c r="A20" s="62"/>
      <c r="B20" s="62" t="s">
        <v>14</v>
      </c>
      <c r="C20" s="60"/>
      <c r="D20" s="60"/>
      <c r="E20" s="60">
        <v>0</v>
      </c>
      <c r="F20" s="60">
        <v>0</v>
      </c>
      <c r="G20" s="60"/>
    </row>
    <row r="21" spans="1:7" hidden="1">
      <c r="A21" s="62"/>
      <c r="B21" s="62" t="s">
        <v>40</v>
      </c>
      <c r="C21" s="60"/>
      <c r="D21" s="60"/>
      <c r="E21" s="60">
        <v>0</v>
      </c>
      <c r="F21" s="60">
        <v>0</v>
      </c>
      <c r="G21" s="60"/>
    </row>
    <row r="22" spans="1:7" hidden="1">
      <c r="A22" s="66" t="s">
        <v>17</v>
      </c>
      <c r="B22" s="67"/>
      <c r="C22" s="68"/>
      <c r="D22" s="69"/>
      <c r="E22" s="70"/>
      <c r="F22" s="70"/>
      <c r="G22" s="68"/>
    </row>
    <row r="23" spans="1:7" hidden="1">
      <c r="A23" s="71"/>
      <c r="B23" s="66" t="s">
        <v>15</v>
      </c>
      <c r="C23" s="68">
        <v>0</v>
      </c>
      <c r="D23" s="68"/>
      <c r="E23" s="68">
        <v>0</v>
      </c>
      <c r="F23" s="68">
        <v>0</v>
      </c>
      <c r="G23" s="68">
        <f>E23-D23</f>
        <v>0</v>
      </c>
    </row>
    <row r="24" spans="1:7" hidden="1">
      <c r="A24" s="71"/>
      <c r="B24" s="72" t="s">
        <v>6</v>
      </c>
      <c r="C24" s="73">
        <v>0</v>
      </c>
      <c r="D24" s="73"/>
      <c r="E24" s="73">
        <v>0</v>
      </c>
      <c r="F24" s="73">
        <v>0</v>
      </c>
      <c r="G24" s="73">
        <f>E24-D24</f>
        <v>0</v>
      </c>
    </row>
    <row r="25" spans="1:7" hidden="1">
      <c r="A25" s="74"/>
      <c r="B25" s="71" t="s">
        <v>10</v>
      </c>
      <c r="C25" s="73"/>
      <c r="D25" s="75"/>
      <c r="E25" s="70">
        <f>E5+E8+E17+E18</f>
        <v>-21799411.260000002</v>
      </c>
      <c r="F25" s="70">
        <f>F5+F8+F17+F18</f>
        <v>-16078074.599999998</v>
      </c>
      <c r="G25" s="76"/>
    </row>
    <row r="26" spans="1:7" hidden="1">
      <c r="A26" s="74"/>
      <c r="B26" s="71" t="s">
        <v>11</v>
      </c>
      <c r="C26" s="73"/>
      <c r="D26" s="75"/>
      <c r="E26" s="70">
        <v>-21799411.260000002</v>
      </c>
      <c r="F26" s="70">
        <v>-16078074.6</v>
      </c>
      <c r="G26" s="76"/>
    </row>
    <row r="27" spans="1:7" hidden="1">
      <c r="A27" s="16"/>
      <c r="B27" s="16"/>
      <c r="C27" s="53"/>
      <c r="D27" s="54"/>
      <c r="E27" s="70">
        <f>E25-E26</f>
        <v>0</v>
      </c>
      <c r="F27" s="70">
        <f>F25-F26</f>
        <v>0</v>
      </c>
      <c r="G27" s="56"/>
    </row>
    <row r="28" spans="1:7">
      <c r="A28" s="16"/>
      <c r="B28" s="16"/>
      <c r="C28" s="48"/>
      <c r="D28" s="48"/>
      <c r="E28" s="48"/>
      <c r="F28" s="48"/>
      <c r="G28" s="48"/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5352C-D577-4AC0-AB2D-448D0F264886}">
  <dimension ref="A1:G51"/>
  <sheetViews>
    <sheetView workbookViewId="0">
      <selection activeCell="C37" sqref="C37"/>
    </sheetView>
  </sheetViews>
  <sheetFormatPr defaultRowHeight="13"/>
  <cols>
    <col min="1" max="1" width="5.7265625" style="14" customWidth="1"/>
    <col min="2" max="2" width="26" style="14" customWidth="1"/>
    <col min="3" max="3" width="54.81640625" style="14" customWidth="1"/>
    <col min="4" max="4" width="13.81640625" style="33" bestFit="1" customWidth="1"/>
    <col min="5" max="6" width="13.7265625" style="33" bestFit="1" customWidth="1"/>
    <col min="7" max="7" width="13.26953125" style="33" bestFit="1" customWidth="1"/>
    <col min="8" max="16384" width="8.7265625" style="14"/>
  </cols>
  <sheetData>
    <row r="1" spans="1:7">
      <c r="A1" s="32" t="s">
        <v>58</v>
      </c>
      <c r="B1" s="32"/>
    </row>
    <row r="2" spans="1:7">
      <c r="A2" s="32" t="s">
        <v>57</v>
      </c>
      <c r="B2" s="32"/>
    </row>
    <row r="4" spans="1:7" ht="26">
      <c r="A4" s="34"/>
      <c r="B4" s="34"/>
      <c r="C4" s="35"/>
      <c r="D4" s="36" t="s">
        <v>1</v>
      </c>
      <c r="E4" s="36" t="s">
        <v>2</v>
      </c>
      <c r="F4" s="36" t="s">
        <v>53</v>
      </c>
      <c r="G4" s="37" t="s">
        <v>3</v>
      </c>
    </row>
    <row r="5" spans="1:7">
      <c r="A5" s="38" t="s">
        <v>49</v>
      </c>
      <c r="B5" s="39"/>
      <c r="C5" s="39"/>
      <c r="D5" s="40"/>
      <c r="E5" s="40"/>
      <c r="F5" s="40"/>
      <c r="G5" s="40"/>
    </row>
    <row r="6" spans="1:7" s="32" customFormat="1">
      <c r="A6" s="41" t="s">
        <v>39</v>
      </c>
      <c r="B6" s="41"/>
      <c r="C6" s="41"/>
      <c r="D6" s="42">
        <f>SUM(D7:D10)</f>
        <v>-23551110</v>
      </c>
      <c r="E6" s="42">
        <f t="shared" ref="E6:F6" si="0">SUM(E7:E10)</f>
        <v>-29663926.280000001</v>
      </c>
      <c r="F6" s="42">
        <f t="shared" si="0"/>
        <v>-26639722.440000001</v>
      </c>
      <c r="G6" s="42">
        <f t="shared" ref="G6:G26" si="1">F6-E6</f>
        <v>3024203.84</v>
      </c>
    </row>
    <row r="7" spans="1:7">
      <c r="A7" s="43"/>
      <c r="B7" s="43" t="s">
        <v>59</v>
      </c>
      <c r="C7" s="43"/>
      <c r="D7" s="44">
        <f>D34</f>
        <v>-14905861</v>
      </c>
      <c r="E7" s="44">
        <f t="shared" ref="E7:F7" si="2">E34</f>
        <v>-19711349.280000001</v>
      </c>
      <c r="F7" s="44">
        <f t="shared" si="2"/>
        <v>-17344153.830000002</v>
      </c>
      <c r="G7" s="44">
        <f t="shared" si="1"/>
        <v>2367195.4499999993</v>
      </c>
    </row>
    <row r="8" spans="1:7">
      <c r="A8" s="43"/>
      <c r="B8" s="43" t="s">
        <v>60</v>
      </c>
      <c r="C8" s="43"/>
      <c r="D8" s="44">
        <f>D50+D41</f>
        <v>-1459711</v>
      </c>
      <c r="E8" s="44">
        <f t="shared" ref="E8:F8" si="3">E50+E41</f>
        <v>-1459711</v>
      </c>
      <c r="F8" s="44">
        <f t="shared" si="3"/>
        <v>-1287512.0599999998</v>
      </c>
      <c r="G8" s="44">
        <f t="shared" si="1"/>
        <v>172198.94000000018</v>
      </c>
    </row>
    <row r="9" spans="1:7">
      <c r="A9" s="43"/>
      <c r="B9" s="43" t="s">
        <v>61</v>
      </c>
      <c r="C9" s="43"/>
      <c r="D9" s="44">
        <f>D43+D51</f>
        <v>-5935538</v>
      </c>
      <c r="E9" s="44">
        <f t="shared" ref="E9:F9" si="4">E43+E51</f>
        <v>-7242866</v>
      </c>
      <c r="F9" s="44">
        <f t="shared" si="4"/>
        <v>-6605669.1399999997</v>
      </c>
      <c r="G9" s="44">
        <f t="shared" si="1"/>
        <v>637196.86000000034</v>
      </c>
    </row>
    <row r="10" spans="1:7">
      <c r="A10" s="43"/>
      <c r="B10" s="43" t="s">
        <v>66</v>
      </c>
      <c r="C10" s="43"/>
      <c r="D10" s="44">
        <f>D48</f>
        <v>-1250000</v>
      </c>
      <c r="E10" s="44">
        <f t="shared" ref="E10:F10" si="5">E48</f>
        <v>-1250000</v>
      </c>
      <c r="F10" s="44">
        <f t="shared" si="5"/>
        <v>-1402387.41</v>
      </c>
      <c r="G10" s="44">
        <f t="shared" si="1"/>
        <v>-152387.40999999992</v>
      </c>
    </row>
    <row r="11" spans="1:7" s="32" customFormat="1">
      <c r="A11" s="45" t="s">
        <v>62</v>
      </c>
      <c r="B11" s="41"/>
      <c r="C11" s="41"/>
      <c r="D11" s="42">
        <f>D16</f>
        <v>-21026955</v>
      </c>
      <c r="E11" s="42">
        <f>E16</f>
        <v>-27555748.75</v>
      </c>
      <c r="F11" s="42">
        <f>F16</f>
        <v>-24704446.760000002</v>
      </c>
      <c r="G11" s="42">
        <f t="shared" si="1"/>
        <v>2851301.9899999984</v>
      </c>
    </row>
    <row r="12" spans="1:7" s="32" customFormat="1">
      <c r="A12" s="45"/>
      <c r="B12" s="43" t="s">
        <v>59</v>
      </c>
      <c r="C12" s="41"/>
      <c r="D12" s="44">
        <f>D34</f>
        <v>-14905861</v>
      </c>
      <c r="E12" s="44">
        <f t="shared" ref="E12:F12" si="6">E34</f>
        <v>-19711349.280000001</v>
      </c>
      <c r="F12" s="44">
        <f t="shared" si="6"/>
        <v>-17344153.830000002</v>
      </c>
      <c r="G12" s="44">
        <f t="shared" si="1"/>
        <v>2367195.4499999993</v>
      </c>
    </row>
    <row r="13" spans="1:7" s="32" customFormat="1">
      <c r="A13" s="45"/>
      <c r="B13" s="43" t="s">
        <v>60</v>
      </c>
      <c r="C13" s="41"/>
      <c r="D13" s="44">
        <f>D41</f>
        <v>0</v>
      </c>
      <c r="E13" s="44">
        <f t="shared" ref="E13:F13" si="7">E41</f>
        <v>0</v>
      </c>
      <c r="F13" s="44">
        <f t="shared" si="7"/>
        <v>-702.91</v>
      </c>
      <c r="G13" s="44">
        <f t="shared" si="1"/>
        <v>-702.91</v>
      </c>
    </row>
    <row r="14" spans="1:7" s="32" customFormat="1">
      <c r="A14" s="45"/>
      <c r="B14" s="43" t="s">
        <v>61</v>
      </c>
      <c r="C14" s="41"/>
      <c r="D14" s="44">
        <f>D43</f>
        <v>-4871094</v>
      </c>
      <c r="E14" s="44">
        <f t="shared" ref="E14:F14" si="8">E43</f>
        <v>-6594399.4699999997</v>
      </c>
      <c r="F14" s="44">
        <f t="shared" si="8"/>
        <v>-5957202.6099999994</v>
      </c>
      <c r="G14" s="44">
        <f t="shared" si="1"/>
        <v>637196.86000000034</v>
      </c>
    </row>
    <row r="15" spans="1:7" s="32" customFormat="1">
      <c r="A15" s="45"/>
      <c r="B15" s="43" t="s">
        <v>66</v>
      </c>
      <c r="C15" s="41"/>
      <c r="D15" s="44">
        <f>D48</f>
        <v>-1250000</v>
      </c>
      <c r="E15" s="44">
        <f t="shared" ref="E15:F15" si="9">E48</f>
        <v>-1250000</v>
      </c>
      <c r="F15" s="44">
        <f t="shared" si="9"/>
        <v>-1402387.41</v>
      </c>
      <c r="G15" s="44">
        <f t="shared" si="1"/>
        <v>-152387.40999999992</v>
      </c>
    </row>
    <row r="16" spans="1:7" s="32" customFormat="1">
      <c r="A16" s="45" t="s">
        <v>71</v>
      </c>
      <c r="B16" s="41"/>
      <c r="C16" s="41"/>
      <c r="D16" s="42">
        <f>D21</f>
        <v>-21026955</v>
      </c>
      <c r="E16" s="42">
        <f t="shared" ref="E16:F16" si="10">E21</f>
        <v>-27555748.75</v>
      </c>
      <c r="F16" s="42">
        <f t="shared" si="10"/>
        <v>-24704446.760000002</v>
      </c>
      <c r="G16" s="42">
        <f t="shared" si="1"/>
        <v>2851301.9899999984</v>
      </c>
    </row>
    <row r="17" spans="1:7" s="32" customFormat="1">
      <c r="A17" s="45"/>
      <c r="B17" s="43" t="s">
        <v>59</v>
      </c>
      <c r="C17" s="41"/>
      <c r="D17" s="44">
        <f>D12</f>
        <v>-14905861</v>
      </c>
      <c r="E17" s="44">
        <f t="shared" ref="E17:F17" si="11">E12</f>
        <v>-19711349.280000001</v>
      </c>
      <c r="F17" s="44">
        <f t="shared" si="11"/>
        <v>-17344153.830000002</v>
      </c>
      <c r="G17" s="44">
        <f t="shared" si="1"/>
        <v>2367195.4499999993</v>
      </c>
    </row>
    <row r="18" spans="1:7" s="32" customFormat="1">
      <c r="A18" s="45"/>
      <c r="B18" s="43" t="s">
        <v>60</v>
      </c>
      <c r="C18" s="41"/>
      <c r="D18" s="44">
        <f t="shared" ref="D18:F18" si="12">D13</f>
        <v>0</v>
      </c>
      <c r="E18" s="44">
        <f t="shared" si="12"/>
        <v>0</v>
      </c>
      <c r="F18" s="44">
        <f t="shared" si="12"/>
        <v>-702.91</v>
      </c>
      <c r="G18" s="44">
        <f t="shared" si="1"/>
        <v>-702.91</v>
      </c>
    </row>
    <row r="19" spans="1:7" s="32" customFormat="1">
      <c r="A19" s="45"/>
      <c r="B19" s="43" t="s">
        <v>61</v>
      </c>
      <c r="C19" s="41"/>
      <c r="D19" s="44">
        <f t="shared" ref="D19:F19" si="13">D14</f>
        <v>-4871094</v>
      </c>
      <c r="E19" s="44">
        <f t="shared" si="13"/>
        <v>-6594399.4699999997</v>
      </c>
      <c r="F19" s="44">
        <f t="shared" si="13"/>
        <v>-5957202.6099999994</v>
      </c>
      <c r="G19" s="44">
        <f t="shared" si="1"/>
        <v>637196.86000000034</v>
      </c>
    </row>
    <row r="20" spans="1:7" s="32" customFormat="1">
      <c r="A20" s="45"/>
      <c r="B20" s="43" t="s">
        <v>66</v>
      </c>
      <c r="C20" s="41"/>
      <c r="D20" s="44">
        <f t="shared" ref="D20:F20" si="14">D15</f>
        <v>-1250000</v>
      </c>
      <c r="E20" s="44">
        <f t="shared" si="14"/>
        <v>-1250000</v>
      </c>
      <c r="F20" s="44">
        <f t="shared" si="14"/>
        <v>-1402387.41</v>
      </c>
      <c r="G20" s="44">
        <f t="shared" si="1"/>
        <v>-152387.40999999992</v>
      </c>
    </row>
    <row r="21" spans="1:7" s="32" customFormat="1">
      <c r="A21" s="45" t="s">
        <v>63</v>
      </c>
      <c r="B21" s="41"/>
      <c r="C21" s="41"/>
      <c r="D21" s="42">
        <f>SUM(D27:D33)</f>
        <v>-21026955</v>
      </c>
      <c r="E21" s="42">
        <f t="shared" ref="E21:F21" si="15">SUM(E27:E33)</f>
        <v>-27555748.75</v>
      </c>
      <c r="F21" s="42">
        <f t="shared" si="15"/>
        <v>-24704446.760000002</v>
      </c>
      <c r="G21" s="42">
        <f t="shared" si="1"/>
        <v>2851301.9899999984</v>
      </c>
    </row>
    <row r="22" spans="1:7" s="32" customFormat="1">
      <c r="A22" s="45"/>
      <c r="B22" s="43" t="s">
        <v>59</v>
      </c>
      <c r="C22" s="41"/>
      <c r="D22" s="44">
        <f>D17</f>
        <v>-14905861</v>
      </c>
      <c r="E22" s="44">
        <f t="shared" ref="E22:F22" si="16">E17</f>
        <v>-19711349.280000001</v>
      </c>
      <c r="F22" s="44">
        <f t="shared" si="16"/>
        <v>-17344153.830000002</v>
      </c>
      <c r="G22" s="44">
        <f t="shared" si="1"/>
        <v>2367195.4499999993</v>
      </c>
    </row>
    <row r="23" spans="1:7" s="32" customFormat="1">
      <c r="A23" s="45"/>
      <c r="B23" s="43" t="s">
        <v>60</v>
      </c>
      <c r="C23" s="41"/>
      <c r="D23" s="44">
        <f t="shared" ref="D23:F23" si="17">D18</f>
        <v>0</v>
      </c>
      <c r="E23" s="44">
        <f t="shared" si="17"/>
        <v>0</v>
      </c>
      <c r="F23" s="44">
        <f t="shared" si="17"/>
        <v>-702.91</v>
      </c>
      <c r="G23" s="44">
        <f t="shared" si="1"/>
        <v>-702.91</v>
      </c>
    </row>
    <row r="24" spans="1:7" s="32" customFormat="1">
      <c r="A24" s="45"/>
      <c r="B24" s="43" t="s">
        <v>61</v>
      </c>
      <c r="C24" s="41"/>
      <c r="D24" s="44">
        <f t="shared" ref="D24:F24" si="18">D19</f>
        <v>-4871094</v>
      </c>
      <c r="E24" s="44">
        <f t="shared" si="18"/>
        <v>-6594399.4699999997</v>
      </c>
      <c r="F24" s="44">
        <f t="shared" si="18"/>
        <v>-5957202.6099999994</v>
      </c>
      <c r="G24" s="44">
        <f t="shared" si="1"/>
        <v>637196.86000000034</v>
      </c>
    </row>
    <row r="25" spans="1:7" s="32" customFormat="1">
      <c r="A25" s="45"/>
      <c r="B25" s="43" t="s">
        <v>66</v>
      </c>
      <c r="C25" s="41"/>
      <c r="D25" s="44">
        <f t="shared" ref="D25:F25" si="19">D20</f>
        <v>-1250000</v>
      </c>
      <c r="E25" s="44">
        <f t="shared" si="19"/>
        <v>-1250000</v>
      </c>
      <c r="F25" s="44">
        <f t="shared" si="19"/>
        <v>-1402387.41</v>
      </c>
      <c r="G25" s="44">
        <f t="shared" si="1"/>
        <v>-152387.40999999992</v>
      </c>
    </row>
    <row r="26" spans="1:7" s="32" customFormat="1">
      <c r="A26" s="45"/>
      <c r="B26" s="41" t="s">
        <v>23</v>
      </c>
      <c r="C26" s="41"/>
      <c r="D26" s="42">
        <f>SUM(D27:D33)</f>
        <v>-21026955</v>
      </c>
      <c r="E26" s="42">
        <f t="shared" ref="E26:F26" si="20">SUM(E27:E33)</f>
        <v>-27555748.75</v>
      </c>
      <c r="F26" s="42">
        <f t="shared" si="20"/>
        <v>-24704446.760000002</v>
      </c>
      <c r="G26" s="42">
        <f t="shared" si="1"/>
        <v>2851301.9899999984</v>
      </c>
    </row>
    <row r="27" spans="1:7" s="32" customFormat="1">
      <c r="A27" s="45"/>
      <c r="B27" s="41"/>
      <c r="C27" s="43" t="s">
        <v>68</v>
      </c>
      <c r="D27" s="44">
        <v>0</v>
      </c>
      <c r="E27" s="44">
        <f>E44</f>
        <v>-6594399.4699999997</v>
      </c>
      <c r="F27" s="44">
        <v>0</v>
      </c>
      <c r="G27" s="44">
        <f t="shared" ref="G27:G33" si="21">F27-E27</f>
        <v>6594399.4699999997</v>
      </c>
    </row>
    <row r="28" spans="1:7">
      <c r="A28" s="43"/>
      <c r="B28" s="43"/>
      <c r="C28" s="43" t="s">
        <v>36</v>
      </c>
      <c r="D28" s="44">
        <f>D35+D45</f>
        <v>-8064320</v>
      </c>
      <c r="E28" s="44">
        <f t="shared" ref="E28:F28" si="22">E35+E45</f>
        <v>-8146794.79</v>
      </c>
      <c r="F28" s="44">
        <f t="shared" si="22"/>
        <v>-8917042.8000000007</v>
      </c>
      <c r="G28" s="44">
        <f t="shared" si="21"/>
        <v>-770248.01000000071</v>
      </c>
    </row>
    <row r="29" spans="1:7">
      <c r="A29" s="43"/>
      <c r="B29" s="43"/>
      <c r="C29" s="43" t="s">
        <v>37</v>
      </c>
      <c r="D29" s="44">
        <f>D36+D46</f>
        <v>-11405035</v>
      </c>
      <c r="E29" s="44">
        <f t="shared" ref="E29:F29" si="23">E36+E46</f>
        <v>-8583458.8499999996</v>
      </c>
      <c r="F29" s="44">
        <f t="shared" si="23"/>
        <v>-9082986.629999999</v>
      </c>
      <c r="G29" s="44">
        <f t="shared" si="21"/>
        <v>-499527.77999999933</v>
      </c>
    </row>
    <row r="30" spans="1:7">
      <c r="A30" s="43"/>
      <c r="B30" s="43"/>
      <c r="C30" s="43" t="s">
        <v>54</v>
      </c>
      <c r="D30" s="44">
        <f>D37</f>
        <v>-7500</v>
      </c>
      <c r="E30" s="44">
        <f t="shared" ref="E30:F30" si="24">E37</f>
        <v>-7500</v>
      </c>
      <c r="F30" s="44">
        <f t="shared" si="24"/>
        <v>-6410.25</v>
      </c>
      <c r="G30" s="44">
        <f t="shared" si="21"/>
        <v>1089.75</v>
      </c>
    </row>
    <row r="31" spans="1:7">
      <c r="A31" s="43"/>
      <c r="B31" s="43"/>
      <c r="C31" s="43" t="s">
        <v>55</v>
      </c>
      <c r="D31" s="44">
        <f>D38+D47</f>
        <v>-296600</v>
      </c>
      <c r="E31" s="44">
        <f t="shared" ref="E31:F31" si="25">E38+E47</f>
        <v>-2970078</v>
      </c>
      <c r="F31" s="44">
        <f t="shared" si="25"/>
        <v>-5291028.4499999993</v>
      </c>
      <c r="G31" s="44">
        <f t="shared" si="21"/>
        <v>-2320950.4499999993</v>
      </c>
    </row>
    <row r="32" spans="1:7">
      <c r="A32" s="43"/>
      <c r="B32" s="43"/>
      <c r="C32" s="43" t="s">
        <v>56</v>
      </c>
      <c r="D32" s="44">
        <f>D48+D42+D39</f>
        <v>-1250000</v>
      </c>
      <c r="E32" s="44">
        <f t="shared" ref="E32:F32" si="26">E48+E42+E39</f>
        <v>-1250000</v>
      </c>
      <c r="F32" s="44">
        <f t="shared" si="26"/>
        <v>-1403498.19</v>
      </c>
      <c r="G32" s="44">
        <f t="shared" si="21"/>
        <v>-153498.18999999994</v>
      </c>
    </row>
    <row r="33" spans="1:7">
      <c r="A33" s="43"/>
      <c r="B33" s="43"/>
      <c r="C33" s="43" t="s">
        <v>22</v>
      </c>
      <c r="D33" s="44">
        <f>D40</f>
        <v>-3500</v>
      </c>
      <c r="E33" s="44">
        <f t="shared" ref="E33:F33" si="27">E40</f>
        <v>-3517.64</v>
      </c>
      <c r="F33" s="44">
        <f t="shared" si="27"/>
        <v>-3480.44</v>
      </c>
      <c r="G33" s="44">
        <f t="shared" si="21"/>
        <v>37.199999999999818</v>
      </c>
    </row>
    <row r="34" spans="1:7">
      <c r="A34" s="41"/>
      <c r="B34" s="41"/>
      <c r="C34" s="41" t="s">
        <v>59</v>
      </c>
      <c r="D34" s="42">
        <f>SUM(D35:D40)</f>
        <v>-14905861</v>
      </c>
      <c r="E34" s="42">
        <f t="shared" ref="E34:F34" si="28">SUM(E35:E40)</f>
        <v>-19711349.280000001</v>
      </c>
      <c r="F34" s="42">
        <f t="shared" si="28"/>
        <v>-17344153.830000002</v>
      </c>
      <c r="G34" s="42">
        <f>F34-E34</f>
        <v>2367195.4499999993</v>
      </c>
    </row>
    <row r="35" spans="1:7">
      <c r="A35" s="43"/>
      <c r="B35" s="43"/>
      <c r="C35" s="43" t="s">
        <v>36</v>
      </c>
      <c r="D35" s="44">
        <v>-7325745</v>
      </c>
      <c r="E35" s="44">
        <v>-8146794.79</v>
      </c>
      <c r="F35" s="44">
        <v>-8205037.71</v>
      </c>
      <c r="G35" s="44">
        <f t="shared" ref="G35:G40" si="29">F35-E35</f>
        <v>-58242.919999999925</v>
      </c>
    </row>
    <row r="36" spans="1:7">
      <c r="A36" s="43"/>
      <c r="B36" s="43"/>
      <c r="C36" s="43" t="s">
        <v>37</v>
      </c>
      <c r="D36" s="44">
        <v>-7272516</v>
      </c>
      <c r="E36" s="44">
        <f>-8455151.95-34453.9-150000+56147</f>
        <v>-8583458.8499999996</v>
      </c>
      <c r="F36" s="44">
        <v>-6143698.4699999997</v>
      </c>
      <c r="G36" s="44">
        <f t="shared" si="29"/>
        <v>2439760.38</v>
      </c>
    </row>
    <row r="37" spans="1:7">
      <c r="A37" s="43"/>
      <c r="B37" s="43"/>
      <c r="C37" s="43" t="s">
        <v>54</v>
      </c>
      <c r="D37" s="44">
        <v>-7500</v>
      </c>
      <c r="E37" s="44">
        <f t="shared" ref="E37" si="30">D37</f>
        <v>-7500</v>
      </c>
      <c r="F37" s="44">
        <v>-6410.25</v>
      </c>
      <c r="G37" s="44">
        <f t="shared" si="29"/>
        <v>1089.75</v>
      </c>
    </row>
    <row r="38" spans="1:7">
      <c r="A38" s="43"/>
      <c r="B38" s="43"/>
      <c r="C38" s="43" t="s">
        <v>55</v>
      </c>
      <c r="D38" s="44">
        <v>-296600</v>
      </c>
      <c r="E38" s="44">
        <v>-2970078</v>
      </c>
      <c r="F38" s="44">
        <v>-2985119.09</v>
      </c>
      <c r="G38" s="44">
        <f t="shared" si="29"/>
        <v>-15041.089999999851</v>
      </c>
    </row>
    <row r="39" spans="1:7">
      <c r="A39" s="43"/>
      <c r="B39" s="43"/>
      <c r="C39" s="43" t="s">
        <v>38</v>
      </c>
      <c r="D39" s="44">
        <v>0</v>
      </c>
      <c r="E39" s="44">
        <v>0</v>
      </c>
      <c r="F39" s="44">
        <v>-407.87</v>
      </c>
      <c r="G39" s="44">
        <f t="shared" si="29"/>
        <v>-407.87</v>
      </c>
    </row>
    <row r="40" spans="1:7">
      <c r="A40" s="43"/>
      <c r="B40" s="43"/>
      <c r="C40" s="43" t="s">
        <v>22</v>
      </c>
      <c r="D40" s="44">
        <v>-3500</v>
      </c>
      <c r="E40" s="44">
        <f>D40-17.64</f>
        <v>-3517.64</v>
      </c>
      <c r="F40" s="44">
        <v>-3480.44</v>
      </c>
      <c r="G40" s="44">
        <f t="shared" si="29"/>
        <v>37.199999999999818</v>
      </c>
    </row>
    <row r="41" spans="1:7">
      <c r="A41" s="41"/>
      <c r="B41" s="43"/>
      <c r="C41" s="41" t="s">
        <v>60</v>
      </c>
      <c r="D41" s="42">
        <f>D42</f>
        <v>0</v>
      </c>
      <c r="E41" s="42">
        <f t="shared" ref="E41:F41" si="31">E42</f>
        <v>0</v>
      </c>
      <c r="F41" s="42">
        <f t="shared" si="31"/>
        <v>-702.91</v>
      </c>
      <c r="G41" s="42">
        <f>F41-E41</f>
        <v>-702.91</v>
      </c>
    </row>
    <row r="42" spans="1:7">
      <c r="A42" s="43"/>
      <c r="B42" s="43"/>
      <c r="C42" s="43" t="s">
        <v>38</v>
      </c>
      <c r="D42" s="44">
        <v>0</v>
      </c>
      <c r="E42" s="44">
        <f t="shared" ref="E42" si="32">D42</f>
        <v>0</v>
      </c>
      <c r="F42" s="44">
        <v>-702.91</v>
      </c>
      <c r="G42" s="44">
        <f t="shared" ref="G42" si="33">F42-E42</f>
        <v>-702.91</v>
      </c>
    </row>
    <row r="43" spans="1:7" s="32" customFormat="1">
      <c r="A43" s="41"/>
      <c r="B43" s="41"/>
      <c r="C43" s="41" t="s">
        <v>61</v>
      </c>
      <c r="D43" s="42">
        <f>SUM(D44:D47)</f>
        <v>-4871094</v>
      </c>
      <c r="E43" s="42">
        <f t="shared" ref="E43:F43" si="34">SUM(E44:E47)</f>
        <v>-6594399.4699999997</v>
      </c>
      <c r="F43" s="42">
        <f t="shared" si="34"/>
        <v>-5957202.6099999994</v>
      </c>
      <c r="G43" s="42">
        <f>F43-E43</f>
        <v>637196.86000000034</v>
      </c>
    </row>
    <row r="44" spans="1:7" s="32" customFormat="1">
      <c r="A44" s="41"/>
      <c r="B44" s="41"/>
      <c r="C44" s="43" t="s">
        <v>68</v>
      </c>
      <c r="D44" s="44">
        <v>0</v>
      </c>
      <c r="E44" s="44">
        <v>-6594399.4699999997</v>
      </c>
      <c r="F44" s="44">
        <v>0</v>
      </c>
      <c r="G44" s="44">
        <f t="shared" ref="G44:G47" si="35">F44-E44</f>
        <v>6594399.4699999997</v>
      </c>
    </row>
    <row r="45" spans="1:7">
      <c r="A45" s="43"/>
      <c r="B45" s="43"/>
      <c r="C45" s="43" t="s">
        <v>36</v>
      </c>
      <c r="D45" s="44">
        <v>-738575</v>
      </c>
      <c r="E45" s="46">
        <v>0</v>
      </c>
      <c r="F45" s="44">
        <v>-712005.09</v>
      </c>
      <c r="G45" s="44">
        <f t="shared" si="35"/>
        <v>-712005.09</v>
      </c>
    </row>
    <row r="46" spans="1:7">
      <c r="A46" s="43"/>
      <c r="B46" s="43"/>
      <c r="C46" s="43" t="s">
        <v>37</v>
      </c>
      <c r="D46" s="44">
        <v>-4132519</v>
      </c>
      <c r="E46" s="46">
        <v>0</v>
      </c>
      <c r="F46" s="44">
        <v>-2939288.16</v>
      </c>
      <c r="G46" s="44">
        <f t="shared" si="35"/>
        <v>-2939288.16</v>
      </c>
    </row>
    <row r="47" spans="1:7">
      <c r="A47" s="43"/>
      <c r="B47" s="43"/>
      <c r="C47" s="43" t="s">
        <v>55</v>
      </c>
      <c r="D47" s="44">
        <v>0</v>
      </c>
      <c r="E47" s="46">
        <v>0</v>
      </c>
      <c r="F47" s="44">
        <v>-2305909.36</v>
      </c>
      <c r="G47" s="44">
        <f t="shared" si="35"/>
        <v>-2305909.36</v>
      </c>
    </row>
    <row r="48" spans="1:7" s="32" customFormat="1">
      <c r="A48" s="41"/>
      <c r="B48" s="41"/>
      <c r="C48" s="41" t="s">
        <v>66</v>
      </c>
      <c r="D48" s="42">
        <v>-1250000</v>
      </c>
      <c r="E48" s="42">
        <f>D48</f>
        <v>-1250000</v>
      </c>
      <c r="F48" s="42">
        <v>-1402387.41</v>
      </c>
      <c r="G48" s="42">
        <f>F48-E48</f>
        <v>-152387.40999999992</v>
      </c>
    </row>
    <row r="49" spans="1:7" s="32" customFormat="1">
      <c r="A49" s="41" t="s">
        <v>34</v>
      </c>
      <c r="B49" s="41"/>
      <c r="C49" s="41"/>
      <c r="D49" s="42">
        <f>SUM(D50:D51)</f>
        <v>-2524155</v>
      </c>
      <c r="E49" s="42">
        <f>SUM(E50:E51)</f>
        <v>-2108177.5300000003</v>
      </c>
      <c r="F49" s="42">
        <f>SUM(F50:F51)</f>
        <v>-1935275.68</v>
      </c>
      <c r="G49" s="42">
        <f>SUM(G50:G51)</f>
        <v>172901.85000000009</v>
      </c>
    </row>
    <row r="50" spans="1:7">
      <c r="A50" s="43"/>
      <c r="B50" s="43"/>
      <c r="C50" s="43" t="s">
        <v>64</v>
      </c>
      <c r="D50" s="44">
        <v>-1459711</v>
      </c>
      <c r="E50" s="44">
        <f t="shared" ref="E50" si="36">D50</f>
        <v>-1459711</v>
      </c>
      <c r="F50" s="44">
        <v>-1286809.1499999999</v>
      </c>
      <c r="G50" s="44">
        <f t="shared" ref="G50:G51" si="37">F50-E50</f>
        <v>172901.85000000009</v>
      </c>
    </row>
    <row r="51" spans="1:7">
      <c r="A51" s="43"/>
      <c r="B51" s="43"/>
      <c r="C51" s="43" t="s">
        <v>65</v>
      </c>
      <c r="D51" s="44">
        <v>-1064444</v>
      </c>
      <c r="E51" s="44">
        <v>-648466.53</v>
      </c>
      <c r="F51" s="44">
        <v>-648466.53</v>
      </c>
      <c r="G51" s="44">
        <f t="shared" si="37"/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086A9-CF0E-4B82-AA53-D93B7E26FB31}">
  <dimension ref="A1:C17"/>
  <sheetViews>
    <sheetView workbookViewId="0">
      <selection activeCell="D38" sqref="D38"/>
    </sheetView>
  </sheetViews>
  <sheetFormatPr defaultRowHeight="13"/>
  <cols>
    <col min="1" max="1" width="58.26953125" style="14" customWidth="1"/>
    <col min="2" max="2" width="10.54296875" style="14" customWidth="1"/>
    <col min="3" max="3" width="14.54296875" style="14" customWidth="1"/>
    <col min="4" max="4" width="8.7265625" style="14"/>
    <col min="5" max="5" width="8.90625" style="14" customWidth="1"/>
    <col min="6" max="16384" width="8.7265625" style="14"/>
  </cols>
  <sheetData>
    <row r="1" spans="1:3">
      <c r="A1" s="2" t="s">
        <v>76</v>
      </c>
      <c r="B1" s="16"/>
      <c r="C1" s="16"/>
    </row>
    <row r="2" spans="1:3">
      <c r="A2" s="2" t="s">
        <v>26</v>
      </c>
      <c r="B2" s="16"/>
      <c r="C2" s="16"/>
    </row>
    <row r="3" spans="1:3">
      <c r="A3" s="25" t="s">
        <v>0</v>
      </c>
      <c r="B3" s="16"/>
      <c r="C3" s="16"/>
    </row>
    <row r="4" spans="1:3">
      <c r="A4" s="2"/>
      <c r="B4" s="3"/>
      <c r="C4" s="3"/>
    </row>
    <row r="5" spans="1:3" ht="52.5" customHeight="1">
      <c r="A5" s="10"/>
      <c r="B5" s="31" t="s">
        <v>27</v>
      </c>
      <c r="C5" s="31" t="s">
        <v>47</v>
      </c>
    </row>
    <row r="6" spans="1:3">
      <c r="A6" s="26" t="s">
        <v>28</v>
      </c>
      <c r="B6" s="27">
        <f>aruanne!C5</f>
        <v>4165999</v>
      </c>
      <c r="C6" s="27">
        <f>aruanne!C8+aruanne!C15</f>
        <v>-23551110</v>
      </c>
    </row>
    <row r="7" spans="1:3">
      <c r="A7" s="26" t="s">
        <v>29</v>
      </c>
      <c r="B7" s="28"/>
      <c r="C7" s="27">
        <f>-1*1505441.38</f>
        <v>-1505441.38</v>
      </c>
    </row>
    <row r="8" spans="1:3">
      <c r="A8" s="26" t="s">
        <v>67</v>
      </c>
      <c r="B8" s="28"/>
      <c r="C8" s="27">
        <v>-2500000</v>
      </c>
    </row>
    <row r="9" spans="1:3">
      <c r="A9" s="29" t="s">
        <v>30</v>
      </c>
      <c r="B9" s="28"/>
      <c r="C9" s="28">
        <v>-952753</v>
      </c>
    </row>
    <row r="10" spans="1:3">
      <c r="A10" s="26" t="s">
        <v>31</v>
      </c>
      <c r="B10" s="28"/>
      <c r="C10" s="28">
        <v>4165999</v>
      </c>
    </row>
    <row r="11" spans="1:3">
      <c r="A11" s="26" t="s">
        <v>32</v>
      </c>
      <c r="B11" s="28"/>
      <c r="C11" s="28">
        <v>-5490282.3799999999</v>
      </c>
    </row>
    <row r="12" spans="1:3">
      <c r="A12" s="26" t="s">
        <v>41</v>
      </c>
      <c r="B12" s="28"/>
      <c r="C12" s="28">
        <f>5935538-4165999</f>
        <v>1769539</v>
      </c>
    </row>
    <row r="13" spans="1:3">
      <c r="A13" s="26" t="s">
        <v>42</v>
      </c>
      <c r="B13" s="28"/>
      <c r="C13" s="28">
        <v>-1787037.52</v>
      </c>
    </row>
    <row r="14" spans="1:3">
      <c r="A14" s="7" t="s">
        <v>33</v>
      </c>
      <c r="B14" s="30">
        <f>SUM(B6:B13)</f>
        <v>4165999</v>
      </c>
      <c r="C14" s="30">
        <f>SUM(C6:C13)</f>
        <v>-29851086.279999997</v>
      </c>
    </row>
    <row r="15" spans="1:3" hidden="1">
      <c r="A15" s="1"/>
      <c r="B15" s="1">
        <f>aruanne!D5</f>
        <v>4165999</v>
      </c>
      <c r="C15" s="1">
        <f>aruanne!D8+aruanne!D15</f>
        <v>-29851086.280000001</v>
      </c>
    </row>
    <row r="16" spans="1:3" hidden="1">
      <c r="A16" s="1"/>
      <c r="B16" s="1">
        <f t="shared" ref="B16:C16" si="0">B14-B15</f>
        <v>0</v>
      </c>
      <c r="C16" s="1">
        <f t="shared" si="0"/>
        <v>0</v>
      </c>
    </row>
    <row r="17" s="14" customFormat="1" hidden="1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F9403-50E9-43C6-AF9D-B37F0A9328D9}">
  <dimension ref="A1:O13"/>
  <sheetViews>
    <sheetView workbookViewId="0">
      <selection activeCell="D27" sqref="D27"/>
    </sheetView>
  </sheetViews>
  <sheetFormatPr defaultRowHeight="13"/>
  <cols>
    <col min="1" max="1" width="15.81640625" style="14" customWidth="1"/>
    <col min="2" max="2" width="39.1796875" style="14" customWidth="1"/>
    <col min="3" max="3" width="16.7265625" style="24" bestFit="1" customWidth="1"/>
    <col min="4" max="4" width="16.1796875" style="24" bestFit="1" customWidth="1"/>
    <col min="5" max="5" width="16.7265625" style="24" bestFit="1" customWidth="1"/>
    <col min="6" max="6" width="9.1796875" style="21"/>
    <col min="7" max="7" width="16" style="21" bestFit="1" customWidth="1"/>
    <col min="8" max="8" width="16.7265625" style="21" bestFit="1" customWidth="1"/>
    <col min="9" max="9" width="15.81640625" style="21" bestFit="1" customWidth="1"/>
    <col min="10" max="10" width="8.7265625" style="14"/>
    <col min="11" max="11" width="14.26953125" style="14" bestFit="1" customWidth="1"/>
    <col min="12" max="12" width="8.7265625" style="14"/>
    <col min="13" max="13" width="14.26953125" style="14" bestFit="1" customWidth="1"/>
    <col min="14" max="14" width="10.7265625" style="14" bestFit="1" customWidth="1"/>
    <col min="15" max="15" width="17.7265625" style="14" customWidth="1"/>
    <col min="16" max="16384" width="8.7265625" style="14"/>
  </cols>
  <sheetData>
    <row r="1" spans="1:15">
      <c r="A1" s="2" t="s">
        <v>73</v>
      </c>
      <c r="B1" s="3"/>
      <c r="C1" s="4"/>
      <c r="D1" s="4"/>
      <c r="E1" s="4"/>
      <c r="F1" s="5"/>
      <c r="G1" s="6"/>
      <c r="H1" s="11"/>
      <c r="I1" s="12"/>
      <c r="J1" s="13"/>
    </row>
    <row r="2" spans="1:15">
      <c r="A2" s="2" t="s">
        <v>18</v>
      </c>
      <c r="B2" s="3"/>
      <c r="C2" s="4"/>
      <c r="D2" s="4"/>
      <c r="E2" s="4"/>
      <c r="F2" s="5"/>
      <c r="G2" s="4"/>
      <c r="H2" s="4"/>
      <c r="I2" s="11"/>
      <c r="J2" s="13"/>
    </row>
    <row r="3" spans="1:15">
      <c r="A3" s="2"/>
      <c r="B3" s="3"/>
      <c r="C3" s="15"/>
      <c r="D3" s="15"/>
      <c r="E3" s="15"/>
      <c r="F3" s="5"/>
      <c r="G3" s="15"/>
      <c r="H3" s="15"/>
      <c r="I3" s="15"/>
      <c r="J3" s="16"/>
    </row>
    <row r="4" spans="1:15" ht="26">
      <c r="A4" s="10" t="s">
        <v>25</v>
      </c>
      <c r="B4" s="10" t="s">
        <v>19</v>
      </c>
      <c r="C4" s="8" t="s">
        <v>74</v>
      </c>
      <c r="D4" s="8" t="s">
        <v>69</v>
      </c>
      <c r="E4" s="8" t="s">
        <v>70</v>
      </c>
      <c r="F4" s="9" t="s">
        <v>20</v>
      </c>
      <c r="G4" s="8" t="s">
        <v>75</v>
      </c>
      <c r="H4" s="8" t="s">
        <v>51</v>
      </c>
      <c r="I4" s="8" t="s">
        <v>52</v>
      </c>
      <c r="J4" s="10" t="s">
        <v>20</v>
      </c>
    </row>
    <row r="5" spans="1:15">
      <c r="A5" s="17" t="s">
        <v>23</v>
      </c>
      <c r="B5" s="17" t="s">
        <v>43</v>
      </c>
      <c r="C5" s="18">
        <v>299.16000000000003</v>
      </c>
      <c r="D5" s="19">
        <f>aruanne!E6</f>
        <v>299.16000000000003</v>
      </c>
      <c r="E5" s="19">
        <f t="shared" ref="E5" si="0">C5-D5</f>
        <v>0</v>
      </c>
      <c r="F5" s="20"/>
      <c r="G5" s="18">
        <v>651.82000000000005</v>
      </c>
      <c r="H5" s="19">
        <f>aruanne!F6</f>
        <v>651.82000000000005</v>
      </c>
      <c r="I5" s="19">
        <f t="shared" ref="I5" si="1">G5-H5</f>
        <v>0</v>
      </c>
      <c r="J5" s="17"/>
      <c r="K5" s="21"/>
      <c r="O5" s="21"/>
    </row>
    <row r="6" spans="1:15">
      <c r="A6" s="17" t="s">
        <v>23</v>
      </c>
      <c r="B6" s="17" t="s">
        <v>4</v>
      </c>
      <c r="C6" s="18">
        <v>4853085.4800000004</v>
      </c>
      <c r="D6" s="19">
        <f>aruanne!E7+aruanne!E19+aruanne!E20</f>
        <v>4853085.4799999995</v>
      </c>
      <c r="E6" s="19">
        <f t="shared" ref="E6:E10" si="2">C6-D6</f>
        <v>0</v>
      </c>
      <c r="F6" s="20"/>
      <c r="G6" s="18">
        <v>2133719.71</v>
      </c>
      <c r="H6" s="19">
        <f>aruanne!F7+aruanne!F19+aruanne!F20</f>
        <v>2133719.7100000004</v>
      </c>
      <c r="I6" s="19">
        <f t="shared" ref="I6:I13" si="3">G6-H6</f>
        <v>0</v>
      </c>
      <c r="J6" s="17"/>
      <c r="K6" s="21"/>
      <c r="O6" s="21"/>
    </row>
    <row r="7" spans="1:15">
      <c r="A7" s="17" t="s">
        <v>23</v>
      </c>
      <c r="B7" s="17" t="s">
        <v>21</v>
      </c>
      <c r="C7" s="18"/>
      <c r="D7" s="19">
        <v>0</v>
      </c>
      <c r="E7" s="19">
        <f t="shared" si="2"/>
        <v>0</v>
      </c>
      <c r="F7" s="20"/>
      <c r="G7" s="18">
        <v>0</v>
      </c>
      <c r="H7" s="19">
        <v>0</v>
      </c>
      <c r="I7" s="19">
        <f t="shared" si="3"/>
        <v>0</v>
      </c>
      <c r="J7" s="17"/>
      <c r="K7" s="21"/>
      <c r="O7" s="21"/>
    </row>
    <row r="8" spans="1:15">
      <c r="A8" s="17" t="s">
        <v>23</v>
      </c>
      <c r="B8" s="17" t="s">
        <v>46</v>
      </c>
      <c r="C8" s="18">
        <f>-26649315.46-C10-C13</f>
        <v>-24700966.32</v>
      </c>
      <c r="D8" s="19">
        <f>aruanne!E8-aruanne!E14+aruanne!E21</f>
        <v>-24704446.760000002</v>
      </c>
      <c r="E8" s="19">
        <f t="shared" si="2"/>
        <v>3480.4400000013411</v>
      </c>
      <c r="F8" s="20"/>
      <c r="G8" s="18">
        <f>-18209063.77-G10-G13</f>
        <v>-17033280.039999999</v>
      </c>
      <c r="H8" s="19">
        <f>aruanne!F8-aruanne!F14+aruanne!F21</f>
        <v>-17036662.399999999</v>
      </c>
      <c r="I8" s="19">
        <f t="shared" si="3"/>
        <v>3382.359999999404</v>
      </c>
      <c r="J8" s="17"/>
      <c r="K8" s="21"/>
      <c r="O8" s="21"/>
    </row>
    <row r="9" spans="1:15">
      <c r="A9" s="17" t="s">
        <v>23</v>
      </c>
      <c r="B9" s="17" t="s">
        <v>22</v>
      </c>
      <c r="C9" s="18">
        <v>-3480.44</v>
      </c>
      <c r="D9" s="19"/>
      <c r="E9" s="19">
        <f t="shared" si="2"/>
        <v>-3480.44</v>
      </c>
      <c r="F9" s="20"/>
      <c r="G9" s="18">
        <v>-3382.36</v>
      </c>
      <c r="H9" s="19"/>
      <c r="I9" s="19">
        <f t="shared" si="3"/>
        <v>-3382.36</v>
      </c>
      <c r="J9" s="17"/>
      <c r="K9" s="21"/>
      <c r="O9" s="21"/>
    </row>
    <row r="10" spans="1:15">
      <c r="A10" s="17" t="s">
        <v>23</v>
      </c>
      <c r="B10" s="17" t="s">
        <v>35</v>
      </c>
      <c r="C10" s="18">
        <v>-1935275.68</v>
      </c>
      <c r="D10" s="19">
        <f>aruanne!E14</f>
        <v>-1935275.68</v>
      </c>
      <c r="E10" s="19">
        <f t="shared" si="2"/>
        <v>0</v>
      </c>
      <c r="F10" s="22"/>
      <c r="G10" s="18">
        <v>-1163759.4099999999</v>
      </c>
      <c r="H10" s="19">
        <f>aruanne!F14</f>
        <v>-1163759.4099999999</v>
      </c>
      <c r="I10" s="19">
        <f t="shared" si="3"/>
        <v>0</v>
      </c>
      <c r="J10" s="17"/>
      <c r="K10" s="21"/>
      <c r="O10" s="21"/>
    </row>
    <row r="11" spans="1:15">
      <c r="A11" s="17" t="s">
        <v>23</v>
      </c>
      <c r="B11" s="23" t="s">
        <v>16</v>
      </c>
      <c r="C11" s="18">
        <f>-56146.5</f>
        <v>-56146.5</v>
      </c>
      <c r="D11" s="19">
        <f>aruanne!E15-D13</f>
        <v>-97159.5</v>
      </c>
      <c r="E11" s="19">
        <f t="shared" ref="E11:E13" si="4">C11-D11</f>
        <v>41013</v>
      </c>
      <c r="F11" s="22"/>
      <c r="G11" s="18">
        <f>-41013-54656</f>
        <v>-95669</v>
      </c>
      <c r="H11" s="19">
        <f>aruanne!F15-aruanne!F17</f>
        <v>-54656.000000000007</v>
      </c>
      <c r="I11" s="19">
        <f t="shared" ref="I11" si="5">G11-H11</f>
        <v>-41012.999999999993</v>
      </c>
      <c r="J11" s="17"/>
      <c r="K11" s="21"/>
      <c r="O11" s="21"/>
    </row>
    <row r="12" spans="1:15">
      <c r="A12" s="17" t="s">
        <v>23</v>
      </c>
      <c r="B12" s="17" t="s">
        <v>24</v>
      </c>
      <c r="C12" s="18">
        <v>-41013</v>
      </c>
      <c r="D12" s="19"/>
      <c r="E12" s="19">
        <f t="shared" ref="E12" si="6">C12-D12</f>
        <v>-41013</v>
      </c>
      <c r="F12" s="22"/>
      <c r="G12" s="18">
        <v>41013</v>
      </c>
      <c r="H12" s="19"/>
      <c r="I12" s="19">
        <f t="shared" ref="I12" si="7">G12-H12</f>
        <v>41013</v>
      </c>
      <c r="J12" s="17"/>
      <c r="K12" s="21"/>
      <c r="O12" s="21"/>
    </row>
    <row r="13" spans="1:15">
      <c r="A13" s="17" t="s">
        <v>23</v>
      </c>
      <c r="B13" s="17" t="s">
        <v>45</v>
      </c>
      <c r="C13" s="18">
        <v>-13073.46</v>
      </c>
      <c r="D13" s="19">
        <f>aruanne!E17</f>
        <v>-13073.46</v>
      </c>
      <c r="E13" s="19">
        <f t="shared" si="4"/>
        <v>0</v>
      </c>
      <c r="F13" s="22"/>
      <c r="G13" s="18">
        <v>-12024.32</v>
      </c>
      <c r="H13" s="19">
        <f>aruanne!F17</f>
        <v>-12024.32</v>
      </c>
      <c r="I13" s="19">
        <f t="shared" si="3"/>
        <v>0</v>
      </c>
      <c r="J13" s="17"/>
      <c r="K13" s="21"/>
      <c r="O13" s="21"/>
    </row>
  </sheetData>
  <autoFilter ref="A4:J13" xr:uid="{EF1F9403-50E9-43C6-AF9D-B37F0A9328D9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aruanne</vt:lpstr>
      <vt:lpstr>LISA</vt:lpstr>
      <vt:lpstr>lisa 1</vt:lpstr>
      <vt:lpstr>lisa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Juta Maar</dc:creator>
  <cp:lastModifiedBy>Kairi Sirkel - RK</cp:lastModifiedBy>
  <dcterms:created xsi:type="dcterms:W3CDTF">2022-02-14T16:37:54Z</dcterms:created>
  <dcterms:modified xsi:type="dcterms:W3CDTF">2026-07-07T12:20:21Z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2025-05-15T14:01:08Z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4b5872ad-0275-42f8-b861-6180ced29fc8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