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d-dav.agri.ee/webdk-agri-ee_cd546ab6-8e9c-4058-af2a-5e18c87c008a/"/>
    </mc:Choice>
  </mc:AlternateContent>
  <xr:revisionPtr revIDLastSave="0" documentId="13_ncr:1_{2A196263-86EB-4501-943D-5F56A6E7CF34}" xr6:coauthVersionLast="47" xr6:coauthVersionMax="47" xr10:uidLastSave="{00000000-0000-0000-0000-000000000000}"/>
  <bookViews>
    <workbookView xWindow="-120" yWindow="-120" windowWidth="38640" windowHeight="21240" xr2:uid="{4D1749CD-7348-40E3-9063-2FA36ECE44CB}"/>
  </bookViews>
  <sheets>
    <sheet name="aruanne" sheetId="1" r:id="rId1"/>
    <sheet name="vordlus" sheetId="2" r:id="rId2"/>
    <sheet name="lisa1" sheetId="4" r:id="rId3"/>
  </sheets>
  <definedNames>
    <definedName name="_xlnm._FilterDatabase" localSheetId="1" hidden="1">vordlus!$A$4:$J$23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4" l="1"/>
  <c r="D8" i="2" l="1"/>
  <c r="D100" i="1" l="1"/>
  <c r="D99" i="1"/>
  <c r="C18" i="4"/>
  <c r="E8" i="1"/>
  <c r="E9" i="1"/>
  <c r="E118" i="1"/>
  <c r="C22" i="2"/>
  <c r="E108" i="1"/>
  <c r="C21" i="2"/>
  <c r="E105" i="1"/>
  <c r="E107" i="1"/>
  <c r="D22" i="2" s="1"/>
  <c r="E22" i="2" s="1"/>
  <c r="C18" i="2"/>
  <c r="C15" i="2"/>
  <c r="C12" i="2"/>
  <c r="C13" i="2"/>
  <c r="C14" i="2"/>
  <c r="E13" i="1"/>
  <c r="C11" i="2"/>
  <c r="E100" i="1"/>
  <c r="E14" i="1"/>
  <c r="G3" i="2" l="1"/>
  <c r="C3" i="2" l="1"/>
  <c r="D101" i="1"/>
  <c r="D102" i="1"/>
  <c r="C15" i="4" l="1"/>
  <c r="D109" i="1" l="1"/>
  <c r="F104" i="1" l="1"/>
  <c r="E104" i="1"/>
  <c r="C104" i="1"/>
  <c r="E103" i="1"/>
  <c r="C103" i="1"/>
  <c r="G108" i="1"/>
  <c r="G107" i="1"/>
  <c r="D106" i="1" l="1"/>
  <c r="D104" i="1" s="1"/>
  <c r="D105" i="1"/>
  <c r="D103" i="1" s="1"/>
  <c r="D92" i="1"/>
  <c r="D91" i="1"/>
  <c r="D72" i="1"/>
  <c r="D71" i="1"/>
  <c r="D66" i="1"/>
  <c r="D65" i="1"/>
  <c r="D14" i="1"/>
  <c r="D13" i="1"/>
  <c r="D12" i="1"/>
  <c r="D11" i="1"/>
  <c r="D10" i="1"/>
  <c r="D9" i="1"/>
  <c r="D8" i="1"/>
  <c r="D7" i="1"/>
  <c r="F20" i="1" l="1"/>
  <c r="E20" i="1"/>
  <c r="D20" i="1"/>
  <c r="F19" i="1"/>
  <c r="E19" i="1"/>
  <c r="D19" i="1"/>
  <c r="C20" i="1"/>
  <c r="C19" i="1"/>
  <c r="G26" i="1"/>
  <c r="G25" i="1"/>
  <c r="F76" i="1"/>
  <c r="E76" i="1"/>
  <c r="D76" i="1"/>
  <c r="F75" i="1"/>
  <c r="E75" i="1"/>
  <c r="D75" i="1"/>
  <c r="C76" i="1"/>
  <c r="C75" i="1"/>
  <c r="G86" i="1"/>
  <c r="G85" i="1"/>
  <c r="G84" i="1"/>
  <c r="G83" i="1"/>
  <c r="F118" i="1" l="1"/>
  <c r="F109" i="1"/>
  <c r="F105" i="1"/>
  <c r="F100" i="1"/>
  <c r="F96" i="1"/>
  <c r="F94" i="1" s="1"/>
  <c r="F95" i="1"/>
  <c r="F93" i="1" s="1"/>
  <c r="F90" i="1"/>
  <c r="F88" i="1" s="1"/>
  <c r="F89" i="1"/>
  <c r="F87" i="1" s="1"/>
  <c r="F74" i="1"/>
  <c r="F73" i="1"/>
  <c r="F70" i="1"/>
  <c r="F68" i="1" s="1"/>
  <c r="F69" i="1"/>
  <c r="F67" i="1" s="1"/>
  <c r="F64" i="1"/>
  <c r="F62" i="1" s="1"/>
  <c r="F63" i="1"/>
  <c r="F61" i="1" s="1"/>
  <c r="F50" i="1"/>
  <c r="F49" i="1"/>
  <c r="F14" i="1"/>
  <c r="F13" i="1"/>
  <c r="F10" i="1"/>
  <c r="H8" i="2" s="1"/>
  <c r="F9" i="1"/>
  <c r="F8" i="1"/>
  <c r="H21" i="2" l="1"/>
  <c r="F103" i="1"/>
  <c r="F111" i="1"/>
  <c r="F17" i="1"/>
  <c r="F15" i="1" s="1"/>
  <c r="F6" i="1"/>
  <c r="F18" i="1"/>
  <c r="F16" i="1" s="1"/>
  <c r="F126" i="1" l="1"/>
  <c r="D21" i="2" l="1"/>
  <c r="D23" i="2"/>
  <c r="G110" i="1" l="1"/>
  <c r="G109" i="1"/>
  <c r="G106" i="1"/>
  <c r="G105" i="1"/>
  <c r="D23" i="4"/>
  <c r="D7" i="4"/>
  <c r="D22" i="4" s="1"/>
  <c r="E96" i="1"/>
  <c r="D96" i="1"/>
  <c r="E95" i="1"/>
  <c r="D95" i="1"/>
  <c r="D93" i="1" s="1"/>
  <c r="C96" i="1"/>
  <c r="C94" i="1" s="1"/>
  <c r="C95" i="1"/>
  <c r="C93" i="1" s="1"/>
  <c r="E90" i="1"/>
  <c r="D90" i="1"/>
  <c r="D88" i="1" s="1"/>
  <c r="E89" i="1"/>
  <c r="C90" i="1"/>
  <c r="C88" i="1" s="1"/>
  <c r="C89" i="1"/>
  <c r="C87" i="1" s="1"/>
  <c r="G82" i="1"/>
  <c r="G80" i="1"/>
  <c r="E70" i="1"/>
  <c r="D70" i="1"/>
  <c r="E69" i="1"/>
  <c r="D69" i="1"/>
  <c r="D67" i="1" s="1"/>
  <c r="C70" i="1"/>
  <c r="C68" i="1" s="1"/>
  <c r="C69" i="1"/>
  <c r="E64" i="1"/>
  <c r="E63" i="1"/>
  <c r="D63" i="1"/>
  <c r="D61" i="1" s="1"/>
  <c r="C64" i="1"/>
  <c r="C63" i="1"/>
  <c r="G60" i="1"/>
  <c r="G59" i="1"/>
  <c r="E50" i="1"/>
  <c r="E49" i="1"/>
  <c r="C50" i="1"/>
  <c r="C49" i="1"/>
  <c r="G104" i="1" l="1"/>
  <c r="G103" i="1"/>
  <c r="E94" i="1"/>
  <c r="E88" i="1"/>
  <c r="E73" i="1"/>
  <c r="E74" i="1"/>
  <c r="E68" i="1"/>
  <c r="H23" i="2"/>
  <c r="D24" i="4"/>
  <c r="C67" i="1"/>
  <c r="D94" i="1"/>
  <c r="C61" i="1"/>
  <c r="E93" i="1"/>
  <c r="G98" i="1"/>
  <c r="G97" i="1"/>
  <c r="D89" i="1"/>
  <c r="E87" i="1"/>
  <c r="G92" i="1"/>
  <c r="G91" i="1"/>
  <c r="D74" i="1"/>
  <c r="C74" i="1"/>
  <c r="D73" i="1"/>
  <c r="G77" i="1"/>
  <c r="C73" i="1"/>
  <c r="G81" i="1"/>
  <c r="G79" i="1"/>
  <c r="G78" i="1"/>
  <c r="G76" i="1" s="1"/>
  <c r="E67" i="1"/>
  <c r="D68" i="1"/>
  <c r="C62" i="1"/>
  <c r="D64" i="1"/>
  <c r="D62" i="1" s="1"/>
  <c r="E62" i="1"/>
  <c r="G72" i="1"/>
  <c r="G71" i="1"/>
  <c r="E61" i="1"/>
  <c r="G65" i="1"/>
  <c r="G66" i="1"/>
  <c r="G75" i="1" l="1"/>
  <c r="G73" i="1" s="1"/>
  <c r="G95" i="1"/>
  <c r="G93" i="1" s="1"/>
  <c r="G96" i="1"/>
  <c r="G94" i="1" s="1"/>
  <c r="G89" i="1"/>
  <c r="G87" i="1" s="1"/>
  <c r="G90" i="1"/>
  <c r="G88" i="1" s="1"/>
  <c r="G74" i="1"/>
  <c r="G69" i="1"/>
  <c r="G67" i="1" s="1"/>
  <c r="G70" i="1"/>
  <c r="G68" i="1" s="1"/>
  <c r="G63" i="1"/>
  <c r="G61" i="1" s="1"/>
  <c r="G64" i="1"/>
  <c r="G62" i="1" s="1"/>
  <c r="D87" i="1"/>
  <c r="D50" i="1" l="1"/>
  <c r="D49" i="1"/>
  <c r="E23" i="2" l="1"/>
  <c r="E21" i="2"/>
  <c r="E19" i="2"/>
  <c r="E16" i="2"/>
  <c r="E15" i="2"/>
  <c r="E12" i="2"/>
  <c r="G100" i="1" l="1"/>
  <c r="G99" i="1"/>
  <c r="G58" i="1"/>
  <c r="G57" i="1"/>
  <c r="G56" i="1"/>
  <c r="G55" i="1"/>
  <c r="G54" i="1"/>
  <c r="G53" i="1"/>
  <c r="G52" i="1"/>
  <c r="G51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4" i="1"/>
  <c r="G23" i="1"/>
  <c r="G22" i="1"/>
  <c r="G21" i="1"/>
  <c r="D10" i="2"/>
  <c r="E10" i="2" s="1"/>
  <c r="H10" i="2"/>
  <c r="I10" i="2" s="1"/>
  <c r="G20" i="1" l="1"/>
  <c r="G19" i="1"/>
  <c r="G49" i="1"/>
  <c r="G50" i="1"/>
  <c r="G14" i="1"/>
  <c r="G101" i="1"/>
  <c r="G102" i="1"/>
  <c r="G10" i="1"/>
  <c r="G8" i="1"/>
  <c r="G7" i="1"/>
  <c r="G9" i="1"/>
  <c r="G11" i="1"/>
  <c r="G12" i="1"/>
  <c r="G13" i="1"/>
  <c r="E6" i="1"/>
  <c r="D6" i="1"/>
  <c r="C6" i="1"/>
  <c r="D20" i="2"/>
  <c r="E20" i="2" s="1"/>
  <c r="D18" i="2"/>
  <c r="E18" i="2" s="1"/>
  <c r="D17" i="2"/>
  <c r="E17" i="2" s="1"/>
  <c r="D13" i="2"/>
  <c r="E13" i="2" s="1"/>
  <c r="D11" i="2"/>
  <c r="E11" i="2" s="1"/>
  <c r="D9" i="2"/>
  <c r="E9" i="2" s="1"/>
  <c r="E8" i="2"/>
  <c r="D7" i="2"/>
  <c r="E7" i="2" s="1"/>
  <c r="D6" i="2"/>
  <c r="E6" i="2" s="1"/>
  <c r="D5" i="2"/>
  <c r="G6" i="1" l="1"/>
  <c r="H20" i="2"/>
  <c r="I20" i="2" s="1"/>
  <c r="H18" i="2"/>
  <c r="H17" i="2"/>
  <c r="H14" i="2" s="1"/>
  <c r="H9" i="2"/>
  <c r="I9" i="2" s="1"/>
  <c r="I8" i="2"/>
  <c r="H5" i="2"/>
  <c r="H11" i="2"/>
  <c r="H13" i="2" l="1"/>
  <c r="H7" i="2"/>
  <c r="I7" i="2" s="1"/>
  <c r="D18" i="1"/>
  <c r="D16" i="1" s="1"/>
  <c r="E17" i="1"/>
  <c r="E15" i="1" s="1"/>
  <c r="D17" i="1"/>
  <c r="D15" i="1" s="1"/>
  <c r="E18" i="1"/>
  <c r="E16" i="1" s="1"/>
  <c r="G18" i="1"/>
  <c r="G17" i="1"/>
  <c r="H6" i="2"/>
  <c r="I6" i="2" s="1"/>
  <c r="C18" i="1"/>
  <c r="C16" i="1" s="1"/>
  <c r="C17" i="1"/>
  <c r="C15" i="1" s="1"/>
  <c r="I11" i="2"/>
  <c r="C7" i="4" l="1"/>
  <c r="D14" i="2" l="1"/>
  <c r="E14" i="2" s="1"/>
  <c r="C23" i="4"/>
  <c r="B7" i="4" l="1"/>
  <c r="B22" i="4" s="1"/>
  <c r="I23" i="2" l="1"/>
  <c r="I21" i="2"/>
  <c r="I19" i="2"/>
  <c r="I16" i="2"/>
  <c r="I15" i="2"/>
  <c r="I12" i="2"/>
  <c r="G124" i="1"/>
  <c r="G123" i="1"/>
  <c r="G122" i="1"/>
  <c r="E111" i="1"/>
  <c r="H3" i="2" l="1"/>
  <c r="G15" i="1"/>
  <c r="G16" i="1"/>
  <c r="E126" i="1"/>
  <c r="I17" i="2"/>
  <c r="B23" i="4"/>
  <c r="B24" i="4" s="1"/>
  <c r="G125" i="1"/>
  <c r="I13" i="2"/>
  <c r="E5" i="2"/>
  <c r="D3" i="2" l="1"/>
  <c r="C22" i="4"/>
  <c r="I5" i="2"/>
  <c r="I18" i="2" l="1"/>
  <c r="E3" i="2" l="1"/>
  <c r="I14" i="2"/>
  <c r="I3" i="2" s="1"/>
</calcChain>
</file>

<file path=xl/sharedStrings.xml><?xml version="1.0" encoding="utf-8"?>
<sst xmlns="http://schemas.openxmlformats.org/spreadsheetml/2006/main" count="235" uniqueCount="157">
  <si>
    <t>2024. aasta riigieelarve täitmise arunne</t>
  </si>
  <si>
    <t>eurodes</t>
  </si>
  <si>
    <t>Algne eelarve</t>
  </si>
  <si>
    <t>Lõplik eelarve</t>
  </si>
  <si>
    <t>Täitmine 2024</t>
  </si>
  <si>
    <t>Täitmine 2023</t>
  </si>
  <si>
    <t>Täitmine miinus lõplik eelarve</t>
  </si>
  <si>
    <t>(A) TULUDE JA KULUDE EELARVE</t>
  </si>
  <si>
    <t xml:space="preserve">REGIONAAL- JA PÕLLUMAJANDUSMINISTEERIUMI valitsemisala </t>
  </si>
  <si>
    <t>TULUD</t>
  </si>
  <si>
    <t>Riigilõivud</t>
  </si>
  <si>
    <t>Tulu majandustegevusest</t>
  </si>
  <si>
    <t>Saadud toetused</t>
  </si>
  <si>
    <t>Keskkonnatasud</t>
  </si>
  <si>
    <t>Muud tulud</t>
  </si>
  <si>
    <t>Intressi- ja omanikutulud</t>
  </si>
  <si>
    <t>KULUD</t>
  </si>
  <si>
    <t>sh piirmääraga vahendid</t>
  </si>
  <si>
    <t>Tulemusvaldkond: PÕLLUMAJANDUS JA KALANDUS</t>
  </si>
  <si>
    <t>Programm: Põllumajandus, toit ja maaelu</t>
  </si>
  <si>
    <t>Põllumajanduskeskkonna hea seisundi tagamine</t>
  </si>
  <si>
    <t>PK01070100</t>
  </si>
  <si>
    <t>Taimetervise, loomade tervise ja heaolu tagamine</t>
  </si>
  <si>
    <t>PK01070200</t>
  </si>
  <si>
    <t>Maa- ja rannapiirkonna arendamine</t>
  </si>
  <si>
    <t>PK01070500</t>
  </si>
  <si>
    <t>Toiduohutus</t>
  </si>
  <si>
    <t>PK01030100</t>
  </si>
  <si>
    <t>Maakasutus</t>
  </si>
  <si>
    <t>PK01040100</t>
  </si>
  <si>
    <t>Maaparandus</t>
  </si>
  <si>
    <t>PK01040200</t>
  </si>
  <si>
    <t>Sordiaretus ja taimne paljundusmaterjal</t>
  </si>
  <si>
    <t>PK01040300</t>
  </si>
  <si>
    <t>Põllumajandusloomade aretus</t>
  </si>
  <si>
    <t>PK01040400</t>
  </si>
  <si>
    <t>Põllumajandustootjate ja toiduainetööstuste konkurentsivõime</t>
  </si>
  <si>
    <t>PK01050100</t>
  </si>
  <si>
    <t>Põlvkondade vahetus</t>
  </si>
  <si>
    <t>PK01050200</t>
  </si>
  <si>
    <t>Riskijuhtimine ja põllumajandusturgude tasakaal</t>
  </si>
  <si>
    <t>PK01050300</t>
  </si>
  <si>
    <t>Ühistegevus ja koostöö</t>
  </si>
  <si>
    <t>PK01050400</t>
  </si>
  <si>
    <t>Ekspordivõimekus ja Eesti toidu kuvand</t>
  </si>
  <si>
    <t>PK01050500</t>
  </si>
  <si>
    <t>Mahepõllumajandus</t>
  </si>
  <si>
    <t>PK01050600</t>
  </si>
  <si>
    <t>Programm: Kalandus</t>
  </si>
  <si>
    <t>Kutseline kalapüük</t>
  </si>
  <si>
    <t>PK02010100</t>
  </si>
  <si>
    <t>Vee-elusressursside töötlemine</t>
  </si>
  <si>
    <t>PK02010200</t>
  </si>
  <si>
    <t>Vesiviljelus</t>
  </si>
  <si>
    <t>PK02010300</t>
  </si>
  <si>
    <t>EMKFi keskkonnakaitsemeetmete rakendamine</t>
  </si>
  <si>
    <t>PK02010400</t>
  </si>
  <si>
    <t>Kalavarude haldamine ja kaitse</t>
  </si>
  <si>
    <t>PK02010700</t>
  </si>
  <si>
    <t>oli PK02010500</t>
  </si>
  <si>
    <t>Tulemusvaldkond: HEAOLU</t>
  </si>
  <si>
    <t>Sotsiaalhoolekande programm</t>
  </si>
  <si>
    <t>Pikaajalise hoolduse poliitika kujundamine, KOV võimestamine</t>
  </si>
  <si>
    <t>HE07010100</t>
  </si>
  <si>
    <t>Tulemusvaldkond: DIGIÜHISKOND</t>
  </si>
  <si>
    <t>Digiühiskonna programm</t>
  </si>
  <si>
    <t>Õigusruumi tagamine</t>
  </si>
  <si>
    <t>IYDA030100</t>
  </si>
  <si>
    <t>Tulemusvaldkond: TÕHUS RIIK</t>
  </si>
  <si>
    <t>Programm: Regionaalpoliitika</t>
  </si>
  <si>
    <t>Regionaalpoliitika, piirkondade ja piiriülese koostöö areng</t>
  </si>
  <si>
    <t>RV04010300</t>
  </si>
  <si>
    <t>Kohalike omavalitsuste poliitika ja finantseerimine</t>
  </si>
  <si>
    <t>RV04020300</t>
  </si>
  <si>
    <t>Ruumilise planeerimise poliitika kujundamine ja korraldamine</t>
  </si>
  <si>
    <t>RV04030100</t>
  </si>
  <si>
    <t>Maatoimingute korraldamine</t>
  </si>
  <si>
    <t>RV04040100</t>
  </si>
  <si>
    <t>oli KK01050100</t>
  </si>
  <si>
    <t>Ruumiandmete hõive, analüüsid ja kättesaadavaks tegemine</t>
  </si>
  <si>
    <t>RV04050100</t>
  </si>
  <si>
    <t>oli KK01050200</t>
  </si>
  <si>
    <t>Tulemusvaldkond: TEADUS- JA ARENDUSTEGEVUS JA ETTEVÕTLUS</t>
  </si>
  <si>
    <t>Ettevõtluskeskkonna programm</t>
  </si>
  <si>
    <t>Ettevõtluse arendamise soodustamine</t>
  </si>
  <si>
    <t>TIEK010100</t>
  </si>
  <si>
    <t>Tulemusvaldkond: TRANSPORT</t>
  </si>
  <si>
    <t>Programm: Ühistransport</t>
  </si>
  <si>
    <t>Ühistransporditeenuse arendamine ja soodustamine</t>
  </si>
  <si>
    <t>TR02010100</t>
  </si>
  <si>
    <t>oli TRTR040100</t>
  </si>
  <si>
    <t>Käibemaks</t>
  </si>
  <si>
    <t>INVESTEERINGUD</t>
  </si>
  <si>
    <t>sh käibemaks</t>
  </si>
  <si>
    <t>FINANTSEERIMISTEHINGUD</t>
  </si>
  <si>
    <t>Laenunõuded</t>
  </si>
  <si>
    <t xml:space="preserve">Osalused avaliku sektori ja sidusüksustes </t>
  </si>
  <si>
    <t>Finantseerimistegevuseks antud sihtfinantseerimine</t>
  </si>
  <si>
    <t>KORRIGEERIMISED</t>
  </si>
  <si>
    <t>Saadud välistoetuste kaasrahastamine teistelt riigiasutustelt</t>
  </si>
  <si>
    <t>Saadud vahendamiseks teistele riigiasutustele</t>
  </si>
  <si>
    <t>Kohalikele omavalitsuste toetus- ja tasandusfond (kajastub Vabariigi Valitsuse eelarve osas)</t>
  </si>
  <si>
    <t>Ebatõenäoliselt laekuvad müüginõuded, tulu taastamine</t>
  </si>
  <si>
    <t>Ebatõenäoliselt laekuvad müüginõuded, kulu taastamine</t>
  </si>
  <si>
    <t>Müüdud põhivara jääkväärtus</t>
  </si>
  <si>
    <t>Antud välistoetused ja kaasfinantseerimine teistele riigiasutustele</t>
  </si>
  <si>
    <t>Antud mitterahaline sihtfinantseerimine</t>
  </si>
  <si>
    <t xml:space="preserve">JAOTAMATA </t>
  </si>
  <si>
    <t>SAP miinus jaotatud</t>
  </si>
  <si>
    <t>Kulud</t>
  </si>
  <si>
    <t>Investeeringud</t>
  </si>
  <si>
    <t>Kontroll</t>
  </si>
  <si>
    <t>saldoandmik</t>
  </si>
  <si>
    <t xml:space="preserve">Lisa </t>
  </si>
  <si>
    <t>Eelarve täitmise ja raamatupidamisaruannete võrdlus</t>
  </si>
  <si>
    <t>Valitsemisala</t>
  </si>
  <si>
    <t>Kirje</t>
  </si>
  <si>
    <t>Raamatupidamisandmed 2024</t>
  </si>
  <si>
    <t>RE aruanne 2024</t>
  </si>
  <si>
    <t>Vahe 2024</t>
  </si>
  <si>
    <t>Selgitus</t>
  </si>
  <si>
    <t>Raamatupidamisandmed 2023</t>
  </si>
  <si>
    <t>RE aruanne 2023</t>
  </si>
  <si>
    <t>Vahe 2023</t>
  </si>
  <si>
    <t>REM</t>
  </si>
  <si>
    <t>Tulem põhivarade ja varude müügist</t>
  </si>
  <si>
    <t>Trahvid ja muud varalised karistused</t>
  </si>
  <si>
    <t>3sisesed</t>
  </si>
  <si>
    <t>Finantstulud</t>
  </si>
  <si>
    <t>Tegevuskulud, v.a käibemaksukulu</t>
  </si>
  <si>
    <t>4,5,6sisesed</t>
  </si>
  <si>
    <t>Finantskulud</t>
  </si>
  <si>
    <t>Käibemaksukulu tegevuskuludelt</t>
  </si>
  <si>
    <t>15ettemaksed</t>
  </si>
  <si>
    <t>Käibemaksukulu investeeringutelt</t>
  </si>
  <si>
    <t>Osalused</t>
  </si>
  <si>
    <t>Lõpliku eelarve kujunemine</t>
  </si>
  <si>
    <t>Tulud</t>
  </si>
  <si>
    <t>Kulud, investeeringud</t>
  </si>
  <si>
    <t>Fin tehingud</t>
  </si>
  <si>
    <t>Esialgne eelarve</t>
  </si>
  <si>
    <t>Üle toodud eelmisest aastast</t>
  </si>
  <si>
    <t>Muudatused 29.05.2024 riigieelarve muutmise seaduse alusel</t>
  </si>
  <si>
    <t>Muudatused 19.06.2024 lisaeelarve seaduse alusel</t>
  </si>
  <si>
    <t>Muudatused 05.12.2024 riigieelarve seaduse muutmise seaduse alusel</t>
  </si>
  <si>
    <t>Sihtotstarbeliste vahendite reservist</t>
  </si>
  <si>
    <t>Eelarves kavandatud toetused</t>
  </si>
  <si>
    <t>Tegelikult saadud toetused ja avatud sildfinantseerimine</t>
  </si>
  <si>
    <t>Eelarves kavandatud välistoetuste kaasrahastamine</t>
  </si>
  <si>
    <t>Tegelik välistoetuste kaasrahastamine</t>
  </si>
  <si>
    <t>Eelarves kavandatud saastekvootide müügist</t>
  </si>
  <si>
    <t>Saastekvootide müügist saadud eelarve ümberjaotamine</t>
  </si>
  <si>
    <t>Eelarves kavandatud majandustegevusest laekuv tulu</t>
  </si>
  <si>
    <t>Tegelikult majandustegevusest saadud tulu</t>
  </si>
  <si>
    <t xml:space="preserve">Saadud Vabariigi Valitsuse reservfondist </t>
  </si>
  <si>
    <t>Kokku lõplik eelarve</t>
  </si>
  <si>
    <t>Tulu põhivara ja varude müügist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</si>
</sst>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color rgb="FF0000FF"/>
      <name val="Times New Roman"/>
      <family val="1"/>
      <charset val="186"/>
    </font>
    <font>
      <sz val="10"/>
      <name val="Arial"/>
      <family val="2"/>
      <charset val="186"/>
    </font>
    <font>
      <sz val="12"/>
      <color theme="5" tint="-0.499984740745262"/>
      <name val="Times New Roman"/>
      <family val="1"/>
      <charset val="186"/>
    </font>
    <font>
      <b/>
      <sz val="12"/>
      <color theme="5" tint="-0.499984740745262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sz val="12"/>
      <color rgb="FFFF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8">
    <xf numFmtId="0" fontId="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3">
    <xf numFmtId="0" fontId="0" fillId="0" borderId="0" xfId="0"/>
    <xf numFmtId="3" fontId="4" fillId="0" borderId="0" xfId="0" applyNumberFormat="1" applyFont="1"/>
    <xf numFmtId="3" fontId="0" fillId="0" borderId="0" xfId="0" applyNumberFormat="1"/>
    <xf numFmtId="0" fontId="0" fillId="0" borderId="1" xfId="0" applyBorder="1"/>
    <xf numFmtId="3" fontId="3" fillId="0" borderId="1" xfId="0" applyNumberFormat="1" applyFont="1" applyBorder="1" applyAlignment="1">
      <alignment horizontal="center" wrapText="1"/>
    </xf>
    <xf numFmtId="3" fontId="0" fillId="0" borderId="1" xfId="0" applyNumberFormat="1" applyBorder="1"/>
    <xf numFmtId="3" fontId="5" fillId="0" borderId="1" xfId="0" applyNumberFormat="1" applyFont="1" applyBorder="1" applyAlignment="1">
      <alignment horizontal="right"/>
    </xf>
    <xf numFmtId="3" fontId="8" fillId="3" borderId="1" xfId="0" applyNumberFormat="1" applyFont="1" applyFill="1" applyBorder="1" applyAlignment="1">
      <alignment horizontal="right"/>
    </xf>
    <xf numFmtId="3" fontId="11" fillId="3" borderId="1" xfId="0" applyNumberFormat="1" applyFont="1" applyFill="1" applyBorder="1" applyAlignment="1">
      <alignment horizontal="right"/>
    </xf>
    <xf numFmtId="3" fontId="5" fillId="3" borderId="1" xfId="2" applyNumberFormat="1" applyFont="1" applyFill="1" applyBorder="1" applyAlignment="1" applyProtection="1">
      <alignment horizontal="right"/>
      <protection locked="0"/>
    </xf>
    <xf numFmtId="3" fontId="5" fillId="3" borderId="1" xfId="0" applyNumberFormat="1" applyFont="1" applyFill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3" fontId="7" fillId="3" borderId="1" xfId="0" applyNumberFormat="1" applyFont="1" applyFill="1" applyBorder="1" applyAlignment="1">
      <alignment horizontal="right"/>
    </xf>
    <xf numFmtId="3" fontId="9" fillId="3" borderId="1" xfId="0" applyNumberFormat="1" applyFont="1" applyFill="1" applyBorder="1" applyAlignment="1">
      <alignment horizontal="right"/>
    </xf>
    <xf numFmtId="3" fontId="12" fillId="3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3" fillId="0" borderId="0" xfId="0" applyFont="1"/>
    <xf numFmtId="3" fontId="10" fillId="0" borderId="0" xfId="0" applyNumberFormat="1" applyFont="1"/>
    <xf numFmtId="4" fontId="10" fillId="0" borderId="0" xfId="0" applyNumberFormat="1" applyFont="1"/>
    <xf numFmtId="4" fontId="10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2" fillId="0" borderId="0" xfId="0" applyNumberFormat="1" applyFont="1" applyAlignment="1">
      <alignment wrapText="1"/>
    </xf>
    <xf numFmtId="4" fontId="0" fillId="0" borderId="0" xfId="0" applyNumberFormat="1"/>
    <xf numFmtId="0" fontId="13" fillId="3" borderId="1" xfId="0" applyFont="1" applyFill="1" applyBorder="1" applyAlignment="1">
      <alignment vertical="top"/>
    </xf>
    <xf numFmtId="4" fontId="13" fillId="3" borderId="1" xfId="0" applyNumberFormat="1" applyFont="1" applyFill="1" applyBorder="1" applyAlignment="1">
      <alignment vertical="top" wrapText="1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0" fontId="15" fillId="0" borderId="0" xfId="0" applyFont="1"/>
    <xf numFmtId="3" fontId="15" fillId="0" borderId="0" xfId="0" applyNumberFormat="1" applyFont="1" applyAlignment="1">
      <alignment vertical="top"/>
    </xf>
    <xf numFmtId="0" fontId="13" fillId="4" borderId="1" xfId="0" applyFont="1" applyFill="1" applyBorder="1" applyAlignment="1">
      <alignment vertical="top"/>
    </xf>
    <xf numFmtId="3" fontId="15" fillId="4" borderId="1" xfId="0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vertical="top"/>
    </xf>
    <xf numFmtId="3" fontId="15" fillId="0" borderId="1" xfId="0" applyNumberFormat="1" applyFont="1" applyBorder="1" applyAlignment="1">
      <alignment vertical="top"/>
    </xf>
    <xf numFmtId="0" fontId="15" fillId="0" borderId="1" xfId="0" applyFont="1" applyBorder="1"/>
    <xf numFmtId="0" fontId="13" fillId="0" borderId="1" xfId="0" applyFont="1" applyBorder="1" applyAlignment="1">
      <alignment vertical="top"/>
    </xf>
    <xf numFmtId="3" fontId="13" fillId="0" borderId="1" xfId="0" applyNumberFormat="1" applyFont="1" applyBorder="1" applyAlignment="1">
      <alignment vertical="top"/>
    </xf>
    <xf numFmtId="3" fontId="15" fillId="0" borderId="0" xfId="0" applyNumberFormat="1" applyFont="1"/>
    <xf numFmtId="0" fontId="14" fillId="0" borderId="0" xfId="0" applyFont="1"/>
    <xf numFmtId="4" fontId="0" fillId="0" borderId="0" xfId="0" applyNumberFormat="1" applyAlignment="1">
      <alignment horizontal="right"/>
    </xf>
    <xf numFmtId="3" fontId="5" fillId="0" borderId="1" xfId="2" applyNumberFormat="1" applyFont="1" applyBorder="1" applyAlignment="1" applyProtection="1">
      <alignment horizontal="right"/>
      <protection locked="0"/>
    </xf>
    <xf numFmtId="43" fontId="0" fillId="0" borderId="0" xfId="6" applyFont="1"/>
    <xf numFmtId="4" fontId="10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 wrapText="1"/>
    </xf>
    <xf numFmtId="4" fontId="13" fillId="3" borderId="1" xfId="0" applyNumberFormat="1" applyFont="1" applyFill="1" applyBorder="1" applyAlignment="1">
      <alignment horizontal="right" vertical="top" wrapText="1"/>
    </xf>
    <xf numFmtId="43" fontId="1" fillId="0" borderId="0" xfId="6" applyFont="1"/>
    <xf numFmtId="4" fontId="13" fillId="3" borderId="1" xfId="0" applyNumberFormat="1" applyFont="1" applyFill="1" applyBorder="1" applyAlignment="1">
      <alignment vertical="top"/>
    </xf>
    <xf numFmtId="43" fontId="14" fillId="0" borderId="0" xfId="6" applyFont="1"/>
    <xf numFmtId="0" fontId="3" fillId="0" borderId="0" xfId="0" applyFont="1"/>
    <xf numFmtId="3" fontId="5" fillId="0" borderId="0" xfId="0" applyNumberFormat="1" applyFont="1"/>
    <xf numFmtId="0" fontId="6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3" fontId="4" fillId="0" borderId="1" xfId="0" applyNumberFormat="1" applyFont="1" applyBorder="1"/>
    <xf numFmtId="3" fontId="5" fillId="0" borderId="1" xfId="0" applyNumberFormat="1" applyFont="1" applyBorder="1"/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3" fontId="3" fillId="0" borderId="1" xfId="0" applyNumberFormat="1" applyFont="1" applyBorder="1"/>
    <xf numFmtId="0" fontId="3" fillId="0" borderId="1" xfId="2" applyFont="1" applyBorder="1" applyAlignment="1" applyProtection="1">
      <alignment horizontal="left"/>
      <protection locked="0"/>
    </xf>
    <xf numFmtId="0" fontId="5" fillId="0" borderId="1" xfId="2" applyFont="1" applyBorder="1" applyAlignment="1" applyProtection="1">
      <alignment horizontal="left"/>
      <protection locked="0"/>
    </xf>
    <xf numFmtId="0" fontId="8" fillId="0" borderId="1" xfId="2" applyFont="1" applyBorder="1" applyAlignment="1" applyProtection="1">
      <alignment horizontal="center"/>
      <protection locked="0"/>
    </xf>
    <xf numFmtId="0" fontId="3" fillId="0" borderId="1" xfId="1" applyFont="1" applyBorder="1" applyAlignment="1" applyProtection="1">
      <alignment horizontal="left"/>
      <protection locked="0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0" borderId="1" xfId="1" applyFont="1" applyBorder="1" applyAlignment="1" applyProtection="1">
      <alignment horizontal="left"/>
      <protection locked="0"/>
    </xf>
    <xf numFmtId="0" fontId="5" fillId="0" borderId="1" xfId="0" applyFont="1" applyBorder="1"/>
    <xf numFmtId="0" fontId="3" fillId="3" borderId="1" xfId="0" applyFont="1" applyFill="1" applyBorder="1" applyAlignment="1">
      <alignment horizontal="left"/>
    </xf>
    <xf numFmtId="3" fontId="3" fillId="3" borderId="1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left"/>
    </xf>
    <xf numFmtId="0" fontId="5" fillId="3" borderId="1" xfId="2" applyFont="1" applyFill="1" applyBorder="1" applyAlignment="1" applyProtection="1">
      <alignment horizontal="left"/>
      <protection locked="0"/>
    </xf>
    <xf numFmtId="0" fontId="3" fillId="0" borderId="1" xfId="0" applyFont="1" applyBorder="1"/>
    <xf numFmtId="0" fontId="5" fillId="2" borderId="1" xfId="0" applyFont="1" applyFill="1" applyBorder="1" applyProtection="1"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8" fillId="0" borderId="1" xfId="0" applyFont="1" applyBorder="1" applyAlignment="1" applyProtection="1">
      <alignment vertical="top"/>
      <protection locked="0"/>
    </xf>
    <xf numFmtId="3" fontId="2" fillId="0" borderId="0" xfId="0" applyNumberFormat="1" applyFont="1"/>
    <xf numFmtId="3" fontId="2" fillId="0" borderId="1" xfId="0" applyNumberFormat="1" applyFont="1" applyBorder="1"/>
    <xf numFmtId="43" fontId="14" fillId="0" borderId="0" xfId="6" applyFont="1" applyFill="1"/>
    <xf numFmtId="43" fontId="0" fillId="0" borderId="0" xfId="6" applyFont="1" applyFill="1"/>
    <xf numFmtId="43" fontId="1" fillId="0" borderId="0" xfId="6" applyFont="1" applyFill="1"/>
    <xf numFmtId="3" fontId="7" fillId="0" borderId="1" xfId="2" applyNumberFormat="1" applyFont="1" applyBorder="1" applyAlignment="1" applyProtection="1">
      <alignment horizontal="right"/>
      <protection locked="0"/>
    </xf>
    <xf numFmtId="3" fontId="8" fillId="0" borderId="1" xfId="2" applyNumberFormat="1" applyFont="1" applyBorder="1" applyAlignment="1" applyProtection="1">
      <alignment horizontal="right"/>
      <protection locked="0"/>
    </xf>
    <xf numFmtId="3" fontId="7" fillId="0" borderId="1" xfId="0" applyNumberFormat="1" applyFont="1" applyBorder="1" applyAlignment="1">
      <alignment horizontal="right"/>
    </xf>
    <xf numFmtId="3" fontId="3" fillId="0" borderId="1" xfId="2" applyNumberFormat="1" applyFont="1" applyBorder="1" applyAlignment="1" applyProtection="1">
      <alignment horizontal="right"/>
      <protection locked="0"/>
    </xf>
    <xf numFmtId="0" fontId="3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3" fontId="8" fillId="0" borderId="1" xfId="0" applyNumberFormat="1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right"/>
    </xf>
    <xf numFmtId="3" fontId="16" fillId="0" borderId="1" xfId="2" applyNumberFormat="1" applyFont="1" applyFill="1" applyBorder="1" applyAlignment="1" applyProtection="1">
      <alignment horizontal="right"/>
      <protection locked="0"/>
    </xf>
    <xf numFmtId="3" fontId="5" fillId="0" borderId="1" xfId="2" applyNumberFormat="1" applyFont="1" applyFill="1" applyBorder="1" applyAlignment="1" applyProtection="1">
      <alignment horizontal="right"/>
      <protection locked="0"/>
    </xf>
    <xf numFmtId="3" fontId="5" fillId="0" borderId="1" xfId="0" applyNumberFormat="1" applyFont="1" applyFill="1" applyBorder="1" applyAlignment="1">
      <alignment horizontal="right"/>
    </xf>
    <xf numFmtId="0" fontId="0" fillId="0" borderId="0" xfId="0" applyFill="1"/>
    <xf numFmtId="0" fontId="5" fillId="0" borderId="1" xfId="0" applyFont="1" applyFill="1" applyBorder="1" applyAlignment="1" applyProtection="1">
      <alignment vertical="top"/>
      <protection locked="0"/>
    </xf>
    <xf numFmtId="0" fontId="5" fillId="0" borderId="1" xfId="2" applyFont="1" applyFill="1" applyBorder="1" applyAlignment="1" applyProtection="1">
      <alignment horizontal="left"/>
      <protection locked="0"/>
    </xf>
    <xf numFmtId="3" fontId="8" fillId="0" borderId="1" xfId="2" applyNumberFormat="1" applyFont="1" applyFill="1" applyBorder="1" applyAlignment="1" applyProtection="1">
      <alignment horizontal="right"/>
      <protection locked="0"/>
    </xf>
  </cellXfs>
  <cellStyles count="8">
    <cellStyle name="Comma" xfId="6" builtinId="3"/>
    <cellStyle name="Comma 2" xfId="7" xr:uid="{68AF3142-48B6-46A0-9B66-4AC016C8CCBB}"/>
    <cellStyle name="Normaallaad 2" xfId="5" xr:uid="{625F7053-1720-45B8-BC60-DA405838C2BD}"/>
    <cellStyle name="Normal" xfId="0" builtinId="0"/>
    <cellStyle name="Normal 10 2" xfId="1" xr:uid="{D70F4CDE-1FE7-448C-B78C-16802263EF7D}"/>
    <cellStyle name="Normal 25 3 6" xfId="4" xr:uid="{C2461F04-5869-445E-B9DC-9D0918BE1F25}"/>
    <cellStyle name="Normal 25 9" xfId="2" xr:uid="{8906365B-27A6-4989-AF6D-1E0C5258DC94}"/>
    <cellStyle name="Normal 25 9 2" xfId="3" xr:uid="{9FD4BB3A-C968-4E24-8E39-E7D1D70EBE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09F5C-00A4-4BD3-B743-9BFC60E719C1}">
  <dimension ref="A1:I127"/>
  <sheetViews>
    <sheetView tabSelected="1" zoomScale="90" zoomScaleNormal="90" workbookViewId="0">
      <pane ySplit="3" topLeftCell="A4" activePane="bottomLeft" state="frozen"/>
      <selection pane="bottomLeft" activeCell="K44" sqref="K44"/>
    </sheetView>
  </sheetViews>
  <sheetFormatPr defaultRowHeight="15" x14ac:dyDescent="0.25"/>
  <cols>
    <col min="1" max="1" width="7.42578125" customWidth="1"/>
    <col min="2" max="2" width="53.42578125" customWidth="1"/>
    <col min="3" max="7" width="22" style="2" customWidth="1"/>
    <col min="8" max="8" width="18.42578125" style="41" customWidth="1"/>
    <col min="9" max="9" width="16.85546875" style="41" customWidth="1"/>
  </cols>
  <sheetData>
    <row r="1" spans="1:9" ht="15.75" x14ac:dyDescent="0.25">
      <c r="A1" s="48" t="s">
        <v>0</v>
      </c>
      <c r="C1" s="1"/>
      <c r="E1" s="73"/>
      <c r="G1" s="49"/>
    </row>
    <row r="2" spans="1:9" ht="15.75" x14ac:dyDescent="0.25">
      <c r="A2" t="s">
        <v>1</v>
      </c>
      <c r="C2" s="1"/>
      <c r="G2" s="49"/>
    </row>
    <row r="3" spans="1:9" ht="31.5" x14ac:dyDescent="0.25">
      <c r="A3" s="3"/>
      <c r="B3" s="3"/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</row>
    <row r="4" spans="1:9" ht="15.75" x14ac:dyDescent="0.25">
      <c r="A4" s="50" t="s">
        <v>7</v>
      </c>
      <c r="B4" s="51"/>
      <c r="C4" s="52"/>
      <c r="D4" s="5"/>
      <c r="E4" s="74"/>
      <c r="F4" s="5"/>
      <c r="G4" s="53"/>
    </row>
    <row r="5" spans="1:9" s="89" customFormat="1" ht="15.75" x14ac:dyDescent="0.25">
      <c r="A5" s="82" t="s">
        <v>8</v>
      </c>
      <c r="B5" s="83"/>
      <c r="C5" s="84"/>
      <c r="D5" s="85"/>
      <c r="E5" s="86"/>
      <c r="F5" s="87"/>
      <c r="G5" s="88"/>
      <c r="H5" s="76"/>
      <c r="I5" s="76"/>
    </row>
    <row r="6" spans="1:9" ht="15.75" x14ac:dyDescent="0.25">
      <c r="A6" s="57" t="s">
        <v>9</v>
      </c>
      <c r="B6" s="57"/>
      <c r="C6" s="78">
        <f t="shared" ref="C6:E6" si="0">SUM(C7:C14)</f>
        <v>444057674</v>
      </c>
      <c r="D6" s="78">
        <f t="shared" si="0"/>
        <v>444057674</v>
      </c>
      <c r="E6" s="78">
        <f t="shared" si="0"/>
        <v>372520030.88000005</v>
      </c>
      <c r="F6" s="78">
        <f t="shared" ref="F6" si="1">SUM(F7:F14)</f>
        <v>375812545.73000008</v>
      </c>
      <c r="G6" s="78">
        <f>SUM(G7:G14)</f>
        <v>-71537643.11999996</v>
      </c>
      <c r="H6" s="76"/>
      <c r="I6" s="76"/>
    </row>
    <row r="7" spans="1:9" ht="15.75" x14ac:dyDescent="0.25">
      <c r="A7" s="59"/>
      <c r="B7" s="58" t="s">
        <v>10</v>
      </c>
      <c r="C7" s="79">
        <v>1563620</v>
      </c>
      <c r="D7" s="79">
        <f>C7</f>
        <v>1563620</v>
      </c>
      <c r="E7" s="79">
        <v>1387745.04</v>
      </c>
      <c r="F7" s="79">
        <v>1392718.94</v>
      </c>
      <c r="G7" s="79">
        <f>E7-D7</f>
        <v>-175874.95999999996</v>
      </c>
      <c r="H7" s="77"/>
      <c r="I7" s="77"/>
    </row>
    <row r="8" spans="1:9" ht="15.75" x14ac:dyDescent="0.25">
      <c r="A8" s="59"/>
      <c r="B8" s="58" t="s">
        <v>11</v>
      </c>
      <c r="C8" s="79">
        <v>12759099</v>
      </c>
      <c r="D8" s="79">
        <f t="shared" ref="D8:D14" si="2">C8</f>
        <v>12759099</v>
      </c>
      <c r="E8" s="79">
        <f>9621624.41+8496252.41-52344.25</f>
        <v>18065532.57</v>
      </c>
      <c r="F8" s="79">
        <f>9049802.31+3404059.46-25533.5</f>
        <v>12428328.27</v>
      </c>
      <c r="G8" s="79">
        <f t="shared" ref="G8:G14" si="3">E8-D8</f>
        <v>5306433.57</v>
      </c>
      <c r="H8" s="77"/>
      <c r="I8" s="77"/>
    </row>
    <row r="9" spans="1:9" ht="15.75" x14ac:dyDescent="0.25">
      <c r="A9" s="59"/>
      <c r="B9" s="58" t="s">
        <v>12</v>
      </c>
      <c r="C9" s="79">
        <v>406723955</v>
      </c>
      <c r="D9" s="79">
        <f t="shared" si="2"/>
        <v>406723955</v>
      </c>
      <c r="E9" s="79">
        <f>344230743.85-19727212.96-2222406.34-384739.86</f>
        <v>321896384.69000006</v>
      </c>
      <c r="F9" s="79">
        <f>385566882.16-35520705.81-407841.33-4172706.78</f>
        <v>345465628.24000007</v>
      </c>
      <c r="G9" s="79">
        <f t="shared" si="3"/>
        <v>-84827570.309999943</v>
      </c>
      <c r="H9" s="77"/>
      <c r="I9" s="77"/>
    </row>
    <row r="10" spans="1:9" ht="15.75" x14ac:dyDescent="0.25">
      <c r="A10" s="59"/>
      <c r="B10" s="58" t="s">
        <v>156</v>
      </c>
      <c r="C10" s="79">
        <v>21500000</v>
      </c>
      <c r="D10" s="79">
        <f t="shared" si="2"/>
        <v>21500000</v>
      </c>
      <c r="E10" s="79">
        <v>21903835.93</v>
      </c>
      <c r="F10" s="79">
        <f>11431428.44-575329</f>
        <v>10856099.439999999</v>
      </c>
      <c r="G10" s="79">
        <f t="shared" si="3"/>
        <v>403835.9299999997</v>
      </c>
      <c r="H10" s="77"/>
      <c r="I10" s="77"/>
    </row>
    <row r="11" spans="1:9" ht="15.75" x14ac:dyDescent="0.25">
      <c r="A11" s="59"/>
      <c r="B11" s="58" t="s">
        <v>126</v>
      </c>
      <c r="C11" s="79">
        <v>13000</v>
      </c>
      <c r="D11" s="79">
        <f t="shared" si="2"/>
        <v>13000</v>
      </c>
      <c r="E11" s="79">
        <v>19235.490000000002</v>
      </c>
      <c r="F11" s="79">
        <v>39601.910000000003</v>
      </c>
      <c r="G11" s="79">
        <f t="shared" si="3"/>
        <v>6235.4900000000016</v>
      </c>
      <c r="H11" s="77"/>
      <c r="I11" s="77"/>
    </row>
    <row r="12" spans="1:9" ht="15.75" x14ac:dyDescent="0.25">
      <c r="A12" s="59"/>
      <c r="B12" s="58" t="s">
        <v>13</v>
      </c>
      <c r="C12" s="79">
        <v>1024000</v>
      </c>
      <c r="D12" s="79">
        <f t="shared" si="2"/>
        <v>1024000</v>
      </c>
      <c r="E12" s="79">
        <v>1294265.6499999999</v>
      </c>
      <c r="F12" s="79">
        <v>1261812.31</v>
      </c>
      <c r="G12" s="79">
        <f t="shared" si="3"/>
        <v>270265.64999999991</v>
      </c>
      <c r="H12" s="77"/>
      <c r="I12" s="77"/>
    </row>
    <row r="13" spans="1:9" ht="15.75" x14ac:dyDescent="0.25">
      <c r="A13" s="59"/>
      <c r="B13" s="58" t="s">
        <v>14</v>
      </c>
      <c r="C13" s="79">
        <v>84000</v>
      </c>
      <c r="D13" s="79">
        <f t="shared" si="2"/>
        <v>84000</v>
      </c>
      <c r="E13" s="79">
        <f>1904551.63-3302.99-1294265.65</f>
        <v>606982.99</v>
      </c>
      <c r="F13" s="79">
        <f>1645504.46+191472.45+6870.33-1261812.31</f>
        <v>582034.92999999993</v>
      </c>
      <c r="G13" s="79">
        <f t="shared" si="3"/>
        <v>522982.99</v>
      </c>
      <c r="H13" s="77"/>
      <c r="I13" s="77"/>
    </row>
    <row r="14" spans="1:9" ht="15.75" x14ac:dyDescent="0.25">
      <c r="A14" s="59"/>
      <c r="B14" s="58" t="s">
        <v>15</v>
      </c>
      <c r="C14" s="79">
        <v>390000</v>
      </c>
      <c r="D14" s="79">
        <f t="shared" si="2"/>
        <v>390000</v>
      </c>
      <c r="E14" s="79">
        <f>81662.02+7264386.5</f>
        <v>7346048.5199999996</v>
      </c>
      <c r="F14" s="79">
        <f>83999.77+3702321.92</f>
        <v>3786321.69</v>
      </c>
      <c r="G14" s="79">
        <f t="shared" si="3"/>
        <v>6956048.5199999996</v>
      </c>
      <c r="H14" s="77"/>
      <c r="I14" s="77"/>
    </row>
    <row r="15" spans="1:9" ht="15.75" x14ac:dyDescent="0.25">
      <c r="A15" s="57" t="s">
        <v>16</v>
      </c>
      <c r="B15" s="57"/>
      <c r="C15" s="78">
        <f>C17+C61+C67+C73+C87+C93+C99+C122</f>
        <v>-737246479</v>
      </c>
      <c r="D15" s="78">
        <f>D17+D61+D67+D73+D87+D93+D99</f>
        <v>-684325740.38</v>
      </c>
      <c r="E15" s="78">
        <f>E17+E61+E67+E73+E87+E93+E99</f>
        <v>-635190140.17999995</v>
      </c>
      <c r="F15" s="78">
        <f>F17+F61+F67+F73+F87+F93+F99+F122</f>
        <v>-561235025.39999998</v>
      </c>
      <c r="G15" s="78">
        <f>G17+G61+G67+G73+G87+G93+G99+G122</f>
        <v>49135600.199999966</v>
      </c>
      <c r="H15" s="76"/>
      <c r="I15" s="76"/>
    </row>
    <row r="16" spans="1:9" ht="15.75" x14ac:dyDescent="0.25">
      <c r="A16" s="59"/>
      <c r="B16" s="58" t="s">
        <v>17</v>
      </c>
      <c r="C16" s="79">
        <f>C18+C62+C68+C74+C88+C94+C123</f>
        <v>-236436957</v>
      </c>
      <c r="D16" s="79">
        <f>D18+D62+D68+D74+D88+D94</f>
        <v>-278408376.51999998</v>
      </c>
      <c r="E16" s="79">
        <f>E18+E62+E68+E74+E88+E94</f>
        <v>-258473595.38999999</v>
      </c>
      <c r="F16" s="79">
        <f>F18+F62+F68+F74+F88+F94+F123</f>
        <v>-178726467</v>
      </c>
      <c r="G16" s="79">
        <f>G18+G62+G68+G74+G88+G94+G123</f>
        <v>19934781.130000003</v>
      </c>
      <c r="H16" s="76"/>
      <c r="I16" s="76"/>
    </row>
    <row r="17" spans="1:9" ht="15.75" x14ac:dyDescent="0.25">
      <c r="A17" s="54" t="s">
        <v>18</v>
      </c>
      <c r="B17" s="54"/>
      <c r="C17" s="80">
        <f t="shared" ref="C17:G18" si="4">C19+C49</f>
        <v>-496307654</v>
      </c>
      <c r="D17" s="80">
        <f t="shared" si="4"/>
        <v>-421103479.65999997</v>
      </c>
      <c r="E17" s="80">
        <f t="shared" si="4"/>
        <v>-399948529.82999998</v>
      </c>
      <c r="F17" s="80">
        <f t="shared" si="4"/>
        <v>-421991023</v>
      </c>
      <c r="G17" s="80">
        <f t="shared" si="4"/>
        <v>21154949.82999998</v>
      </c>
      <c r="H17" s="76"/>
      <c r="I17" s="76"/>
    </row>
    <row r="18" spans="1:9" ht="15.75" x14ac:dyDescent="0.25">
      <c r="A18" s="55"/>
      <c r="B18" s="58" t="s">
        <v>17</v>
      </c>
      <c r="C18" s="11">
        <f t="shared" si="4"/>
        <v>-68589966</v>
      </c>
      <c r="D18" s="11">
        <f t="shared" si="4"/>
        <v>-77630756.250000015</v>
      </c>
      <c r="E18" s="11">
        <f t="shared" si="4"/>
        <v>-67952077.649999991</v>
      </c>
      <c r="F18" s="11">
        <f t="shared" si="4"/>
        <v>-78318136</v>
      </c>
      <c r="G18" s="11">
        <f t="shared" si="4"/>
        <v>9678678.6000000034</v>
      </c>
      <c r="H18" s="77"/>
      <c r="I18" s="77"/>
    </row>
    <row r="19" spans="1:9" ht="15.75" x14ac:dyDescent="0.25">
      <c r="A19" s="56" t="s">
        <v>19</v>
      </c>
      <c r="B19" s="54"/>
      <c r="C19" s="80">
        <f>C21+C23+C25+C27+C29+C31+C33+C35+C37+C39+C41+C43+C45+C47</f>
        <v>-482969045</v>
      </c>
      <c r="D19" s="80">
        <f t="shared" ref="D19:G19" si="5">D21+D23+D25+D27+D29+D31+D33+D35+D37+D39+D41+D43+D45+D47</f>
        <v>-411376141.19999999</v>
      </c>
      <c r="E19" s="80">
        <f t="shared" si="5"/>
        <v>-390783885.40999997</v>
      </c>
      <c r="F19" s="80">
        <f t="shared" si="5"/>
        <v>-403262799</v>
      </c>
      <c r="G19" s="80">
        <f t="shared" si="5"/>
        <v>20592255.78999998</v>
      </c>
    </row>
    <row r="20" spans="1:9" ht="15.75" x14ac:dyDescent="0.25">
      <c r="A20" s="55"/>
      <c r="B20" s="58" t="s">
        <v>17</v>
      </c>
      <c r="C20" s="11">
        <f>C22+C24+C26+C28+C30+C32+C34+C36+C38+C40+C42+C44+C46+C48</f>
        <v>-65740141</v>
      </c>
      <c r="D20" s="11">
        <f t="shared" ref="D20:G20" si="6">D22+D24+D26+D28+D30+D32+D34+D36+D38+D40+D42+D44+D46+D48</f>
        <v>-74192988.710000008</v>
      </c>
      <c r="E20" s="11">
        <f t="shared" si="6"/>
        <v>-64753210.419999994</v>
      </c>
      <c r="F20" s="11">
        <f t="shared" si="6"/>
        <v>-75609284</v>
      </c>
      <c r="G20" s="11">
        <f t="shared" si="6"/>
        <v>9439778.2900000028</v>
      </c>
      <c r="H20" s="45"/>
      <c r="I20" s="45"/>
    </row>
    <row r="21" spans="1:9" ht="15.75" x14ac:dyDescent="0.25">
      <c r="A21" s="71" t="s">
        <v>20</v>
      </c>
      <c r="B21" s="58"/>
      <c r="C21" s="11">
        <v>-64891940</v>
      </c>
      <c r="D21" s="79">
        <v>-57651350.530000001</v>
      </c>
      <c r="E21" s="11">
        <v>-55527263.490000002</v>
      </c>
      <c r="F21" s="11">
        <v>-53497926</v>
      </c>
      <c r="G21" s="79">
        <f t="shared" ref="G21:G48" si="7">E21-D21</f>
        <v>2124087.0399999991</v>
      </c>
      <c r="H21" s="41" t="s">
        <v>21</v>
      </c>
    </row>
    <row r="22" spans="1:9" ht="15.75" x14ac:dyDescent="0.25">
      <c r="A22" s="71"/>
      <c r="B22" s="58" t="s">
        <v>17</v>
      </c>
      <c r="C22" s="11">
        <v>-4640907</v>
      </c>
      <c r="D22" s="79">
        <v>-5502549.1399999997</v>
      </c>
      <c r="E22" s="11">
        <v>-4481313.3099999996</v>
      </c>
      <c r="F22" s="11">
        <v>-5362286</v>
      </c>
      <c r="G22" s="79">
        <f t="shared" si="7"/>
        <v>1021235.8300000001</v>
      </c>
    </row>
    <row r="23" spans="1:9" ht="15.75" x14ac:dyDescent="0.25">
      <c r="A23" s="71" t="s">
        <v>22</v>
      </c>
      <c r="B23" s="58"/>
      <c r="C23" s="11">
        <v>-26826718</v>
      </c>
      <c r="D23" s="79">
        <v>-28157812.52</v>
      </c>
      <c r="E23" s="11">
        <v>-23978643.079999998</v>
      </c>
      <c r="F23" s="11">
        <v>-25457873</v>
      </c>
      <c r="G23" s="79">
        <f t="shared" si="7"/>
        <v>4179169.4400000013</v>
      </c>
      <c r="H23" s="41" t="s">
        <v>23</v>
      </c>
    </row>
    <row r="24" spans="1:9" ht="15.75" x14ac:dyDescent="0.25">
      <c r="A24" s="71"/>
      <c r="B24" s="58" t="s">
        <v>17</v>
      </c>
      <c r="C24" s="11">
        <v>-10037712</v>
      </c>
      <c r="D24" s="79">
        <v>-12028373.109999999</v>
      </c>
      <c r="E24" s="11">
        <v>-10460961.93</v>
      </c>
      <c r="F24" s="11">
        <v>-9326954</v>
      </c>
      <c r="G24" s="79">
        <f t="shared" si="7"/>
        <v>1567411.1799999997</v>
      </c>
    </row>
    <row r="25" spans="1:9" ht="15.75" x14ac:dyDescent="0.25">
      <c r="A25" s="71" t="s">
        <v>24</v>
      </c>
      <c r="B25" s="58"/>
      <c r="C25" s="11">
        <v>-46411257</v>
      </c>
      <c r="D25" s="79">
        <v>-27333060.52</v>
      </c>
      <c r="E25" s="11">
        <v>-25493930.359999999</v>
      </c>
      <c r="F25" s="11">
        <v>-29839672</v>
      </c>
      <c r="G25" s="79">
        <f t="shared" ref="G25:G26" si="8">E25-D25</f>
        <v>1839130.1600000001</v>
      </c>
      <c r="H25" s="41" t="s">
        <v>25</v>
      </c>
    </row>
    <row r="26" spans="1:9" ht="15.75" x14ac:dyDescent="0.25">
      <c r="A26" s="71"/>
      <c r="B26" s="58" t="s">
        <v>17</v>
      </c>
      <c r="C26" s="11">
        <v>-4424279</v>
      </c>
      <c r="D26" s="79">
        <v>-5468834.5300000003</v>
      </c>
      <c r="E26" s="11">
        <v>-4465469.08</v>
      </c>
      <c r="F26" s="11">
        <v>-4463506</v>
      </c>
      <c r="G26" s="79">
        <f t="shared" si="8"/>
        <v>1003365.4500000002</v>
      </c>
    </row>
    <row r="27" spans="1:9" ht="15.75" x14ac:dyDescent="0.25">
      <c r="A27" s="71" t="s">
        <v>26</v>
      </c>
      <c r="B27" s="58"/>
      <c r="C27" s="11">
        <v>-11587520</v>
      </c>
      <c r="D27" s="79">
        <v>-14261878.67</v>
      </c>
      <c r="E27" s="11">
        <v>-11942517.960000001</v>
      </c>
      <c r="F27" s="11">
        <v>-11434933</v>
      </c>
      <c r="G27" s="79">
        <f t="shared" si="7"/>
        <v>2319360.709999999</v>
      </c>
      <c r="H27" s="41" t="s">
        <v>27</v>
      </c>
    </row>
    <row r="28" spans="1:9" ht="15.75" x14ac:dyDescent="0.25">
      <c r="A28" s="71"/>
      <c r="B28" s="58" t="s">
        <v>17</v>
      </c>
      <c r="C28" s="11">
        <v>-9015234</v>
      </c>
      <c r="D28" s="79">
        <v>-9448806.1400000006</v>
      </c>
      <c r="E28" s="11">
        <v>-8677288</v>
      </c>
      <c r="F28" s="11">
        <v>-8857005</v>
      </c>
      <c r="G28" s="79">
        <f t="shared" si="7"/>
        <v>771518.1400000006</v>
      </c>
    </row>
    <row r="29" spans="1:9" ht="15.75" x14ac:dyDescent="0.25">
      <c r="A29" s="71" t="s">
        <v>28</v>
      </c>
      <c r="B29" s="58"/>
      <c r="C29" s="11">
        <v>-10250238</v>
      </c>
      <c r="D29" s="79">
        <v>-9986463.4299999997</v>
      </c>
      <c r="E29" s="11">
        <v>-9260322.4700000007</v>
      </c>
      <c r="F29" s="11">
        <v>-9721078</v>
      </c>
      <c r="G29" s="79">
        <f t="shared" si="7"/>
        <v>726140.95999999903</v>
      </c>
      <c r="H29" s="41" t="s">
        <v>29</v>
      </c>
    </row>
    <row r="30" spans="1:9" ht="15.75" x14ac:dyDescent="0.25">
      <c r="A30" s="71"/>
      <c r="B30" s="58" t="s">
        <v>17</v>
      </c>
      <c r="C30" s="11">
        <v>-2119356</v>
      </c>
      <c r="D30" s="79">
        <v>-2462570.35</v>
      </c>
      <c r="E30" s="11">
        <v>-2062491.72</v>
      </c>
      <c r="F30" s="11">
        <v>-2094557</v>
      </c>
      <c r="G30" s="79">
        <f t="shared" si="7"/>
        <v>400078.63000000012</v>
      </c>
    </row>
    <row r="31" spans="1:9" ht="15.75" x14ac:dyDescent="0.25">
      <c r="A31" s="71" t="s">
        <v>30</v>
      </c>
      <c r="B31" s="58"/>
      <c r="C31" s="11">
        <v>-12142000</v>
      </c>
      <c r="D31" s="79">
        <v>-10831424.119999999</v>
      </c>
      <c r="E31" s="11">
        <v>-9828934.1099999994</v>
      </c>
      <c r="F31" s="11">
        <v>-9520686</v>
      </c>
      <c r="G31" s="79">
        <f t="shared" si="7"/>
        <v>1002490.0099999998</v>
      </c>
      <c r="H31" s="41" t="s">
        <v>31</v>
      </c>
    </row>
    <row r="32" spans="1:9" ht="15.75" x14ac:dyDescent="0.25">
      <c r="A32" s="71"/>
      <c r="B32" s="58" t="s">
        <v>17</v>
      </c>
      <c r="C32" s="11">
        <v>-3281194</v>
      </c>
      <c r="D32" s="79">
        <v>-3331007.99</v>
      </c>
      <c r="E32" s="11">
        <v>-3199152.01</v>
      </c>
      <c r="F32" s="11">
        <v>-3653110</v>
      </c>
      <c r="G32" s="79">
        <f t="shared" si="7"/>
        <v>131855.98000000045</v>
      </c>
    </row>
    <row r="33" spans="1:8" ht="15.75" x14ac:dyDescent="0.25">
      <c r="A33" s="71" t="s">
        <v>32</v>
      </c>
      <c r="B33" s="58"/>
      <c r="C33" s="11">
        <v>-12568024</v>
      </c>
      <c r="D33" s="79">
        <v>-16087242.289999999</v>
      </c>
      <c r="E33" s="11">
        <v>-13180521.390000001</v>
      </c>
      <c r="F33" s="11">
        <v>-11623304</v>
      </c>
      <c r="G33" s="79">
        <f t="shared" si="7"/>
        <v>2906720.8999999985</v>
      </c>
      <c r="H33" s="41" t="s">
        <v>33</v>
      </c>
    </row>
    <row r="34" spans="1:8" ht="15.75" x14ac:dyDescent="0.25">
      <c r="A34" s="71"/>
      <c r="B34" s="58" t="s">
        <v>17</v>
      </c>
      <c r="C34" s="11">
        <v>-8527395</v>
      </c>
      <c r="D34" s="79">
        <v>-9127126.5999999996</v>
      </c>
      <c r="E34" s="11">
        <v>-7731043.0999999996</v>
      </c>
      <c r="F34" s="11">
        <v>-7081395</v>
      </c>
      <c r="G34" s="79">
        <f t="shared" si="7"/>
        <v>1396083.5</v>
      </c>
    </row>
    <row r="35" spans="1:8" ht="15.75" x14ac:dyDescent="0.25">
      <c r="A35" s="71" t="s">
        <v>34</v>
      </c>
      <c r="B35" s="58"/>
      <c r="C35" s="11">
        <v>-5230873</v>
      </c>
      <c r="D35" s="79">
        <v>-5331363.5</v>
      </c>
      <c r="E35" s="11">
        <v>-5181898.25</v>
      </c>
      <c r="F35" s="11">
        <v>-5330087</v>
      </c>
      <c r="G35" s="79">
        <f t="shared" si="7"/>
        <v>149465.25</v>
      </c>
      <c r="H35" s="41" t="s">
        <v>35</v>
      </c>
    </row>
    <row r="36" spans="1:8" ht="15.75" x14ac:dyDescent="0.25">
      <c r="A36" s="71"/>
      <c r="B36" s="58" t="s">
        <v>17</v>
      </c>
      <c r="C36" s="11">
        <v>-5041057</v>
      </c>
      <c r="D36" s="79">
        <v>-5134822.74</v>
      </c>
      <c r="E36" s="11">
        <v>-5030702.95</v>
      </c>
      <c r="F36" s="11">
        <v>-5112952</v>
      </c>
      <c r="G36" s="79">
        <f t="shared" si="7"/>
        <v>104119.79000000004</v>
      </c>
    </row>
    <row r="37" spans="1:8" ht="15.75" x14ac:dyDescent="0.25">
      <c r="A37" s="71" t="s">
        <v>36</v>
      </c>
      <c r="B37" s="58"/>
      <c r="C37" s="11">
        <v>-116128628</v>
      </c>
      <c r="D37" s="79">
        <v>-75324861.209999993</v>
      </c>
      <c r="E37" s="11">
        <v>-73204234.930000007</v>
      </c>
      <c r="F37" s="11">
        <v>-79602431</v>
      </c>
      <c r="G37" s="79">
        <f t="shared" si="7"/>
        <v>2120626.2799999863</v>
      </c>
      <c r="H37" s="41" t="s">
        <v>37</v>
      </c>
    </row>
    <row r="38" spans="1:8" ht="15.75" x14ac:dyDescent="0.25">
      <c r="A38" s="71"/>
      <c r="B38" s="58" t="s">
        <v>17</v>
      </c>
      <c r="C38" s="11">
        <v>-8130993</v>
      </c>
      <c r="D38" s="79">
        <v>-8230859.2800000003</v>
      </c>
      <c r="E38" s="11">
        <v>-7725061.3499999996</v>
      </c>
      <c r="F38" s="11">
        <v>-8792428</v>
      </c>
      <c r="G38" s="79">
        <f t="shared" si="7"/>
        <v>505797.93000000063</v>
      </c>
    </row>
    <row r="39" spans="1:8" ht="15.75" x14ac:dyDescent="0.25">
      <c r="A39" s="71" t="s">
        <v>38</v>
      </c>
      <c r="B39" s="58"/>
      <c r="C39" s="11">
        <v>-17395459</v>
      </c>
      <c r="D39" s="79">
        <v>-12947000.560000001</v>
      </c>
      <c r="E39" s="11">
        <v>-12626017.130000001</v>
      </c>
      <c r="F39" s="11">
        <v>-4763835</v>
      </c>
      <c r="G39" s="79">
        <f t="shared" si="7"/>
        <v>320983.4299999997</v>
      </c>
      <c r="H39" s="41" t="s">
        <v>39</v>
      </c>
    </row>
    <row r="40" spans="1:8" ht="15.75" x14ac:dyDescent="0.25">
      <c r="A40" s="71"/>
      <c r="B40" s="58" t="s">
        <v>17</v>
      </c>
      <c r="C40" s="11">
        <v>-483411</v>
      </c>
      <c r="D40" s="79">
        <v>-732040.84</v>
      </c>
      <c r="E40" s="11">
        <v>-642331.14</v>
      </c>
      <c r="F40" s="11">
        <v>-1132871</v>
      </c>
      <c r="G40" s="79">
        <f t="shared" si="7"/>
        <v>89709.699999999953</v>
      </c>
    </row>
    <row r="41" spans="1:8" ht="15.75" x14ac:dyDescent="0.25">
      <c r="A41" s="71" t="s">
        <v>40</v>
      </c>
      <c r="B41" s="58"/>
      <c r="C41" s="11">
        <v>-118565905</v>
      </c>
      <c r="D41" s="79">
        <v>-118443846.17</v>
      </c>
      <c r="E41" s="11">
        <v>-117719085.54000001</v>
      </c>
      <c r="F41" s="11">
        <v>-130038512</v>
      </c>
      <c r="G41" s="79">
        <f t="shared" si="7"/>
        <v>724760.62999999523</v>
      </c>
      <c r="H41" s="41" t="s">
        <v>41</v>
      </c>
    </row>
    <row r="42" spans="1:8" ht="15.75" x14ac:dyDescent="0.25">
      <c r="A42" s="71"/>
      <c r="B42" s="58" t="s">
        <v>17</v>
      </c>
      <c r="C42" s="11">
        <v>-2773816</v>
      </c>
      <c r="D42" s="79">
        <v>-3415361.07</v>
      </c>
      <c r="E42" s="11">
        <v>-2782384.44</v>
      </c>
      <c r="F42" s="11">
        <v>-13161382</v>
      </c>
      <c r="G42" s="79">
        <f t="shared" si="7"/>
        <v>632976.62999999989</v>
      </c>
    </row>
    <row r="43" spans="1:8" ht="15.75" x14ac:dyDescent="0.25">
      <c r="A43" s="71" t="s">
        <v>42</v>
      </c>
      <c r="B43" s="58"/>
      <c r="C43" s="11">
        <v>-2537535</v>
      </c>
      <c r="D43" s="79">
        <v>-1552041.8</v>
      </c>
      <c r="E43" s="11">
        <v>-1322284.8999999999</v>
      </c>
      <c r="F43" s="11">
        <v>-1329464</v>
      </c>
      <c r="G43" s="79">
        <f t="shared" si="7"/>
        <v>229756.90000000014</v>
      </c>
      <c r="H43" s="41" t="s">
        <v>43</v>
      </c>
    </row>
    <row r="44" spans="1:8" ht="15.75" x14ac:dyDescent="0.25">
      <c r="A44" s="71"/>
      <c r="B44" s="58" t="s">
        <v>17</v>
      </c>
      <c r="C44" s="11">
        <v>-760261</v>
      </c>
      <c r="D44" s="79">
        <v>-932243.67</v>
      </c>
      <c r="E44" s="11">
        <v>-820684.73</v>
      </c>
      <c r="F44" s="11">
        <v>-825692</v>
      </c>
      <c r="G44" s="79">
        <f t="shared" si="7"/>
        <v>111558.94000000006</v>
      </c>
    </row>
    <row r="45" spans="1:8" ht="15.75" x14ac:dyDescent="0.25">
      <c r="A45" s="71" t="s">
        <v>44</v>
      </c>
      <c r="B45" s="58"/>
      <c r="C45" s="11">
        <v>-2014749</v>
      </c>
      <c r="D45" s="79">
        <v>-1886616.49</v>
      </c>
      <c r="E45" s="11">
        <v>-1582549.55</v>
      </c>
      <c r="F45" s="11">
        <v>-2847287</v>
      </c>
      <c r="G45" s="79">
        <f t="shared" si="7"/>
        <v>304066.93999999994</v>
      </c>
      <c r="H45" s="41" t="s">
        <v>45</v>
      </c>
    </row>
    <row r="46" spans="1:8" ht="15.75" x14ac:dyDescent="0.25">
      <c r="A46" s="71"/>
      <c r="B46" s="58" t="s">
        <v>17</v>
      </c>
      <c r="C46" s="11">
        <v>-1123424</v>
      </c>
      <c r="D46" s="79">
        <v>-1282196.47</v>
      </c>
      <c r="E46" s="11">
        <v>-1111375.69</v>
      </c>
      <c r="F46" s="11">
        <v>-2419997</v>
      </c>
      <c r="G46" s="79">
        <f t="shared" si="7"/>
        <v>170820.78000000003</v>
      </c>
    </row>
    <row r="47" spans="1:8" ht="15.75" x14ac:dyDescent="0.25">
      <c r="A47" s="71" t="s">
        <v>46</v>
      </c>
      <c r="B47" s="58"/>
      <c r="C47" s="11">
        <v>-36418199</v>
      </c>
      <c r="D47" s="79">
        <v>-31581179.390000001</v>
      </c>
      <c r="E47" s="11">
        <v>-29935682.25</v>
      </c>
      <c r="F47" s="11">
        <v>-28255711</v>
      </c>
      <c r="G47" s="79">
        <f t="shared" si="7"/>
        <v>1645497.1400000006</v>
      </c>
      <c r="H47" s="41" t="s">
        <v>47</v>
      </c>
    </row>
    <row r="48" spans="1:8" ht="15.75" x14ac:dyDescent="0.25">
      <c r="A48" s="71"/>
      <c r="B48" s="58" t="s">
        <v>17</v>
      </c>
      <c r="C48" s="11">
        <v>-5381102</v>
      </c>
      <c r="D48" s="79">
        <v>-7096196.7800000003</v>
      </c>
      <c r="E48" s="11">
        <v>-5562950.9699999997</v>
      </c>
      <c r="F48" s="11">
        <v>-3325149</v>
      </c>
      <c r="G48" s="79">
        <f t="shared" si="7"/>
        <v>1533245.8100000005</v>
      </c>
    </row>
    <row r="49" spans="1:9" ht="15.75" x14ac:dyDescent="0.25">
      <c r="A49" s="56" t="s">
        <v>48</v>
      </c>
      <c r="B49" s="56"/>
      <c r="C49" s="80">
        <f>C51+C53+C55+C57+C59</f>
        <v>-13338609</v>
      </c>
      <c r="D49" s="80">
        <f t="shared" ref="D49:G49" si="9">D51+D53+D55+D57+D59</f>
        <v>-9727338.4600000009</v>
      </c>
      <c r="E49" s="80">
        <f t="shared" si="9"/>
        <v>-9164644.4199999999</v>
      </c>
      <c r="F49" s="80">
        <f t="shared" ref="F49" si="10">F51+F53+F55+F57+F59</f>
        <v>-18728224</v>
      </c>
      <c r="G49" s="80">
        <f t="shared" si="9"/>
        <v>562694.03999999946</v>
      </c>
    </row>
    <row r="50" spans="1:9" ht="15.75" x14ac:dyDescent="0.25">
      <c r="A50" s="64"/>
      <c r="B50" s="58" t="s">
        <v>17</v>
      </c>
      <c r="C50" s="11">
        <f>C52+C54+C56+C58+C60</f>
        <v>-2849825</v>
      </c>
      <c r="D50" s="11">
        <f t="shared" ref="D50:G50" si="11">D52+D54+D56+D58+D60</f>
        <v>-3437767.54</v>
      </c>
      <c r="E50" s="11">
        <f t="shared" si="11"/>
        <v>-3198867.2299999995</v>
      </c>
      <c r="F50" s="11">
        <f t="shared" ref="F50" si="12">F52+F54+F56+F58+F60</f>
        <v>-2708852</v>
      </c>
      <c r="G50" s="11">
        <f t="shared" si="11"/>
        <v>238900.31000000032</v>
      </c>
      <c r="H50" s="45"/>
      <c r="I50" s="45"/>
    </row>
    <row r="51" spans="1:9" ht="15.75" x14ac:dyDescent="0.25">
      <c r="A51" s="71" t="s">
        <v>49</v>
      </c>
      <c r="B51" s="58"/>
      <c r="C51" s="11">
        <v>-5264006</v>
      </c>
      <c r="D51" s="79">
        <v>-3190956.6</v>
      </c>
      <c r="E51" s="11">
        <v>-3142880.62</v>
      </c>
      <c r="F51" s="11">
        <v>-6913330</v>
      </c>
      <c r="G51" s="79">
        <f t="shared" ref="G51:G58" si="13">E51-D51</f>
        <v>48075.979999999981</v>
      </c>
      <c r="H51" s="41" t="s">
        <v>50</v>
      </c>
    </row>
    <row r="52" spans="1:9" ht="15.75" x14ac:dyDescent="0.25">
      <c r="A52" s="71"/>
      <c r="B52" s="58" t="s">
        <v>17</v>
      </c>
      <c r="C52" s="11">
        <v>-1033758</v>
      </c>
      <c r="D52" s="79">
        <v>-1241119.8</v>
      </c>
      <c r="E52" s="11">
        <v>-1234408.8799999999</v>
      </c>
      <c r="F52" s="11">
        <v>-1342993</v>
      </c>
      <c r="G52" s="79">
        <f t="shared" si="13"/>
        <v>6710.9200000001583</v>
      </c>
    </row>
    <row r="53" spans="1:9" ht="15.75" x14ac:dyDescent="0.25">
      <c r="A53" s="71" t="s">
        <v>51</v>
      </c>
      <c r="B53" s="58"/>
      <c r="C53" s="11">
        <v>-3330645</v>
      </c>
      <c r="D53" s="79">
        <v>-1912017.16</v>
      </c>
      <c r="E53" s="11">
        <v>-1887711.07</v>
      </c>
      <c r="F53" s="11">
        <v>-9592171</v>
      </c>
      <c r="G53" s="79">
        <f t="shared" si="13"/>
        <v>24306.089999999851</v>
      </c>
      <c r="H53" s="41" t="s">
        <v>52</v>
      </c>
    </row>
    <row r="54" spans="1:9" ht="15.75" x14ac:dyDescent="0.25">
      <c r="A54" s="71"/>
      <c r="B54" s="58" t="s">
        <v>17</v>
      </c>
      <c r="C54" s="11">
        <v>-396060</v>
      </c>
      <c r="D54" s="79">
        <v>-448304.8</v>
      </c>
      <c r="E54" s="11">
        <v>-446601.79</v>
      </c>
      <c r="F54" s="11">
        <v>-507030</v>
      </c>
      <c r="G54" s="79">
        <f t="shared" si="13"/>
        <v>1703.0100000000093</v>
      </c>
    </row>
    <row r="55" spans="1:9" ht="15.75" x14ac:dyDescent="0.25">
      <c r="A55" s="71" t="s">
        <v>53</v>
      </c>
      <c r="B55" s="58"/>
      <c r="C55" s="11">
        <v>-1042473</v>
      </c>
      <c r="D55" s="79">
        <v>-451162.91</v>
      </c>
      <c r="E55" s="11">
        <v>-432822.31</v>
      </c>
      <c r="F55" s="11">
        <v>-1143716</v>
      </c>
      <c r="G55" s="79">
        <f t="shared" si="13"/>
        <v>18340.599999999977</v>
      </c>
      <c r="H55" s="41" t="s">
        <v>54</v>
      </c>
    </row>
    <row r="56" spans="1:9" ht="15.75" x14ac:dyDescent="0.25">
      <c r="A56" s="71"/>
      <c r="B56" s="58" t="s">
        <v>17</v>
      </c>
      <c r="C56" s="11">
        <v>-162838</v>
      </c>
      <c r="D56" s="79">
        <v>-166599.06</v>
      </c>
      <c r="E56" s="11">
        <v>-165685.81</v>
      </c>
      <c r="F56" s="11">
        <v>-263662</v>
      </c>
      <c r="G56" s="79">
        <f t="shared" si="13"/>
        <v>913.25</v>
      </c>
    </row>
    <row r="57" spans="1:9" ht="15.75" x14ac:dyDescent="0.25">
      <c r="A57" s="71" t="s">
        <v>55</v>
      </c>
      <c r="B57" s="58"/>
      <c r="C57" s="11">
        <v>-2636655</v>
      </c>
      <c r="D57" s="79">
        <v>-1397285.7</v>
      </c>
      <c r="E57" s="11">
        <v>-1371610.28</v>
      </c>
      <c r="F57" s="11">
        <v>-522589</v>
      </c>
      <c r="G57" s="79">
        <f t="shared" si="13"/>
        <v>25675.419999999925</v>
      </c>
      <c r="H57" s="41" t="s">
        <v>56</v>
      </c>
    </row>
    <row r="58" spans="1:9" ht="15.75" x14ac:dyDescent="0.25">
      <c r="A58" s="64"/>
      <c r="B58" s="58" t="s">
        <v>17</v>
      </c>
      <c r="C58" s="11">
        <v>-210785</v>
      </c>
      <c r="D58" s="79">
        <v>-258081.58</v>
      </c>
      <c r="E58" s="11">
        <v>-254981.86</v>
      </c>
      <c r="F58" s="11">
        <v>-233771</v>
      </c>
      <c r="G58" s="79">
        <f t="shared" si="13"/>
        <v>3099.7200000000012</v>
      </c>
    </row>
    <row r="59" spans="1:9" ht="15.75" x14ac:dyDescent="0.25">
      <c r="A59" s="55" t="s">
        <v>57</v>
      </c>
      <c r="B59" s="55"/>
      <c r="C59" s="11">
        <v>-1064830</v>
      </c>
      <c r="D59" s="79">
        <v>-2775916.09</v>
      </c>
      <c r="E59" s="11">
        <v>-2329620.14</v>
      </c>
      <c r="F59" s="11">
        <v>-556418</v>
      </c>
      <c r="G59" s="79">
        <f>E59-D59</f>
        <v>446295.94999999972</v>
      </c>
      <c r="H59" s="45" t="s">
        <v>58</v>
      </c>
      <c r="I59" s="45" t="s">
        <v>59</v>
      </c>
    </row>
    <row r="60" spans="1:9" ht="15.75" x14ac:dyDescent="0.25">
      <c r="A60" s="64"/>
      <c r="B60" s="58" t="s">
        <v>17</v>
      </c>
      <c r="C60" s="11">
        <v>-1046384</v>
      </c>
      <c r="D60" s="79">
        <v>-1323662.3</v>
      </c>
      <c r="E60" s="11">
        <v>-1097188.8899999999</v>
      </c>
      <c r="F60" s="11">
        <v>-361396</v>
      </c>
      <c r="G60" s="79">
        <f>E60-D60</f>
        <v>226473.41000000015</v>
      </c>
    </row>
    <row r="61" spans="1:9" ht="15.75" x14ac:dyDescent="0.25">
      <c r="A61" s="54" t="s">
        <v>60</v>
      </c>
      <c r="B61" s="60"/>
      <c r="C61" s="80">
        <f>C63</f>
        <v>0</v>
      </c>
      <c r="D61" s="80">
        <f t="shared" ref="D61:G61" si="14">D63</f>
        <v>0</v>
      </c>
      <c r="E61" s="80">
        <f t="shared" si="14"/>
        <v>0</v>
      </c>
      <c r="F61" s="80">
        <f t="shared" ref="F61" si="15">F63</f>
        <v>-16795</v>
      </c>
      <c r="G61" s="80">
        <f t="shared" si="14"/>
        <v>0</v>
      </c>
    </row>
    <row r="62" spans="1:9" ht="15.75" x14ac:dyDescent="0.25">
      <c r="A62" s="54"/>
      <c r="B62" s="58" t="s">
        <v>17</v>
      </c>
      <c r="C62" s="11">
        <f>C64</f>
        <v>0</v>
      </c>
      <c r="D62" s="11">
        <f t="shared" ref="D62:G62" si="16">D64</f>
        <v>0</v>
      </c>
      <c r="E62" s="11">
        <f t="shared" si="16"/>
        <v>0</v>
      </c>
      <c r="F62" s="11">
        <f t="shared" ref="F62" si="17">F64</f>
        <v>-15851</v>
      </c>
      <c r="G62" s="11">
        <f t="shared" si="16"/>
        <v>0</v>
      </c>
    </row>
    <row r="63" spans="1:9" ht="15.75" x14ac:dyDescent="0.25">
      <c r="A63" s="56" t="s">
        <v>61</v>
      </c>
      <c r="B63" s="56"/>
      <c r="C63" s="80">
        <f>C65</f>
        <v>0</v>
      </c>
      <c r="D63" s="80">
        <f t="shared" ref="D63:G63" si="18">D65</f>
        <v>0</v>
      </c>
      <c r="E63" s="80">
        <f t="shared" si="18"/>
        <v>0</v>
      </c>
      <c r="F63" s="80">
        <f t="shared" ref="F63" si="19">F65</f>
        <v>-16795</v>
      </c>
      <c r="G63" s="80">
        <f t="shared" si="18"/>
        <v>0</v>
      </c>
    </row>
    <row r="64" spans="1:9" ht="15.75" x14ac:dyDescent="0.25">
      <c r="A64" s="64"/>
      <c r="B64" s="58" t="s">
        <v>17</v>
      </c>
      <c r="C64" s="11">
        <f>C66</f>
        <v>0</v>
      </c>
      <c r="D64" s="11">
        <f t="shared" ref="D64:G64" si="20">D66</f>
        <v>0</v>
      </c>
      <c r="E64" s="11">
        <f t="shared" si="20"/>
        <v>0</v>
      </c>
      <c r="F64" s="11">
        <f t="shared" ref="F64" si="21">F66</f>
        <v>-15851</v>
      </c>
      <c r="G64" s="11">
        <f t="shared" si="20"/>
        <v>0</v>
      </c>
      <c r="H64" s="45"/>
      <c r="I64" s="45"/>
    </row>
    <row r="65" spans="1:9" ht="15.75" x14ac:dyDescent="0.25">
      <c r="A65" s="64" t="s">
        <v>62</v>
      </c>
      <c r="B65" s="58"/>
      <c r="C65" s="11">
        <v>0</v>
      </c>
      <c r="D65" s="79">
        <f t="shared" ref="D65:D66" si="22">C65</f>
        <v>0</v>
      </c>
      <c r="E65" s="11"/>
      <c r="F65" s="11">
        <v>-16795</v>
      </c>
      <c r="G65" s="11">
        <f t="shared" ref="G65:G66" si="23">E65-D65</f>
        <v>0</v>
      </c>
      <c r="H65" s="45" t="s">
        <v>63</v>
      </c>
    </row>
    <row r="66" spans="1:9" ht="15.75" x14ac:dyDescent="0.25">
      <c r="A66" s="64"/>
      <c r="B66" s="58" t="s">
        <v>17</v>
      </c>
      <c r="C66" s="11">
        <v>0</v>
      </c>
      <c r="D66" s="79">
        <f t="shared" si="22"/>
        <v>0</v>
      </c>
      <c r="E66" s="11"/>
      <c r="F66" s="11">
        <v>-15851</v>
      </c>
      <c r="G66" s="11">
        <f t="shared" si="23"/>
        <v>0</v>
      </c>
      <c r="H66" s="45"/>
      <c r="I66" s="45"/>
    </row>
    <row r="67" spans="1:9" s="38" customFormat="1" ht="15.75" x14ac:dyDescent="0.25">
      <c r="A67" s="54" t="s">
        <v>64</v>
      </c>
      <c r="B67" s="54"/>
      <c r="C67" s="80">
        <f>C69</f>
        <v>0</v>
      </c>
      <c r="D67" s="80">
        <f t="shared" ref="D67:G67" si="24">D69</f>
        <v>0</v>
      </c>
      <c r="E67" s="80">
        <f t="shared" si="24"/>
        <v>0</v>
      </c>
      <c r="F67" s="80">
        <f t="shared" ref="F67" si="25">F69</f>
        <v>-902803</v>
      </c>
      <c r="G67" s="80">
        <f t="shared" si="24"/>
        <v>0</v>
      </c>
      <c r="H67" s="47"/>
      <c r="I67" s="47"/>
    </row>
    <row r="68" spans="1:9" ht="15.75" x14ac:dyDescent="0.25">
      <c r="A68" s="55"/>
      <c r="B68" s="58" t="s">
        <v>17</v>
      </c>
      <c r="C68" s="11">
        <f>C70</f>
        <v>0</v>
      </c>
      <c r="D68" s="11">
        <f t="shared" ref="D68:G68" si="26">D70</f>
        <v>0</v>
      </c>
      <c r="E68" s="11">
        <f t="shared" si="26"/>
        <v>0</v>
      </c>
      <c r="F68" s="11">
        <f t="shared" ref="F68" si="27">F70</f>
        <v>-901834</v>
      </c>
      <c r="G68" s="11">
        <f t="shared" si="26"/>
        <v>0</v>
      </c>
      <c r="H68" s="45"/>
      <c r="I68" s="45"/>
    </row>
    <row r="69" spans="1:9" s="38" customFormat="1" ht="15.75" x14ac:dyDescent="0.25">
      <c r="A69" s="54" t="s">
        <v>65</v>
      </c>
      <c r="B69" s="57"/>
      <c r="C69" s="80">
        <f>C71</f>
        <v>0</v>
      </c>
      <c r="D69" s="80">
        <f t="shared" ref="D69:G69" si="28">D71</f>
        <v>0</v>
      </c>
      <c r="E69" s="80">
        <f t="shared" si="28"/>
        <v>0</v>
      </c>
      <c r="F69" s="80">
        <f t="shared" ref="F69" si="29">F71</f>
        <v>-902803</v>
      </c>
      <c r="G69" s="80">
        <f t="shared" si="28"/>
        <v>0</v>
      </c>
      <c r="H69" s="47"/>
      <c r="I69" s="47"/>
    </row>
    <row r="70" spans="1:9" s="38" customFormat="1" ht="15.75" x14ac:dyDescent="0.25">
      <c r="A70" s="54"/>
      <c r="B70" s="58" t="s">
        <v>17</v>
      </c>
      <c r="C70" s="11">
        <f>C72</f>
        <v>0</v>
      </c>
      <c r="D70" s="11">
        <f t="shared" ref="D70:G70" si="30">D72</f>
        <v>0</v>
      </c>
      <c r="E70" s="11">
        <f t="shared" si="30"/>
        <v>0</v>
      </c>
      <c r="F70" s="11">
        <f t="shared" ref="F70" si="31">F72</f>
        <v>-901834</v>
      </c>
      <c r="G70" s="11">
        <f t="shared" si="30"/>
        <v>0</v>
      </c>
      <c r="H70" s="47"/>
      <c r="I70" s="47"/>
    </row>
    <row r="71" spans="1:9" ht="15.75" x14ac:dyDescent="0.25">
      <c r="A71" s="71" t="s">
        <v>66</v>
      </c>
      <c r="B71" s="63"/>
      <c r="C71" s="79">
        <v>0</v>
      </c>
      <c r="D71" s="79">
        <f t="shared" ref="D71:D72" si="32">C71</f>
        <v>0</v>
      </c>
      <c r="E71" s="40"/>
      <c r="F71" s="40">
        <v>-902803</v>
      </c>
      <c r="G71" s="79">
        <f t="shared" ref="G71:G72" si="33">E71-D71</f>
        <v>0</v>
      </c>
      <c r="H71" s="45" t="s">
        <v>67</v>
      </c>
      <c r="I71" s="45"/>
    </row>
    <row r="72" spans="1:9" ht="15.75" x14ac:dyDescent="0.25">
      <c r="A72" s="71"/>
      <c r="B72" s="58" t="s">
        <v>17</v>
      </c>
      <c r="C72" s="79">
        <v>0</v>
      </c>
      <c r="D72" s="79">
        <f t="shared" si="32"/>
        <v>0</v>
      </c>
      <c r="E72" s="40"/>
      <c r="F72" s="40">
        <v>-901834</v>
      </c>
      <c r="G72" s="79">
        <f t="shared" si="33"/>
        <v>0</v>
      </c>
      <c r="H72" s="45"/>
      <c r="I72" s="45"/>
    </row>
    <row r="73" spans="1:9" s="38" customFormat="1" ht="15.75" x14ac:dyDescent="0.25">
      <c r="A73" s="54" t="s">
        <v>68</v>
      </c>
      <c r="B73" s="54"/>
      <c r="C73" s="81">
        <f>C75</f>
        <v>-103229485</v>
      </c>
      <c r="D73" s="81">
        <f t="shared" ref="D73:G73" si="34">D75</f>
        <v>-101927308.00999999</v>
      </c>
      <c r="E73" s="81">
        <f t="shared" si="34"/>
        <v>-79893488.590000004</v>
      </c>
      <c r="F73" s="81">
        <f t="shared" ref="F73" si="35">F75</f>
        <v>-59728566</v>
      </c>
      <c r="G73" s="81">
        <f t="shared" si="34"/>
        <v>22033819.419999994</v>
      </c>
      <c r="H73" s="47"/>
      <c r="I73" s="47"/>
    </row>
    <row r="74" spans="1:9" ht="15.75" x14ac:dyDescent="0.25">
      <c r="A74" s="55"/>
      <c r="B74" s="58" t="s">
        <v>17</v>
      </c>
      <c r="C74" s="40">
        <f>C76</f>
        <v>-37378162</v>
      </c>
      <c r="D74" s="40">
        <f t="shared" ref="D74:G74" si="36">D76</f>
        <v>-48114373.230000004</v>
      </c>
      <c r="E74" s="40">
        <f t="shared" si="36"/>
        <v>-40554570.830000006</v>
      </c>
      <c r="F74" s="40">
        <f t="shared" ref="F74" si="37">F76</f>
        <v>-24725364</v>
      </c>
      <c r="G74" s="40">
        <f t="shared" si="36"/>
        <v>7559802.4000000022</v>
      </c>
    </row>
    <row r="75" spans="1:9" ht="15.75" x14ac:dyDescent="0.25">
      <c r="A75" s="56" t="s">
        <v>69</v>
      </c>
      <c r="B75" s="54"/>
      <c r="C75" s="80">
        <f>C77+C79+C81+C83+C85</f>
        <v>-103229485</v>
      </c>
      <c r="D75" s="80">
        <f t="shared" ref="D75:G75" si="38">D77+D79+D81+D83+D85</f>
        <v>-101927308.00999999</v>
      </c>
      <c r="E75" s="80">
        <f t="shared" si="38"/>
        <v>-79893488.590000004</v>
      </c>
      <c r="F75" s="80">
        <f t="shared" si="38"/>
        <v>-59728566</v>
      </c>
      <c r="G75" s="80">
        <f t="shared" si="38"/>
        <v>22033819.419999994</v>
      </c>
    </row>
    <row r="76" spans="1:9" ht="15.75" x14ac:dyDescent="0.25">
      <c r="A76" s="55"/>
      <c r="B76" s="58" t="s">
        <v>17</v>
      </c>
      <c r="C76" s="11">
        <f>C78+C80+C82+C84+C86</f>
        <v>-37378162</v>
      </c>
      <c r="D76" s="11">
        <f t="shared" ref="D76:G76" si="39">D78+D80+D82+D84+D86</f>
        <v>-48114373.230000004</v>
      </c>
      <c r="E76" s="11">
        <f t="shared" si="39"/>
        <v>-40554570.830000006</v>
      </c>
      <c r="F76" s="11">
        <f t="shared" si="39"/>
        <v>-24725364</v>
      </c>
      <c r="G76" s="11">
        <f t="shared" si="39"/>
        <v>7559802.4000000022</v>
      </c>
      <c r="H76" s="45"/>
      <c r="I76" s="45"/>
    </row>
    <row r="77" spans="1:9" ht="15.75" x14ac:dyDescent="0.25">
      <c r="A77" s="71" t="s">
        <v>70</v>
      </c>
      <c r="B77" s="58"/>
      <c r="C77" s="11">
        <v>-53441879</v>
      </c>
      <c r="D77" s="79">
        <v>-45748597.119999997</v>
      </c>
      <c r="E77" s="11">
        <v>-40781725.560000002</v>
      </c>
      <c r="F77" s="11">
        <v>-42918191</v>
      </c>
      <c r="G77" s="79">
        <f t="shared" ref="G77:G86" si="40">E77-D77</f>
        <v>4966871.5599999949</v>
      </c>
      <c r="H77" s="41" t="s">
        <v>71</v>
      </c>
    </row>
    <row r="78" spans="1:9" ht="15.75" x14ac:dyDescent="0.25">
      <c r="A78" s="71"/>
      <c r="B78" s="58" t="s">
        <v>17</v>
      </c>
      <c r="C78" s="11">
        <v>-19932852</v>
      </c>
      <c r="D78" s="79">
        <v>-25508547.010000002</v>
      </c>
      <c r="E78" s="11">
        <v>-20771923.969999999</v>
      </c>
      <c r="F78" s="11">
        <v>-11803828</v>
      </c>
      <c r="G78" s="79">
        <f t="shared" si="40"/>
        <v>4736623.0400000028</v>
      </c>
    </row>
    <row r="79" spans="1:9" s="89" customFormat="1" ht="15.75" x14ac:dyDescent="0.25">
      <c r="A79" s="90" t="s">
        <v>72</v>
      </c>
      <c r="B79" s="91"/>
      <c r="C79" s="84">
        <v>-30915766</v>
      </c>
      <c r="D79" s="92">
        <v>-33669989.829999998</v>
      </c>
      <c r="E79" s="84">
        <v>-19497403.57</v>
      </c>
      <c r="F79" s="84">
        <v>-7331979</v>
      </c>
      <c r="G79" s="92">
        <f t="shared" si="40"/>
        <v>14172586.259999998</v>
      </c>
      <c r="H79" s="76" t="s">
        <v>73</v>
      </c>
      <c r="I79" s="76"/>
    </row>
    <row r="80" spans="1:9" s="89" customFormat="1" ht="15.75" x14ac:dyDescent="0.25">
      <c r="A80" s="90"/>
      <c r="B80" s="91" t="s">
        <v>17</v>
      </c>
      <c r="C80" s="84">
        <v>-2042188</v>
      </c>
      <c r="D80" s="92">
        <v>-4719898.5999999996</v>
      </c>
      <c r="E80" s="84">
        <v>-4543494.37</v>
      </c>
      <c r="F80" s="84">
        <v>-5318782</v>
      </c>
      <c r="G80" s="92">
        <f t="shared" si="40"/>
        <v>176404.22999999952</v>
      </c>
      <c r="H80" s="76"/>
      <c r="I80" s="76"/>
    </row>
    <row r="81" spans="1:9" ht="15.75" x14ac:dyDescent="0.25">
      <c r="A81" s="71" t="s">
        <v>74</v>
      </c>
      <c r="B81" s="58"/>
      <c r="C81" s="11">
        <v>-4797806</v>
      </c>
      <c r="D81" s="79">
        <v>-5483347.1699999999</v>
      </c>
      <c r="E81" s="11">
        <v>-3828118.44</v>
      </c>
      <c r="F81" s="11">
        <v>-1874010</v>
      </c>
      <c r="G81" s="79">
        <f t="shared" si="40"/>
        <v>1655228.73</v>
      </c>
      <c r="H81" s="41" t="s">
        <v>75</v>
      </c>
    </row>
    <row r="82" spans="1:9" ht="15.75" x14ac:dyDescent="0.25">
      <c r="A82" s="55"/>
      <c r="B82" s="58" t="s">
        <v>17</v>
      </c>
      <c r="C82" s="11">
        <v>-4740419</v>
      </c>
      <c r="D82" s="79">
        <v>-5263708.45</v>
      </c>
      <c r="E82" s="11">
        <v>-3710685.89</v>
      </c>
      <c r="F82" s="11">
        <v>-1847066</v>
      </c>
      <c r="G82" s="79">
        <f t="shared" si="40"/>
        <v>1553022.56</v>
      </c>
    </row>
    <row r="83" spans="1:9" ht="15.75" x14ac:dyDescent="0.25">
      <c r="A83" s="70" t="s">
        <v>76</v>
      </c>
      <c r="B83" s="58"/>
      <c r="C83" s="11">
        <v>-6343296</v>
      </c>
      <c r="D83" s="79">
        <v>-9364825.4900000002</v>
      </c>
      <c r="E83" s="11">
        <v>-7940860.7000000002</v>
      </c>
      <c r="F83" s="11">
        <v>-3630309</v>
      </c>
      <c r="G83" s="79">
        <f t="shared" si="40"/>
        <v>1423964.79</v>
      </c>
      <c r="H83" s="41" t="s">
        <v>77</v>
      </c>
      <c r="I83" s="41" t="s">
        <v>78</v>
      </c>
    </row>
    <row r="84" spans="1:9" ht="15.75" x14ac:dyDescent="0.25">
      <c r="A84" s="70"/>
      <c r="B84" s="58" t="s">
        <v>17</v>
      </c>
      <c r="C84" s="11">
        <v>-3730445</v>
      </c>
      <c r="D84" s="79">
        <v>-5663491.6500000004</v>
      </c>
      <c r="E84" s="11">
        <v>-4890258.79</v>
      </c>
      <c r="F84" s="11">
        <v>-2116545</v>
      </c>
      <c r="G84" s="79">
        <f t="shared" si="40"/>
        <v>773232.86000000034</v>
      </c>
    </row>
    <row r="85" spans="1:9" ht="15.75" x14ac:dyDescent="0.25">
      <c r="A85" s="70" t="s">
        <v>79</v>
      </c>
      <c r="B85" s="58"/>
      <c r="C85" s="11">
        <v>-7730738</v>
      </c>
      <c r="D85" s="79">
        <v>-7660548.4000000004</v>
      </c>
      <c r="E85" s="11">
        <v>-7845380.3200000003</v>
      </c>
      <c r="F85" s="11">
        <v>-3974077</v>
      </c>
      <c r="G85" s="79">
        <f t="shared" si="40"/>
        <v>-184831.91999999993</v>
      </c>
      <c r="H85" s="41" t="s">
        <v>80</v>
      </c>
      <c r="I85" s="41" t="s">
        <v>81</v>
      </c>
    </row>
    <row r="86" spans="1:9" ht="15.75" x14ac:dyDescent="0.25">
      <c r="A86" s="70"/>
      <c r="B86" s="58" t="s">
        <v>17</v>
      </c>
      <c r="C86" s="11">
        <v>-6932258</v>
      </c>
      <c r="D86" s="79">
        <v>-6958727.5199999996</v>
      </c>
      <c r="E86" s="11">
        <v>-6638207.8099999996</v>
      </c>
      <c r="F86" s="11">
        <v>-3639143</v>
      </c>
      <c r="G86" s="79">
        <f t="shared" si="40"/>
        <v>320519.70999999996</v>
      </c>
    </row>
    <row r="87" spans="1:9" ht="15.75" x14ac:dyDescent="0.25">
      <c r="A87" s="54" t="s">
        <v>82</v>
      </c>
      <c r="B87" s="54"/>
      <c r="C87" s="80">
        <f>C89</f>
        <v>0</v>
      </c>
      <c r="D87" s="80">
        <f t="shared" ref="D87:G87" si="41">D89</f>
        <v>0</v>
      </c>
      <c r="E87" s="80">
        <f t="shared" si="41"/>
        <v>0</v>
      </c>
      <c r="F87" s="80">
        <f t="shared" ref="F87" si="42">F89</f>
        <v>-9503</v>
      </c>
      <c r="G87" s="80">
        <f t="shared" si="41"/>
        <v>0</v>
      </c>
    </row>
    <row r="88" spans="1:9" ht="15.75" x14ac:dyDescent="0.25">
      <c r="A88" s="15"/>
      <c r="B88" s="58" t="s">
        <v>17</v>
      </c>
      <c r="C88" s="11">
        <f>C90</f>
        <v>0</v>
      </c>
      <c r="D88" s="11">
        <f t="shared" ref="D88:G88" si="43">D90</f>
        <v>0</v>
      </c>
      <c r="E88" s="11">
        <f t="shared" si="43"/>
        <v>0</v>
      </c>
      <c r="F88" s="11">
        <f t="shared" ref="F88" si="44">F90</f>
        <v>-8534</v>
      </c>
      <c r="G88" s="11">
        <f t="shared" si="43"/>
        <v>0</v>
      </c>
    </row>
    <row r="89" spans="1:9" ht="15.75" x14ac:dyDescent="0.25">
      <c r="A89" s="56" t="s">
        <v>83</v>
      </c>
      <c r="B89" s="54"/>
      <c r="C89" s="80">
        <f>C91</f>
        <v>0</v>
      </c>
      <c r="D89" s="80">
        <f t="shared" ref="D89:G89" si="45">D91</f>
        <v>0</v>
      </c>
      <c r="E89" s="80">
        <f t="shared" si="45"/>
        <v>0</v>
      </c>
      <c r="F89" s="80">
        <f t="shared" ref="F89" si="46">F91</f>
        <v>-9503</v>
      </c>
      <c r="G89" s="80">
        <f t="shared" si="45"/>
        <v>0</v>
      </c>
    </row>
    <row r="90" spans="1:9" ht="15.75" x14ac:dyDescent="0.25">
      <c r="A90" s="55"/>
      <c r="B90" s="58" t="s">
        <v>17</v>
      </c>
      <c r="C90" s="11">
        <f>C92</f>
        <v>0</v>
      </c>
      <c r="D90" s="11">
        <f t="shared" ref="D90:G90" si="47">D92</f>
        <v>0</v>
      </c>
      <c r="E90" s="11">
        <f t="shared" si="47"/>
        <v>0</v>
      </c>
      <c r="F90" s="11">
        <f t="shared" ref="F90" si="48">F92</f>
        <v>-8534</v>
      </c>
      <c r="G90" s="11">
        <f t="shared" si="47"/>
        <v>0</v>
      </c>
      <c r="H90" s="45"/>
      <c r="I90" s="45"/>
    </row>
    <row r="91" spans="1:9" ht="15.75" x14ac:dyDescent="0.25">
      <c r="A91" s="71" t="s">
        <v>84</v>
      </c>
      <c r="B91" s="58"/>
      <c r="C91" s="11">
        <v>0</v>
      </c>
      <c r="D91" s="79">
        <f t="shared" ref="D91:D92" si="49">C91</f>
        <v>0</v>
      </c>
      <c r="E91" s="11"/>
      <c r="F91" s="11">
        <v>-9503</v>
      </c>
      <c r="G91" s="79">
        <f t="shared" ref="G91:G92" si="50">E91-D91</f>
        <v>0</v>
      </c>
      <c r="H91" s="41" t="s">
        <v>85</v>
      </c>
    </row>
    <row r="92" spans="1:9" ht="15.75" x14ac:dyDescent="0.25">
      <c r="A92" s="71"/>
      <c r="B92" s="58" t="s">
        <v>17</v>
      </c>
      <c r="C92" s="11">
        <v>0</v>
      </c>
      <c r="D92" s="79">
        <f t="shared" si="49"/>
        <v>0</v>
      </c>
      <c r="E92" s="11"/>
      <c r="F92" s="11">
        <v>-8534</v>
      </c>
      <c r="G92" s="79">
        <f t="shared" si="50"/>
        <v>0</v>
      </c>
    </row>
    <row r="93" spans="1:9" ht="15.75" x14ac:dyDescent="0.25">
      <c r="A93" s="54" t="s">
        <v>86</v>
      </c>
      <c r="B93" s="54"/>
      <c r="C93" s="80">
        <f>C95</f>
        <v>-130485225</v>
      </c>
      <c r="D93" s="80">
        <f t="shared" ref="D93:G93" si="51">D95</f>
        <v>-154091163.34</v>
      </c>
      <c r="E93" s="80">
        <f t="shared" si="51"/>
        <v>-150098525.93000001</v>
      </c>
      <c r="F93" s="80">
        <f t="shared" ref="F93" si="52">F95</f>
        <v>-74764495</v>
      </c>
      <c r="G93" s="80">
        <f t="shared" si="51"/>
        <v>3992637.4099999964</v>
      </c>
    </row>
    <row r="94" spans="1:9" ht="15.75" x14ac:dyDescent="0.25">
      <c r="A94" s="54"/>
      <c r="B94" s="58" t="s">
        <v>17</v>
      </c>
      <c r="C94" s="11">
        <f>C96</f>
        <v>-130468829</v>
      </c>
      <c r="D94" s="11">
        <f t="shared" ref="D94:G94" si="53">D96</f>
        <v>-152663247.03999999</v>
      </c>
      <c r="E94" s="11">
        <f t="shared" si="53"/>
        <v>-149966946.91</v>
      </c>
      <c r="F94" s="11">
        <f t="shared" ref="F94" si="54">F96</f>
        <v>-74756748</v>
      </c>
      <c r="G94" s="11">
        <f t="shared" si="53"/>
        <v>2696300.1299999952</v>
      </c>
    </row>
    <row r="95" spans="1:9" ht="15.75" x14ac:dyDescent="0.25">
      <c r="A95" s="56" t="s">
        <v>87</v>
      </c>
      <c r="B95" s="56"/>
      <c r="C95" s="80">
        <f>C97</f>
        <v>-130485225</v>
      </c>
      <c r="D95" s="80">
        <f t="shared" ref="D95:G95" si="55">D97</f>
        <v>-154091163.34</v>
      </c>
      <c r="E95" s="80">
        <f t="shared" si="55"/>
        <v>-150098525.93000001</v>
      </c>
      <c r="F95" s="80">
        <f t="shared" ref="F95" si="56">F97</f>
        <v>-74764495</v>
      </c>
      <c r="G95" s="80">
        <f t="shared" si="55"/>
        <v>3992637.4099999964</v>
      </c>
    </row>
    <row r="96" spans="1:9" ht="15.75" x14ac:dyDescent="0.25">
      <c r="A96" s="56"/>
      <c r="B96" s="58" t="s">
        <v>17</v>
      </c>
      <c r="C96" s="11">
        <f>C98</f>
        <v>-130468829</v>
      </c>
      <c r="D96" s="11">
        <f t="shared" ref="D96:G96" si="57">D98</f>
        <v>-152663247.03999999</v>
      </c>
      <c r="E96" s="11">
        <f t="shared" si="57"/>
        <v>-149966946.91</v>
      </c>
      <c r="F96" s="11">
        <f t="shared" ref="F96" si="58">F98</f>
        <v>-74756748</v>
      </c>
      <c r="G96" s="11">
        <f t="shared" si="57"/>
        <v>2696300.1299999952</v>
      </c>
    </row>
    <row r="97" spans="1:9" ht="15.75" x14ac:dyDescent="0.25">
      <c r="A97" s="71" t="s">
        <v>88</v>
      </c>
      <c r="B97" s="63"/>
      <c r="C97" s="79">
        <v>-130485225</v>
      </c>
      <c r="D97" s="79">
        <v>-154091163.34</v>
      </c>
      <c r="E97" s="40">
        <v>-150098525.93000001</v>
      </c>
      <c r="F97" s="40">
        <v>-74764495</v>
      </c>
      <c r="G97" s="79">
        <f t="shared" ref="G97:G98" si="59">E97-D97</f>
        <v>3992637.4099999964</v>
      </c>
      <c r="H97" s="45" t="s">
        <v>89</v>
      </c>
      <c r="I97" s="45" t="s">
        <v>90</v>
      </c>
    </row>
    <row r="98" spans="1:9" ht="15.75" x14ac:dyDescent="0.25">
      <c r="A98" s="16"/>
      <c r="B98" s="58" t="s">
        <v>17</v>
      </c>
      <c r="C98" s="79">
        <v>-130468829</v>
      </c>
      <c r="D98" s="79">
        <v>-152663247.03999999</v>
      </c>
      <c r="E98" s="40">
        <v>-149966946.91</v>
      </c>
      <c r="F98" s="40">
        <v>-74756748</v>
      </c>
      <c r="G98" s="79">
        <f t="shared" si="59"/>
        <v>2696300.1299999952</v>
      </c>
      <c r="H98" s="45"/>
      <c r="I98" s="45"/>
    </row>
    <row r="99" spans="1:9" s="38" customFormat="1" ht="15.75" x14ac:dyDescent="0.25">
      <c r="A99" s="69" t="s">
        <v>91</v>
      </c>
      <c r="B99" s="57"/>
      <c r="C99" s="80">
        <v>-7224115</v>
      </c>
      <c r="D99" s="80">
        <f>C99+495517+835065-12993.91-1297262.46</f>
        <v>-7203789.3700000001</v>
      </c>
      <c r="E99" s="80">
        <v>-5249595.83</v>
      </c>
      <c r="F99" s="80">
        <v>-3821840.4</v>
      </c>
      <c r="G99" s="80">
        <f>E99-D99</f>
        <v>1954193.54</v>
      </c>
      <c r="H99" s="75"/>
      <c r="I99" s="75"/>
    </row>
    <row r="100" spans="1:9" s="38" customFormat="1" ht="15.75" x14ac:dyDescent="0.25">
      <c r="A100" s="54" t="s">
        <v>92</v>
      </c>
      <c r="B100" s="57"/>
      <c r="C100" s="80">
        <v>-6133688</v>
      </c>
      <c r="D100" s="80">
        <f>C100-3726123.16+2208122+2566400-20000-206223.23-14012559.19-5</f>
        <v>-19324076.579999998</v>
      </c>
      <c r="E100" s="80">
        <f>-10990229.55-2027618.65</f>
        <v>-13017848.200000001</v>
      </c>
      <c r="F100" s="80">
        <f>-11063355.82-1714520.53</f>
        <v>-12777876.35</v>
      </c>
      <c r="G100" s="80">
        <f>E100-D100</f>
        <v>6306228.3799999971</v>
      </c>
      <c r="H100" s="75"/>
      <c r="I100" s="75"/>
    </row>
    <row r="101" spans="1:9" ht="15.75" x14ac:dyDescent="0.25">
      <c r="A101" s="64"/>
      <c r="B101" s="58" t="s">
        <v>17</v>
      </c>
      <c r="C101" s="11">
        <v>-3015061</v>
      </c>
      <c r="D101" s="79">
        <f>C101-3726123.16+2208122-20000-5</f>
        <v>-4553067.16</v>
      </c>
      <c r="E101" s="11">
        <v>-3294702.19</v>
      </c>
      <c r="F101" s="11">
        <v>-3644617.74</v>
      </c>
      <c r="G101" s="79">
        <f t="shared" ref="G101:G110" si="60">E101-D101</f>
        <v>1258364.9700000002</v>
      </c>
      <c r="H101" s="76"/>
      <c r="I101" s="76"/>
    </row>
    <row r="102" spans="1:9" ht="15.75" x14ac:dyDescent="0.25">
      <c r="A102" s="64"/>
      <c r="B102" s="58" t="s">
        <v>93</v>
      </c>
      <c r="C102" s="11">
        <v>-567627</v>
      </c>
      <c r="D102" s="79">
        <f>C102+15400-33289.33-481064.14</f>
        <v>-1066580.47</v>
      </c>
      <c r="E102" s="11">
        <v>-2027618.65</v>
      </c>
      <c r="F102" s="11">
        <v>-1714520.53</v>
      </c>
      <c r="G102" s="79">
        <f t="shared" si="60"/>
        <v>-961038.17999999993</v>
      </c>
      <c r="H102" s="76"/>
      <c r="I102" s="76"/>
    </row>
    <row r="103" spans="1:9" s="38" customFormat="1" ht="15.75" x14ac:dyDescent="0.25">
      <c r="A103" s="69" t="s">
        <v>94</v>
      </c>
      <c r="B103" s="57"/>
      <c r="C103" s="80">
        <f>C105+C109+C107</f>
        <v>3900000</v>
      </c>
      <c r="D103" s="80">
        <f t="shared" ref="D103:G103" si="61">D105+D109+D107</f>
        <v>41839558</v>
      </c>
      <c r="E103" s="80">
        <f t="shared" si="61"/>
        <v>41999638.439999998</v>
      </c>
      <c r="F103" s="80">
        <f t="shared" si="61"/>
        <v>20966253.73</v>
      </c>
      <c r="G103" s="80">
        <f t="shared" si="61"/>
        <v>160080.43999999762</v>
      </c>
      <c r="H103" s="75"/>
      <c r="I103" s="75"/>
    </row>
    <row r="104" spans="1:9" ht="15.75" x14ac:dyDescent="0.25">
      <c r="A104" s="64"/>
      <c r="B104" s="58" t="s">
        <v>17</v>
      </c>
      <c r="C104" s="11">
        <f>C106+C110+C108</f>
        <v>0</v>
      </c>
      <c r="D104" s="11">
        <f t="shared" ref="D104:G104" si="62">D106+D110+D108</f>
        <v>24839558</v>
      </c>
      <c r="E104" s="11">
        <f t="shared" si="62"/>
        <v>24839558</v>
      </c>
      <c r="F104" s="11">
        <f t="shared" si="62"/>
        <v>0</v>
      </c>
      <c r="G104" s="11">
        <f t="shared" si="62"/>
        <v>0</v>
      </c>
      <c r="H104" s="76"/>
      <c r="I104" s="76"/>
    </row>
    <row r="105" spans="1:9" ht="15.75" x14ac:dyDescent="0.25">
      <c r="A105" s="64" t="s">
        <v>95</v>
      </c>
      <c r="B105" s="58"/>
      <c r="C105" s="11">
        <v>3900000</v>
      </c>
      <c r="D105" s="79">
        <f t="shared" ref="D105:D106" si="63">C105</f>
        <v>3900000</v>
      </c>
      <c r="E105" s="11">
        <f>-1862.07-4800.78-17287.02-25446.69+2137627.21+1336390.21</f>
        <v>3424620.86</v>
      </c>
      <c r="F105" s="11">
        <f>-198.5-26230.44-2355.77+1176553.82+1092147.35</f>
        <v>2239916.46</v>
      </c>
      <c r="G105" s="79">
        <f t="shared" si="60"/>
        <v>-475379.14000000013</v>
      </c>
    </row>
    <row r="106" spans="1:9" ht="15.75" x14ac:dyDescent="0.25">
      <c r="A106" s="64"/>
      <c r="B106" s="58" t="s">
        <v>17</v>
      </c>
      <c r="C106" s="11">
        <v>0</v>
      </c>
      <c r="D106" s="79">
        <f t="shared" si="63"/>
        <v>0</v>
      </c>
      <c r="E106" s="11">
        <v>0</v>
      </c>
      <c r="F106" s="11">
        <v>0</v>
      </c>
      <c r="G106" s="79">
        <f t="shared" si="60"/>
        <v>0</v>
      </c>
    </row>
    <row r="107" spans="1:9" ht="15.75" x14ac:dyDescent="0.25">
      <c r="A107" s="72" t="s">
        <v>96</v>
      </c>
      <c r="B107" s="58"/>
      <c r="C107" s="79">
        <v>0</v>
      </c>
      <c r="D107" s="11">
        <v>44839558</v>
      </c>
      <c r="E107" s="40">
        <f>-20000000+44839558</f>
        <v>24839558</v>
      </c>
      <c r="F107" s="40">
        <v>0</v>
      </c>
      <c r="G107" s="79">
        <f t="shared" si="60"/>
        <v>-20000000</v>
      </c>
    </row>
    <row r="108" spans="1:9" ht="15.75" x14ac:dyDescent="0.25">
      <c r="A108" s="72"/>
      <c r="B108" s="58" t="s">
        <v>17</v>
      </c>
      <c r="C108" s="79">
        <v>0</v>
      </c>
      <c r="D108" s="11">
        <v>44839558</v>
      </c>
      <c r="E108" s="40">
        <f>-20000000+44839558</f>
        <v>24839558</v>
      </c>
      <c r="F108" s="40">
        <v>0</v>
      </c>
      <c r="G108" s="79">
        <f t="shared" si="60"/>
        <v>-20000000</v>
      </c>
    </row>
    <row r="109" spans="1:9" ht="15.75" x14ac:dyDescent="0.25">
      <c r="A109" s="72" t="s">
        <v>97</v>
      </c>
      <c r="B109" s="58"/>
      <c r="C109" s="79">
        <v>0</v>
      </c>
      <c r="D109" s="79">
        <f>-20000000+13100000</f>
        <v>-6900000</v>
      </c>
      <c r="E109" s="79">
        <v>13735459.58</v>
      </c>
      <c r="F109" s="79">
        <f>-3739465.71+22465802.98</f>
        <v>18726337.27</v>
      </c>
      <c r="G109" s="79">
        <f t="shared" si="60"/>
        <v>20635459.579999998</v>
      </c>
      <c r="H109" s="45"/>
      <c r="I109" s="45"/>
    </row>
    <row r="110" spans="1:9" ht="15.75" x14ac:dyDescent="0.25">
      <c r="A110" s="16"/>
      <c r="B110" s="58" t="s">
        <v>17</v>
      </c>
      <c r="C110" s="79">
        <v>0</v>
      </c>
      <c r="D110" s="79">
        <v>-20000000</v>
      </c>
      <c r="E110" s="79">
        <v>0</v>
      </c>
      <c r="F110" s="79">
        <v>0</v>
      </c>
      <c r="G110" s="79">
        <f t="shared" si="60"/>
        <v>20000000</v>
      </c>
      <c r="H110" s="45"/>
      <c r="I110" s="45"/>
    </row>
    <row r="111" spans="1:9" ht="15.75" x14ac:dyDescent="0.25">
      <c r="A111" s="60" t="s">
        <v>98</v>
      </c>
      <c r="B111" s="60"/>
      <c r="C111" s="78"/>
      <c r="D111" s="78"/>
      <c r="E111" s="78">
        <f>SUM(E112:E119)</f>
        <v>-733833753.46999991</v>
      </c>
      <c r="F111" s="78">
        <f>SUM(F112:F119)</f>
        <v>-290180527.65999997</v>
      </c>
      <c r="G111" s="78"/>
    </row>
    <row r="112" spans="1:9" ht="15.75" x14ac:dyDescent="0.25">
      <c r="A112" s="16"/>
      <c r="B112" s="58" t="s">
        <v>99</v>
      </c>
      <c r="C112" s="79"/>
      <c r="D112" s="40"/>
      <c r="E112" s="40">
        <v>384739.86</v>
      </c>
      <c r="F112" s="40">
        <v>407841.33</v>
      </c>
      <c r="G112" s="6"/>
    </row>
    <row r="113" spans="1:7" ht="15.75" x14ac:dyDescent="0.25">
      <c r="A113" s="16"/>
      <c r="B113" s="58" t="s">
        <v>100</v>
      </c>
      <c r="C113" s="79"/>
      <c r="D113" s="40"/>
      <c r="E113" s="40">
        <v>2222406.34</v>
      </c>
      <c r="F113" s="40">
        <v>4172706.78</v>
      </c>
      <c r="G113" s="6"/>
    </row>
    <row r="114" spans="1:7" ht="15.75" x14ac:dyDescent="0.25">
      <c r="A114" s="16"/>
      <c r="B114" s="58" t="s">
        <v>101</v>
      </c>
      <c r="C114" s="79"/>
      <c r="D114" s="40"/>
      <c r="E114" s="40">
        <v>-729221229</v>
      </c>
      <c r="F114" s="40">
        <v>-289783693</v>
      </c>
      <c r="G114" s="6"/>
    </row>
    <row r="115" spans="1:7" ht="15.75" x14ac:dyDescent="0.25">
      <c r="A115" s="16"/>
      <c r="B115" s="58" t="s">
        <v>102</v>
      </c>
      <c r="C115" s="79"/>
      <c r="D115" s="40"/>
      <c r="E115" s="40">
        <v>52344.25</v>
      </c>
      <c r="F115" s="40">
        <v>25533.5</v>
      </c>
      <c r="G115" s="6"/>
    </row>
    <row r="116" spans="1:7" ht="15.75" x14ac:dyDescent="0.25">
      <c r="A116" s="16"/>
      <c r="B116" s="58" t="s">
        <v>103</v>
      </c>
      <c r="C116" s="79"/>
      <c r="D116" s="40"/>
      <c r="E116" s="40">
        <v>-52344.25</v>
      </c>
      <c r="F116" s="40">
        <v>-25533.5</v>
      </c>
      <c r="G116" s="6"/>
    </row>
    <row r="117" spans="1:7" ht="15.75" x14ac:dyDescent="0.25">
      <c r="A117" s="16"/>
      <c r="B117" s="58" t="s">
        <v>104</v>
      </c>
      <c r="C117" s="79"/>
      <c r="D117" s="40"/>
      <c r="E117" s="40">
        <v>-2364054.87</v>
      </c>
      <c r="F117" s="40">
        <v>0</v>
      </c>
      <c r="G117" s="6"/>
    </row>
    <row r="118" spans="1:7" ht="15.75" x14ac:dyDescent="0.25">
      <c r="A118" s="16"/>
      <c r="B118" s="58" t="s">
        <v>105</v>
      </c>
      <c r="C118" s="79"/>
      <c r="D118" s="40"/>
      <c r="E118" s="40">
        <f>-550584.55-2222406.34</f>
        <v>-2772990.8899999997</v>
      </c>
      <c r="F118" s="40">
        <f>-704911.84-4172706.78</f>
        <v>-4877618.62</v>
      </c>
      <c r="G118" s="6"/>
    </row>
    <row r="119" spans="1:7" ht="15.75" x14ac:dyDescent="0.25">
      <c r="A119" s="16"/>
      <c r="B119" s="58" t="s">
        <v>106</v>
      </c>
      <c r="C119" s="79"/>
      <c r="D119" s="40"/>
      <c r="E119" s="40">
        <v>-2082624.91</v>
      </c>
      <c r="F119" s="40">
        <v>-99764.15</v>
      </c>
      <c r="G119" s="6"/>
    </row>
    <row r="120" spans="1:7" ht="15.75" hidden="1" x14ac:dyDescent="0.25">
      <c r="A120" s="65" t="s">
        <v>107</v>
      </c>
      <c r="B120" s="66"/>
      <c r="C120" s="12"/>
      <c r="D120" s="13"/>
      <c r="E120" s="9"/>
      <c r="F120" s="9"/>
      <c r="G120" s="10"/>
    </row>
    <row r="121" spans="1:7" ht="15.75" hidden="1" x14ac:dyDescent="0.25">
      <c r="A121" s="67" t="s">
        <v>108</v>
      </c>
      <c r="B121" s="67"/>
      <c r="C121" s="12"/>
      <c r="D121" s="14"/>
      <c r="E121" s="9"/>
      <c r="F121" s="9"/>
      <c r="G121" s="10"/>
    </row>
    <row r="122" spans="1:7" ht="15.75" hidden="1" x14ac:dyDescent="0.25">
      <c r="A122" s="62"/>
      <c r="B122" s="65" t="s">
        <v>109</v>
      </c>
      <c r="C122" s="12">
        <v>0</v>
      </c>
      <c r="D122" s="12"/>
      <c r="E122" s="12"/>
      <c r="F122" s="12"/>
      <c r="G122" s="12">
        <f>E122-D122</f>
        <v>0</v>
      </c>
    </row>
    <row r="123" spans="1:7" ht="15.75" hidden="1" x14ac:dyDescent="0.25">
      <c r="A123" s="62"/>
      <c r="B123" s="68" t="s">
        <v>17</v>
      </c>
      <c r="C123" s="7">
        <v>0</v>
      </c>
      <c r="D123" s="7"/>
      <c r="E123" s="7"/>
      <c r="F123" s="7"/>
      <c r="G123" s="7">
        <f>E123-D123</f>
        <v>0</v>
      </c>
    </row>
    <row r="124" spans="1:7" ht="15.75" hidden="1" x14ac:dyDescent="0.25">
      <c r="A124" s="62"/>
      <c r="B124" s="65" t="s">
        <v>110</v>
      </c>
      <c r="C124" s="12">
        <v>0</v>
      </c>
      <c r="D124" s="12"/>
      <c r="E124" s="12">
        <v>0</v>
      </c>
      <c r="F124" s="12">
        <v>0</v>
      </c>
      <c r="G124" s="12">
        <f>E124-D124</f>
        <v>0</v>
      </c>
    </row>
    <row r="125" spans="1:7" ht="15.75" hidden="1" x14ac:dyDescent="0.25">
      <c r="A125" s="62"/>
      <c r="B125" s="68" t="s">
        <v>17</v>
      </c>
      <c r="C125" s="7">
        <v>0</v>
      </c>
      <c r="D125" s="7"/>
      <c r="E125" s="7">
        <v>0</v>
      </c>
      <c r="F125" s="7">
        <v>0</v>
      </c>
      <c r="G125" s="7">
        <f>E125-D125</f>
        <v>0</v>
      </c>
    </row>
    <row r="126" spans="1:7" ht="15.75" hidden="1" x14ac:dyDescent="0.25">
      <c r="A126" s="61"/>
      <c r="B126" s="62" t="s">
        <v>111</v>
      </c>
      <c r="C126" s="7"/>
      <c r="D126" s="8"/>
      <c r="E126" s="9">
        <f>E6+E15+E102+E111</f>
        <v>-998531481.41999984</v>
      </c>
      <c r="F126" s="9">
        <f>F6+F15+F102+F111</f>
        <v>-477317527.8599999</v>
      </c>
      <c r="G126" s="10"/>
    </row>
    <row r="127" spans="1:7" ht="15.75" hidden="1" x14ac:dyDescent="0.25">
      <c r="A127" s="61"/>
      <c r="B127" s="62" t="s">
        <v>112</v>
      </c>
      <c r="C127" s="7"/>
      <c r="D127" s="8"/>
      <c r="E127" s="9">
        <v>-998531481.51999998</v>
      </c>
      <c r="F127" s="9">
        <v>-477317527.66000003</v>
      </c>
      <c r="G127" s="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F9403-50E9-43C6-AF9D-B37F0A9328D9}">
  <dimension ref="A1:O23"/>
  <sheetViews>
    <sheetView workbookViewId="0">
      <selection activeCell="C24" sqref="C24"/>
    </sheetView>
  </sheetViews>
  <sheetFormatPr defaultRowHeight="15" x14ac:dyDescent="0.25"/>
  <cols>
    <col min="1" max="1" width="15.85546875" customWidth="1"/>
    <col min="2" max="2" width="39.140625" customWidth="1"/>
    <col min="3" max="3" width="16.7109375" style="39" bestFit="1" customWidth="1"/>
    <col min="4" max="4" width="16.140625" style="39" bestFit="1" customWidth="1"/>
    <col min="5" max="5" width="16.7109375" style="39" bestFit="1" customWidth="1"/>
    <col min="6" max="6" width="9.140625" style="23"/>
    <col min="7" max="7" width="16" style="23" bestFit="1" customWidth="1"/>
    <col min="8" max="8" width="16.7109375" style="23" bestFit="1" customWidth="1"/>
    <col min="9" max="9" width="15.85546875" style="23" bestFit="1" customWidth="1"/>
    <col min="11" max="11" width="13.5703125" bestFit="1" customWidth="1"/>
    <col min="13" max="13" width="14.28515625" bestFit="1" customWidth="1"/>
    <col min="14" max="14" width="10.7109375" bestFit="1" customWidth="1"/>
    <col min="15" max="15" width="13.28515625" customWidth="1"/>
  </cols>
  <sheetData>
    <row r="1" spans="1:15" x14ac:dyDescent="0.25">
      <c r="A1" s="17" t="s">
        <v>113</v>
      </c>
      <c r="B1" s="18"/>
      <c r="C1" s="42"/>
      <c r="D1" s="42"/>
      <c r="E1" s="42"/>
      <c r="F1" s="19"/>
      <c r="G1" s="20"/>
      <c r="H1" s="21"/>
      <c r="I1" s="22"/>
      <c r="J1" s="23"/>
    </row>
    <row r="2" spans="1:15" x14ac:dyDescent="0.25">
      <c r="A2" s="17" t="s">
        <v>114</v>
      </c>
      <c r="B2" s="18"/>
      <c r="C2" s="42"/>
      <c r="D2" s="42"/>
      <c r="E2" s="42"/>
      <c r="F2" s="19"/>
      <c r="G2" s="42"/>
      <c r="H2" s="42"/>
      <c r="I2" s="21"/>
      <c r="J2" s="23"/>
    </row>
    <row r="3" spans="1:15" x14ac:dyDescent="0.25">
      <c r="A3" s="17"/>
      <c r="B3" s="18"/>
      <c r="C3" s="43">
        <f>SUBTOTAL(9,C5:C23)</f>
        <v>-967522072.63</v>
      </c>
      <c r="D3" s="43">
        <f>SUBTOTAL(9,D5:D23)</f>
        <v>-967522072.52999973</v>
      </c>
      <c r="E3" s="43">
        <f>SUBTOTAL(9,E5:E23)</f>
        <v>-0.10000020888401195</v>
      </c>
      <c r="F3" s="19"/>
      <c r="G3" s="43">
        <f>SUBTOTAL(9,G5:G23)</f>
        <v>-467414629.74999994</v>
      </c>
      <c r="H3" s="43">
        <f>SUBTOTAL(9,H5:H23)</f>
        <v>-467414629.94999993</v>
      </c>
      <c r="I3" s="43">
        <f>SUBTOTAL(9,I5:I23)</f>
        <v>0.19999998141429387</v>
      </c>
    </row>
    <row r="4" spans="1:15" ht="25.5" x14ac:dyDescent="0.25">
      <c r="A4" s="24" t="s">
        <v>115</v>
      </c>
      <c r="B4" s="24" t="s">
        <v>116</v>
      </c>
      <c r="C4" s="44" t="s">
        <v>117</v>
      </c>
      <c r="D4" s="44" t="s">
        <v>118</v>
      </c>
      <c r="E4" s="44" t="s">
        <v>119</v>
      </c>
      <c r="F4" s="46" t="s">
        <v>120</v>
      </c>
      <c r="G4" s="25" t="s">
        <v>121</v>
      </c>
      <c r="H4" s="25" t="s">
        <v>122</v>
      </c>
      <c r="I4" s="25" t="s">
        <v>123</v>
      </c>
      <c r="J4" s="24" t="s">
        <v>120</v>
      </c>
    </row>
    <row r="5" spans="1:15" x14ac:dyDescent="0.25">
      <c r="A5" t="s">
        <v>124</v>
      </c>
      <c r="B5" t="s">
        <v>10</v>
      </c>
      <c r="C5" s="39">
        <v>1379879.15</v>
      </c>
      <c r="D5" s="21">
        <f>aruanne!E7</f>
        <v>1387745.04</v>
      </c>
      <c r="E5" s="39">
        <f>C5-D5</f>
        <v>-7865.8900000001304</v>
      </c>
      <c r="G5" s="39">
        <v>1384485.23</v>
      </c>
      <c r="H5" s="21">
        <f>aruanne!F7</f>
        <v>1392718.94</v>
      </c>
      <c r="I5" s="21">
        <f t="shared" ref="I5:I23" si="0">G5-H5</f>
        <v>-8233.7099999999627</v>
      </c>
      <c r="K5" s="23"/>
      <c r="O5" s="23"/>
    </row>
    <row r="6" spans="1:15" x14ac:dyDescent="0.25">
      <c r="A6" t="s">
        <v>124</v>
      </c>
      <c r="B6" t="s">
        <v>11</v>
      </c>
      <c r="C6" s="39">
        <v>18042521.190000001</v>
      </c>
      <c r="D6" s="21">
        <f>aruanne!E8+aruanne!E115</f>
        <v>18117876.82</v>
      </c>
      <c r="E6" s="39">
        <f t="shared" ref="E6:E23" si="1">C6-D6</f>
        <v>-75355.629999998957</v>
      </c>
      <c r="G6" s="39">
        <v>12115379.08</v>
      </c>
      <c r="H6" s="21">
        <f>aruanne!F8+aruanne!F115</f>
        <v>12453861.77</v>
      </c>
      <c r="I6" s="21">
        <f t="shared" si="0"/>
        <v>-338482.68999999948</v>
      </c>
      <c r="K6" s="23"/>
      <c r="O6" s="23"/>
    </row>
    <row r="7" spans="1:15" x14ac:dyDescent="0.25">
      <c r="A7" t="s">
        <v>124</v>
      </c>
      <c r="B7" t="s">
        <v>12</v>
      </c>
      <c r="C7" s="39">
        <v>324503530.88999999</v>
      </c>
      <c r="D7" s="21">
        <f>aruanne!E9+aruanne!E112+aruanne!E113</f>
        <v>324503530.89000005</v>
      </c>
      <c r="E7" s="39">
        <f t="shared" si="1"/>
        <v>0</v>
      </c>
      <c r="G7" s="39">
        <v>350046176.35000002</v>
      </c>
      <c r="H7" s="21">
        <f>aruanne!F9+aruanne!F112+aruanne!F113</f>
        <v>350046176.35000002</v>
      </c>
      <c r="I7" s="21">
        <f t="shared" si="0"/>
        <v>0</v>
      </c>
      <c r="K7" s="23"/>
      <c r="O7" s="23"/>
    </row>
    <row r="8" spans="1:15" x14ac:dyDescent="0.25">
      <c r="A8" t="s">
        <v>124</v>
      </c>
      <c r="B8" t="s">
        <v>125</v>
      </c>
      <c r="C8" s="39">
        <v>19539781.059999999</v>
      </c>
      <c r="D8" s="21">
        <f>aruanne!E10+aruanne!E117</f>
        <v>19539781.059999999</v>
      </c>
      <c r="E8" s="39">
        <f t="shared" si="1"/>
        <v>0</v>
      </c>
      <c r="G8" s="39">
        <v>10856099.439999999</v>
      </c>
      <c r="H8" s="21">
        <f>aruanne!F10+aruanne!F117</f>
        <v>10856099.439999999</v>
      </c>
      <c r="I8" s="21">
        <f t="shared" si="0"/>
        <v>0</v>
      </c>
      <c r="K8" s="23"/>
      <c r="O8" s="23"/>
    </row>
    <row r="9" spans="1:15" x14ac:dyDescent="0.25">
      <c r="A9" t="s">
        <v>124</v>
      </c>
      <c r="B9" t="s">
        <v>126</v>
      </c>
      <c r="C9" s="39">
        <v>19235.490000000002</v>
      </c>
      <c r="D9" s="21">
        <f>aruanne!E11</f>
        <v>19235.490000000002</v>
      </c>
      <c r="E9" s="39">
        <f t="shared" si="1"/>
        <v>0</v>
      </c>
      <c r="G9" s="39">
        <v>39601.910000000003</v>
      </c>
      <c r="H9" s="21">
        <f>aruanne!F11</f>
        <v>39601.910000000003</v>
      </c>
      <c r="I9" s="21">
        <f t="shared" si="0"/>
        <v>0</v>
      </c>
      <c r="K9" s="23"/>
      <c r="O9" s="23"/>
    </row>
    <row r="10" spans="1:15" x14ac:dyDescent="0.25">
      <c r="A10" t="s">
        <v>124</v>
      </c>
      <c r="B10" t="s">
        <v>13</v>
      </c>
      <c r="C10" s="39">
        <v>1294265.6499999999</v>
      </c>
      <c r="D10" s="21">
        <f>aruanne!E12</f>
        <v>1294265.6499999999</v>
      </c>
      <c r="E10" s="39">
        <f t="shared" si="1"/>
        <v>0</v>
      </c>
      <c r="G10" s="39">
        <v>1261812.31</v>
      </c>
      <c r="H10" s="21">
        <f>aruanne!F12</f>
        <v>1261812.31</v>
      </c>
      <c r="I10" s="21">
        <f t="shared" si="0"/>
        <v>0</v>
      </c>
      <c r="K10" s="23"/>
      <c r="O10" s="23"/>
    </row>
    <row r="11" spans="1:15" x14ac:dyDescent="0.25">
      <c r="A11" t="s">
        <v>124</v>
      </c>
      <c r="B11" t="s">
        <v>14</v>
      </c>
      <c r="C11" s="39">
        <f>1528873.31+372375.33-1294265.65</f>
        <v>606982.99000000022</v>
      </c>
      <c r="D11" s="21">
        <f>aruanne!E13</f>
        <v>606982.99</v>
      </c>
      <c r="E11" s="39">
        <f t="shared" si="1"/>
        <v>0</v>
      </c>
      <c r="G11" s="39">
        <v>582034.92999999993</v>
      </c>
      <c r="H11" s="21">
        <f>aruanne!F13</f>
        <v>582034.92999999993</v>
      </c>
      <c r="I11" s="21">
        <f t="shared" si="0"/>
        <v>0</v>
      </c>
      <c r="K11" s="23"/>
      <c r="O11" s="23"/>
    </row>
    <row r="12" spans="1:15" x14ac:dyDescent="0.25">
      <c r="A12" t="s">
        <v>124</v>
      </c>
      <c r="B12" t="s">
        <v>127</v>
      </c>
      <c r="C12" s="39">
        <f>7865.89+75355.63</f>
        <v>83221.52</v>
      </c>
      <c r="D12" s="21"/>
      <c r="E12" s="39">
        <f t="shared" si="1"/>
        <v>83221.52</v>
      </c>
      <c r="G12" s="39">
        <v>346716.39999999997</v>
      </c>
      <c r="H12" s="21"/>
      <c r="I12" s="21">
        <f t="shared" si="0"/>
        <v>346716.39999999997</v>
      </c>
      <c r="K12" s="23"/>
      <c r="O12" s="23"/>
    </row>
    <row r="13" spans="1:15" x14ac:dyDescent="0.25">
      <c r="A13" t="s">
        <v>124</v>
      </c>
      <c r="B13" t="s">
        <v>128</v>
      </c>
      <c r="C13" s="39">
        <f>81662.02+5740324.3+1524062.2</f>
        <v>7346048.5199999996</v>
      </c>
      <c r="D13" s="21">
        <f>aruanne!E14</f>
        <v>7346048.5199999996</v>
      </c>
      <c r="E13" s="39">
        <f t="shared" si="1"/>
        <v>0</v>
      </c>
      <c r="G13" s="39">
        <v>3786321.6900000004</v>
      </c>
      <c r="H13" s="21">
        <f>aruanne!F14</f>
        <v>3786321.69</v>
      </c>
      <c r="I13" s="21">
        <f t="shared" si="0"/>
        <v>0</v>
      </c>
      <c r="K13" s="23"/>
      <c r="O13" s="23"/>
    </row>
    <row r="14" spans="1:15" x14ac:dyDescent="0.25">
      <c r="A14" t="s">
        <v>124</v>
      </c>
      <c r="B14" t="s">
        <v>129</v>
      </c>
      <c r="C14" s="39">
        <f>-1371104283.41-C17-C20</f>
        <v>-1363827068.9300001</v>
      </c>
      <c r="D14" s="21">
        <f>aruanne!E15+aruanne!E119+aruanne!E118+aruanne!E116-D17+aruanne!E114</f>
        <v>-1364069733.3999999</v>
      </c>
      <c r="E14" s="39">
        <f t="shared" si="1"/>
        <v>242664.46999979019</v>
      </c>
      <c r="G14" s="39">
        <v>-852005518.5</v>
      </c>
      <c r="H14" s="21">
        <f>aruanne!F15+aruanne!F119+aruanne!F118+aruanne!F116-H17+aruanne!F114</f>
        <v>-852199794.26999998</v>
      </c>
      <c r="I14" s="21">
        <f t="shared" si="0"/>
        <v>194275.76999998093</v>
      </c>
      <c r="K14" s="23"/>
      <c r="O14" s="23"/>
    </row>
    <row r="15" spans="1:15" x14ac:dyDescent="0.25">
      <c r="A15" t="s">
        <v>124</v>
      </c>
      <c r="B15" t="s">
        <v>130</v>
      </c>
      <c r="C15" s="39">
        <f>-75298.63-7922.89</f>
        <v>-83221.52</v>
      </c>
      <c r="D15" s="21"/>
      <c r="E15" s="39">
        <f t="shared" si="1"/>
        <v>-83221.52</v>
      </c>
      <c r="G15" s="39">
        <v>-346716.4</v>
      </c>
      <c r="H15" s="21"/>
      <c r="I15" s="21">
        <f t="shared" si="0"/>
        <v>-346716.4</v>
      </c>
      <c r="K15" s="23"/>
      <c r="O15" s="23"/>
    </row>
    <row r="16" spans="1:15" x14ac:dyDescent="0.25">
      <c r="A16" t="s">
        <v>124</v>
      </c>
      <c r="B16" t="s">
        <v>131</v>
      </c>
      <c r="C16" s="39">
        <v>-159443.04999999999</v>
      </c>
      <c r="D16" s="21"/>
      <c r="E16" s="39">
        <f t="shared" si="1"/>
        <v>-159443.04999999999</v>
      </c>
      <c r="G16" s="39">
        <v>152440.82999999999</v>
      </c>
      <c r="H16" s="21"/>
      <c r="I16" s="21">
        <f t="shared" si="0"/>
        <v>152440.82999999999</v>
      </c>
      <c r="K16" s="23"/>
      <c r="O16" s="23"/>
    </row>
    <row r="17" spans="1:15" x14ac:dyDescent="0.25">
      <c r="A17" t="s">
        <v>124</v>
      </c>
      <c r="B17" s="26" t="s">
        <v>132</v>
      </c>
      <c r="C17" s="39">
        <v>-5249595.83</v>
      </c>
      <c r="D17" s="21">
        <f>aruanne!E99</f>
        <v>-5249595.83</v>
      </c>
      <c r="E17" s="39">
        <f t="shared" si="1"/>
        <v>0</v>
      </c>
      <c r="F17" s="27"/>
      <c r="G17" s="39">
        <v>-3821840.4</v>
      </c>
      <c r="H17" s="21">
        <f>aruanne!F99</f>
        <v>-3821840.4</v>
      </c>
      <c r="I17" s="21">
        <f t="shared" si="0"/>
        <v>0</v>
      </c>
      <c r="K17" s="23"/>
      <c r="O17" s="23"/>
    </row>
    <row r="18" spans="1:15" x14ac:dyDescent="0.25">
      <c r="A18" t="s">
        <v>124</v>
      </c>
      <c r="B18" s="26" t="s">
        <v>110</v>
      </c>
      <c r="C18" s="39">
        <f>-5650935-5359103.55</f>
        <v>-11010038.550000001</v>
      </c>
      <c r="D18" s="21">
        <f>aruanne!E100-aruanne!E102</f>
        <v>-10990229.550000001</v>
      </c>
      <c r="E18" s="39">
        <f t="shared" si="1"/>
        <v>-19809</v>
      </c>
      <c r="F18" s="27"/>
      <c r="G18" s="39">
        <v>-11063355.82</v>
      </c>
      <c r="H18" s="21">
        <f>aruanne!F100-aruanne!F102</f>
        <v>-11063355.82</v>
      </c>
      <c r="I18" s="21">
        <f t="shared" si="0"/>
        <v>0</v>
      </c>
      <c r="K18" s="23"/>
      <c r="O18" s="23"/>
    </row>
    <row r="19" spans="1:15" x14ac:dyDescent="0.25">
      <c r="A19" t="s">
        <v>124</v>
      </c>
      <c r="B19" t="s">
        <v>133</v>
      </c>
      <c r="C19" s="39">
        <v>19809</v>
      </c>
      <c r="D19" s="21">
        <v>0</v>
      </c>
      <c r="E19" s="39">
        <f t="shared" si="1"/>
        <v>19809</v>
      </c>
      <c r="G19" s="39"/>
      <c r="H19" s="21">
        <v>0</v>
      </c>
      <c r="I19" s="21">
        <f t="shared" si="0"/>
        <v>0</v>
      </c>
      <c r="K19" s="23"/>
      <c r="O19" s="23"/>
    </row>
    <row r="20" spans="1:15" x14ac:dyDescent="0.25">
      <c r="A20" t="s">
        <v>124</v>
      </c>
      <c r="B20" s="26" t="s">
        <v>134</v>
      </c>
      <c r="C20" s="39">
        <v>-2027618.65</v>
      </c>
      <c r="D20" s="21">
        <f>aruanne!E102</f>
        <v>-2027618.65</v>
      </c>
      <c r="E20" s="39">
        <f t="shared" si="1"/>
        <v>0</v>
      </c>
      <c r="G20" s="39">
        <v>-1714520.53</v>
      </c>
      <c r="H20" s="21">
        <f>aruanne!F102</f>
        <v>-1714520.53</v>
      </c>
      <c r="I20" s="21">
        <f t="shared" si="0"/>
        <v>0</v>
      </c>
      <c r="K20" s="23"/>
      <c r="O20" s="23"/>
    </row>
    <row r="21" spans="1:15" x14ac:dyDescent="0.25">
      <c r="A21" t="s">
        <v>124</v>
      </c>
      <c r="B21" s="26" t="s">
        <v>95</v>
      </c>
      <c r="C21" s="39">
        <f>-1862.07-4800.78-17287.02-25446.69+2137627.21+1336390.21</f>
        <v>3424620.86</v>
      </c>
      <c r="D21" s="21">
        <f>aruanne!E105</f>
        <v>3424620.86</v>
      </c>
      <c r="E21" s="39">
        <f t="shared" si="1"/>
        <v>0</v>
      </c>
      <c r="F21" s="27"/>
      <c r="G21" s="39">
        <v>2239916.46</v>
      </c>
      <c r="H21" s="21">
        <f>aruanne!F105</f>
        <v>2239916.46</v>
      </c>
      <c r="I21" s="21">
        <f t="shared" si="0"/>
        <v>0</v>
      </c>
      <c r="K21" s="23"/>
      <c r="O21" s="23"/>
    </row>
    <row r="22" spans="1:15" x14ac:dyDescent="0.25">
      <c r="A22" t="s">
        <v>124</v>
      </c>
      <c r="B22" s="26" t="s">
        <v>135</v>
      </c>
      <c r="C22" s="39">
        <f>-20000000+44839558</f>
        <v>24839558</v>
      </c>
      <c r="D22" s="21">
        <f>aruanne!E107</f>
        <v>24839558</v>
      </c>
      <c r="E22" s="39">
        <f t="shared" si="1"/>
        <v>0</v>
      </c>
      <c r="F22" s="27"/>
      <c r="G22" s="39"/>
      <c r="H22" s="21"/>
      <c r="I22" s="21"/>
      <c r="K22" s="23"/>
      <c r="O22" s="23"/>
    </row>
    <row r="23" spans="1:15" x14ac:dyDescent="0.25">
      <c r="A23" t="s">
        <v>124</v>
      </c>
      <c r="B23" s="26" t="s">
        <v>97</v>
      </c>
      <c r="C23" s="39">
        <v>13735459.58</v>
      </c>
      <c r="D23" s="21">
        <f>aruanne!E109</f>
        <v>13735459.58</v>
      </c>
      <c r="E23" s="39">
        <f t="shared" si="1"/>
        <v>0</v>
      </c>
      <c r="F23" s="27"/>
      <c r="G23" s="39">
        <v>18726337.27</v>
      </c>
      <c r="H23" s="21">
        <f>aruanne!F109</f>
        <v>18726337.27</v>
      </c>
      <c r="I23" s="21">
        <f t="shared" si="0"/>
        <v>0</v>
      </c>
      <c r="K23" s="23"/>
      <c r="O23" s="23"/>
    </row>
  </sheetData>
  <autoFilter ref="A4:J23" xr:uid="{EF1F9403-50E9-43C6-AF9D-B37F0A9328D9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086A9-CF0E-4B82-AA53-D93B7E26FB31}">
  <dimension ref="A1:J31"/>
  <sheetViews>
    <sheetView workbookViewId="0">
      <selection activeCell="C25" sqref="C25"/>
    </sheetView>
  </sheetViews>
  <sheetFormatPr defaultRowHeight="15" x14ac:dyDescent="0.25"/>
  <cols>
    <col min="1" max="1" width="58.28515625" customWidth="1"/>
    <col min="2" max="2" width="11.85546875" customWidth="1"/>
    <col min="3" max="3" width="14.5703125" customWidth="1"/>
    <col min="4" max="4" width="11.140625" customWidth="1"/>
    <col min="9" max="9" width="14.28515625" style="23" bestFit="1" customWidth="1"/>
    <col min="10" max="10" width="10.5703125" bestFit="1" customWidth="1"/>
  </cols>
  <sheetData>
    <row r="1" spans="1:10" x14ac:dyDescent="0.25">
      <c r="A1" s="17" t="s">
        <v>113</v>
      </c>
    </row>
    <row r="2" spans="1:10" x14ac:dyDescent="0.25">
      <c r="A2" s="17" t="s">
        <v>136</v>
      </c>
      <c r="C2" s="2"/>
      <c r="D2" s="2"/>
    </row>
    <row r="3" spans="1:10" x14ac:dyDescent="0.25">
      <c r="A3" s="28" t="s">
        <v>1</v>
      </c>
      <c r="C3" s="2"/>
      <c r="D3" s="2"/>
    </row>
    <row r="4" spans="1:10" x14ac:dyDescent="0.25">
      <c r="A4" s="17"/>
      <c r="B4" s="18"/>
      <c r="C4" s="18"/>
      <c r="D4" s="18"/>
    </row>
    <row r="5" spans="1:10" x14ac:dyDescent="0.25">
      <c r="A5" s="17"/>
      <c r="B5" s="29">
        <v>13</v>
      </c>
      <c r="C5" s="29">
        <v>13</v>
      </c>
      <c r="D5" s="29">
        <v>13</v>
      </c>
    </row>
    <row r="6" spans="1:10" ht="52.5" customHeight="1" x14ac:dyDescent="0.25">
      <c r="A6" s="30"/>
      <c r="B6" s="31" t="s">
        <v>137</v>
      </c>
      <c r="C6" s="31" t="s">
        <v>138</v>
      </c>
      <c r="D6" s="31" t="s">
        <v>139</v>
      </c>
    </row>
    <row r="7" spans="1:10" x14ac:dyDescent="0.25">
      <c r="A7" s="32" t="s">
        <v>140</v>
      </c>
      <c r="B7" s="33">
        <f>aruanne!C6</f>
        <v>444057674</v>
      </c>
      <c r="C7" s="33">
        <f>aruanne!C15+aruanne!C100</f>
        <v>-743380167</v>
      </c>
      <c r="D7" s="33">
        <f>aruanne!C103</f>
        <v>3900000</v>
      </c>
    </row>
    <row r="8" spans="1:10" x14ac:dyDescent="0.25">
      <c r="A8" s="32" t="s">
        <v>141</v>
      </c>
      <c r="B8" s="33"/>
      <c r="C8" s="33">
        <v>-40866574.110000007</v>
      </c>
      <c r="D8" s="33"/>
    </row>
    <row r="9" spans="1:10" x14ac:dyDescent="0.25">
      <c r="A9" s="32" t="s">
        <v>142</v>
      </c>
      <c r="B9" s="33"/>
      <c r="C9" s="33">
        <v>400000</v>
      </c>
      <c r="D9" s="33">
        <v>24839558</v>
      </c>
    </row>
    <row r="10" spans="1:10" x14ac:dyDescent="0.25">
      <c r="A10" s="32" t="s">
        <v>143</v>
      </c>
      <c r="B10" s="33"/>
      <c r="C10" s="33">
        <v>4482944</v>
      </c>
      <c r="D10" s="33"/>
    </row>
    <row r="11" spans="1:10" x14ac:dyDescent="0.25">
      <c r="A11" s="32" t="s">
        <v>144</v>
      </c>
      <c r="B11" s="33"/>
      <c r="C11" s="33">
        <v>8474823</v>
      </c>
      <c r="D11" s="33">
        <v>13100000</v>
      </c>
    </row>
    <row r="12" spans="1:10" x14ac:dyDescent="0.25">
      <c r="A12" s="34" t="s">
        <v>145</v>
      </c>
      <c r="B12" s="33"/>
      <c r="C12" s="33">
        <v>-3377478.7</v>
      </c>
      <c r="D12" s="33"/>
    </row>
    <row r="13" spans="1:10" x14ac:dyDescent="0.25">
      <c r="A13" s="32" t="s">
        <v>146</v>
      </c>
      <c r="B13" s="33"/>
      <c r="C13" s="33">
        <v>406723955</v>
      </c>
      <c r="D13" s="33"/>
    </row>
    <row r="14" spans="1:10" x14ac:dyDescent="0.25">
      <c r="A14" s="32" t="s">
        <v>147</v>
      </c>
      <c r="B14" s="33"/>
      <c r="C14" s="33">
        <v>-334763247.99000001</v>
      </c>
      <c r="D14" s="33"/>
      <c r="J14" s="2"/>
    </row>
    <row r="15" spans="1:10" x14ac:dyDescent="0.25">
      <c r="A15" s="32" t="s">
        <v>148</v>
      </c>
      <c r="B15" s="33"/>
      <c r="C15" s="33">
        <f>450119529-406723955</f>
        <v>43395574</v>
      </c>
      <c r="D15" s="33"/>
    </row>
    <row r="16" spans="1:10" x14ac:dyDescent="0.25">
      <c r="A16" s="32" t="s">
        <v>149</v>
      </c>
      <c r="B16" s="33"/>
      <c r="C16" s="33">
        <v>-25732603.170000002</v>
      </c>
      <c r="D16" s="33"/>
    </row>
    <row r="17" spans="1:4" x14ac:dyDescent="0.25">
      <c r="A17" s="32" t="s">
        <v>150</v>
      </c>
      <c r="B17" s="33"/>
      <c r="C17" s="33">
        <v>31523307</v>
      </c>
      <c r="D17" s="33"/>
    </row>
    <row r="18" spans="1:4" x14ac:dyDescent="0.25">
      <c r="A18" s="32" t="s">
        <v>151</v>
      </c>
      <c r="B18" s="33"/>
      <c r="C18" s="33">
        <f>-29748097.04</f>
        <v>-29748097.039999999</v>
      </c>
      <c r="D18" s="33"/>
    </row>
    <row r="19" spans="1:4" x14ac:dyDescent="0.25">
      <c r="A19" s="32" t="s">
        <v>152</v>
      </c>
      <c r="B19" s="33"/>
      <c r="C19" s="33">
        <v>8310700</v>
      </c>
      <c r="D19" s="33"/>
    </row>
    <row r="20" spans="1:4" x14ac:dyDescent="0.25">
      <c r="A20" s="32" t="s">
        <v>153</v>
      </c>
      <c r="B20" s="33"/>
      <c r="C20" s="33">
        <v>-9576210.3699999992</v>
      </c>
      <c r="D20" s="33"/>
    </row>
    <row r="21" spans="1:4" x14ac:dyDescent="0.25">
      <c r="A21" s="32" t="s">
        <v>154</v>
      </c>
      <c r="B21" s="33"/>
      <c r="C21" s="33">
        <v>-19516740</v>
      </c>
      <c r="D21" s="33"/>
    </row>
    <row r="22" spans="1:4" x14ac:dyDescent="0.25">
      <c r="A22" s="35" t="s">
        <v>155</v>
      </c>
      <c r="B22" s="36">
        <f>SUM(B7:B21)</f>
        <v>444057674</v>
      </c>
      <c r="C22" s="36">
        <f>SUM(C7:C21)</f>
        <v>-703649815.38</v>
      </c>
      <c r="D22" s="36">
        <f>SUM(D7:D21)</f>
        <v>41839558</v>
      </c>
    </row>
    <row r="23" spans="1:4" x14ac:dyDescent="0.25">
      <c r="A23" s="37"/>
      <c r="B23" s="37">
        <f>aruanne!D6</f>
        <v>444057674</v>
      </c>
      <c r="C23" s="37">
        <f>aruanne!D15+aruanne!D100</f>
        <v>-703649816.96000004</v>
      </c>
      <c r="D23" s="37">
        <f>aruanne!D103</f>
        <v>41839558</v>
      </c>
    </row>
    <row r="24" spans="1:4" x14ac:dyDescent="0.25">
      <c r="A24" s="37"/>
      <c r="B24" s="37">
        <f t="shared" ref="B24:D24" si="0">B22-B23</f>
        <v>0</v>
      </c>
      <c r="C24" s="37">
        <f>C22-C23</f>
        <v>1.5800000429153442</v>
      </c>
      <c r="D24" s="37">
        <f t="shared" si="0"/>
        <v>0</v>
      </c>
    </row>
    <row r="26" spans="1:4" x14ac:dyDescent="0.25">
      <c r="C26" s="2"/>
    </row>
    <row r="31" spans="1:4" x14ac:dyDescent="0.25">
      <c r="C31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aruanne</vt:lpstr>
      <vt:lpstr>vordlus</vt:lpstr>
      <vt:lpstr>lisa1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Juta Maar</dc:creator>
  <cp:keywords/>
  <dc:description/>
  <cp:lastModifiedBy>Katrin Eller</cp:lastModifiedBy>
  <cp:revision/>
  <dcterms:created xsi:type="dcterms:W3CDTF">2022-02-14T16:37:54Z</dcterms:created>
  <dcterms:modified xsi:type="dcterms:W3CDTF">2025-06-12T07:58:56Z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2025-05-16T05:59:25Z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8fe098d2-428d-4bd4-9803-7195fe96f0e2</vt:lpwstr>
  </property>
  <property fmtid="{D5CDD505-2E9C-101B-9397-08002B2CF9AE}" pid="7" name="MSIP_Label_defa4170-0d19-0005-0004-bc88714345d2_ActionId">
    <vt:lpwstr>2b873aa6-925e-4254-89fa-8ba1135d465c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10, 3, 0, 2</vt:lpwstr>
  </property>
</Properties>
</file>