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Aastaaruanne 2024\"/>
    </mc:Choice>
  </mc:AlternateContent>
  <xr:revisionPtr revIDLastSave="0" documentId="8_{CDB3E9DD-ED0B-400F-A566-B7D332FA192D}" xr6:coauthVersionLast="47" xr6:coauthVersionMax="47" xr10:uidLastSave="{00000000-0000-0000-0000-000000000000}"/>
  <bookViews>
    <workbookView xWindow="-120" yWindow="-120" windowWidth="29040" windowHeight="15720" xr2:uid="{86BC3E49-4710-400E-BAE3-EFA6B531D759}"/>
  </bookViews>
  <sheets>
    <sheet name="aruanne" sheetId="1" r:id="rId1"/>
    <sheet name="võrdlus" sheetId="2" r:id="rId2"/>
    <sheet name="lisa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6" i="2"/>
  <c r="E32" i="1"/>
  <c r="E35" i="1"/>
  <c r="D35" i="1"/>
  <c r="G36" i="1"/>
  <c r="G35" i="1" l="1"/>
  <c r="D21" i="1"/>
  <c r="D24" i="1"/>
  <c r="D22" i="1"/>
  <c r="E17" i="1"/>
  <c r="D26" i="1"/>
  <c r="D20" i="1"/>
  <c r="D18" i="1"/>
  <c r="D27" i="1" l="1"/>
  <c r="D25" i="1"/>
  <c r="D23" i="1"/>
  <c r="D19" i="1"/>
  <c r="D12" i="2" l="1"/>
  <c r="D10" i="2"/>
  <c r="D9" i="2"/>
  <c r="D5" i="2"/>
  <c r="C11" i="2"/>
  <c r="C13" i="2" l="1"/>
  <c r="C14" i="2"/>
  <c r="D15" i="2"/>
  <c r="E29" i="1"/>
  <c r="D13" i="2" s="1"/>
  <c r="E8" i="1"/>
  <c r="D7" i="2" s="1"/>
  <c r="F32" i="1"/>
  <c r="D31" i="1"/>
  <c r="D30" i="1"/>
  <c r="F29" i="1"/>
  <c r="D29" i="1"/>
  <c r="D28" i="1"/>
  <c r="G27" i="1"/>
  <c r="G26" i="1"/>
  <c r="G22" i="1"/>
  <c r="G21" i="1"/>
  <c r="G19" i="1"/>
  <c r="F17" i="1"/>
  <c r="F15" i="1" s="1"/>
  <c r="F13" i="1" s="1"/>
  <c r="C17" i="1"/>
  <c r="F16" i="1"/>
  <c r="E16" i="1"/>
  <c r="C16" i="1"/>
  <c r="D11" i="1"/>
  <c r="F10" i="1"/>
  <c r="D10" i="1"/>
  <c r="F9" i="1"/>
  <c r="D9" i="1"/>
  <c r="F8" i="1"/>
  <c r="D8" i="1"/>
  <c r="E7" i="1"/>
  <c r="D7" i="1"/>
  <c r="D6" i="1"/>
  <c r="G6" i="1" s="1"/>
  <c r="C5" i="1"/>
  <c r="B7" i="3" s="1"/>
  <c r="B18" i="3" s="1"/>
  <c r="C3" i="2" l="1"/>
  <c r="E5" i="1"/>
  <c r="C14" i="1"/>
  <c r="E14" i="1"/>
  <c r="C15" i="1"/>
  <c r="C13" i="1" s="1"/>
  <c r="E15" i="1"/>
  <c r="E13" i="1" s="1"/>
  <c r="F14" i="1"/>
  <c r="G24" i="1"/>
  <c r="G18" i="1"/>
  <c r="G30" i="1"/>
  <c r="D16" i="1"/>
  <c r="G29" i="1"/>
  <c r="G23" i="1"/>
  <c r="G11" i="1"/>
  <c r="G10" i="1"/>
  <c r="G7" i="1"/>
  <c r="G8" i="1"/>
  <c r="D5" i="1"/>
  <c r="F5" i="1"/>
  <c r="G20" i="1"/>
  <c r="G28" i="1"/>
  <c r="G9" i="1"/>
  <c r="D17" i="1"/>
  <c r="G25" i="1"/>
  <c r="G31" i="1"/>
  <c r="E12" i="1" l="1"/>
  <c r="D3" i="2" s="1"/>
  <c r="C12" i="1"/>
  <c r="C7" i="3" s="1"/>
  <c r="C18" i="3" s="1"/>
  <c r="G5" i="1"/>
  <c r="F12" i="1"/>
  <c r="G17" i="1"/>
  <c r="G15" i="1" s="1"/>
  <c r="G13" i="1" s="1"/>
  <c r="D14" i="1"/>
  <c r="G16" i="1"/>
  <c r="D15" i="1"/>
  <c r="D13" i="1" s="1"/>
  <c r="E37" i="1" l="1"/>
  <c r="F37" i="1"/>
  <c r="D12" i="1"/>
  <c r="G14" i="1"/>
  <c r="G12" i="1" l="1"/>
</calcChain>
</file>

<file path=xl/sharedStrings.xml><?xml version="1.0" encoding="utf-8"?>
<sst xmlns="http://schemas.openxmlformats.org/spreadsheetml/2006/main" count="93" uniqueCount="66">
  <si>
    <t>2024. aasta riigieelarve täitmise arunne</t>
  </si>
  <si>
    <t>eurodes</t>
  </si>
  <si>
    <t>Algne eelarve</t>
  </si>
  <si>
    <t>Lõplik eelarve</t>
  </si>
  <si>
    <t>Täitmine 2024</t>
  </si>
  <si>
    <t>Täitmine 2023</t>
  </si>
  <si>
    <t>Täitmine miinus lõplik eelarve</t>
  </si>
  <si>
    <t>Saadud toetused</t>
  </si>
  <si>
    <t>Riigilõivud</t>
  </si>
  <si>
    <t>Tulu majandustegevusest</t>
  </si>
  <si>
    <t>Muud tulud</t>
  </si>
  <si>
    <t>Intressi- ja omanikutulud</t>
  </si>
  <si>
    <t>sh piirmääraga vahendid</t>
  </si>
  <si>
    <t xml:space="preserve">TULUD </t>
  </si>
  <si>
    <t>KULUD</t>
  </si>
  <si>
    <t>sh käibemaks</t>
  </si>
  <si>
    <t xml:space="preserve">INVESTEERINGUD </t>
  </si>
  <si>
    <t>KORRIGEERIMISED</t>
  </si>
  <si>
    <t>Kontroll</t>
  </si>
  <si>
    <t>saldoandmik</t>
  </si>
  <si>
    <t>Käibemaks</t>
  </si>
  <si>
    <t>Tulu põhivarade ja varude müügist</t>
  </si>
  <si>
    <t>SAP miinus jaotatud</t>
  </si>
  <si>
    <t>Kulud</t>
  </si>
  <si>
    <t>Investeeringud</t>
  </si>
  <si>
    <t>Saadud välistoetuste kaasrahastamine teistelt riigiasutustelt</t>
  </si>
  <si>
    <t xml:space="preserve">VÄLISMINISTEERIUMI valitsemisala </t>
  </si>
  <si>
    <t>Tulemusvaldkond: VÄLISPOLIITIKA</t>
  </si>
  <si>
    <t>Välispoliitika ja arengukoostöö programm</t>
  </si>
  <si>
    <t>Eesti julgeolekukeskkonna tugevdamine</t>
  </si>
  <si>
    <t>Eesti välispoliitiline osalus globaalsetes teemades</t>
  </si>
  <si>
    <t>Juriidiliste, konsulaar-, sanktsiooni ja strateegilise kauba küsimuste lahendamine</t>
  </si>
  <si>
    <t>Eesti välismajandushuvide edendamine ja kaitse</t>
  </si>
  <si>
    <t>Arengukoostöö ja humanitaarabi koordineerimine</t>
  </si>
  <si>
    <t xml:space="preserve">Lisa </t>
  </si>
  <si>
    <t>Eelarve täitmise ja raamatupidamisaruannete võrdlus</t>
  </si>
  <si>
    <t>Valitsemisala</t>
  </si>
  <si>
    <t>Kirje</t>
  </si>
  <si>
    <t>Raamatupidamisandmed 2024</t>
  </si>
  <si>
    <t>RE aruanne 2024</t>
  </si>
  <si>
    <t>Vahe 2024</t>
  </si>
  <si>
    <t>Selgitus</t>
  </si>
  <si>
    <t>Raamatupidamisandmed 2023</t>
  </si>
  <si>
    <t>RE aruanne 2023</t>
  </si>
  <si>
    <t>Vahe 2023</t>
  </si>
  <si>
    <t>VÄM</t>
  </si>
  <si>
    <t>Finantstulud</t>
  </si>
  <si>
    <t>Tegevuskulud, v.a käibemaksukulu</t>
  </si>
  <si>
    <t>Käibemaksukulu tegevuskuludelt</t>
  </si>
  <si>
    <t>15ettemaksed</t>
  </si>
  <si>
    <t>Käibemaksukulu investeeringutelt</t>
  </si>
  <si>
    <t>Esialgne eelarve</t>
  </si>
  <si>
    <t>Üle toodud eelmisest aastast</t>
  </si>
  <si>
    <t>Muudatused 19.06.2024 lisaeelarve seaduse alusel</t>
  </si>
  <si>
    <t>Muudatused 05.12.2024 riigieelarve seaduse muutmise seaduse alusel</t>
  </si>
  <si>
    <t>Sihtotstarbeliste vahendite reservist</t>
  </si>
  <si>
    <t>Eelarves kavandatud toetused</t>
  </si>
  <si>
    <t>Tegelikult saadud toetused ja avatud sildfinantseerimine</t>
  </si>
  <si>
    <t>Tegelikult majandustegevusest saadud tulu</t>
  </si>
  <si>
    <t>Eelarves kavandatud muud tuludest sõltuvad kulud</t>
  </si>
  <si>
    <t>Tegelikud muud tuludest sõltuvad kulud</t>
  </si>
  <si>
    <t xml:space="preserve">Saadud Vabariigi Valitsuse reservfondist </t>
  </si>
  <si>
    <t>Kokku lõplik eelarve</t>
  </si>
  <si>
    <t>Tulud</t>
  </si>
  <si>
    <t>Kulud, investeeringud</t>
  </si>
  <si>
    <t>Lõpliku eelarve kujunemine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</si>
</sst>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  <font>
      <b/>
      <sz val="9"/>
      <name val="Cambria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3" fontId="6" fillId="0" borderId="0" xfId="0" applyNumberFormat="1" applyFont="1"/>
    <xf numFmtId="0" fontId="0" fillId="0" borderId="1" xfId="0" applyBorder="1"/>
    <xf numFmtId="3" fontId="4" fillId="0" borderId="1" xfId="0" applyNumberFormat="1" applyFont="1" applyBorder="1" applyAlignment="1">
      <alignment horizontal="center" wrapText="1"/>
    </xf>
    <xf numFmtId="43" fontId="0" fillId="0" borderId="0" xfId="1" applyFont="1"/>
    <xf numFmtId="0" fontId="8" fillId="0" borderId="0" xfId="0" applyFont="1"/>
    <xf numFmtId="0" fontId="4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10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9" fillId="0" borderId="1" xfId="3" applyNumberFormat="1" applyFont="1" applyBorder="1" applyAlignment="1" applyProtection="1">
      <alignment horizontal="right"/>
      <protection locked="0"/>
    </xf>
    <xf numFmtId="0" fontId="4" fillId="0" borderId="1" xfId="3" applyFont="1" applyBorder="1" applyAlignment="1" applyProtection="1">
      <alignment horizontal="left"/>
      <protection locked="0"/>
    </xf>
    <xf numFmtId="0" fontId="6" fillId="0" borderId="1" xfId="3" applyFont="1" applyBorder="1" applyAlignment="1" applyProtection="1">
      <alignment horizontal="left"/>
      <protection locked="0"/>
    </xf>
    <xf numFmtId="3" fontId="10" fillId="0" borderId="1" xfId="3" applyNumberFormat="1" applyFont="1" applyBorder="1" applyAlignment="1" applyProtection="1">
      <alignment horizontal="right"/>
      <protection locked="0"/>
    </xf>
    <xf numFmtId="3" fontId="6" fillId="0" borderId="1" xfId="3" applyNumberFormat="1" applyFont="1" applyBorder="1" applyAlignment="1" applyProtection="1">
      <alignment horizontal="right"/>
      <protection locked="0"/>
    </xf>
    <xf numFmtId="43" fontId="1" fillId="0" borderId="0" xfId="1" applyFont="1"/>
    <xf numFmtId="0" fontId="4" fillId="0" borderId="1" xfId="2" applyFont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3" fontId="10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 applyProtection="1">
      <alignment horizontal="right"/>
      <protection locked="0"/>
    </xf>
    <xf numFmtId="3" fontId="6" fillId="2" borderId="1" xfId="0" applyNumberFormat="1" applyFont="1" applyFill="1" applyBorder="1" applyAlignment="1">
      <alignment horizontal="right"/>
    </xf>
    <xf numFmtId="0" fontId="6" fillId="0" borderId="1" xfId="3" applyFont="1" applyBorder="1" applyAlignment="1" applyProtection="1">
      <alignment horizontal="center"/>
      <protection locked="0"/>
    </xf>
    <xf numFmtId="43" fontId="3" fillId="0" borderId="0" xfId="1" applyFont="1"/>
    <xf numFmtId="0" fontId="3" fillId="0" borderId="0" xfId="0" applyFont="1"/>
    <xf numFmtId="3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3" fontId="9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left"/>
    </xf>
    <xf numFmtId="3" fontId="13" fillId="2" borderId="1" xfId="0" applyNumberFormat="1" applyFont="1" applyFill="1" applyBorder="1" applyAlignment="1">
      <alignment horizontal="right"/>
    </xf>
    <xf numFmtId="3" fontId="10" fillId="3" borderId="1" xfId="3" applyNumberFormat="1" applyFont="1" applyFill="1" applyBorder="1" applyAlignment="1" applyProtection="1">
      <alignment horizontal="right"/>
      <protection locked="0"/>
    </xf>
    <xf numFmtId="3" fontId="10" fillId="3" borderId="1" xfId="0" applyNumberFormat="1" applyFont="1" applyFill="1" applyBorder="1" applyAlignment="1">
      <alignment horizontal="right"/>
    </xf>
    <xf numFmtId="3" fontId="9" fillId="3" borderId="1" xfId="3" applyNumberFormat="1" applyFont="1" applyFill="1" applyBorder="1" applyAlignment="1" applyProtection="1">
      <alignment horizontal="right"/>
      <protection locked="0"/>
    </xf>
    <xf numFmtId="0" fontId="9" fillId="0" borderId="1" xfId="2" applyFont="1" applyBorder="1" applyAlignment="1">
      <alignment horizontal="left"/>
    </xf>
    <xf numFmtId="3" fontId="9" fillId="3" borderId="1" xfId="0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 applyProtection="1">
      <alignment horizontal="right"/>
      <protection locked="0"/>
    </xf>
    <xf numFmtId="0" fontId="9" fillId="0" borderId="1" xfId="2" applyFont="1" applyBorder="1" applyAlignment="1">
      <alignment horizontal="center"/>
    </xf>
    <xf numFmtId="0" fontId="15" fillId="0" borderId="0" xfId="0" applyFont="1"/>
    <xf numFmtId="3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right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5" fillId="0" borderId="0" xfId="0" applyNumberFormat="1" applyFont="1" applyAlignment="1">
      <alignment wrapText="1"/>
    </xf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15" fillId="0" borderId="1" xfId="0" applyFont="1" applyBorder="1" applyAlignment="1">
      <alignment vertical="top"/>
    </xf>
    <xf numFmtId="3" fontId="16" fillId="0" borderId="1" xfId="0" applyNumberFormat="1" applyFont="1" applyBorder="1" applyAlignment="1">
      <alignment vertical="top"/>
    </xf>
    <xf numFmtId="3" fontId="15" fillId="0" borderId="1" xfId="0" applyNumberFormat="1" applyFont="1" applyBorder="1" applyAlignment="1">
      <alignment vertical="top"/>
    </xf>
    <xf numFmtId="3" fontId="16" fillId="3" borderId="1" xfId="0" applyNumberFormat="1" applyFont="1" applyFill="1" applyBorder="1" applyAlignment="1">
      <alignment vertical="top"/>
    </xf>
    <xf numFmtId="3" fontId="16" fillId="3" borderId="1" xfId="0" applyNumberFormat="1" applyFont="1" applyFill="1" applyBorder="1"/>
    <xf numFmtId="0" fontId="7" fillId="3" borderId="0" xfId="0" applyFont="1" applyFill="1"/>
    <xf numFmtId="0" fontId="8" fillId="3" borderId="0" xfId="0" applyFont="1" applyFill="1"/>
    <xf numFmtId="0" fontId="0" fillId="3" borderId="0" xfId="0" applyFill="1"/>
    <xf numFmtId="3" fontId="7" fillId="3" borderId="0" xfId="0" applyNumberFormat="1" applyFont="1" applyFill="1" applyAlignment="1">
      <alignment horizontal="center" wrapText="1"/>
    </xf>
    <xf numFmtId="0" fontId="7" fillId="3" borderId="0" xfId="0" applyFont="1" applyFill="1" applyAlignment="1">
      <alignment horizontal="left"/>
    </xf>
    <xf numFmtId="3" fontId="8" fillId="3" borderId="0" xfId="0" applyNumberFormat="1" applyFont="1" applyFill="1"/>
    <xf numFmtId="0" fontId="7" fillId="3" borderId="0" xfId="3" applyFont="1" applyFill="1" applyAlignment="1" applyProtection="1">
      <alignment horizontal="left"/>
      <protection locked="0"/>
    </xf>
    <xf numFmtId="3" fontId="7" fillId="3" borderId="0" xfId="0" applyNumberFormat="1" applyFont="1" applyFill="1"/>
    <xf numFmtId="0" fontId="8" fillId="3" borderId="0" xfId="3" applyFont="1" applyFill="1" applyAlignment="1" applyProtection="1">
      <alignment horizontal="left"/>
      <protection locked="0"/>
    </xf>
    <xf numFmtId="0" fontId="14" fillId="3" borderId="0" xfId="2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0" xfId="0" applyFont="1" applyFill="1"/>
    <xf numFmtId="0" fontId="7" fillId="3" borderId="0" xfId="2" applyFont="1" applyFill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16" fillId="0" borderId="0" xfId="0" applyFont="1"/>
    <xf numFmtId="0" fontId="15" fillId="3" borderId="1" xfId="0" applyFont="1" applyFill="1" applyBorder="1" applyAlignment="1">
      <alignment vertical="top"/>
    </xf>
    <xf numFmtId="4" fontId="15" fillId="3" borderId="1" xfId="0" applyNumberFormat="1" applyFont="1" applyFill="1" applyBorder="1" applyAlignment="1">
      <alignment horizontal="right" vertical="top" wrapText="1"/>
    </xf>
    <xf numFmtId="4" fontId="15" fillId="3" borderId="1" xfId="0" applyNumberFormat="1" applyFont="1" applyFill="1" applyBorder="1" applyAlignment="1">
      <alignment vertical="top"/>
    </xf>
    <xf numFmtId="4" fontId="15" fillId="3" borderId="1" xfId="0" applyNumberFormat="1" applyFont="1" applyFill="1" applyBorder="1" applyAlignment="1">
      <alignment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6">
    <cellStyle name="Comma" xfId="1" builtinId="3"/>
    <cellStyle name="Normal" xfId="0" builtinId="0"/>
    <cellStyle name="Normal 10 2" xfId="2" xr:uid="{68B195F5-89F2-4C09-B3C0-66E4C69DB8F3}"/>
    <cellStyle name="Normal 25 3 6" xfId="5" xr:uid="{2E3C750B-A512-4F66-9516-29A7B075EFC2}"/>
    <cellStyle name="Normal 25 9" xfId="3" xr:uid="{8AFA5B86-56ED-4F24-B95F-74F6514F2EFB}"/>
    <cellStyle name="Normal 25 9 2" xfId="4" xr:uid="{D879D778-66E1-4385-B3EF-D2A28A743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BE6C0-D6F4-4008-8AA1-988DFFB598F0}">
  <dimension ref="A1:R46"/>
  <sheetViews>
    <sheetView tabSelected="1" workbookViewId="0">
      <selection activeCell="A4" sqref="A4"/>
    </sheetView>
  </sheetViews>
  <sheetFormatPr defaultRowHeight="14.25"/>
  <cols>
    <col min="1" max="1" width="7.375" customWidth="1"/>
    <col min="2" max="2" width="53.375" customWidth="1"/>
    <col min="3" max="7" width="22" style="3" customWidth="1"/>
    <col min="8" max="8" width="19.75" style="8" customWidth="1"/>
    <col min="9" max="9" width="18.875" style="8" bestFit="1" customWidth="1"/>
    <col min="10" max="11" width="18.875" style="8" customWidth="1"/>
    <col min="12" max="12" width="44.625" style="9" customWidth="1"/>
    <col min="13" max="13" width="13.375" style="9" bestFit="1" customWidth="1"/>
    <col min="14" max="14" width="13.375" style="9" customWidth="1"/>
    <col min="15" max="15" width="13" style="9" customWidth="1"/>
    <col min="16" max="16" width="13.625" style="9" customWidth="1"/>
    <col min="17" max="17" width="13.75" style="9" customWidth="1"/>
  </cols>
  <sheetData>
    <row r="1" spans="1:18" ht="15.75">
      <c r="A1" s="1" t="s">
        <v>0</v>
      </c>
      <c r="C1" s="2"/>
      <c r="E1" s="4"/>
      <c r="G1" s="5"/>
      <c r="L1" s="63"/>
      <c r="M1" s="64"/>
      <c r="N1" s="64"/>
      <c r="O1" s="64"/>
      <c r="P1" s="64"/>
      <c r="Q1" s="64"/>
      <c r="R1" s="65"/>
    </row>
    <row r="2" spans="1:18" ht="15.75">
      <c r="A2" t="s">
        <v>1</v>
      </c>
      <c r="C2" s="2"/>
      <c r="G2" s="5"/>
      <c r="L2" s="64"/>
      <c r="M2" s="64"/>
      <c r="N2" s="64"/>
      <c r="O2" s="64"/>
      <c r="P2" s="64"/>
      <c r="Q2" s="64"/>
      <c r="R2" s="65"/>
    </row>
    <row r="3" spans="1:18" ht="31.5">
      <c r="A3" s="6"/>
      <c r="B3" s="6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L3" s="64"/>
      <c r="M3" s="66"/>
      <c r="N3" s="66"/>
      <c r="O3" s="66"/>
      <c r="P3" s="66"/>
      <c r="Q3" s="66"/>
      <c r="R3" s="65"/>
    </row>
    <row r="4" spans="1:18" ht="15.75">
      <c r="A4" s="85" t="s">
        <v>26</v>
      </c>
      <c r="B4" s="84"/>
      <c r="C4" s="13"/>
      <c r="D4" s="14"/>
      <c r="E4" s="41"/>
      <c r="F4" s="19"/>
      <c r="G4" s="14"/>
      <c r="L4" s="67"/>
      <c r="M4" s="68"/>
      <c r="N4" s="68"/>
      <c r="O4" s="68"/>
      <c r="P4" s="68"/>
      <c r="Q4" s="68"/>
      <c r="R4" s="65"/>
    </row>
    <row r="5" spans="1:18" ht="15.75">
      <c r="A5" s="16" t="s">
        <v>13</v>
      </c>
      <c r="B5" s="16"/>
      <c r="C5" s="38">
        <f>SUM(C6:C11)</f>
        <v>13497026</v>
      </c>
      <c r="D5" s="38">
        <f t="shared" ref="D5:G5" si="0">SUM(D6:D11)</f>
        <v>13497026</v>
      </c>
      <c r="E5" s="38">
        <f t="shared" si="0"/>
        <v>10930587.59</v>
      </c>
      <c r="F5" s="38">
        <f t="shared" si="0"/>
        <v>5585390.5300000003</v>
      </c>
      <c r="G5" s="38">
        <f t="shared" si="0"/>
        <v>-2566438.4100000006</v>
      </c>
      <c r="L5" s="69"/>
      <c r="M5" s="70"/>
      <c r="N5" s="70"/>
      <c r="O5" s="70"/>
      <c r="P5" s="70"/>
      <c r="Q5" s="70"/>
      <c r="R5" s="65"/>
    </row>
    <row r="6" spans="1:18" ht="15.75">
      <c r="A6" s="28"/>
      <c r="B6" s="17" t="s">
        <v>8</v>
      </c>
      <c r="C6" s="36">
        <v>2000000</v>
      </c>
      <c r="D6" s="36">
        <f>C6</f>
        <v>2000000</v>
      </c>
      <c r="E6" s="36">
        <v>1285854.03</v>
      </c>
      <c r="F6" s="18">
        <v>1435363.52</v>
      </c>
      <c r="G6" s="18">
        <f>E6-D6</f>
        <v>-714145.97</v>
      </c>
      <c r="H6" s="20"/>
      <c r="I6" s="20"/>
      <c r="L6" s="71"/>
      <c r="M6" s="68"/>
      <c r="N6" s="68"/>
      <c r="O6" s="68"/>
      <c r="P6" s="68"/>
      <c r="Q6" s="68"/>
      <c r="R6" s="65"/>
    </row>
    <row r="7" spans="1:18" ht="15.75">
      <c r="A7" s="28"/>
      <c r="B7" s="17" t="s">
        <v>9</v>
      </c>
      <c r="C7" s="36">
        <v>0</v>
      </c>
      <c r="D7" s="36">
        <f t="shared" ref="D7:D11" si="1">C7</f>
        <v>0</v>
      </c>
      <c r="E7" s="36">
        <f>4428.6+0.15</f>
        <v>4428.75</v>
      </c>
      <c r="F7" s="18">
        <v>4392.1499999999996</v>
      </c>
      <c r="G7" s="18">
        <f t="shared" ref="G7:G11" si="2">E7-D7</f>
        <v>4428.75</v>
      </c>
      <c r="H7" s="20"/>
      <c r="I7" s="20"/>
      <c r="L7" s="71"/>
      <c r="M7" s="68"/>
      <c r="N7" s="68"/>
      <c r="O7" s="68"/>
      <c r="P7" s="68"/>
      <c r="Q7" s="68"/>
      <c r="R7" s="65"/>
    </row>
    <row r="8" spans="1:18" ht="15.75">
      <c r="A8" s="28"/>
      <c r="B8" s="17" t="s">
        <v>7</v>
      </c>
      <c r="C8" s="36">
        <v>11254026</v>
      </c>
      <c r="D8" s="36">
        <f t="shared" si="1"/>
        <v>11254026</v>
      </c>
      <c r="E8" s="36">
        <f>9029202.01-46783.31</f>
        <v>8982418.6999999993</v>
      </c>
      <c r="F8" s="18">
        <f>3475782.56-10985.8</f>
        <v>3464796.7600000002</v>
      </c>
      <c r="G8" s="18">
        <f t="shared" si="2"/>
        <v>-2271607.3000000007</v>
      </c>
      <c r="H8" s="20"/>
      <c r="I8" s="20"/>
      <c r="L8" s="71"/>
      <c r="M8" s="68"/>
      <c r="N8" s="68"/>
      <c r="O8" s="68"/>
      <c r="P8" s="68"/>
      <c r="Q8" s="68"/>
      <c r="R8" s="65"/>
    </row>
    <row r="9" spans="1:18" ht="15.75">
      <c r="A9" s="28"/>
      <c r="B9" s="17" t="s">
        <v>21</v>
      </c>
      <c r="C9" s="36">
        <v>243000</v>
      </c>
      <c r="D9" s="36">
        <f t="shared" si="1"/>
        <v>243000</v>
      </c>
      <c r="E9" s="36">
        <v>0</v>
      </c>
      <c r="F9" s="36">
        <f>6557621.58-6430000</f>
        <v>127621.58000000007</v>
      </c>
      <c r="G9" s="18">
        <f t="shared" si="2"/>
        <v>-243000</v>
      </c>
      <c r="H9" s="20"/>
      <c r="I9" s="20"/>
      <c r="L9" s="71"/>
      <c r="M9" s="68"/>
      <c r="N9" s="68"/>
      <c r="O9" s="68"/>
      <c r="P9" s="68"/>
      <c r="Q9" s="68"/>
      <c r="R9" s="65"/>
    </row>
    <row r="10" spans="1:18" ht="15.75">
      <c r="A10" s="28"/>
      <c r="B10" s="17" t="s">
        <v>10</v>
      </c>
      <c r="C10" s="36">
        <v>0</v>
      </c>
      <c r="D10" s="36">
        <f t="shared" si="1"/>
        <v>0</v>
      </c>
      <c r="E10" s="36">
        <v>643162.63</v>
      </c>
      <c r="F10" s="18">
        <f>12541.57+592443.51</f>
        <v>604985.07999999996</v>
      </c>
      <c r="G10" s="18">
        <f t="shared" si="2"/>
        <v>643162.63</v>
      </c>
      <c r="H10" s="20"/>
      <c r="I10" s="20"/>
      <c r="L10" s="71"/>
      <c r="M10" s="68"/>
      <c r="N10" s="68"/>
      <c r="O10" s="68"/>
      <c r="P10" s="68"/>
      <c r="Q10" s="68"/>
      <c r="R10" s="65"/>
    </row>
    <row r="11" spans="1:18" ht="15.75">
      <c r="A11" s="28"/>
      <c r="B11" s="17" t="s">
        <v>11</v>
      </c>
      <c r="C11" s="36">
        <v>0</v>
      </c>
      <c r="D11" s="36">
        <f t="shared" si="1"/>
        <v>0</v>
      </c>
      <c r="E11" s="36">
        <v>14723.48</v>
      </c>
      <c r="F11" s="18">
        <v>-51768.56</v>
      </c>
      <c r="G11" s="18">
        <f t="shared" si="2"/>
        <v>14723.48</v>
      </c>
      <c r="H11" s="20"/>
      <c r="I11" s="20"/>
      <c r="L11" s="71"/>
      <c r="M11" s="68"/>
      <c r="N11" s="68"/>
      <c r="O11" s="68"/>
      <c r="P11" s="68"/>
      <c r="Q11" s="68"/>
      <c r="R11" s="65"/>
    </row>
    <row r="12" spans="1:18" ht="15.75">
      <c r="A12" s="16" t="s">
        <v>14</v>
      </c>
      <c r="B12" s="16"/>
      <c r="C12" s="38">
        <f>C14+C28+C35</f>
        <v>-128555439</v>
      </c>
      <c r="D12" s="38">
        <f>D14+D28+D35</f>
        <v>-131592628.58</v>
      </c>
      <c r="E12" s="38">
        <f>E14+E28+E35</f>
        <v>-118132373.88</v>
      </c>
      <c r="F12" s="38">
        <f>F14+F28+F35</f>
        <v>-114379312.08</v>
      </c>
      <c r="G12" s="38">
        <f>G14+G28+G35</f>
        <v>13460254.699999999</v>
      </c>
      <c r="L12" s="69"/>
      <c r="M12" s="70"/>
      <c r="N12" s="70"/>
      <c r="O12" s="70"/>
      <c r="P12" s="70"/>
      <c r="Q12" s="70"/>
      <c r="R12" s="65"/>
    </row>
    <row r="13" spans="1:18" ht="15.75">
      <c r="A13" s="28"/>
      <c r="B13" s="17" t="s">
        <v>12</v>
      </c>
      <c r="C13" s="36">
        <f>C15</f>
        <v>-110083842</v>
      </c>
      <c r="D13" s="36">
        <f>D15</f>
        <v>-114180883</v>
      </c>
      <c r="E13" s="36">
        <f>E15</f>
        <v>-100722946</v>
      </c>
      <c r="F13" s="36">
        <f>F15</f>
        <v>-105510724.28</v>
      </c>
      <c r="G13" s="36">
        <f>G15</f>
        <v>13457937</v>
      </c>
      <c r="L13" s="71"/>
      <c r="M13" s="68"/>
      <c r="N13" s="68"/>
      <c r="O13" s="68"/>
      <c r="P13" s="68"/>
      <c r="Q13" s="68"/>
      <c r="R13" s="65"/>
    </row>
    <row r="14" spans="1:18" ht="15.75">
      <c r="A14" s="39" t="s">
        <v>27</v>
      </c>
      <c r="B14" s="21"/>
      <c r="C14" s="38">
        <f>C16</f>
        <v>-127524483</v>
      </c>
      <c r="D14" s="15">
        <f t="shared" ref="D14:G15" si="3">D16</f>
        <v>-130561533</v>
      </c>
      <c r="E14" s="15">
        <f t="shared" si="3"/>
        <v>-116781025</v>
      </c>
      <c r="F14" s="15">
        <f t="shared" si="3"/>
        <v>-113306455.94</v>
      </c>
      <c r="G14" s="15">
        <f t="shared" si="3"/>
        <v>13780508</v>
      </c>
      <c r="L14" s="72"/>
      <c r="M14" s="70"/>
      <c r="N14" s="70"/>
      <c r="O14" s="70"/>
      <c r="P14" s="70"/>
      <c r="Q14" s="70"/>
      <c r="R14" s="65"/>
    </row>
    <row r="15" spans="1:18" ht="15.75">
      <c r="A15" s="39"/>
      <c r="B15" s="17" t="s">
        <v>12</v>
      </c>
      <c r="C15" s="36">
        <f>C17</f>
        <v>-110083842</v>
      </c>
      <c r="D15" s="18">
        <f t="shared" si="3"/>
        <v>-114180883</v>
      </c>
      <c r="E15" s="18">
        <f t="shared" si="3"/>
        <v>-100722946</v>
      </c>
      <c r="F15" s="18">
        <f t="shared" si="3"/>
        <v>-105510724.28</v>
      </c>
      <c r="G15" s="18">
        <f t="shared" si="3"/>
        <v>13457937</v>
      </c>
      <c r="L15" s="71"/>
      <c r="M15" s="68"/>
      <c r="N15" s="68"/>
      <c r="O15" s="68"/>
      <c r="P15" s="68"/>
      <c r="Q15" s="68"/>
      <c r="R15" s="65"/>
    </row>
    <row r="16" spans="1:18" ht="15.75">
      <c r="A16" s="31" t="s">
        <v>28</v>
      </c>
      <c r="B16" s="10"/>
      <c r="C16" s="40">
        <f>C18+C20+C22+C24+C26</f>
        <v>-127524483</v>
      </c>
      <c r="D16" s="11">
        <f t="shared" ref="D16:G17" si="4">D18+D20+D22+D24+D26</f>
        <v>-130561533</v>
      </c>
      <c r="E16" s="11">
        <f t="shared" si="4"/>
        <v>-116781025</v>
      </c>
      <c r="F16" s="11">
        <f t="shared" si="4"/>
        <v>-113306455.94</v>
      </c>
      <c r="G16" s="11">
        <f t="shared" si="4"/>
        <v>13780508</v>
      </c>
      <c r="L16" s="73"/>
      <c r="M16" s="70"/>
      <c r="N16" s="70"/>
      <c r="O16" s="70"/>
      <c r="P16" s="70"/>
      <c r="Q16" s="70"/>
      <c r="R16" s="65"/>
    </row>
    <row r="17" spans="1:18" ht="15.75">
      <c r="A17" s="12"/>
      <c r="B17" s="17" t="s">
        <v>12</v>
      </c>
      <c r="C17" s="37">
        <f>C19+C21+C23+C25+C27</f>
        <v>-110083842</v>
      </c>
      <c r="D17" s="13">
        <f t="shared" si="4"/>
        <v>-114180883</v>
      </c>
      <c r="E17" s="13">
        <f t="shared" si="4"/>
        <v>-100722946</v>
      </c>
      <c r="F17" s="13">
        <f t="shared" si="4"/>
        <v>-105510724.28</v>
      </c>
      <c r="G17" s="13">
        <f t="shared" si="4"/>
        <v>13457937</v>
      </c>
      <c r="H17" s="20"/>
      <c r="I17" s="20"/>
      <c r="L17" s="71"/>
      <c r="M17" s="68"/>
      <c r="N17" s="68"/>
      <c r="O17" s="68"/>
      <c r="P17" s="68"/>
      <c r="Q17" s="68"/>
      <c r="R17" s="65"/>
    </row>
    <row r="18" spans="1:18" ht="15.75">
      <c r="A18" s="12" t="s">
        <v>29</v>
      </c>
      <c r="B18" s="17"/>
      <c r="C18" s="37">
        <v>-29740807</v>
      </c>
      <c r="D18" s="36">
        <f>C18+273885</f>
        <v>-29466922</v>
      </c>
      <c r="E18" s="37">
        <v>-26609527</v>
      </c>
      <c r="F18" s="37">
        <v>-27959245.66</v>
      </c>
      <c r="G18" s="18">
        <f t="shared" ref="G18:G27" si="5">E18-D18</f>
        <v>2857395</v>
      </c>
      <c r="H18" s="20"/>
      <c r="I18" s="20"/>
      <c r="L18" s="74"/>
      <c r="M18" s="68"/>
      <c r="N18" s="68"/>
      <c r="O18" s="68"/>
      <c r="P18" s="68"/>
      <c r="Q18" s="68"/>
      <c r="R18" s="65"/>
    </row>
    <row r="19" spans="1:18" ht="15.75">
      <c r="A19" s="12"/>
      <c r="B19" s="17" t="s">
        <v>12</v>
      </c>
      <c r="C19" s="37">
        <v>-27735480</v>
      </c>
      <c r="D19" s="36">
        <f>C19+339717</f>
        <v>-27395763</v>
      </c>
      <c r="E19" s="37">
        <v>-24174293</v>
      </c>
      <c r="F19" s="37">
        <v>-26146429.219999999</v>
      </c>
      <c r="G19" s="18">
        <f t="shared" si="5"/>
        <v>3221470</v>
      </c>
      <c r="H19" s="20"/>
      <c r="I19" s="20"/>
      <c r="L19" s="71"/>
      <c r="M19" s="68"/>
      <c r="N19" s="68"/>
      <c r="O19" s="68"/>
      <c r="P19" s="68"/>
      <c r="Q19" s="68"/>
      <c r="R19" s="65"/>
    </row>
    <row r="20" spans="1:18" ht="15.75">
      <c r="A20" s="12" t="s">
        <v>30</v>
      </c>
      <c r="B20" s="12"/>
      <c r="C20" s="37">
        <v>-22352946</v>
      </c>
      <c r="D20" s="36">
        <f>C20-1373517</f>
        <v>-23726463</v>
      </c>
      <c r="E20" s="37">
        <v>-22320191</v>
      </c>
      <c r="F20" s="37">
        <v>-20583774.329999998</v>
      </c>
      <c r="G20" s="18">
        <f t="shared" si="5"/>
        <v>1406272</v>
      </c>
      <c r="H20" s="20"/>
      <c r="I20" s="20"/>
      <c r="L20" s="74"/>
      <c r="M20" s="68"/>
      <c r="N20" s="68"/>
      <c r="O20" s="68"/>
      <c r="P20" s="68"/>
      <c r="Q20" s="68"/>
      <c r="R20" s="65"/>
    </row>
    <row r="21" spans="1:18" ht="15.75">
      <c r="A21" s="12"/>
      <c r="B21" s="17" t="s">
        <v>12</v>
      </c>
      <c r="C21" s="37">
        <v>-20347619</v>
      </c>
      <c r="D21" s="36">
        <f>C21-1307686</f>
        <v>-21655305</v>
      </c>
      <c r="E21" s="37">
        <v>-19884956</v>
      </c>
      <c r="F21" s="37">
        <v>-19119443</v>
      </c>
      <c r="G21" s="18">
        <f t="shared" si="5"/>
        <v>1770349</v>
      </c>
      <c r="H21" s="20"/>
      <c r="I21" s="20"/>
      <c r="L21" s="71"/>
      <c r="M21" s="68"/>
      <c r="N21" s="68"/>
      <c r="O21" s="68"/>
      <c r="P21" s="68"/>
      <c r="Q21" s="68"/>
      <c r="R21" s="65"/>
    </row>
    <row r="22" spans="1:18" ht="15.75">
      <c r="A22" s="12" t="s">
        <v>31</v>
      </c>
      <c r="B22" s="17"/>
      <c r="C22" s="37">
        <v>-20117331</v>
      </c>
      <c r="D22" s="36">
        <f>C22-959116</f>
        <v>-21076447</v>
      </c>
      <c r="E22" s="37">
        <v>-19757912</v>
      </c>
      <c r="F22" s="37">
        <v>-18379647.34</v>
      </c>
      <c r="G22" s="18">
        <f t="shared" si="5"/>
        <v>1318535</v>
      </c>
      <c r="H22" s="20"/>
      <c r="I22" s="20"/>
      <c r="L22" s="74"/>
      <c r="M22" s="68"/>
      <c r="N22" s="68"/>
      <c r="O22" s="68"/>
      <c r="P22" s="68"/>
      <c r="Q22" s="68"/>
      <c r="R22" s="65"/>
    </row>
    <row r="23" spans="1:18" ht="15.75">
      <c r="A23" s="12"/>
      <c r="B23" s="17" t="s">
        <v>12</v>
      </c>
      <c r="C23" s="37">
        <v>-18112004</v>
      </c>
      <c r="D23" s="36">
        <f>C23-724028</f>
        <v>-18836032</v>
      </c>
      <c r="E23" s="37">
        <v>-17104158</v>
      </c>
      <c r="F23" s="37">
        <v>-16745481.42</v>
      </c>
      <c r="G23" s="18">
        <f t="shared" si="5"/>
        <v>1731874</v>
      </c>
      <c r="H23" s="20"/>
      <c r="I23" s="20"/>
      <c r="L23" s="71"/>
      <c r="M23" s="68"/>
      <c r="N23" s="68"/>
      <c r="O23" s="68"/>
      <c r="P23" s="68"/>
      <c r="Q23" s="68"/>
      <c r="R23" s="65"/>
    </row>
    <row r="24" spans="1:18" ht="15.75">
      <c r="A24" s="12" t="s">
        <v>32</v>
      </c>
      <c r="B24" s="17"/>
      <c r="C24" s="37">
        <v>-22600516</v>
      </c>
      <c r="D24" s="36">
        <f>C24+9419840-8826275</f>
        <v>-22006951</v>
      </c>
      <c r="E24" s="37">
        <v>-18758302</v>
      </c>
      <c r="F24" s="37">
        <v>-12717658.59</v>
      </c>
      <c r="G24" s="18">
        <f t="shared" si="5"/>
        <v>3248649</v>
      </c>
      <c r="H24" s="20"/>
      <c r="I24" s="20"/>
      <c r="L24" s="74"/>
      <c r="M24" s="68"/>
      <c r="N24" s="68"/>
      <c r="O24" s="68"/>
      <c r="P24" s="68"/>
      <c r="Q24" s="68"/>
      <c r="R24" s="65"/>
    </row>
    <row r="25" spans="1:18" ht="15.75">
      <c r="A25" s="12"/>
      <c r="B25" s="17" t="s">
        <v>12</v>
      </c>
      <c r="C25" s="37">
        <v>-12178013</v>
      </c>
      <c r="D25" s="36">
        <f>C25-866094</f>
        <v>-13044107</v>
      </c>
      <c r="E25" s="37">
        <v>-11440087</v>
      </c>
      <c r="F25" s="37">
        <v>-10636570.35</v>
      </c>
      <c r="G25" s="18">
        <f t="shared" si="5"/>
        <v>1604020</v>
      </c>
      <c r="H25" s="20"/>
      <c r="I25" s="20"/>
      <c r="L25" s="71"/>
      <c r="M25" s="68"/>
      <c r="N25" s="68"/>
      <c r="O25" s="68"/>
      <c r="P25" s="68"/>
      <c r="Q25" s="68"/>
      <c r="R25" s="65"/>
    </row>
    <row r="26" spans="1:18" ht="15.75">
      <c r="A26" s="12" t="s">
        <v>33</v>
      </c>
      <c r="B26" s="17"/>
      <c r="C26" s="37">
        <v>-32712883</v>
      </c>
      <c r="D26" s="36">
        <f>C26+2860000+56718-4488585</f>
        <v>-34284750</v>
      </c>
      <c r="E26" s="37">
        <v>-29335093</v>
      </c>
      <c r="F26" s="37">
        <v>-33666130.020000003</v>
      </c>
      <c r="G26" s="18">
        <f t="shared" si="5"/>
        <v>4949657</v>
      </c>
      <c r="H26" s="20"/>
      <c r="I26" s="20"/>
      <c r="L26" s="74"/>
      <c r="M26" s="68"/>
      <c r="N26" s="68"/>
      <c r="O26" s="68"/>
      <c r="P26" s="68"/>
      <c r="Q26" s="68"/>
      <c r="R26" s="65"/>
    </row>
    <row r="27" spans="1:18" ht="15.75">
      <c r="A27" s="12"/>
      <c r="B27" s="17" t="s">
        <v>12</v>
      </c>
      <c r="C27" s="37">
        <v>-31710726</v>
      </c>
      <c r="D27" s="36">
        <f>C27+2860000+56718-4455668</f>
        <v>-33249676</v>
      </c>
      <c r="E27" s="37">
        <v>-28119452</v>
      </c>
      <c r="F27" s="37">
        <v>-32862800.289999999</v>
      </c>
      <c r="G27" s="18">
        <f t="shared" si="5"/>
        <v>5130224</v>
      </c>
      <c r="H27" s="20"/>
      <c r="I27" s="20"/>
      <c r="L27" s="71"/>
      <c r="M27" s="68"/>
      <c r="N27" s="68"/>
      <c r="O27" s="68"/>
      <c r="P27" s="68"/>
      <c r="Q27" s="68"/>
      <c r="R27" s="65"/>
    </row>
    <row r="28" spans="1:18" s="30" customFormat="1" ht="15.75">
      <c r="A28" s="10" t="s">
        <v>20</v>
      </c>
      <c r="B28" s="16"/>
      <c r="C28" s="40">
        <v>-1030956</v>
      </c>
      <c r="D28" s="40">
        <f>C28-139.95</f>
        <v>-1031095.95</v>
      </c>
      <c r="E28" s="40">
        <v>-1351349.35</v>
      </c>
      <c r="F28" s="11">
        <v>-1072856.1399999999</v>
      </c>
      <c r="G28" s="11">
        <f>E28-D28</f>
        <v>-320253.40000000014</v>
      </c>
      <c r="H28" s="29"/>
      <c r="I28" s="29"/>
      <c r="J28" s="8"/>
      <c r="K28" s="8"/>
      <c r="L28" s="67"/>
      <c r="M28" s="70"/>
      <c r="N28" s="70"/>
      <c r="O28" s="70"/>
      <c r="P28" s="70"/>
      <c r="Q28" s="70"/>
      <c r="R28" s="75"/>
    </row>
    <row r="29" spans="1:18" s="30" customFormat="1" ht="15.75">
      <c r="A29" s="10" t="s">
        <v>16</v>
      </c>
      <c r="B29" s="16"/>
      <c r="C29" s="40">
        <v>-5789150</v>
      </c>
      <c r="D29" s="40">
        <f>C29-4147636+2077186-170000-15567801.9</f>
        <v>-23597401.899999999</v>
      </c>
      <c r="E29" s="40">
        <f>-16066684.43-460770.35</f>
        <v>-16527454.779999999</v>
      </c>
      <c r="F29" s="40">
        <f>-12421889.89-537352.46</f>
        <v>-12959242.350000001</v>
      </c>
      <c r="G29" s="11">
        <f>E29-D29</f>
        <v>7069947.1199999992</v>
      </c>
      <c r="H29" s="29"/>
      <c r="I29" s="29"/>
      <c r="J29" s="8"/>
      <c r="K29" s="8"/>
      <c r="L29" s="67"/>
      <c r="M29" s="70"/>
      <c r="N29" s="70"/>
      <c r="O29" s="70"/>
      <c r="P29" s="70"/>
      <c r="Q29" s="70"/>
      <c r="R29" s="75"/>
    </row>
    <row r="30" spans="1:18" ht="15.75">
      <c r="A30" s="12"/>
      <c r="B30" s="12" t="s">
        <v>12</v>
      </c>
      <c r="C30" s="37">
        <v>-3229964</v>
      </c>
      <c r="D30" s="36">
        <f>C30-4147636-170000</f>
        <v>-7547600</v>
      </c>
      <c r="E30" s="37">
        <v>-5350900.03</v>
      </c>
      <c r="F30" s="13">
        <v>-10015561.689999999</v>
      </c>
      <c r="G30" s="18">
        <f t="shared" ref="G30:G31" si="6">E30-D30</f>
        <v>2196699.9699999997</v>
      </c>
      <c r="L30" s="71"/>
      <c r="M30" s="68"/>
      <c r="N30" s="68"/>
      <c r="O30" s="68"/>
      <c r="P30" s="68"/>
      <c r="Q30" s="68"/>
      <c r="R30" s="65"/>
    </row>
    <row r="31" spans="1:18" ht="15.75">
      <c r="A31" s="12"/>
      <c r="B31" s="17" t="s">
        <v>15</v>
      </c>
      <c r="C31" s="37">
        <v>-482000</v>
      </c>
      <c r="D31" s="36">
        <f>C31-1597.2</f>
        <v>-483597.2</v>
      </c>
      <c r="E31" s="37">
        <v>-460770.35</v>
      </c>
      <c r="F31" s="13">
        <v>-537352.46</v>
      </c>
      <c r="G31" s="18">
        <f t="shared" si="6"/>
        <v>22826.850000000035</v>
      </c>
      <c r="L31" s="71"/>
      <c r="M31" s="68"/>
      <c r="N31" s="68"/>
      <c r="O31" s="68"/>
      <c r="P31" s="68"/>
      <c r="Q31" s="68"/>
      <c r="R31" s="65"/>
    </row>
    <row r="32" spans="1:18" ht="15.75">
      <c r="A32" s="21" t="s">
        <v>17</v>
      </c>
      <c r="B32" s="21"/>
      <c r="C32" s="15"/>
      <c r="D32" s="15"/>
      <c r="E32" s="15">
        <f>SUM(E33:E33)</f>
        <v>46783.31</v>
      </c>
      <c r="F32" s="15">
        <f>SUM(F33:F33)</f>
        <v>10985.8</v>
      </c>
      <c r="G32" s="15"/>
      <c r="L32" s="76"/>
      <c r="M32" s="70"/>
      <c r="N32" s="70"/>
      <c r="O32" s="70"/>
      <c r="P32" s="70"/>
      <c r="Q32" s="70"/>
      <c r="R32" s="65"/>
    </row>
    <row r="33" spans="1:18" ht="15.75">
      <c r="A33" s="42"/>
      <c r="B33" s="17" t="s">
        <v>25</v>
      </c>
      <c r="C33" s="15"/>
      <c r="D33" s="15"/>
      <c r="E33" s="36">
        <v>46783.31</v>
      </c>
      <c r="F33" s="36">
        <v>10985.8</v>
      </c>
      <c r="G33" s="15"/>
      <c r="L33" s="71"/>
      <c r="M33" s="68"/>
      <c r="N33" s="68"/>
      <c r="O33" s="68"/>
      <c r="P33" s="68"/>
      <c r="Q33" s="68"/>
      <c r="R33" s="65"/>
    </row>
    <row r="34" spans="1:18" ht="15.75">
      <c r="A34" s="34" t="s">
        <v>22</v>
      </c>
      <c r="B34" s="34"/>
      <c r="C34" s="33"/>
      <c r="D34" s="35"/>
      <c r="E34" s="26"/>
      <c r="F34" s="26"/>
      <c r="G34" s="27"/>
      <c r="L34" s="73"/>
      <c r="M34" s="68"/>
      <c r="N34" s="68"/>
      <c r="O34" s="68"/>
      <c r="P34" s="68"/>
      <c r="Q34" s="68"/>
      <c r="R34" s="65"/>
    </row>
    <row r="35" spans="1:18" ht="15.75">
      <c r="A35" s="23"/>
      <c r="B35" s="32" t="s">
        <v>23</v>
      </c>
      <c r="C35" s="33">
        <v>0</v>
      </c>
      <c r="D35" s="33">
        <f>-32365059.37+6780835-1131086-30000+11371702.74-273885+1373517+959116+8826275+4488585</f>
        <v>0.36999999918043613</v>
      </c>
      <c r="E35" s="33">
        <f>-109156486.23-7624538.3+116781025</f>
        <v>0.4699999988079071</v>
      </c>
      <c r="F35" s="33">
        <v>0</v>
      </c>
      <c r="G35" s="33">
        <f>E35-D35</f>
        <v>9.999999962747097E-2</v>
      </c>
      <c r="L35" s="64"/>
      <c r="M35" s="68"/>
      <c r="N35" s="68"/>
      <c r="O35" s="68"/>
      <c r="P35" s="68"/>
      <c r="Q35" s="68"/>
      <c r="R35" s="65"/>
    </row>
    <row r="36" spans="1:18" ht="15.75">
      <c r="A36" s="23"/>
      <c r="B36" s="32" t="s">
        <v>24</v>
      </c>
      <c r="C36" s="33">
        <v>0</v>
      </c>
      <c r="D36" s="33">
        <v>0</v>
      </c>
      <c r="E36" s="33">
        <v>0</v>
      </c>
      <c r="F36" s="33">
        <v>0</v>
      </c>
      <c r="G36" s="33">
        <f>E36-D36</f>
        <v>0</v>
      </c>
      <c r="L36" s="64"/>
      <c r="M36" s="68"/>
      <c r="N36" s="68"/>
      <c r="O36" s="68"/>
      <c r="P36" s="68"/>
      <c r="Q36" s="68"/>
      <c r="R36" s="65"/>
    </row>
    <row r="37" spans="1:18" ht="15.75">
      <c r="A37" s="22"/>
      <c r="B37" s="23" t="s">
        <v>18</v>
      </c>
      <c r="C37" s="24"/>
      <c r="D37" s="25"/>
      <c r="E37" s="26">
        <f>E5+E12+E31+E32</f>
        <v>-107615773.32999998</v>
      </c>
      <c r="F37" s="26">
        <f>F5+F12+F31+F32</f>
        <v>-109320288.20999999</v>
      </c>
      <c r="G37" s="27"/>
      <c r="L37" s="77"/>
      <c r="M37" s="68"/>
      <c r="N37" s="68"/>
      <c r="O37" s="68"/>
      <c r="P37" s="68"/>
      <c r="Q37" s="68"/>
      <c r="R37" s="65"/>
    </row>
    <row r="38" spans="1:18" ht="15.75">
      <c r="A38" s="22"/>
      <c r="B38" s="23" t="s">
        <v>19</v>
      </c>
      <c r="C38" s="24"/>
      <c r="D38" s="25"/>
      <c r="E38" s="26">
        <v>-107615773.33</v>
      </c>
      <c r="F38" s="26">
        <v>-109320288</v>
      </c>
      <c r="G38" s="27"/>
      <c r="L38" s="77"/>
      <c r="M38" s="68"/>
      <c r="N38" s="68"/>
      <c r="O38" s="68"/>
      <c r="P38" s="68"/>
      <c r="Q38" s="68"/>
      <c r="R38" s="65"/>
    </row>
    <row r="39" spans="1:18">
      <c r="L39" s="64"/>
      <c r="M39" s="64"/>
      <c r="N39" s="64"/>
      <c r="O39" s="64"/>
      <c r="P39" s="64"/>
      <c r="Q39" s="64"/>
      <c r="R39" s="65"/>
    </row>
    <row r="40" spans="1:18">
      <c r="L40" s="64"/>
      <c r="M40" s="64"/>
      <c r="N40" s="64"/>
      <c r="O40" s="64"/>
      <c r="P40" s="64"/>
      <c r="Q40" s="64"/>
      <c r="R40" s="65"/>
    </row>
    <row r="41" spans="1:18">
      <c r="L41" s="64"/>
      <c r="M41" s="64"/>
      <c r="N41" s="64"/>
      <c r="O41" s="64"/>
      <c r="P41" s="64"/>
      <c r="Q41" s="64"/>
      <c r="R41" s="65"/>
    </row>
    <row r="42" spans="1:18">
      <c r="L42" s="64"/>
      <c r="M42" s="64"/>
      <c r="N42" s="64"/>
      <c r="O42" s="64"/>
      <c r="P42" s="64"/>
      <c r="Q42" s="64"/>
      <c r="R42" s="65"/>
    </row>
    <row r="43" spans="1:18">
      <c r="L43" s="64"/>
      <c r="M43" s="64"/>
      <c r="N43" s="64"/>
      <c r="O43" s="64"/>
      <c r="P43" s="64"/>
      <c r="Q43" s="64"/>
      <c r="R43" s="65"/>
    </row>
    <row r="44" spans="1:18">
      <c r="L44" s="64"/>
      <c r="M44" s="64"/>
      <c r="N44" s="64"/>
      <c r="O44" s="64"/>
      <c r="P44" s="64"/>
      <c r="Q44" s="64"/>
      <c r="R44" s="65"/>
    </row>
    <row r="45" spans="1:18">
      <c r="L45" s="64"/>
      <c r="M45" s="64"/>
      <c r="N45" s="64"/>
      <c r="O45" s="64"/>
      <c r="P45" s="64"/>
      <c r="Q45" s="64"/>
      <c r="R45" s="65"/>
    </row>
    <row r="46" spans="1:18">
      <c r="L46" s="64"/>
      <c r="M46" s="64"/>
      <c r="N46" s="64"/>
      <c r="O46" s="64"/>
      <c r="P46" s="64"/>
      <c r="Q46" s="64"/>
      <c r="R46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2042-F1E9-4450-8970-C843377D1B04}">
  <dimension ref="A1:J15"/>
  <sheetViews>
    <sheetView workbookViewId="0">
      <selection activeCell="D20" sqref="D20"/>
    </sheetView>
  </sheetViews>
  <sheetFormatPr defaultRowHeight="14.25"/>
  <cols>
    <col min="2" max="2" width="32.625" customWidth="1"/>
    <col min="3" max="3" width="20.25" customWidth="1"/>
    <col min="4" max="4" width="18.625" customWidth="1"/>
    <col min="7" max="7" width="21.25" customWidth="1"/>
    <col min="8" max="8" width="15.25" customWidth="1"/>
  </cols>
  <sheetData>
    <row r="1" spans="1:10">
      <c r="A1" s="43" t="s">
        <v>34</v>
      </c>
      <c r="B1" s="44"/>
      <c r="C1" s="45"/>
      <c r="D1" s="45"/>
      <c r="E1" s="45"/>
      <c r="F1" s="46"/>
      <c r="G1" s="47"/>
      <c r="H1" s="48"/>
      <c r="I1" s="49"/>
      <c r="J1" s="50"/>
    </row>
    <row r="2" spans="1:10">
      <c r="A2" s="43" t="s">
        <v>35</v>
      </c>
      <c r="B2" s="44"/>
      <c r="C2" s="45"/>
      <c r="D2" s="45"/>
      <c r="E2" s="45"/>
      <c r="F2" s="46"/>
      <c r="G2" s="47"/>
      <c r="H2" s="48"/>
      <c r="I2" s="48"/>
      <c r="J2" s="50"/>
    </row>
    <row r="3" spans="1:10">
      <c r="A3" s="43"/>
      <c r="B3" s="44"/>
      <c r="C3" s="51">
        <f>SUBTOTAL(9,C5:C15)</f>
        <v>-123682457.76000001</v>
      </c>
      <c r="D3" s="51">
        <f>SUBTOTAL(9,D5:D15)</f>
        <v>-123682457.75999999</v>
      </c>
      <c r="E3" s="51">
        <v>0</v>
      </c>
      <c r="F3" s="46"/>
      <c r="G3" s="51">
        <v>-121742177.89</v>
      </c>
      <c r="H3" s="51">
        <v>-121742178.09999999</v>
      </c>
      <c r="I3" s="51">
        <v>0.20999999351806764</v>
      </c>
    </row>
    <row r="4" spans="1:10" ht="25.5">
      <c r="A4" s="79" t="s">
        <v>36</v>
      </c>
      <c r="B4" s="79" t="s">
        <v>37</v>
      </c>
      <c r="C4" s="80" t="s">
        <v>38</v>
      </c>
      <c r="D4" s="80" t="s">
        <v>39</v>
      </c>
      <c r="E4" s="80" t="s">
        <v>40</v>
      </c>
      <c r="F4" s="81" t="s">
        <v>41</v>
      </c>
      <c r="G4" s="82" t="s">
        <v>42</v>
      </c>
      <c r="H4" s="82" t="s">
        <v>43</v>
      </c>
      <c r="I4" s="82" t="s">
        <v>44</v>
      </c>
      <c r="J4" s="79" t="s">
        <v>41</v>
      </c>
    </row>
    <row r="5" spans="1:10">
      <c r="A5" t="s">
        <v>45</v>
      </c>
      <c r="B5" t="s">
        <v>8</v>
      </c>
      <c r="C5" s="52">
        <v>1285854.03</v>
      </c>
      <c r="D5" s="48">
        <f>aruanne!E6</f>
        <v>1285854.03</v>
      </c>
      <c r="E5" s="48">
        <v>0</v>
      </c>
      <c r="F5" s="50"/>
      <c r="G5" s="52">
        <v>1435363.52</v>
      </c>
      <c r="H5" s="48">
        <v>1435363.52</v>
      </c>
      <c r="I5" s="48">
        <v>0</v>
      </c>
    </row>
    <row r="6" spans="1:10">
      <c r="A6" t="s">
        <v>45</v>
      </c>
      <c r="B6" t="s">
        <v>9</v>
      </c>
      <c r="C6" s="52">
        <v>4428.75</v>
      </c>
      <c r="D6" s="48">
        <f>aruanne!E7</f>
        <v>4428.75</v>
      </c>
      <c r="E6" s="48">
        <v>0</v>
      </c>
      <c r="F6" s="50"/>
      <c r="G6" s="52">
        <v>4392.1499999999996</v>
      </c>
      <c r="H6" s="48">
        <v>4392.1499999999996</v>
      </c>
      <c r="I6" s="48">
        <v>0</v>
      </c>
    </row>
    <row r="7" spans="1:10">
      <c r="A7" t="s">
        <v>45</v>
      </c>
      <c r="B7" t="s">
        <v>7</v>
      </c>
      <c r="C7" s="52">
        <v>9029202.0099999998</v>
      </c>
      <c r="D7" s="48">
        <f>aruanne!E8+aruanne!E33</f>
        <v>9029202.0099999998</v>
      </c>
      <c r="E7" s="48">
        <v>0</v>
      </c>
      <c r="F7" s="50"/>
      <c r="G7" s="52">
        <v>3475782.56</v>
      </c>
      <c r="H7" s="48">
        <v>3475782.56</v>
      </c>
      <c r="I7" s="48">
        <v>0</v>
      </c>
    </row>
    <row r="8" spans="1:10">
      <c r="A8" t="s">
        <v>45</v>
      </c>
      <c r="B8" t="s">
        <v>21</v>
      </c>
      <c r="C8" s="52">
        <v>0</v>
      </c>
      <c r="D8" s="48">
        <v>0</v>
      </c>
      <c r="E8" s="48">
        <v>0</v>
      </c>
      <c r="F8" s="50"/>
      <c r="G8" s="52">
        <v>127621.58</v>
      </c>
      <c r="H8" s="48">
        <v>127621.58000000007</v>
      </c>
      <c r="I8" s="48">
        <v>0</v>
      </c>
    </row>
    <row r="9" spans="1:10">
      <c r="A9" t="s">
        <v>45</v>
      </c>
      <c r="B9" t="s">
        <v>10</v>
      </c>
      <c r="C9" s="52">
        <v>643162.63</v>
      </c>
      <c r="D9" s="48">
        <f>aruanne!E10</f>
        <v>643162.63</v>
      </c>
      <c r="E9" s="48">
        <v>0</v>
      </c>
      <c r="F9" s="50"/>
      <c r="G9" s="52">
        <v>604985.07999999996</v>
      </c>
      <c r="H9" s="48">
        <v>604985.07999999996</v>
      </c>
      <c r="I9" s="48">
        <v>0</v>
      </c>
    </row>
    <row r="10" spans="1:10">
      <c r="A10" t="s">
        <v>45</v>
      </c>
      <c r="B10" t="s">
        <v>46</v>
      </c>
      <c r="C10" s="52">
        <v>14723.48</v>
      </c>
      <c r="D10" s="48">
        <f>aruanne!E11</f>
        <v>14723.48</v>
      </c>
      <c r="E10" s="48">
        <v>0</v>
      </c>
      <c r="F10" s="50"/>
      <c r="G10" s="52">
        <v>-51768.56</v>
      </c>
      <c r="H10" s="48">
        <v>-51768.56</v>
      </c>
      <c r="I10" s="48">
        <v>0</v>
      </c>
    </row>
    <row r="11" spans="1:10">
      <c r="A11" t="s">
        <v>45</v>
      </c>
      <c r="B11" t="s">
        <v>47</v>
      </c>
      <c r="C11" s="52">
        <f>-118593144.23-C12-C15</f>
        <v>-116781024.53000002</v>
      </c>
      <c r="D11" s="48">
        <f>aruanne!E12-aruanne!E28</f>
        <v>-116781024.53</v>
      </c>
      <c r="E11" s="48">
        <v>0</v>
      </c>
      <c r="F11" s="50"/>
      <c r="G11" s="52">
        <v>-113306455.73</v>
      </c>
      <c r="H11" s="48">
        <v>-113306455.94</v>
      </c>
      <c r="I11" s="48">
        <v>0.20999999344348907</v>
      </c>
    </row>
    <row r="12" spans="1:10">
      <c r="A12" t="s">
        <v>45</v>
      </c>
      <c r="B12" s="53" t="s">
        <v>48</v>
      </c>
      <c r="C12" s="52">
        <v>-1351349.35</v>
      </c>
      <c r="D12" s="48">
        <f>aruanne!E28</f>
        <v>-1351349.35</v>
      </c>
      <c r="E12" s="48">
        <v>0</v>
      </c>
      <c r="F12" s="54"/>
      <c r="G12" s="52">
        <v>-1072856.1399999999</v>
      </c>
      <c r="H12" s="48">
        <v>-1072856.1399999999</v>
      </c>
      <c r="I12" s="48">
        <v>0</v>
      </c>
    </row>
    <row r="13" spans="1:10">
      <c r="A13" t="s">
        <v>45</v>
      </c>
      <c r="B13" s="53" t="s">
        <v>24</v>
      </c>
      <c r="C13" s="52">
        <f>-16858424.46+799440.03</f>
        <v>-16058984.430000002</v>
      </c>
      <c r="D13" s="48">
        <f>aruanne!E29-aruanne!E31</f>
        <v>-16066684.43</v>
      </c>
      <c r="E13" s="48">
        <v>7700</v>
      </c>
      <c r="F13" s="54"/>
      <c r="G13" s="52">
        <v>-12418396.060000001</v>
      </c>
      <c r="H13" s="48">
        <v>-12421889.890000001</v>
      </c>
      <c r="I13" s="48">
        <v>3493.8300000000745</v>
      </c>
    </row>
    <row r="14" spans="1:10">
      <c r="A14" t="s">
        <v>45</v>
      </c>
      <c r="B14" t="s">
        <v>49</v>
      </c>
      <c r="C14" s="52">
        <f>-3700-4000</f>
        <v>-7700</v>
      </c>
      <c r="D14" s="55"/>
      <c r="E14" s="48">
        <v>-7700</v>
      </c>
      <c r="F14" s="50"/>
      <c r="G14" s="52">
        <v>-3493.83</v>
      </c>
      <c r="H14" s="55">
        <v>0</v>
      </c>
      <c r="I14" s="48">
        <v>-3493.83</v>
      </c>
    </row>
    <row r="15" spans="1:10">
      <c r="A15" t="s">
        <v>45</v>
      </c>
      <c r="B15" s="53" t="s">
        <v>50</v>
      </c>
      <c r="C15" s="52">
        <v>-460770.35</v>
      </c>
      <c r="D15" s="55">
        <f>aruanne!E31</f>
        <v>-460770.35</v>
      </c>
      <c r="E15" s="48">
        <v>0</v>
      </c>
      <c r="F15" s="50"/>
      <c r="G15" s="52">
        <v>-537352.46</v>
      </c>
      <c r="H15" s="55">
        <v>-537352.46</v>
      </c>
      <c r="I15" s="4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61A3-590F-43C1-8836-113623C7D5B2}">
  <dimension ref="A1:C18"/>
  <sheetViews>
    <sheetView workbookViewId="0">
      <selection activeCell="A23" sqref="A23"/>
    </sheetView>
  </sheetViews>
  <sheetFormatPr defaultRowHeight="14.25"/>
  <cols>
    <col min="1" max="1" width="55.25" customWidth="1"/>
    <col min="2" max="2" width="15.375" customWidth="1"/>
    <col min="3" max="3" width="17.25" customWidth="1"/>
  </cols>
  <sheetData>
    <row r="1" spans="1:3">
      <c r="A1" s="43" t="s">
        <v>34</v>
      </c>
    </row>
    <row r="2" spans="1:3">
      <c r="A2" s="43" t="s">
        <v>65</v>
      </c>
    </row>
    <row r="3" spans="1:3">
      <c r="A3" s="78" t="s">
        <v>1</v>
      </c>
    </row>
    <row r="6" spans="1:3">
      <c r="A6" s="79"/>
      <c r="B6" s="83" t="s">
        <v>63</v>
      </c>
      <c r="C6" s="83" t="s">
        <v>64</v>
      </c>
    </row>
    <row r="7" spans="1:3">
      <c r="A7" s="56" t="s">
        <v>51</v>
      </c>
      <c r="B7" s="62">
        <f>aruanne!C5</f>
        <v>13497026</v>
      </c>
      <c r="C7" s="62">
        <f>aruanne!C12+aruanne!C29</f>
        <v>-134344589</v>
      </c>
    </row>
    <row r="8" spans="1:3">
      <c r="A8" s="56" t="s">
        <v>52</v>
      </c>
      <c r="B8" s="59"/>
      <c r="C8" s="62">
        <v>-29731860</v>
      </c>
    </row>
    <row r="9" spans="1:3">
      <c r="A9" s="56" t="s">
        <v>53</v>
      </c>
      <c r="B9" s="59"/>
      <c r="C9" s="62">
        <v>2860000</v>
      </c>
    </row>
    <row r="10" spans="1:3">
      <c r="A10" s="56" t="s">
        <v>54</v>
      </c>
      <c r="B10" s="59"/>
      <c r="C10" s="61">
        <v>56718</v>
      </c>
    </row>
    <row r="11" spans="1:3">
      <c r="A11" s="57" t="s">
        <v>55</v>
      </c>
      <c r="B11" s="59"/>
      <c r="C11" s="61">
        <v>-1301086</v>
      </c>
    </row>
    <row r="12" spans="1:3">
      <c r="A12" s="56" t="s">
        <v>56</v>
      </c>
      <c r="B12" s="59"/>
      <c r="C12" s="61">
        <v>11254026</v>
      </c>
    </row>
    <row r="13" spans="1:3">
      <c r="A13" s="56" t="s">
        <v>57</v>
      </c>
      <c r="B13" s="59"/>
      <c r="C13" s="59">
        <v>-3553588.36</v>
      </c>
    </row>
    <row r="14" spans="1:3">
      <c r="A14" s="56" t="s">
        <v>58</v>
      </c>
      <c r="B14" s="59"/>
      <c r="C14" s="59">
        <v>-4428.6000000000004</v>
      </c>
    </row>
    <row r="15" spans="1:3">
      <c r="A15" s="56" t="s">
        <v>59</v>
      </c>
      <c r="B15" s="59"/>
      <c r="C15" s="59">
        <v>243000</v>
      </c>
    </row>
    <row r="16" spans="1:3">
      <c r="A16" s="56" t="s">
        <v>60</v>
      </c>
      <c r="B16" s="59"/>
      <c r="C16" s="59">
        <v>-638222.15</v>
      </c>
    </row>
    <row r="17" spans="1:3">
      <c r="A17" s="56" t="s">
        <v>61</v>
      </c>
      <c r="B17" s="59"/>
      <c r="C17" s="59">
        <v>-30000</v>
      </c>
    </row>
    <row r="18" spans="1:3">
      <c r="A18" s="58" t="s">
        <v>62</v>
      </c>
      <c r="B18" s="60">
        <f>SUM(B7:B17)</f>
        <v>13497026</v>
      </c>
      <c r="C18" s="60">
        <f>SUM(C7:C17)</f>
        <v>-155190030.11000001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võrdlus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Veeperv</dc:creator>
  <cp:lastModifiedBy>Silver Sokk</cp:lastModifiedBy>
  <dcterms:created xsi:type="dcterms:W3CDTF">2025-03-12T12:42:06Z</dcterms:created>
  <dcterms:modified xsi:type="dcterms:W3CDTF">2025-06-18T12:20:35Z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2025-06-17T10:39:05Z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182d0964-d477-4657-88b0-8362f59d09c1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