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ie\sim\users\46908020216\Documents\SPIN-PROGRAMM\SPIN Mitteriigiabi toetuse taotlused\"/>
    </mc:Choice>
  </mc:AlternateContent>
  <xr:revisionPtr revIDLastSave="0" documentId="8_{E4E51AC2-F016-4C83-B9E5-B6BBCC47E305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EMT" sheetId="3" r:id="rId1"/>
    <sheet name="Lisa 1" sheetId="2" r:id="rId2"/>
    <sheet name="Ettemaksu jääkide arvestus" sheetId="4" r:id="rId3"/>
    <sheet name="Sheet1" sheetId="5" r:id="rId4"/>
    <sheet name="2022" sheetId="8" r:id="rId5"/>
    <sheet name="2020" sheetId="6" r:id="rId6"/>
    <sheet name="2021" sheetId="7" r:id="rId7"/>
    <sheet name="2023" sheetId="9" r:id="rId8"/>
    <sheet name="2023 TAT" sheetId="10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2" l="1"/>
  <c r="B7" i="2"/>
  <c r="Y42" i="10"/>
  <c r="W42" i="10"/>
  <c r="D29" i="4"/>
  <c r="G56" i="9"/>
  <c r="B29" i="4"/>
  <c r="F27" i="4"/>
  <c r="S56" i="8"/>
  <c r="AB51" i="10" l="1"/>
  <c r="X51" i="10"/>
  <c r="V51" i="10"/>
  <c r="T51" i="10"/>
  <c r="R51" i="10"/>
  <c r="P51" i="10"/>
  <c r="N51" i="10"/>
  <c r="L51" i="10"/>
  <c r="J51" i="10"/>
  <c r="H51" i="10"/>
  <c r="AA50" i="10"/>
  <c r="W50" i="10"/>
  <c r="U50" i="10"/>
  <c r="S50" i="10"/>
  <c r="M50" i="10"/>
  <c r="AA49" i="10"/>
  <c r="W49" i="10"/>
  <c r="U49" i="10"/>
  <c r="S49" i="10"/>
  <c r="O49" i="10"/>
  <c r="M49" i="10"/>
  <c r="K49" i="10"/>
  <c r="AA48" i="10"/>
  <c r="W48" i="10"/>
  <c r="X48" i="10" s="1"/>
  <c r="U48" i="10"/>
  <c r="V48" i="10" s="1"/>
  <c r="S48" i="10"/>
  <c r="Q48" i="10"/>
  <c r="Q49" i="10" s="1"/>
  <c r="O48" i="10"/>
  <c r="O50" i="10" s="1"/>
  <c r="M48" i="10"/>
  <c r="K48" i="10"/>
  <c r="K50" i="10" s="1"/>
  <c r="I48" i="10"/>
  <c r="I49" i="10" s="1"/>
  <c r="I50" i="10" s="1"/>
  <c r="G48" i="10"/>
  <c r="G49" i="10" s="1"/>
  <c r="Y47" i="10"/>
  <c r="Y50" i="10" s="1"/>
  <c r="Y28" i="10"/>
  <c r="G22" i="10"/>
  <c r="G21" i="10" s="1"/>
  <c r="G15" i="10"/>
  <c r="G12" i="10"/>
  <c r="G11" i="10"/>
  <c r="E46" i="9"/>
  <c r="R44" i="9"/>
  <c r="Q44" i="9"/>
  <c r="P44" i="9"/>
  <c r="P35" i="9" s="1"/>
  <c r="O44" i="9"/>
  <c r="N44" i="9"/>
  <c r="M44" i="9"/>
  <c r="M35" i="9" s="1"/>
  <c r="L44" i="9"/>
  <c r="L35" i="9" s="1"/>
  <c r="K44" i="9"/>
  <c r="K35" i="9" s="1"/>
  <c r="J44" i="9"/>
  <c r="I44" i="9"/>
  <c r="I35" i="9" s="1"/>
  <c r="H44" i="9"/>
  <c r="G44" i="9"/>
  <c r="G35" i="9" s="1"/>
  <c r="F43" i="9"/>
  <c r="F42" i="9"/>
  <c r="F41" i="9"/>
  <c r="F40" i="9"/>
  <c r="F37" i="9"/>
  <c r="R35" i="9"/>
  <c r="Q35" i="9"/>
  <c r="O35" i="9"/>
  <c r="J35" i="9"/>
  <c r="H35" i="9"/>
  <c r="N34" i="9"/>
  <c r="L33" i="9"/>
  <c r="F33" i="9"/>
  <c r="F32" i="9"/>
  <c r="F31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 s="1"/>
  <c r="N29" i="9"/>
  <c r="F29" i="9" s="1"/>
  <c r="F28" i="9"/>
  <c r="F27" i="9"/>
  <c r="R26" i="9"/>
  <c r="F26" i="9" s="1"/>
  <c r="L26" i="9"/>
  <c r="F25" i="9"/>
  <c r="P24" i="9"/>
  <c r="N24" i="9"/>
  <c r="J24" i="9"/>
  <c r="F24" i="9" s="1"/>
  <c r="H24" i="9"/>
  <c r="F23" i="9"/>
  <c r="F22" i="9"/>
  <c r="N21" i="9"/>
  <c r="G21" i="9"/>
  <c r="F21" i="9" s="1"/>
  <c r="R20" i="9"/>
  <c r="R34" i="9" s="1"/>
  <c r="Q20" i="9"/>
  <c r="Q34" i="9" s="1"/>
  <c r="P20" i="9"/>
  <c r="P34" i="9" s="1"/>
  <c r="O20" i="9"/>
  <c r="O34" i="9" s="1"/>
  <c r="N20" i="9"/>
  <c r="M20" i="9"/>
  <c r="M34" i="9" s="1"/>
  <c r="L20" i="9"/>
  <c r="L34" i="9" s="1"/>
  <c r="K20" i="9"/>
  <c r="K34" i="9" s="1"/>
  <c r="J20" i="9"/>
  <c r="J34" i="9" s="1"/>
  <c r="I20" i="9"/>
  <c r="I34" i="9" s="1"/>
  <c r="H20" i="9"/>
  <c r="F20" i="9" s="1"/>
  <c r="G20" i="9"/>
  <c r="G34" i="9" s="1"/>
  <c r="R17" i="9"/>
  <c r="P17" i="9"/>
  <c r="N17" i="9"/>
  <c r="L17" i="9"/>
  <c r="K17" i="9"/>
  <c r="J17" i="9"/>
  <c r="H17" i="9"/>
  <c r="G17" i="9"/>
  <c r="E17" i="9"/>
  <c r="I17" i="9" s="1"/>
  <c r="R16" i="9"/>
  <c r="P16" i="9"/>
  <c r="O16" i="9"/>
  <c r="N16" i="9"/>
  <c r="M16" i="9"/>
  <c r="L16" i="9"/>
  <c r="J16" i="9"/>
  <c r="I16" i="9"/>
  <c r="H16" i="9"/>
  <c r="G16" i="9"/>
  <c r="E16" i="9"/>
  <c r="K16" i="9" s="1"/>
  <c r="R15" i="9"/>
  <c r="P15" i="9"/>
  <c r="O15" i="9"/>
  <c r="N15" i="9"/>
  <c r="L15" i="9"/>
  <c r="K15" i="9"/>
  <c r="J15" i="9"/>
  <c r="I15" i="9"/>
  <c r="H15" i="9"/>
  <c r="E15" i="9"/>
  <c r="M15" i="9" s="1"/>
  <c r="P14" i="9"/>
  <c r="M14" i="9"/>
  <c r="L14" i="9"/>
  <c r="J14" i="9"/>
  <c r="J18" i="9" s="1"/>
  <c r="J10" i="9" s="1"/>
  <c r="E14" i="9"/>
  <c r="O14" i="9" s="1"/>
  <c r="R13" i="9"/>
  <c r="Q13" i="9"/>
  <c r="P13" i="9"/>
  <c r="O13" i="9"/>
  <c r="N13" i="9"/>
  <c r="M13" i="9"/>
  <c r="L13" i="9"/>
  <c r="F13" i="9" s="1"/>
  <c r="K13" i="9"/>
  <c r="J13" i="9"/>
  <c r="I13" i="9"/>
  <c r="H13" i="9"/>
  <c r="G13" i="9"/>
  <c r="R12" i="9"/>
  <c r="Q12" i="9"/>
  <c r="P12" i="9"/>
  <c r="P18" i="9" s="1"/>
  <c r="P10" i="9" s="1"/>
  <c r="O12" i="9"/>
  <c r="N12" i="9"/>
  <c r="M12" i="9"/>
  <c r="L12" i="9"/>
  <c r="L18" i="9" s="1"/>
  <c r="L10" i="9" s="1"/>
  <c r="K12" i="9"/>
  <c r="J12" i="9"/>
  <c r="I12" i="9"/>
  <c r="H12" i="9"/>
  <c r="G12" i="9"/>
  <c r="F12" i="9" s="1"/>
  <c r="F9" i="9"/>
  <c r="R7" i="9"/>
  <c r="Q7" i="9"/>
  <c r="P7" i="9"/>
  <c r="O7" i="9"/>
  <c r="N7" i="9"/>
  <c r="M7" i="9"/>
  <c r="L7" i="9"/>
  <c r="K7" i="9"/>
  <c r="J7" i="9"/>
  <c r="I7" i="9"/>
  <c r="H7" i="9"/>
  <c r="G7" i="9"/>
  <c r="F7" i="9"/>
  <c r="D28" i="4"/>
  <c r="F26" i="4"/>
  <c r="K57" i="8"/>
  <c r="E45" i="8"/>
  <c r="R43" i="8"/>
  <c r="R34" i="8" s="1"/>
  <c r="Q43" i="8"/>
  <c r="P43" i="8"/>
  <c r="O43" i="8"/>
  <c r="N43" i="8"/>
  <c r="M43" i="8"/>
  <c r="M34" i="8" s="1"/>
  <c r="L43" i="8"/>
  <c r="K43" i="8"/>
  <c r="J43" i="8"/>
  <c r="I43" i="8"/>
  <c r="H43" i="8"/>
  <c r="H34" i="8" s="1"/>
  <c r="G43" i="8"/>
  <c r="F43" i="8" s="1"/>
  <c r="F42" i="8"/>
  <c r="F41" i="8"/>
  <c r="F40" i="8"/>
  <c r="F39" i="8"/>
  <c r="F36" i="8"/>
  <c r="F34" i="8" s="1"/>
  <c r="Q34" i="8"/>
  <c r="P34" i="8"/>
  <c r="O34" i="8"/>
  <c r="N34" i="8"/>
  <c r="L34" i="8"/>
  <c r="K34" i="8"/>
  <c r="J34" i="8"/>
  <c r="I34" i="8"/>
  <c r="G34" i="8"/>
  <c r="O33" i="8"/>
  <c r="J33" i="8"/>
  <c r="F32" i="8"/>
  <c r="F31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N29" i="8"/>
  <c r="N33" i="8" s="1"/>
  <c r="R28" i="8"/>
  <c r="Q28" i="8"/>
  <c r="P28" i="8"/>
  <c r="O28" i="8"/>
  <c r="L28" i="8"/>
  <c r="K28" i="8"/>
  <c r="J28" i="8"/>
  <c r="I28" i="8"/>
  <c r="I33" i="8" s="1"/>
  <c r="H28" i="8"/>
  <c r="H33" i="8" s="1"/>
  <c r="G28" i="8"/>
  <c r="F28" i="8" s="1"/>
  <c r="F27" i="8"/>
  <c r="R26" i="8"/>
  <c r="L26" i="8"/>
  <c r="F26" i="8"/>
  <c r="F25" i="8"/>
  <c r="P24" i="8"/>
  <c r="F24" i="8" s="1"/>
  <c r="N24" i="8"/>
  <c r="J24" i="8"/>
  <c r="H24" i="8"/>
  <c r="F23" i="8"/>
  <c r="F22" i="8"/>
  <c r="N21" i="8"/>
  <c r="G21" i="8"/>
  <c r="F21" i="8"/>
  <c r="R20" i="8"/>
  <c r="R33" i="8" s="1"/>
  <c r="Q20" i="8"/>
  <c r="Q33" i="8" s="1"/>
  <c r="P20" i="8"/>
  <c r="P33" i="8" s="1"/>
  <c r="O20" i="8"/>
  <c r="N20" i="8"/>
  <c r="M20" i="8"/>
  <c r="M33" i="8" s="1"/>
  <c r="L20" i="8"/>
  <c r="L33" i="8" s="1"/>
  <c r="K20" i="8"/>
  <c r="F20" i="8" s="1"/>
  <c r="J20" i="8"/>
  <c r="I20" i="8"/>
  <c r="H20" i="8"/>
  <c r="G20" i="8"/>
  <c r="G33" i="8" s="1"/>
  <c r="R17" i="8"/>
  <c r="P17" i="8"/>
  <c r="O17" i="8"/>
  <c r="N17" i="8"/>
  <c r="M17" i="8"/>
  <c r="L17" i="8"/>
  <c r="J17" i="8"/>
  <c r="I17" i="8"/>
  <c r="H17" i="8"/>
  <c r="G17" i="8"/>
  <c r="E17" i="8"/>
  <c r="Q17" i="8" s="1"/>
  <c r="P16" i="8"/>
  <c r="O16" i="8"/>
  <c r="K16" i="8"/>
  <c r="J16" i="8"/>
  <c r="H16" i="8"/>
  <c r="E16" i="8"/>
  <c r="G16" i="8" s="1"/>
  <c r="E15" i="8"/>
  <c r="I15" i="8" s="1"/>
  <c r="R14" i="8"/>
  <c r="P14" i="8"/>
  <c r="O14" i="8"/>
  <c r="N14" i="8"/>
  <c r="M14" i="8"/>
  <c r="L14" i="8"/>
  <c r="J14" i="8"/>
  <c r="I14" i="8"/>
  <c r="H14" i="8"/>
  <c r="G14" i="8"/>
  <c r="E14" i="8"/>
  <c r="K14" i="8" s="1"/>
  <c r="Q13" i="8"/>
  <c r="P13" i="8"/>
  <c r="N13" i="8"/>
  <c r="J13" i="8"/>
  <c r="I13" i="8"/>
  <c r="E13" i="8"/>
  <c r="M13" i="8" s="1"/>
  <c r="R12" i="8"/>
  <c r="P12" i="8"/>
  <c r="M12" i="8"/>
  <c r="L12" i="8"/>
  <c r="K12" i="8"/>
  <c r="G12" i="8"/>
  <c r="E12" i="8"/>
  <c r="O12" i="8" s="1"/>
  <c r="F9" i="8"/>
  <c r="R7" i="8"/>
  <c r="Q7" i="8"/>
  <c r="P7" i="8"/>
  <c r="O7" i="8"/>
  <c r="N7" i="8"/>
  <c r="M7" i="8"/>
  <c r="L7" i="8"/>
  <c r="K7" i="8"/>
  <c r="J7" i="8"/>
  <c r="I7" i="8"/>
  <c r="H7" i="8"/>
  <c r="G7" i="8"/>
  <c r="F7" i="8"/>
  <c r="D27" i="4"/>
  <c r="F25" i="4"/>
  <c r="F24" i="4"/>
  <c r="B26" i="4" s="1"/>
  <c r="D25" i="4"/>
  <c r="B25" i="4"/>
  <c r="F23" i="4"/>
  <c r="D24" i="4"/>
  <c r="B24" i="4"/>
  <c r="F22" i="4"/>
  <c r="E46" i="7"/>
  <c r="R44" i="7"/>
  <c r="R35" i="7" s="1"/>
  <c r="Q44" i="7"/>
  <c r="P44" i="7"/>
  <c r="P35" i="7" s="1"/>
  <c r="O44" i="7"/>
  <c r="N44" i="7"/>
  <c r="L44" i="7"/>
  <c r="L35" i="7" s="1"/>
  <c r="K44" i="7"/>
  <c r="J44" i="7"/>
  <c r="J35" i="7" s="1"/>
  <c r="I44" i="7"/>
  <c r="I35" i="7" s="1"/>
  <c r="H44" i="7"/>
  <c r="G44" i="7"/>
  <c r="F43" i="7"/>
  <c r="F42" i="7"/>
  <c r="M41" i="7"/>
  <c r="M44" i="7" s="1"/>
  <c r="M35" i="7" s="1"/>
  <c r="F40" i="7"/>
  <c r="F37" i="7"/>
  <c r="Q35" i="7"/>
  <c r="O35" i="7"/>
  <c r="N35" i="7"/>
  <c r="K35" i="7"/>
  <c r="G35" i="7"/>
  <c r="F33" i="7"/>
  <c r="P32" i="7"/>
  <c r="O32" i="7"/>
  <c r="N32" i="7"/>
  <c r="M32" i="7"/>
  <c r="L32" i="7"/>
  <c r="R31" i="7"/>
  <c r="Q31" i="7"/>
  <c r="P31" i="7"/>
  <c r="O31" i="7"/>
  <c r="N31" i="7"/>
  <c r="M31" i="7"/>
  <c r="L31" i="7"/>
  <c r="K31" i="7"/>
  <c r="J31" i="7"/>
  <c r="I31" i="7"/>
  <c r="H31" i="7"/>
  <c r="G31" i="7"/>
  <c r="N30" i="7"/>
  <c r="F30" i="7"/>
  <c r="R29" i="7"/>
  <c r="Q29" i="7"/>
  <c r="P29" i="7"/>
  <c r="O29" i="7"/>
  <c r="L29" i="7"/>
  <c r="K29" i="7"/>
  <c r="J29" i="7"/>
  <c r="I29" i="7"/>
  <c r="H29" i="7"/>
  <c r="G29" i="7"/>
  <c r="F28" i="7"/>
  <c r="R27" i="7"/>
  <c r="L27" i="7"/>
  <c r="F26" i="7"/>
  <c r="P25" i="7"/>
  <c r="J25" i="7"/>
  <c r="H25" i="7"/>
  <c r="F25" i="7" s="1"/>
  <c r="F24" i="7"/>
  <c r="F23" i="7"/>
  <c r="N22" i="7"/>
  <c r="G22" i="7"/>
  <c r="R21" i="7"/>
  <c r="Q21" i="7"/>
  <c r="Q34" i="7" s="1"/>
  <c r="P21" i="7"/>
  <c r="O21" i="7"/>
  <c r="N21" i="7"/>
  <c r="M21" i="7"/>
  <c r="M34" i="7" s="1"/>
  <c r="L21" i="7"/>
  <c r="L34" i="7" s="1"/>
  <c r="K21" i="7"/>
  <c r="K34" i="7" s="1"/>
  <c r="J21" i="7"/>
  <c r="I21" i="7"/>
  <c r="I34" i="7" s="1"/>
  <c r="H21" i="7"/>
  <c r="H34" i="7" s="1"/>
  <c r="G21" i="7"/>
  <c r="G34" i="7" s="1"/>
  <c r="R18" i="7"/>
  <c r="Q18" i="7"/>
  <c r="P18" i="7"/>
  <c r="O18" i="7"/>
  <c r="N18" i="7"/>
  <c r="M18" i="7"/>
  <c r="L18" i="7"/>
  <c r="K18" i="7"/>
  <c r="J18" i="7"/>
  <c r="I18" i="7"/>
  <c r="F18" i="7" s="1"/>
  <c r="H18" i="7"/>
  <c r="G18" i="7"/>
  <c r="R17" i="7"/>
  <c r="Q17" i="7"/>
  <c r="P17" i="7"/>
  <c r="O17" i="7"/>
  <c r="N17" i="7"/>
  <c r="M17" i="7"/>
  <c r="L17" i="7"/>
  <c r="K17" i="7"/>
  <c r="J17" i="7"/>
  <c r="I17" i="7"/>
  <c r="H17" i="7"/>
  <c r="G17" i="7"/>
  <c r="R16" i="7"/>
  <c r="Q16" i="7"/>
  <c r="P16" i="7"/>
  <c r="O16" i="7"/>
  <c r="N16" i="7"/>
  <c r="M16" i="7"/>
  <c r="L16" i="7"/>
  <c r="K16" i="7"/>
  <c r="J16" i="7"/>
  <c r="I16" i="7"/>
  <c r="H16" i="7"/>
  <c r="G16" i="7"/>
  <c r="R15" i="7"/>
  <c r="Q15" i="7"/>
  <c r="P15" i="7"/>
  <c r="O15" i="7"/>
  <c r="N15" i="7"/>
  <c r="M15" i="7"/>
  <c r="L15" i="7"/>
  <c r="K15" i="7"/>
  <c r="J15" i="7"/>
  <c r="I15" i="7"/>
  <c r="H15" i="7"/>
  <c r="G15" i="7"/>
  <c r="R14" i="7"/>
  <c r="R19" i="7" s="1"/>
  <c r="Q14" i="7"/>
  <c r="P14" i="7"/>
  <c r="O14" i="7"/>
  <c r="N14" i="7"/>
  <c r="N19" i="7" s="1"/>
  <c r="M14" i="7"/>
  <c r="L14" i="7"/>
  <c r="K14" i="7"/>
  <c r="J14" i="7"/>
  <c r="J19" i="7" s="1"/>
  <c r="I14" i="7"/>
  <c r="H14" i="7"/>
  <c r="G14" i="7"/>
  <c r="F14" i="7"/>
  <c r="R11" i="7"/>
  <c r="R9" i="7" s="1"/>
  <c r="Q11" i="7"/>
  <c r="P11" i="7"/>
  <c r="P9" i="7" s="1"/>
  <c r="O11" i="7"/>
  <c r="O9" i="7" s="1"/>
  <c r="N11" i="7"/>
  <c r="N9" i="7" s="1"/>
  <c r="M11" i="7"/>
  <c r="L11" i="7"/>
  <c r="L9" i="7" s="1"/>
  <c r="K11" i="7"/>
  <c r="J11" i="7"/>
  <c r="J9" i="7" s="1"/>
  <c r="I11" i="7"/>
  <c r="H11" i="7"/>
  <c r="H9" i="7" s="1"/>
  <c r="G11" i="7"/>
  <c r="G9" i="7" s="1"/>
  <c r="Q9" i="7"/>
  <c r="M9" i="7"/>
  <c r="K9" i="7"/>
  <c r="I9" i="7"/>
  <c r="F21" i="4"/>
  <c r="G50" i="10" l="1"/>
  <c r="Y48" i="10"/>
  <c r="Z48" i="10" s="1"/>
  <c r="Q50" i="10"/>
  <c r="Z51" i="10"/>
  <c r="Y49" i="10"/>
  <c r="P53" i="9"/>
  <c r="H18" i="9"/>
  <c r="J45" i="9"/>
  <c r="J51" i="9" s="1"/>
  <c r="J52" i="9" s="1"/>
  <c r="O18" i="9"/>
  <c r="F16" i="9"/>
  <c r="L45" i="9"/>
  <c r="L51" i="9" s="1"/>
  <c r="L52" i="9" s="1"/>
  <c r="K18" i="9"/>
  <c r="K10" i="9" s="1"/>
  <c r="Q14" i="9"/>
  <c r="Q18" i="9" s="1"/>
  <c r="Q10" i="9" s="1"/>
  <c r="J53" i="9"/>
  <c r="R14" i="9"/>
  <c r="R18" i="9" s="1"/>
  <c r="P45" i="9"/>
  <c r="P51" i="9" s="1"/>
  <c r="P52" i="9" s="1"/>
  <c r="G14" i="9"/>
  <c r="Q15" i="9"/>
  <c r="M17" i="9"/>
  <c r="F17" i="9" s="1"/>
  <c r="F44" i="9"/>
  <c r="H34" i="9"/>
  <c r="F34" i="9" s="1"/>
  <c r="H14" i="9"/>
  <c r="I14" i="9"/>
  <c r="I18" i="9" s="1"/>
  <c r="G15" i="9"/>
  <c r="Q16" i="9"/>
  <c r="O17" i="9"/>
  <c r="K14" i="9"/>
  <c r="Q17" i="9"/>
  <c r="N14" i="9"/>
  <c r="N18" i="9" s="1"/>
  <c r="G18" i="9"/>
  <c r="G10" i="9" s="1"/>
  <c r="M18" i="8"/>
  <c r="M10" i="8" s="1"/>
  <c r="J15" i="8"/>
  <c r="Q12" i="8"/>
  <c r="Q18" i="8" s="1"/>
  <c r="Q10" i="8" s="1"/>
  <c r="O13" i="8"/>
  <c r="O18" i="8" s="1"/>
  <c r="K15" i="8"/>
  <c r="I16" i="8"/>
  <c r="F16" i="8" s="1"/>
  <c r="M15" i="8"/>
  <c r="K33" i="8"/>
  <c r="F33" i="8" s="1"/>
  <c r="H12" i="8"/>
  <c r="R13" i="8"/>
  <c r="R18" i="8" s="1"/>
  <c r="N15" i="8"/>
  <c r="L16" i="8"/>
  <c r="L15" i="8"/>
  <c r="I12" i="8"/>
  <c r="G13" i="8"/>
  <c r="Q14" i="8"/>
  <c r="F14" i="8" s="1"/>
  <c r="O15" i="8"/>
  <c r="M16" i="8"/>
  <c r="K17" i="8"/>
  <c r="F17" i="8" s="1"/>
  <c r="F29" i="8"/>
  <c r="J12" i="8"/>
  <c r="J18" i="8" s="1"/>
  <c r="J10" i="8" s="1"/>
  <c r="H13" i="8"/>
  <c r="P15" i="8"/>
  <c r="P18" i="8" s="1"/>
  <c r="N16" i="8"/>
  <c r="Q15" i="8"/>
  <c r="K13" i="8"/>
  <c r="K18" i="8" s="1"/>
  <c r="G15" i="8"/>
  <c r="Q16" i="8"/>
  <c r="N12" i="8"/>
  <c r="L13" i="8"/>
  <c r="L18" i="8" s="1"/>
  <c r="H15" i="8"/>
  <c r="R16" i="8"/>
  <c r="R15" i="8"/>
  <c r="D26" i="4"/>
  <c r="H19" i="7"/>
  <c r="H12" i="7" s="1"/>
  <c r="L19" i="7"/>
  <c r="L12" i="7" s="1"/>
  <c r="P19" i="7"/>
  <c r="F16" i="7"/>
  <c r="O34" i="7"/>
  <c r="F22" i="7"/>
  <c r="F29" i="7"/>
  <c r="F31" i="7"/>
  <c r="F32" i="7"/>
  <c r="F41" i="7"/>
  <c r="B23" i="4"/>
  <c r="D23" i="4" s="1"/>
  <c r="G19" i="7"/>
  <c r="G12" i="7" s="1"/>
  <c r="K19" i="7"/>
  <c r="O19" i="7"/>
  <c r="F17" i="7"/>
  <c r="J34" i="7"/>
  <c r="F34" i="7" s="1"/>
  <c r="N34" i="7"/>
  <c r="N12" i="7" s="1"/>
  <c r="N53" i="7" s="1"/>
  <c r="R34" i="7"/>
  <c r="R12" i="7" s="1"/>
  <c r="I19" i="7"/>
  <c r="M19" i="7"/>
  <c r="M12" i="7" s="1"/>
  <c r="Q19" i="7"/>
  <c r="P34" i="7"/>
  <c r="F27" i="7"/>
  <c r="J45" i="7"/>
  <c r="J51" i="7" s="1"/>
  <c r="J52" i="7" s="1"/>
  <c r="N45" i="7"/>
  <c r="N51" i="7" s="1"/>
  <c r="N52" i="7" s="1"/>
  <c r="R45" i="7"/>
  <c r="R51" i="7" s="1"/>
  <c r="R52" i="7" s="1"/>
  <c r="I12" i="7"/>
  <c r="Q12" i="7"/>
  <c r="F44" i="7"/>
  <c r="F35" i="7" s="1"/>
  <c r="H45" i="7"/>
  <c r="H51" i="7" s="1"/>
  <c r="H52" i="7" s="1"/>
  <c r="L45" i="7"/>
  <c r="L51" i="7" s="1"/>
  <c r="L52" i="7" s="1"/>
  <c r="P45" i="7"/>
  <c r="P51" i="7" s="1"/>
  <c r="P52" i="7" s="1"/>
  <c r="K45" i="7"/>
  <c r="K51" i="7" s="1"/>
  <c r="K52" i="7" s="1"/>
  <c r="K12" i="7"/>
  <c r="O45" i="7"/>
  <c r="O51" i="7" s="1"/>
  <c r="O52" i="7" s="1"/>
  <c r="O12" i="7"/>
  <c r="O53" i="7" s="1"/>
  <c r="F15" i="7"/>
  <c r="F19" i="7" s="1"/>
  <c r="H35" i="7"/>
  <c r="H53" i="7" s="1"/>
  <c r="F11" i="7"/>
  <c r="F9" i="7" s="1"/>
  <c r="F21" i="7"/>
  <c r="I45" i="7"/>
  <c r="I51" i="7" s="1"/>
  <c r="I52" i="7" s="1"/>
  <c r="Q45" i="7"/>
  <c r="Q51" i="7" s="1"/>
  <c r="Q52" i="7" s="1"/>
  <c r="B22" i="4"/>
  <c r="D22" i="4" s="1"/>
  <c r="F20" i="4"/>
  <c r="R10" i="9" l="1"/>
  <c r="R45" i="9"/>
  <c r="R51" i="9" s="1"/>
  <c r="R52" i="9" s="1"/>
  <c r="N45" i="9"/>
  <c r="N51" i="9" s="1"/>
  <c r="N52" i="9" s="1"/>
  <c r="N10" i="9"/>
  <c r="N53" i="9" s="1"/>
  <c r="K53" i="9"/>
  <c r="M18" i="9"/>
  <c r="H10" i="9"/>
  <c r="H45" i="9"/>
  <c r="H51" i="9" s="1"/>
  <c r="H52" i="9" s="1"/>
  <c r="I45" i="9"/>
  <c r="I51" i="9" s="1"/>
  <c r="I52" i="9" s="1"/>
  <c r="I10" i="9"/>
  <c r="I53" i="9" s="1"/>
  <c r="F14" i="9"/>
  <c r="F18" i="9" s="1"/>
  <c r="Q45" i="9"/>
  <c r="Q51" i="9" s="1"/>
  <c r="Q52" i="9" s="1"/>
  <c r="Q53" i="9"/>
  <c r="L53" i="9"/>
  <c r="K45" i="9"/>
  <c r="K51" i="9" s="1"/>
  <c r="K52" i="9" s="1"/>
  <c r="G45" i="9"/>
  <c r="G51" i="9" s="1"/>
  <c r="G52" i="9" s="1"/>
  <c r="O10" i="9"/>
  <c r="O45" i="9"/>
  <c r="O51" i="9" s="1"/>
  <c r="O52" i="9" s="1"/>
  <c r="F15" i="9"/>
  <c r="R10" i="8"/>
  <c r="R44" i="8"/>
  <c r="R50" i="8" s="1"/>
  <c r="R51" i="8" s="1"/>
  <c r="P10" i="8"/>
  <c r="P44" i="8"/>
  <c r="P50" i="8" s="1"/>
  <c r="P51" i="8" s="1"/>
  <c r="O10" i="8"/>
  <c r="O44" i="8"/>
  <c r="O50" i="8" s="1"/>
  <c r="O51" i="8" s="1"/>
  <c r="Q52" i="8"/>
  <c r="K10" i="8"/>
  <c r="K44" i="8"/>
  <c r="K50" i="8" s="1"/>
  <c r="K51" i="8" s="1"/>
  <c r="F12" i="8"/>
  <c r="F18" i="8" s="1"/>
  <c r="H18" i="8"/>
  <c r="N18" i="8"/>
  <c r="J44" i="8"/>
  <c r="J50" i="8" s="1"/>
  <c r="J51" i="8" s="1"/>
  <c r="Q44" i="8"/>
  <c r="Q50" i="8" s="1"/>
  <c r="Q51" i="8" s="1"/>
  <c r="F15" i="8"/>
  <c r="G18" i="8"/>
  <c r="F13" i="8"/>
  <c r="I18" i="8"/>
  <c r="L10" i="8"/>
  <c r="L52" i="8" s="1"/>
  <c r="L44" i="8"/>
  <c r="L50" i="8" s="1"/>
  <c r="L51" i="8" s="1"/>
  <c r="M44" i="8"/>
  <c r="M50" i="8" s="1"/>
  <c r="M51" i="8" s="1"/>
  <c r="G45" i="7"/>
  <c r="G51" i="7" s="1"/>
  <c r="G52" i="7" s="1"/>
  <c r="F52" i="7" s="1"/>
  <c r="P12" i="7"/>
  <c r="P53" i="7" s="1"/>
  <c r="R60" i="7" s="1"/>
  <c r="F12" i="7"/>
  <c r="F53" i="7" s="1"/>
  <c r="J12" i="7"/>
  <c r="Q53" i="7"/>
  <c r="I53" i="7"/>
  <c r="M45" i="7"/>
  <c r="M51" i="7" s="1"/>
  <c r="M52" i="7" s="1"/>
  <c r="R53" i="7"/>
  <c r="J53" i="7"/>
  <c r="F45" i="7"/>
  <c r="F51" i="7" s="1"/>
  <c r="G53" i="7"/>
  <c r="I60" i="7" s="1"/>
  <c r="L53" i="7"/>
  <c r="K53" i="7"/>
  <c r="B21" i="4"/>
  <c r="D21" i="4" s="1"/>
  <c r="F19" i="4"/>
  <c r="H53" i="9" l="1"/>
  <c r="G53" i="9"/>
  <c r="F10" i="9"/>
  <c r="F45" i="9"/>
  <c r="M10" i="9"/>
  <c r="M45" i="9"/>
  <c r="M51" i="9" s="1"/>
  <c r="M52" i="9" s="1"/>
  <c r="F52" i="9" s="1"/>
  <c r="O53" i="9"/>
  <c r="R53" i="9"/>
  <c r="M52" i="8"/>
  <c r="K52" i="8"/>
  <c r="P52" i="8"/>
  <c r="F10" i="8"/>
  <c r="F44" i="8"/>
  <c r="J52" i="8"/>
  <c r="O52" i="8"/>
  <c r="N10" i="8"/>
  <c r="N44" i="8"/>
  <c r="N50" i="8" s="1"/>
  <c r="N51" i="8" s="1"/>
  <c r="I10" i="8"/>
  <c r="I44" i="8"/>
  <c r="I50" i="8" s="1"/>
  <c r="I51" i="8" s="1"/>
  <c r="G44" i="8"/>
  <c r="G50" i="8" s="1"/>
  <c r="G51" i="8" s="1"/>
  <c r="G10" i="8"/>
  <c r="H10" i="8"/>
  <c r="H44" i="8"/>
  <c r="H50" i="8" s="1"/>
  <c r="H51" i="8" s="1"/>
  <c r="R52" i="8"/>
  <c r="M53" i="7"/>
  <c r="O60" i="7" s="1"/>
  <c r="L60" i="7"/>
  <c r="F51" i="9" l="1"/>
  <c r="S45" i="9"/>
  <c r="M53" i="9"/>
  <c r="S58" i="9" s="1"/>
  <c r="F53" i="9"/>
  <c r="D58" i="9" s="1"/>
  <c r="I52" i="8"/>
  <c r="F51" i="8"/>
  <c r="F50" i="8"/>
  <c r="S44" i="8"/>
  <c r="F52" i="8"/>
  <c r="H52" i="8"/>
  <c r="N52" i="8"/>
  <c r="G52" i="8"/>
  <c r="F16" i="4"/>
  <c r="B18" i="4" s="1"/>
  <c r="O55" i="6" l="1"/>
  <c r="N55" i="6"/>
  <c r="M55" i="6"/>
  <c r="L55" i="6"/>
  <c r="K55" i="6"/>
  <c r="J55" i="6"/>
  <c r="I55" i="6"/>
  <c r="H55" i="6"/>
  <c r="G55" i="6"/>
  <c r="F55" i="6"/>
  <c r="E55" i="6"/>
  <c r="D55" i="6"/>
  <c r="C53" i="6"/>
  <c r="C52" i="6"/>
  <c r="C51" i="6"/>
  <c r="C50" i="6"/>
  <c r="C49" i="6"/>
  <c r="C48" i="6"/>
  <c r="C39" i="6"/>
  <c r="O38" i="6"/>
  <c r="N38" i="6" s="1"/>
  <c r="O35" i="6"/>
  <c r="N35" i="6"/>
  <c r="M35" i="6" s="1"/>
  <c r="L35" i="6" s="1"/>
  <c r="K35" i="6" s="1"/>
  <c r="J35" i="6" s="1"/>
  <c r="I35" i="6" s="1"/>
  <c r="H35" i="6" s="1"/>
  <c r="G35" i="6" s="1"/>
  <c r="F35" i="6" s="1"/>
  <c r="E35" i="6" s="1"/>
  <c r="D35" i="6" s="1"/>
  <c r="C35" i="6" s="1"/>
  <c r="C36" i="6" s="1"/>
  <c r="O32" i="6"/>
  <c r="N32" i="6"/>
  <c r="M32" i="6"/>
  <c r="L32" i="6"/>
  <c r="L13" i="6" s="1"/>
  <c r="K32" i="6"/>
  <c r="J32" i="6"/>
  <c r="I32" i="6"/>
  <c r="H32" i="6"/>
  <c r="H13" i="6" s="1"/>
  <c r="G32" i="6"/>
  <c r="F32" i="6"/>
  <c r="E32" i="6"/>
  <c r="D32" i="6"/>
  <c r="D13" i="6" s="1"/>
  <c r="C31" i="6"/>
  <c r="C30" i="6"/>
  <c r="C29" i="6"/>
  <c r="C28" i="6"/>
  <c r="C27" i="6"/>
  <c r="C26" i="6"/>
  <c r="C25" i="6"/>
  <c r="C22" i="6"/>
  <c r="C21" i="6"/>
  <c r="O19" i="6"/>
  <c r="N19" i="6"/>
  <c r="N13" i="6" s="1"/>
  <c r="M19" i="6"/>
  <c r="M13" i="6" s="1"/>
  <c r="L19" i="6"/>
  <c r="K19" i="6"/>
  <c r="J19" i="6"/>
  <c r="J13" i="6" s="1"/>
  <c r="I19" i="6"/>
  <c r="I13" i="6" s="1"/>
  <c r="H19" i="6"/>
  <c r="G19" i="6"/>
  <c r="F19" i="6"/>
  <c r="F13" i="6" s="1"/>
  <c r="E19" i="6"/>
  <c r="E13" i="6" s="1"/>
  <c r="D19" i="6"/>
  <c r="C18" i="6"/>
  <c r="C17" i="6"/>
  <c r="C16" i="6"/>
  <c r="C15" i="6"/>
  <c r="O13" i="6"/>
  <c r="K13" i="6"/>
  <c r="G13" i="6"/>
  <c r="O12" i="6"/>
  <c r="O6" i="6" s="1"/>
  <c r="M12" i="6"/>
  <c r="L12" i="6"/>
  <c r="K12" i="6"/>
  <c r="I12" i="6"/>
  <c r="H12" i="6"/>
  <c r="G12" i="6"/>
  <c r="E12" i="6"/>
  <c r="C12" i="6"/>
  <c r="C11" i="6"/>
  <c r="O9" i="6"/>
  <c r="O41" i="6" s="1"/>
  <c r="O47" i="6" s="1"/>
  <c r="N9" i="6"/>
  <c r="N41" i="6" s="1"/>
  <c r="N47" i="6" s="1"/>
  <c r="M9" i="6"/>
  <c r="M6" i="6" s="1"/>
  <c r="L9" i="6"/>
  <c r="L41" i="6" s="1"/>
  <c r="L47" i="6" s="1"/>
  <c r="K9" i="6"/>
  <c r="K41" i="6" s="1"/>
  <c r="K47" i="6" s="1"/>
  <c r="J9" i="6"/>
  <c r="J6" i="6" s="1"/>
  <c r="I9" i="6"/>
  <c r="I6" i="6" s="1"/>
  <c r="H9" i="6"/>
  <c r="H41" i="6" s="1"/>
  <c r="H47" i="6" s="1"/>
  <c r="G9" i="6"/>
  <c r="G41" i="6" s="1"/>
  <c r="G47" i="6" s="1"/>
  <c r="F9" i="6"/>
  <c r="F41" i="6" s="1"/>
  <c r="F47" i="6" s="1"/>
  <c r="E9" i="6"/>
  <c r="E41" i="6" s="1"/>
  <c r="E47" i="6" s="1"/>
  <c r="D9" i="6"/>
  <c r="D41" i="6" s="1"/>
  <c r="D47" i="6" s="1"/>
  <c r="C8" i="6"/>
  <c r="C9" i="6" s="1"/>
  <c r="K6" i="6"/>
  <c r="H6" i="6"/>
  <c r="G6" i="6"/>
  <c r="F15" i="4"/>
  <c r="B17" i="4" s="1"/>
  <c r="E6" i="6" l="1"/>
  <c r="I41" i="6"/>
  <c r="I47" i="6" s="1"/>
  <c r="M41" i="6"/>
  <c r="M47" i="6" s="1"/>
  <c r="C19" i="6"/>
  <c r="C13" i="6" s="1"/>
  <c r="C32" i="6"/>
  <c r="C55" i="6"/>
  <c r="C6" i="6"/>
  <c r="N40" i="6"/>
  <c r="N33" i="6" s="1"/>
  <c r="N56" i="6" s="1"/>
  <c r="M38" i="6"/>
  <c r="L6" i="6"/>
  <c r="O40" i="6"/>
  <c r="O33" i="6" s="1"/>
  <c r="O56" i="6" s="1"/>
  <c r="J41" i="6"/>
  <c r="J47" i="6" s="1"/>
  <c r="C41" i="6" l="1"/>
  <c r="C47" i="6" s="1"/>
  <c r="M40" i="6"/>
  <c r="M33" i="6" s="1"/>
  <c r="M56" i="6" s="1"/>
  <c r="M60" i="6" s="1"/>
  <c r="L38" i="6"/>
  <c r="B16" i="4"/>
  <c r="D16" i="4" s="1"/>
  <c r="F14" i="4"/>
  <c r="K38" i="6" l="1"/>
  <c r="L40" i="6"/>
  <c r="L33" i="6" s="1"/>
  <c r="L56" i="6" s="1"/>
  <c r="N37" i="5"/>
  <c r="N38" i="5"/>
  <c r="N31" i="5"/>
  <c r="N30" i="5"/>
  <c r="J38" i="6" l="1"/>
  <c r="K40" i="6"/>
  <c r="K33" i="6" s="1"/>
  <c r="K56" i="6" s="1"/>
  <c r="O34" i="5"/>
  <c r="N35" i="5"/>
  <c r="I38" i="6" l="1"/>
  <c r="J40" i="6"/>
  <c r="J33" i="6" s="1"/>
  <c r="J56" i="6" s="1"/>
  <c r="J60" i="6" s="1"/>
  <c r="E35" i="5"/>
  <c r="N29" i="5" s="1"/>
  <c r="D30" i="5"/>
  <c r="D24" i="5"/>
  <c r="N28" i="5" s="1"/>
  <c r="N34" i="5" l="1"/>
  <c r="N33" i="5"/>
  <c r="I40" i="6"/>
  <c r="I33" i="6" s="1"/>
  <c r="I56" i="6" s="1"/>
  <c r="H38" i="6"/>
  <c r="O27" i="4"/>
  <c r="O26" i="4"/>
  <c r="O28" i="4" s="1"/>
  <c r="M27" i="4"/>
  <c r="G38" i="6" l="1"/>
  <c r="H40" i="6"/>
  <c r="H33" i="6" s="1"/>
  <c r="H56" i="6" s="1"/>
  <c r="F13" i="4"/>
  <c r="B15" i="4" s="1"/>
  <c r="F38" i="6" l="1"/>
  <c r="G40" i="6"/>
  <c r="G33" i="6" s="1"/>
  <c r="G56" i="6" s="1"/>
  <c r="G60" i="6" s="1"/>
  <c r="C18" i="4" s="1"/>
  <c r="B19" i="2"/>
  <c r="D15" i="4"/>
  <c r="F18" i="4" l="1"/>
  <c r="B20" i="4" s="1"/>
  <c r="D20" i="4" s="1"/>
  <c r="D18" i="4"/>
  <c r="F40" i="6"/>
  <c r="F33" i="6" s="1"/>
  <c r="F56" i="6" s="1"/>
  <c r="E38" i="6"/>
  <c r="F12" i="4"/>
  <c r="B14" i="4" s="1"/>
  <c r="D14" i="4" s="1"/>
  <c r="E40" i="6" l="1"/>
  <c r="E33" i="6" s="1"/>
  <c r="E56" i="6" s="1"/>
  <c r="D38" i="6"/>
  <c r="F11" i="4"/>
  <c r="B13" i="4" s="1"/>
  <c r="D13" i="4" s="1"/>
  <c r="F10" i="4"/>
  <c r="B12" i="4" s="1"/>
  <c r="D12" i="4" s="1"/>
  <c r="F9" i="4"/>
  <c r="B11" i="4" s="1"/>
  <c r="D11" i="4" s="1"/>
  <c r="F8" i="4"/>
  <c r="B10" i="4" s="1"/>
  <c r="D10" i="4"/>
  <c r="F7" i="4"/>
  <c r="B9" i="4" s="1"/>
  <c r="D9" i="4" s="1"/>
  <c r="F6" i="4"/>
  <c r="B8" i="4"/>
  <c r="D8" i="4"/>
  <c r="D7" i="4"/>
  <c r="F5" i="4"/>
  <c r="B20" i="3"/>
  <c r="D20" i="3"/>
  <c r="D23" i="3"/>
  <c r="C22" i="3"/>
  <c r="C38" i="6" l="1"/>
  <c r="C40" i="6" s="1"/>
  <c r="C33" i="6" s="1"/>
  <c r="C56" i="6" s="1"/>
  <c r="D40" i="6"/>
  <c r="D33" i="6" s="1"/>
  <c r="D56" i="6" s="1"/>
  <c r="D60" i="6" s="1"/>
  <c r="C17" i="4" s="1"/>
  <c r="B22" i="3"/>
  <c r="B23" i="3"/>
  <c r="C20" i="3" s="1"/>
  <c r="C23" i="3" s="1"/>
  <c r="B21" i="3"/>
  <c r="B24" i="3"/>
  <c r="F17" i="4" l="1"/>
  <c r="B19" i="4" s="1"/>
  <c r="D19" i="4" s="1"/>
  <c r="D1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Kaidi Šatilov</author>
  </authors>
  <commentList>
    <comment ref="A5" authorId="0" shapeId="0" xr:uid="{00000000-0006-0000-0100-000001000000}">
      <text>
        <r>
          <rPr>
            <sz val="9"/>
            <color indexed="81"/>
            <rFont val="Tahoma"/>
            <family val="2"/>
            <charset val="186"/>
          </rPr>
          <t xml:space="preserve">Peab sisaldama ettemaksetaotluse perioodil prognoositud kulusid (nii toetuse kui omafinantseeringu summa)
</t>
        </r>
      </text>
    </comment>
    <comment ref="B19" authorId="0" shapeId="0" xr:uid="{00000000-0006-0000-0100-000002000000}">
      <text>
        <r>
          <rPr>
            <sz val="9"/>
            <color indexed="81"/>
            <rFont val="Tahoma"/>
            <family val="2"/>
            <charset val="186"/>
          </rPr>
          <t xml:space="preserve">Summa peab kattuma ettemaksetaotluses taotletava toetuse ja sellele vastava omafinatseeringu summaga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Anneli Liblik</author>
  </authors>
  <commentList>
    <comment ref="C19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186"/>
          </rPr>
          <t>Anneli Liblik:</t>
        </r>
        <r>
          <rPr>
            <sz val="9"/>
            <color indexed="81"/>
            <rFont val="Tahoma"/>
            <family val="2"/>
            <charset val="186"/>
          </rPr>
          <t xml:space="preserve">
Korrigeeritud vastavalt muudetud eelarvele.</t>
        </r>
      </text>
    </comment>
    <comment ref="C20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186"/>
          </rPr>
          <t>Anneli Liblik:</t>
        </r>
        <r>
          <rPr>
            <sz val="9"/>
            <color indexed="81"/>
            <rFont val="Tahoma"/>
            <family val="2"/>
            <charset val="186"/>
          </rPr>
          <t xml:space="preserve">
Korrigeeritud vastavalt suurendatud eelarvele.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4" authorId="0" shapeId="0" xr:uid="{061831CF-EB7A-4642-AE08-C8CB5039F445}">
      <text>
        <r>
          <rPr>
            <sz val="9"/>
            <color indexed="81"/>
            <rFont val="Segoe UI"/>
            <family val="2"/>
          </rPr>
          <t>Palgafondi puhul arvestatud töökoormusega 1,0.  (al 2022 nelja piirkondliku koordinaatori palgakulu)</t>
        </r>
      </text>
    </comment>
    <comment ref="B16" authorId="0" shapeId="0" xr:uid="{2DD3BC32-9ECB-4825-AE55-4CCCF3C13A5B}">
      <text>
        <r>
          <rPr>
            <sz val="9"/>
            <color indexed="81"/>
            <rFont val="Segoe UI"/>
            <family val="2"/>
          </rPr>
          <t>Palgafondi puhul arvestatud töökoormusega 0,75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4" authorId="0" shapeId="0" xr:uid="{2426E44D-9A6E-4322-83D0-384455B2C275}">
      <text>
        <r>
          <rPr>
            <sz val="9"/>
            <color indexed="81"/>
            <rFont val="Segoe UI"/>
            <family val="2"/>
          </rPr>
          <t>Palgafondi puhul arvestatud töökoormusega 1,0.  (al 2022 nelja piirkondliku koordinaatori palgakulu)</t>
        </r>
      </text>
    </comment>
    <comment ref="B16" authorId="0" shapeId="0" xr:uid="{3E4C9D46-5051-4362-B14D-C49A219FFC4A}">
      <text>
        <r>
          <rPr>
            <sz val="9"/>
            <color indexed="81"/>
            <rFont val="Segoe UI"/>
            <family val="2"/>
          </rPr>
          <t>Palgafondi puhul arvestatud töökoormusega 0,75</t>
        </r>
      </text>
    </comment>
  </commentList>
</comments>
</file>

<file path=xl/sharedStrings.xml><?xml version="1.0" encoding="utf-8"?>
<sst xmlns="http://schemas.openxmlformats.org/spreadsheetml/2006/main" count="773" uniqueCount="364">
  <si>
    <t>Toetuse saaja nimi</t>
  </si>
  <si>
    <t>Toetuse saaja pangakonto nr (toetuskonto)</t>
  </si>
  <si>
    <t>Ettemakse vajadus</t>
  </si>
  <si>
    <t>Varem saadud ettemaksete tõendamata summa</t>
  </si>
  <si>
    <t>Protsent</t>
  </si>
  <si>
    <t>Omafinantseering</t>
  </si>
  <si>
    <t xml:space="preserve">Struktuuritoetus </t>
  </si>
  <si>
    <t>sh EL struktuuritoetus</t>
  </si>
  <si>
    <t>Kokku</t>
  </si>
  <si>
    <t>Allkirjaõiguslik esindaja</t>
  </si>
  <si>
    <t>(allkiri, kuupäev)</t>
  </si>
  <si>
    <t>Kulutuste prognoos</t>
  </si>
  <si>
    <t>Prognoositav  summa</t>
  </si>
  <si>
    <t>Selgitus kulu sisu kohta (nt hankelepingu nr, jooksvate tegevuste kirjeldus vm)</t>
  </si>
  <si>
    <t>Allkirjaõiguslik esindaja:</t>
  </si>
  <si>
    <t>Projekti number</t>
  </si>
  <si>
    <t>Ettemaksena taotletav toetus</t>
  </si>
  <si>
    <t>Kinnitan, et ettemaksetaotlust tagab nõuetekohane pangagarantii (kui kohaldub, siis märkida kasti rist)  (ÜM § 18 lg 1 p 2; § 20 )</t>
  </si>
  <si>
    <t>sh riiklik kaasfinantseering</t>
  </si>
  <si>
    <t>Kinnitan, et toetuse saaja kasutab kogu ettemaksena saadud toetuse abikõlblike kulude tegemiseks ja esitab käesoleva ettemakse kohta kõik ettemakse kasutamise aruanded vastavalt ühendmääruses sätestatud tingimustele ja tähtaegadele.</t>
  </si>
  <si>
    <t>Tegevuse täpne nimetus</t>
  </si>
  <si>
    <t>Prognoositav abikõlblik summa kokku sh ühtse määra alusel hüvitatavad kulud</t>
  </si>
  <si>
    <t>(nimi, telefon, e-mail)</t>
  </si>
  <si>
    <t>Koostaja:</t>
  </si>
  <si>
    <t>(nimi, allkiri, kuupäev)</t>
  </si>
  <si>
    <t>Viitenumber</t>
  </si>
  <si>
    <t xml:space="preserve">Ettemaksetaotluse number </t>
  </si>
  <si>
    <t>Projekti nimi</t>
  </si>
  <si>
    <t>Ettemaksetaotluse liik</t>
  </si>
  <si>
    <t>Summa</t>
  </si>
  <si>
    <t>Mitteriigiabi ettemaksetaotlus</t>
  </si>
  <si>
    <t>Ettemakse taotlemise alus</t>
  </si>
  <si>
    <t>Riigiabi ettemaksetaotlus</t>
  </si>
  <si>
    <t>Riigihanke piirmääraga võrdse või ületava maksumusega RH lepingu ettemaksetaotlus</t>
  </si>
  <si>
    <t xml:space="preserve">Kulude tekkimise periood </t>
  </si>
  <si>
    <t>Lisa 1 Mitteriigiabi ettemakse taotlusele</t>
  </si>
  <si>
    <t>Rahastuse jaotus</t>
  </si>
  <si>
    <r>
      <t>Prognoosikohane ettemaksetaotlus (Aruanded tuleb esitada hiljemalt 15 kalendripäeva jooksul ettemakse taotluse perioodi lõpust</t>
    </r>
    <r>
      <rPr>
        <i/>
        <sz val="9"/>
        <color theme="1"/>
        <rFont val="Arial"/>
        <family val="2"/>
        <charset val="186"/>
      </rPr>
      <t>)</t>
    </r>
  </si>
  <si>
    <t>Vorm 6</t>
  </si>
  <si>
    <t>X</t>
  </si>
  <si>
    <t>2014-2020.2.07.003.01.15-0001</t>
  </si>
  <si>
    <t>Noortele arenguvõimaluste pakkumine programmi SPIN abil</t>
  </si>
  <si>
    <t>MTÜ SPIN</t>
  </si>
  <si>
    <t>EE067700771001443610</t>
  </si>
  <si>
    <t>Alari Rammo; 5050052; rammo@me.com</t>
  </si>
  <si>
    <t xml:space="preserve">EKA =Toetus MT-ga </t>
  </si>
  <si>
    <t>MRT nr 2</t>
  </si>
  <si>
    <t>MRT nr 1</t>
  </si>
  <si>
    <t>MRT nr 3</t>
  </si>
  <si>
    <t>Jääk nr 1</t>
  </si>
  <si>
    <t>Tedevuskava eelarve</t>
  </si>
  <si>
    <t>Jääk</t>
  </si>
  <si>
    <t>Tegelik väljamakse taotluse alusel</t>
  </si>
  <si>
    <t>MT 9</t>
  </si>
  <si>
    <t>MT 10</t>
  </si>
  <si>
    <t>MRT nr 4</t>
  </si>
  <si>
    <t>MRT nr 5</t>
  </si>
  <si>
    <t>MTR nr 6</t>
  </si>
  <si>
    <t>MRT nr 7</t>
  </si>
  <si>
    <t>MRT nr 8</t>
  </si>
  <si>
    <t>MT 11</t>
  </si>
  <si>
    <t>MT 12</t>
  </si>
  <si>
    <t>MT 13</t>
  </si>
  <si>
    <t>MT 14</t>
  </si>
  <si>
    <t>MRT nr 9</t>
  </si>
  <si>
    <t>MT 15</t>
  </si>
  <si>
    <t>MRT nr 10</t>
  </si>
  <si>
    <t>MT 18</t>
  </si>
  <si>
    <t>MRT nr 11</t>
  </si>
  <si>
    <t>EKA9 on tabelis 73253,04 a tegelt oli 56520,96</t>
  </si>
  <si>
    <t>Toetuse ettemaksu jääk 18.03.2019 (MT nr 16 aktsepteeritud summas  35806,28 eurot ja MT 17 atsepteeritud summas 4234,26 eurot ja EKA 8-2 esitamata kr 1-2 ja 25-26 summas 16732,08 eurot ) MRTEMT nr 8-st</t>
  </si>
  <si>
    <t>Laekub juulis</t>
  </si>
  <si>
    <t>Hetkel 1.07.2019 ettemaksu jääk</t>
  </si>
  <si>
    <t>2019 esitatud kuluread:</t>
  </si>
  <si>
    <t>Aruanne laekub juulis 2019</t>
  </si>
  <si>
    <t>KOKKU:</t>
  </si>
  <si>
    <t>Jääk (veerg F üleeelmine MRT)</t>
  </si>
  <si>
    <t>MT nr 1</t>
  </si>
  <si>
    <t>97,384.31</t>
  </si>
  <si>
    <t>MT nr 2</t>
  </si>
  <si>
    <t>43,600.45</t>
  </si>
  <si>
    <t>MT nr 3</t>
  </si>
  <si>
    <t>30,860.06</t>
  </si>
  <si>
    <t>MT nr 4</t>
  </si>
  <si>
    <t>38,322.12</t>
  </si>
  <si>
    <t>MT nr 5</t>
  </si>
  <si>
    <t>MT nr 6</t>
  </si>
  <si>
    <t>MT nr 7</t>
  </si>
  <si>
    <t>MT nr 8</t>
  </si>
  <si>
    <t>MT alusel eraldatud toetus Sim-ile</t>
  </si>
  <si>
    <t>SPIN-programmile tehtud toetuse ettemaksed</t>
  </si>
  <si>
    <t>Jrk nr</t>
  </si>
  <si>
    <t>Kuupäev</t>
  </si>
  <si>
    <t>Periood</t>
  </si>
  <si>
    <t>1.</t>
  </si>
  <si>
    <t>Lepingu sõlmimisel</t>
  </si>
  <si>
    <t>2.</t>
  </si>
  <si>
    <t>2015 II poolaasta</t>
  </si>
  <si>
    <t>3.</t>
  </si>
  <si>
    <t>2016 I poolaasta</t>
  </si>
  <si>
    <t xml:space="preserve">4. </t>
  </si>
  <si>
    <t>2016 II poolaasta</t>
  </si>
  <si>
    <t>KOKKU TEHTUD TOETUSE ETTEMAKSU 31.12.2016</t>
  </si>
  <si>
    <t>Jääk 01.01.2017</t>
  </si>
  <si>
    <t>2019 III kv</t>
  </si>
  <si>
    <t>2019 II kv</t>
  </si>
  <si>
    <t>2019 I kv</t>
  </si>
  <si>
    <t>2018 IV kv</t>
  </si>
  <si>
    <t>2018 III kv</t>
  </si>
  <si>
    <t>2017 I kv</t>
  </si>
  <si>
    <t>2017 II kv</t>
  </si>
  <si>
    <t>2017 III kv</t>
  </si>
  <si>
    <t>2017 IV kv</t>
  </si>
  <si>
    <t>2018 I kv</t>
  </si>
  <si>
    <t>2018 II kv</t>
  </si>
  <si>
    <t>Tehtud ettemaks 01.06.2019 SiM ilt Partnerile</t>
  </si>
  <si>
    <t>Laekunud aruandlus partnerilt</t>
  </si>
  <si>
    <t>Laekunud toetus RÜ-lt</t>
  </si>
  <si>
    <t>Esitatud maksetaotlused</t>
  </si>
  <si>
    <t>Laekunud toetus koos esitatud mt 18</t>
  </si>
  <si>
    <t>Jääk 01.06.2019 ilma mt 18</t>
  </si>
  <si>
    <t>Jääk 01.06.2019 arvestades mt 18</t>
  </si>
  <si>
    <t>Kontrollarvutus</t>
  </si>
  <si>
    <t>Jääk 1.07.2019</t>
  </si>
  <si>
    <t>MT 19</t>
  </si>
  <si>
    <t>MRT nr 12</t>
  </si>
  <si>
    <t>MRT nr 13</t>
  </si>
  <si>
    <t>MRT nr 14</t>
  </si>
  <si>
    <t>MRT nr 15</t>
  </si>
  <si>
    <t>MRT nr 16</t>
  </si>
  <si>
    <t>MRT nr 17</t>
  </si>
  <si>
    <t>MT 20</t>
  </si>
  <si>
    <t>MT 21</t>
  </si>
  <si>
    <t>MT 22</t>
  </si>
  <si>
    <t>MT 23</t>
  </si>
  <si>
    <t>MT 24</t>
  </si>
  <si>
    <t>MT 25</t>
  </si>
  <si>
    <t>MT 26</t>
  </si>
  <si>
    <t>Lisa 2</t>
  </si>
  <si>
    <t>Programmi 2020. aasta eelarveprognoos</t>
  </si>
  <si>
    <t>Kululiik</t>
  </si>
  <si>
    <t>Aasta koondeelarve eurodes</t>
  </si>
  <si>
    <t>jaanuar</t>
  </si>
  <si>
    <t>veebruar</t>
  </si>
  <si>
    <t>märts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</si>
  <si>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</si>
  <si>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</si>
  <si>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</si>
  <si>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</si>
  <si>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</si>
  <si>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</si>
  <si>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</si>
  <si>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</si>
  <si>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</si>
  <si>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>Projektijuhtimise kulu</t>
  </si>
  <si>
    <t>1.1.</t>
  </si>
  <si>
    <t>Projektijuhtimise otsene personalikulu</t>
  </si>
  <si>
    <t>1.1.1.</t>
  </si>
  <si>
    <t>Projektijuhi töötasu</t>
  </si>
  <si>
    <t>Projektijuhtimise otsene personalikulu kokku:</t>
  </si>
  <si>
    <t>1.2.</t>
  </si>
  <si>
    <t>Projektijuhtimise muu kulu kokku:</t>
  </si>
  <si>
    <t>1.2.1.</t>
  </si>
  <si>
    <t>Lähetuse kulud</t>
  </si>
  <si>
    <t>SPIN-i elluviimine</t>
  </si>
  <si>
    <t>2.1.</t>
  </si>
  <si>
    <t>SPIN-i elluviimise otsene personalikulu</t>
  </si>
  <si>
    <t>2.1.1.</t>
  </si>
  <si>
    <t>Treenerite töötasu</t>
  </si>
  <si>
    <t>2.1.2.</t>
  </si>
  <si>
    <t>Abitreenerite töötasu</t>
  </si>
  <si>
    <t>2.1.3.</t>
  </si>
  <si>
    <t>Tallinna, Ida-Virumaa ja Harjumaa koordinaatorite töötasu</t>
  </si>
  <si>
    <t>2.1.4.</t>
  </si>
  <si>
    <t>Eluoskuste suuna juht</t>
  </si>
  <si>
    <t>SPIN-i elluviimise otsene personalikulu kokku:</t>
  </si>
  <si>
    <t>2.2.</t>
  </si>
  <si>
    <t>SPIN-i elluviimise muud kulud</t>
  </si>
  <si>
    <t>2.2.1.</t>
  </si>
  <si>
    <t>Võimlate, saalide, staadionite ja väljakute rendikulu</t>
  </si>
  <si>
    <t>2.2.2.</t>
  </si>
  <si>
    <t>Spordisessioonide läbiviimiseks vajalik varustus (pallid, vestid, koonused, markerid, väravad, väravavõrgud, riietus treeneritele ja abitreeneritele jms)</t>
  </si>
  <si>
    <t>Vestid</t>
  </si>
  <si>
    <t>Treenerite varustus</t>
  </si>
  <si>
    <t>2.2.3.</t>
  </si>
  <si>
    <t>Treenerite ja abitreenerite täiendkoolitus ja supervisioon</t>
  </si>
  <si>
    <t>2.2.4.</t>
  </si>
  <si>
    <t>Sessioonide läbiviimiseks vajalikud IT- vahendid</t>
  </si>
  <si>
    <t>2.2.5.</t>
  </si>
  <si>
    <t>Võistluste läbiviimisega seotud kulud (rent, auhinnad, toitlustus jms)</t>
  </si>
  <si>
    <t>2.2.6.</t>
  </si>
  <si>
    <t>Turundus- ja infomaterjalid</t>
  </si>
  <si>
    <t>2.2.7.</t>
  </si>
  <si>
    <t>Sotsiaalsete oskuste sessioonide läbiviimine (ruumid, koolitajad, piletid, vahendid jms) ning läbiviimise toetamine (konsultatsioon, abitreenerite koolitamine, superviseerimine)</t>
  </si>
  <si>
    <t>2.2.8</t>
  </si>
  <si>
    <t>Suvelaagrite läbiviimine (ruumide ja väljakute rent, toitlustus, varustus, töötasud, auhinnad)</t>
  </si>
  <si>
    <t>SPIN-i elluviimise muu kulu kokku</t>
  </si>
  <si>
    <t>SPIN-i mõjude hindamine</t>
  </si>
  <si>
    <t>3.1.</t>
  </si>
  <si>
    <t>SPIN-i mõjude hindamise otsene personalikulu</t>
  </si>
  <si>
    <t>3.1.1.</t>
  </si>
  <si>
    <t>Käsundusleping mõju hindamiseks</t>
  </si>
  <si>
    <t>SPIN-i mõjude hindamise otsene personalikulu kokku:</t>
  </si>
  <si>
    <t>3.2.</t>
  </si>
  <si>
    <t>SPIN-i mõjude hindamise muud kulud</t>
  </si>
  <si>
    <t>3.2.1.</t>
  </si>
  <si>
    <t>Andmekeskkonna litsents</t>
  </si>
  <si>
    <t>3.2.2.</t>
  </si>
  <si>
    <t>Uuring mõju hindamiseks</t>
  </si>
  <si>
    <t>SPIN-i mõjude hindamise muu kulu kokku:</t>
  </si>
  <si>
    <t xml:space="preserve">5. </t>
  </si>
  <si>
    <t>Otsene personalikulu KOKKU:</t>
  </si>
  <si>
    <t>4.</t>
  </si>
  <si>
    <t>Kaudsed kulud</t>
  </si>
  <si>
    <t>4.1.</t>
  </si>
  <si>
    <t>Kontori rendi- ja kommunaalkulud</t>
  </si>
  <si>
    <t>4.2.</t>
  </si>
  <si>
    <t>Sidekulu</t>
  </si>
  <si>
    <t>4.3.</t>
  </si>
  <si>
    <t xml:space="preserve">Raamatupidamine </t>
  </si>
  <si>
    <t>4.4.</t>
  </si>
  <si>
    <t>Muu administreerimise ja nõustamisega seotud kulu</t>
  </si>
  <si>
    <t>4.5.</t>
  </si>
  <si>
    <t>Kodulehe halduskulud</t>
  </si>
  <si>
    <t>4.6.</t>
  </si>
  <si>
    <t>Kommunikatsiooni-arendusjuht</t>
  </si>
  <si>
    <t>4.7.</t>
  </si>
  <si>
    <t>Muu kulu</t>
  </si>
  <si>
    <t>5.1. Tegelikud kaudsed kulud KOKKU</t>
  </si>
  <si>
    <t>TAT KOKKU:</t>
  </si>
  <si>
    <t>MRT nr 18</t>
  </si>
  <si>
    <t>MRT nr 19</t>
  </si>
  <si>
    <t>MRT nr 20</t>
  </si>
  <si>
    <t>Lisa nr 11</t>
  </si>
  <si>
    <t>Detailne 2021. aasta eelarve</t>
  </si>
  <si>
    <t>Ühik</t>
  </si>
  <si>
    <t>Ühikute arv</t>
  </si>
  <si>
    <t>Ühiku maksumus</t>
  </si>
  <si>
    <t>2021. aasta koondeelarve</t>
  </si>
  <si>
    <t xml:space="preserve">mai </t>
  </si>
  <si>
    <t>in arv</t>
  </si>
  <si>
    <t>grupp</t>
  </si>
  <si>
    <t>Eluoskuste treenerite töötasu</t>
  </si>
  <si>
    <t>Piirkondlike koordinaatorite töötasu</t>
  </si>
  <si>
    <t>Eluoskuste suuna juhi töötasu</t>
  </si>
  <si>
    <t>2.1.5.</t>
  </si>
  <si>
    <t>EO piirkondlike mentorite töötasu</t>
  </si>
  <si>
    <t>kuu</t>
  </si>
  <si>
    <t>Spordisessioonide läbiviimiseks vajalik varustus (pallid, vestid, koonused, markerid, väravad, väravavõrgud, riietus treeneritele ja eluoskuste treeneritele jms)</t>
  </si>
  <si>
    <t>kord</t>
  </si>
  <si>
    <t>sõltub kuust ja gruppide arvust</t>
  </si>
  <si>
    <t>vastavalt pakkumistele</t>
  </si>
  <si>
    <t>Treenerite ja eluoskuste treenerite täiendkoolitused ja supervisioonid</t>
  </si>
  <si>
    <t>Võistluste läbiviimisega seotud kulud (väljakute rent, toitlustus, transport, vahendid, auhinnad osalejatele jms)</t>
  </si>
  <si>
    <t>Turundus- ja infomaterjalid (sh teavitusmaterjalid)</t>
  </si>
  <si>
    <t>aasta</t>
  </si>
  <si>
    <t>EO sessioonide läbiviimine (ruumid, koolitajad, sissepääsu piletid, vahendid, toitlustamine jms)</t>
  </si>
  <si>
    <t xml:space="preserve">2.2.8. </t>
  </si>
  <si>
    <t>Suvelaagrite läbiviimise kulu</t>
  </si>
  <si>
    <t>2.2.9.</t>
  </si>
  <si>
    <t>Lähetuse kulud (projektijuht, eluoskuste suuna juht, piirkondlikud EO tiimi mentorid, piirkondlikud koordinaatorid)</t>
  </si>
  <si>
    <t>2.2.10.</t>
  </si>
  <si>
    <t>Koolitusmaterjalide ja e-õppekeskkonna loomine.</t>
  </si>
  <si>
    <t>2.2.11.</t>
  </si>
  <si>
    <t xml:space="preserve">Koolitusprogrammi väljatöötamine ja läbiviimine </t>
  </si>
  <si>
    <t xml:space="preserve">sõltub kuust  </t>
  </si>
  <si>
    <t>Eksperdi töötasu</t>
  </si>
  <si>
    <t>sõltub aastast</t>
  </si>
  <si>
    <t>3.2.3.</t>
  </si>
  <si>
    <t>Andmete korje automatiseerimine</t>
  </si>
  <si>
    <t>3.2.4.</t>
  </si>
  <si>
    <t>Uuringu ettevalmistamine (senise metodoloogia ülevaatamise nõustamine, andmebaasi, artiklite jms kulu) ja kasutusele võetava mudeli piloteerimine</t>
  </si>
  <si>
    <t>sõltub kuust</t>
  </si>
  <si>
    <t>Priit Jõe</t>
  </si>
  <si>
    <t>Priit Jõe, 55579709; priit@spin.ee</t>
  </si>
  <si>
    <t>MRT nr 21</t>
  </si>
  <si>
    <t>2021 IV kvartali 98 kulurida</t>
  </si>
  <si>
    <t>MRT nr 22</t>
  </si>
  <si>
    <t>Lisa nr 2</t>
  </si>
  <si>
    <t>Detailne 2022. aasta eelarve</t>
  </si>
  <si>
    <t>Partnerlus-lepingu juurde</t>
  </si>
  <si>
    <t>2022. aasta koondeelarve</t>
  </si>
  <si>
    <t>Treenerite töötasu (al jaan 15 gruppi, augustist 17, novembrist 18 gruppi)</t>
  </si>
  <si>
    <t>Eluoskuste treenerite töötasu (al jaan 14 gruppi, augustist 16 gruppi)</t>
  </si>
  <si>
    <t xml:space="preserve">EO piirkondlike mentorite töötasu </t>
  </si>
  <si>
    <t>2.1.6</t>
  </si>
  <si>
    <t>Arendusjuht</t>
  </si>
  <si>
    <t xml:space="preserve">in arv </t>
  </si>
  <si>
    <t>MRT nr 23</t>
  </si>
  <si>
    <t>MRT nr 24</t>
  </si>
  <si>
    <t>2023. aasta koondeelarve</t>
  </si>
  <si>
    <t>Treenerite töötasu (al jaan 21 gruppi)</t>
  </si>
  <si>
    <t>Eluoskuste treenerite töötasu (al jaan 21 gruppi)</t>
  </si>
  <si>
    <t>Treenerite motivatsioonireis</t>
  </si>
  <si>
    <t>VAHE</t>
  </si>
  <si>
    <t>Detailne 2023. aasta eelarve</t>
  </si>
  <si>
    <t>Toetatava tegevuse eelarve kulukohtade kaupa (märkida aasta)</t>
  </si>
  <si>
    <t>Toetuse andmise tingimused noortele arenguvõimaluste pakkumiseks programmi SPIN abil</t>
  </si>
  <si>
    <t xml:space="preserve">KINNITATUD </t>
  </si>
  <si>
    <t>Varade asekantsleri {kp} otsusega nr {nr}</t>
  </si>
  <si>
    <r>
      <t>Toetatava tegevuse abikõlblikkuse periood: 01.12.2014</t>
    </r>
    <r>
      <rPr>
        <sz val="10"/>
        <rFont val="Calibri"/>
        <family val="2"/>
        <charset val="186"/>
      </rPr>
      <t>–</t>
    </r>
    <r>
      <rPr>
        <sz val="10"/>
        <rFont val="Arial"/>
        <family val="2"/>
        <charset val="186"/>
      </rPr>
      <t xml:space="preserve">31.12.2023 </t>
    </r>
  </si>
  <si>
    <t xml:space="preserve">"Käskkirjas "Toetuse andmise tingimused noortele </t>
  </si>
  <si>
    <t>Elluviija: Siseministeerium</t>
  </si>
  <si>
    <t>arenguvõimaluste pakkumiseks programmi SPIN abil"</t>
  </si>
  <si>
    <t>nimetatud toetatava tegevuse 2023. aasta tegevuskava ja eelarve kinnitamine!</t>
  </si>
  <si>
    <t>LISA 2</t>
  </si>
  <si>
    <t>Aasta</t>
  </si>
  <si>
    <t>Projekti tulemus</t>
  </si>
  <si>
    <t>Jrk. nr</t>
  </si>
  <si>
    <t>Projekti väljund</t>
  </si>
  <si>
    <t>Rea nr</t>
  </si>
  <si>
    <t>Projekti tegevused ja kindlaksmääratud kulukohad</t>
  </si>
  <si>
    <t xml:space="preserve">Abikõlblik kulu </t>
  </si>
  <si>
    <t>Tulemus 1: Teenust on saanud 1000 noort</t>
  </si>
  <si>
    <r>
      <t xml:space="preserve">Väljund 1: Programmi SPIN on ellu viidud </t>
    </r>
    <r>
      <rPr>
        <b/>
        <sz val="8"/>
        <color indexed="8"/>
        <rFont val="Arial"/>
        <family val="2"/>
        <charset val="186"/>
      </rPr>
      <t>üheksa hooaega</t>
    </r>
  </si>
  <si>
    <r>
      <rPr>
        <b/>
        <sz val="10"/>
        <rFont val="Arial"/>
        <family val="2"/>
        <charset val="186"/>
      </rPr>
      <t>Tegevus 2.1 kulud</t>
    </r>
    <r>
      <rPr>
        <sz val="10"/>
        <rFont val="Arial"/>
        <family val="2"/>
        <charset val="186"/>
      </rPr>
      <t>: Riski(perede) lastele (10-18.a) arenguvõimaluste pakkumine läbi kogukondliku vabaajategevuse programmi</t>
    </r>
  </si>
  <si>
    <t>1.1.1.1.</t>
  </si>
  <si>
    <t>1.1.1.2.</t>
  </si>
  <si>
    <r>
      <t xml:space="preserve">Väljund 2: On koostatud vähemalt </t>
    </r>
    <r>
      <rPr>
        <b/>
        <sz val="8"/>
        <color indexed="8"/>
        <rFont val="Arial"/>
        <family val="2"/>
        <charset val="186"/>
      </rPr>
      <t xml:space="preserve"> kolm programmi SPIN mõjude hindamise raportit</t>
    </r>
  </si>
  <si>
    <t>1.2.1.1.</t>
  </si>
  <si>
    <t>1.2.1.2.</t>
  </si>
  <si>
    <t>?</t>
  </si>
  <si>
    <t>Horisontaalne kulukoht</t>
  </si>
  <si>
    <t>Projektijuhtimine</t>
  </si>
  <si>
    <t>1.3.</t>
  </si>
  <si>
    <t>1.4.</t>
  </si>
  <si>
    <t>Kaudsed kulud kokku</t>
  </si>
  <si>
    <t>Otsene personalikulu kokku</t>
  </si>
  <si>
    <t xml:space="preserve">Eelarve kokku </t>
  </si>
  <si>
    <t>Jaotamata eelarve</t>
  </si>
  <si>
    <t>5.</t>
  </si>
  <si>
    <t>Eelarve kokku (2014-2023)</t>
  </si>
  <si>
    <t>6.</t>
  </si>
  <si>
    <t xml:space="preserve">ERF tüüpi kulud kokku </t>
  </si>
  <si>
    <t>7.</t>
  </si>
  <si>
    <t>ERF tüüpi kulude osakaal toetatava tegevuste kogumaksumusest (%)</t>
  </si>
  <si>
    <t xml:space="preserve"> </t>
  </si>
  <si>
    <t>Projekti finantsplaan</t>
  </si>
  <si>
    <t>Finantsallikate jaotus</t>
  </si>
  <si>
    <t>Osakaal (%)</t>
  </si>
  <si>
    <t xml:space="preserve">Toetatava tegevuse eelarve kokku aastate kaupa </t>
  </si>
  <si>
    <t>Toetus kokku (rida 2.1 + rida 2.2)</t>
  </si>
  <si>
    <t>2.1</t>
  </si>
  <si>
    <t>sh ESF-i toetus (85%)</t>
  </si>
  <si>
    <t>2.2</t>
  </si>
  <si>
    <t>sh riiklik kaasfinantseering (15%)</t>
  </si>
  <si>
    <t>Omafinantseering kokku (rida 3.1 + rida 3.2)</t>
  </si>
  <si>
    <t>3.1</t>
  </si>
  <si>
    <t>sh programmi elluviija osalus</t>
  </si>
  <si>
    <t>3.2</t>
  </si>
  <si>
    <t>sh programmi partneri osalus</t>
  </si>
  <si>
    <t>01.01.-31.03.2023</t>
  </si>
  <si>
    <t>aprillis</t>
  </si>
  <si>
    <t>MRT nr 25</t>
  </si>
  <si>
    <t>MRT nr 26</t>
  </si>
  <si>
    <t>MRT nr 27</t>
  </si>
  <si>
    <t>MRT nr 28</t>
  </si>
  <si>
    <t>Ei saa</t>
  </si>
  <si>
    <t>MT 25 I kvartali kulu on v õetud 2023 sheedi kuusummade jaan-märts summa.</t>
  </si>
  <si>
    <t>II kvartali kulu täpsustada peale 2022 detsembri MT summa selgumist. Täspsutada ja kehtestada PL 2023 eelarve.</t>
  </si>
  <si>
    <t>2023 jaanuar-märts    eelarve prognoos vastavalt koostöölepingu lisale (lisatud).</t>
  </si>
  <si>
    <t>Vastavalt 2023 aasta  eelarvele on  I kvartali  tegevuskulu.</t>
  </si>
  <si>
    <t>MT on esitatud summas  III kv  146632,82  eurot- Jääk eelmisest perioodist</t>
  </si>
  <si>
    <t>2022 III kvartali tegelik kulu on 146632,82  eurot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</si>
</sst>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_k_r"/>
    <numFmt numFmtId="165" formatCode="[$-F800]dddd\,\ mmmm\ dd\,\ yyyy"/>
    <numFmt numFmtId="166" formatCode="0.0"/>
  </numFmts>
  <fonts count="73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color indexed="81"/>
      <name val="Tahoma"/>
      <family val="2"/>
      <charset val="186"/>
    </font>
    <font>
      <sz val="11"/>
      <color indexed="10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60"/>
      <name val="Calibri"/>
      <family val="2"/>
      <charset val="186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9"/>
      <name val="Calibri"/>
      <family val="2"/>
      <charset val="186"/>
    </font>
    <font>
      <sz val="8"/>
      <name val="Calibri"/>
      <family val="2"/>
      <charset val="186"/>
    </font>
    <font>
      <u/>
      <sz val="10"/>
      <color indexed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theme="1"/>
      <name val="Arial"/>
      <family val="2"/>
      <charset val="186"/>
    </font>
    <font>
      <i/>
      <sz val="9"/>
      <color theme="1"/>
      <name val="Arial"/>
      <family val="2"/>
      <charset val="186"/>
    </font>
    <font>
      <sz val="9"/>
      <name val="Arial"/>
      <family val="2"/>
      <charset val="186"/>
    </font>
    <font>
      <b/>
      <sz val="9"/>
      <color theme="1"/>
      <name val="Arial"/>
      <family val="2"/>
      <charset val="186"/>
    </font>
    <font>
      <sz val="9"/>
      <color indexed="12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9"/>
      <color rgb="FF9C0006"/>
      <name val="Calibri"/>
      <family val="2"/>
      <charset val="186"/>
    </font>
    <font>
      <sz val="9"/>
      <color rgb="FF000000"/>
      <name val="Arial"/>
      <family val="2"/>
      <charset val="186"/>
    </font>
    <font>
      <sz val="10"/>
      <color rgb="FF31869B"/>
      <name val="Arial"/>
      <family val="2"/>
      <charset val="186"/>
    </font>
    <font>
      <b/>
      <sz val="9"/>
      <color rgb="FF000000"/>
      <name val="Arial"/>
      <family val="2"/>
      <charset val="186"/>
    </font>
    <font>
      <b/>
      <sz val="11"/>
      <color indexed="62"/>
      <name val="Calibri"/>
      <family val="2"/>
      <charset val="186"/>
    </font>
    <font>
      <sz val="12"/>
      <name val="Arial"/>
      <family val="2"/>
      <charset val="186"/>
    </font>
    <font>
      <b/>
      <sz val="9"/>
      <color rgb="FF006100"/>
      <name val="Arial"/>
      <family val="2"/>
      <charset val="186"/>
    </font>
    <font>
      <sz val="9"/>
      <color rgb="FF006100"/>
      <name val="Arial"/>
      <family val="2"/>
      <charset val="186"/>
    </font>
    <font>
      <sz val="9"/>
      <color rgb="FF006100"/>
      <name val="Calibri"/>
      <family val="2"/>
      <charset val="186"/>
    </font>
    <font>
      <b/>
      <sz val="9"/>
      <color rgb="FFFF0000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8"/>
      <color rgb="FF1A1A1A"/>
      <name val="Times New Roman"/>
      <family val="1"/>
      <charset val="186"/>
    </font>
    <font>
      <sz val="11"/>
      <color rgb="FF1A1A1A"/>
      <name val="Calibri"/>
      <family val="2"/>
      <charset val="186"/>
      <scheme val="minor"/>
    </font>
    <font>
      <sz val="9"/>
      <name val="Arial"/>
      <family val="2"/>
    </font>
    <font>
      <b/>
      <sz val="9"/>
      <name val="Arial"/>
      <family val="2"/>
    </font>
    <font>
      <b/>
      <sz val="8"/>
      <color rgb="FF1A1A1A"/>
      <name val="Roboto Condensed"/>
      <charset val="186"/>
    </font>
    <font>
      <sz val="12"/>
      <color rgb="FF1A1A1A"/>
      <name val="Calibri"/>
      <family val="2"/>
      <charset val="186"/>
      <scheme val="minor"/>
    </font>
    <font>
      <b/>
      <sz val="8"/>
      <color rgb="FF1A1A1A"/>
      <name val="Roboto Condensed"/>
      <charset val="186"/>
    </font>
    <font>
      <sz val="9"/>
      <color indexed="81"/>
      <name val="Segoe UI"/>
      <family val="2"/>
    </font>
    <font>
      <b/>
      <sz val="8"/>
      <color rgb="FF1A1A1A"/>
      <name val="Roboto Condensed"/>
    </font>
    <font>
      <sz val="9"/>
      <color rgb="FFFF0000"/>
      <name val="Arial"/>
      <family val="2"/>
      <charset val="186"/>
    </font>
    <font>
      <b/>
      <sz val="10"/>
      <name val="Arial"/>
      <family val="2"/>
      <charset val="186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0"/>
      <name val="Calibri"/>
      <family val="2"/>
      <charset val="186"/>
    </font>
    <font>
      <b/>
      <sz val="8"/>
      <color theme="1"/>
      <name val="Arial"/>
      <family val="2"/>
      <charset val="186"/>
    </font>
    <font>
      <b/>
      <sz val="8"/>
      <color indexed="8"/>
      <name val="Arial"/>
      <family val="2"/>
      <charset val="186"/>
    </font>
    <font>
      <b/>
      <i/>
      <sz val="10"/>
      <name val="Arial"/>
      <family val="2"/>
      <charset val="186"/>
    </font>
    <font>
      <sz val="10"/>
      <color theme="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color rgb="FFFF0000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rgb="FFFF0000"/>
      <name val="Times New Roman"/>
      <family val="1"/>
      <charset val="186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  <bgColor rgb="FFFFFFFF"/>
      </patternFill>
    </fill>
    <fill>
      <patternFill patternType="solid">
        <fgColor rgb="FFFCD5B4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EAEA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lightDown">
        <bgColor theme="0" tint="-4.9989318521683403E-2"/>
      </patternFill>
    </fill>
    <fill>
      <patternFill patternType="solid">
        <fgColor rgb="FFF5F5F5"/>
        <bgColor indexed="64"/>
      </patternFill>
    </fill>
    <fill>
      <patternFill patternType="solid">
        <fgColor theme="5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DDDDDD"/>
      </left>
      <right style="medium">
        <color rgb="FFDDDDDD"/>
      </right>
      <top/>
      <bottom/>
      <diagonal/>
    </border>
  </borders>
  <cellStyleXfs count="5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7" fillId="20" borderId="1" applyNumberFormat="0" applyAlignment="0" applyProtection="0"/>
    <xf numFmtId="0" fontId="13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0" borderId="0" applyNumberFormat="0" applyFill="0" applyBorder="0" applyAlignment="0" applyProtection="0"/>
    <xf numFmtId="0" fontId="2" fillId="0" borderId="6" applyNumberFormat="0" applyFill="0" applyAlignment="0" applyProtection="0"/>
    <xf numFmtId="0" fontId="19" fillId="21" borderId="2" applyNumberFormat="0" applyAlignment="0" applyProtection="0"/>
    <xf numFmtId="0" fontId="18" fillId="0" borderId="7" applyNumberFormat="0" applyFill="0" applyAlignment="0" applyProtection="0"/>
    <xf numFmtId="0" fontId="4" fillId="22" borderId="8" applyNumberFormat="0" applyFont="0" applyAlignment="0" applyProtection="0"/>
    <xf numFmtId="0" fontId="14" fillId="23" borderId="0" applyNumberFormat="0" applyBorder="0" applyAlignment="0" applyProtection="0"/>
    <xf numFmtId="0" fontId="4" fillId="0" borderId="0"/>
    <xf numFmtId="0" fontId="3" fillId="0" borderId="0"/>
    <xf numFmtId="0" fontId="5" fillId="0" borderId="0"/>
    <xf numFmtId="0" fontId="4" fillId="0" borderId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0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20" borderId="9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/>
    <xf numFmtId="0" fontId="34" fillId="28" borderId="0" applyNumberFormat="0" applyBorder="0" applyAlignment="0" applyProtection="0"/>
    <xf numFmtId="0" fontId="35" fillId="29" borderId="0" applyNumberFormat="0" applyBorder="0" applyAlignment="0" applyProtection="0"/>
    <xf numFmtId="0" fontId="36" fillId="30" borderId="0" applyNumberFormat="0" applyBorder="0" applyAlignment="0" applyProtection="0"/>
    <xf numFmtId="43" fontId="24" fillId="0" borderId="0" applyFont="0" applyFill="0" applyBorder="0" applyAlignment="0" applyProtection="0"/>
    <xf numFmtId="0" fontId="24" fillId="0" borderId="0"/>
  </cellStyleXfs>
  <cellXfs count="533">
    <xf numFmtId="0" fontId="0" fillId="0" borderId="0" xfId="0"/>
    <xf numFmtId="0" fontId="25" fillId="0" borderId="10" xfId="28" applyFont="1" applyBorder="1" applyAlignment="1">
      <alignment vertical="center" readingOrder="1"/>
    </xf>
    <xf numFmtId="0" fontId="26" fillId="0" borderId="15" xfId="0" applyFont="1" applyFill="1" applyBorder="1" applyAlignment="1">
      <alignment vertical="center" readingOrder="1"/>
    </xf>
    <xf numFmtId="0" fontId="26" fillId="0" borderId="0" xfId="0" applyFont="1" applyFill="1" applyBorder="1" applyAlignment="1">
      <alignment vertical="center" readingOrder="1"/>
    </xf>
    <xf numFmtId="0" fontId="26" fillId="0" borderId="0" xfId="0" applyFont="1" applyAlignment="1">
      <alignment vertical="center" readingOrder="1"/>
    </xf>
    <xf numFmtId="0" fontId="26" fillId="0" borderId="10" xfId="0" applyFont="1" applyBorder="1" applyAlignment="1">
      <alignment vertical="center" readingOrder="1"/>
    </xf>
    <xf numFmtId="0" fontId="26" fillId="0" borderId="10" xfId="0" applyFont="1" applyBorder="1" applyAlignment="1">
      <alignment horizontal="left" vertical="center" readingOrder="1"/>
    </xf>
    <xf numFmtId="49" fontId="25" fillId="0" borderId="14" xfId="28" applyNumberFormat="1" applyFont="1" applyBorder="1" applyAlignment="1">
      <alignment horizontal="left" vertical="center" readingOrder="1"/>
    </xf>
    <xf numFmtId="49" fontId="25" fillId="0" borderId="10" xfId="28" applyNumberFormat="1" applyFont="1" applyBorder="1" applyAlignment="1">
      <alignment horizontal="left" vertical="center" readingOrder="1"/>
    </xf>
    <xf numFmtId="0" fontId="29" fillId="0" borderId="28" xfId="0" applyFont="1" applyBorder="1" applyAlignment="1">
      <alignment vertical="center" readingOrder="1"/>
    </xf>
    <xf numFmtId="49" fontId="28" fillId="0" borderId="28" xfId="28" applyNumberFormat="1" applyFont="1" applyBorder="1" applyAlignment="1">
      <alignment horizontal="left" vertical="center" readingOrder="1"/>
    </xf>
    <xf numFmtId="0" fontId="28" fillId="0" borderId="0" xfId="31" applyFont="1" applyBorder="1" applyAlignment="1" applyProtection="1">
      <alignment horizontal="left" vertical="center" readingOrder="1"/>
      <protection locked="0"/>
    </xf>
    <xf numFmtId="49" fontId="28" fillId="0" borderId="13" xfId="28" applyNumberFormat="1" applyFont="1" applyBorder="1" applyAlignment="1">
      <alignment horizontal="left" vertical="center" readingOrder="1"/>
    </xf>
    <xf numFmtId="164" fontId="28" fillId="0" borderId="0" xfId="28" applyNumberFormat="1" applyFont="1" applyBorder="1" applyAlignment="1">
      <alignment vertical="center" readingOrder="1"/>
    </xf>
    <xf numFmtId="164" fontId="28" fillId="0" borderId="13" xfId="28" applyNumberFormat="1" applyFont="1" applyBorder="1" applyAlignment="1">
      <alignment horizontal="right" vertical="center" readingOrder="1"/>
    </xf>
    <xf numFmtId="0" fontId="26" fillId="0" borderId="0" xfId="0" applyFont="1" applyAlignment="1">
      <alignment vertical="center"/>
    </xf>
    <xf numFmtId="0" fontId="25" fillId="0" borderId="10" xfId="28" applyFont="1" applyBorder="1" applyAlignment="1">
      <alignment horizontal="center" vertical="center" wrapText="1" readingOrder="1"/>
    </xf>
    <xf numFmtId="0" fontId="25" fillId="0" borderId="10" xfId="28" applyFont="1" applyBorder="1" applyAlignment="1">
      <alignment horizontal="left" vertical="center" readingOrder="1"/>
    </xf>
    <xf numFmtId="4" fontId="28" fillId="0" borderId="10" xfId="28" applyNumberFormat="1" applyFont="1" applyFill="1" applyBorder="1" applyAlignment="1">
      <alignment horizontal="right" vertical="center" readingOrder="1"/>
    </xf>
    <xf numFmtId="9" fontId="28" fillId="26" borderId="14" xfId="31" applyNumberFormat="1" applyFont="1" applyFill="1" applyBorder="1" applyAlignment="1" applyProtection="1">
      <alignment horizontal="right" vertical="center" wrapText="1"/>
      <protection locked="0"/>
    </xf>
    <xf numFmtId="4" fontId="28" fillId="0" borderId="10" xfId="28" applyNumberFormat="1" applyFont="1" applyFill="1" applyBorder="1" applyAlignment="1">
      <alignment horizontal="right" vertical="center" wrapText="1" readingOrder="1"/>
    </xf>
    <xf numFmtId="4" fontId="25" fillId="0" borderId="10" xfId="28" applyNumberFormat="1" applyFont="1" applyFill="1" applyBorder="1" applyAlignment="1">
      <alignment horizontal="right" vertical="center" readingOrder="1"/>
    </xf>
    <xf numFmtId="4" fontId="25" fillId="0" borderId="10" xfId="28" applyNumberFormat="1" applyFont="1" applyFill="1" applyBorder="1" applyAlignment="1">
      <alignment horizontal="right" vertical="center" wrapText="1" readingOrder="1"/>
    </xf>
    <xf numFmtId="0" fontId="28" fillId="0" borderId="10" xfId="28" applyFont="1" applyBorder="1" applyAlignment="1">
      <alignment horizontal="right" vertical="center" readingOrder="1"/>
    </xf>
    <xf numFmtId="0" fontId="25" fillId="0" borderId="10" xfId="28" applyFont="1" applyFill="1" applyBorder="1" applyAlignment="1">
      <alignment horizontal="left" vertical="center" readingOrder="1"/>
    </xf>
    <xf numFmtId="4" fontId="25" fillId="26" borderId="14" xfId="47" applyNumberFormat="1" applyFont="1" applyFill="1" applyBorder="1" applyAlignment="1" applyProtection="1">
      <alignment horizontal="right" vertical="center" wrapText="1"/>
      <protection locked="0"/>
    </xf>
    <xf numFmtId="9" fontId="25" fillId="26" borderId="14" xfId="31" applyNumberFormat="1" applyFont="1" applyFill="1" applyBorder="1" applyAlignment="1" applyProtection="1">
      <alignment horizontal="right" vertical="center" wrapText="1"/>
      <protection locked="0"/>
    </xf>
    <xf numFmtId="0" fontId="25" fillId="27" borderId="10" xfId="28" applyFont="1" applyFill="1" applyBorder="1" applyAlignment="1">
      <alignment vertical="center" readingOrder="1"/>
    </xf>
    <xf numFmtId="4" fontId="25" fillId="26" borderId="14" xfId="31" applyNumberFormat="1" applyFont="1" applyFill="1" applyBorder="1" applyAlignment="1" applyProtection="1">
      <alignment horizontal="right" vertical="center" wrapText="1"/>
      <protection locked="0"/>
    </xf>
    <xf numFmtId="4" fontId="25" fillId="0" borderId="0" xfId="28" applyNumberFormat="1" applyFont="1" applyFill="1" applyBorder="1" applyAlignment="1">
      <alignment vertical="center" readingOrder="1"/>
    </xf>
    <xf numFmtId="0" fontId="28" fillId="0" borderId="10" xfId="28" applyFont="1" applyFill="1" applyBorder="1" applyAlignment="1">
      <alignment vertical="center" wrapText="1" readingOrder="1"/>
    </xf>
    <xf numFmtId="0" fontId="26" fillId="0" borderId="0" xfId="0" applyFont="1" applyBorder="1"/>
    <xf numFmtId="0" fontId="26" fillId="0" borderId="0" xfId="0" applyFont="1"/>
    <xf numFmtId="0" fontId="28" fillId="0" borderId="0" xfId="28" applyFont="1" applyFill="1" applyAlignment="1">
      <alignment horizontal="left" vertical="center" wrapText="1" readingOrder="1"/>
    </xf>
    <xf numFmtId="0" fontId="28" fillId="0" borderId="0" xfId="28" applyFont="1" applyFill="1" applyBorder="1" applyAlignment="1">
      <alignment horizontal="left" vertical="center" wrapText="1" readingOrder="1"/>
    </xf>
    <xf numFmtId="0" fontId="28" fillId="0" borderId="0" xfId="28" applyFont="1" applyBorder="1" applyAlignment="1">
      <alignment readingOrder="1"/>
    </xf>
    <xf numFmtId="0" fontId="28" fillId="0" borderId="0" xfId="28" applyFont="1" applyFill="1" applyAlignment="1">
      <alignment vertical="center" wrapText="1" readingOrder="1"/>
    </xf>
    <xf numFmtId="0" fontId="28" fillId="0" borderId="0" xfId="28" applyFont="1" applyBorder="1" applyAlignment="1">
      <alignment vertical="top" readingOrder="1"/>
    </xf>
    <xf numFmtId="0" fontId="25" fillId="0" borderId="0" xfId="31" applyFont="1" applyAlignment="1">
      <alignment horizontal="left"/>
    </xf>
    <xf numFmtId="0" fontId="28" fillId="0" borderId="0" xfId="31" applyFont="1"/>
    <xf numFmtId="0" fontId="31" fillId="0" borderId="0" xfId="31" applyFont="1"/>
    <xf numFmtId="0" fontId="25" fillId="0" borderId="0" xfId="31" applyFont="1" applyAlignment="1" applyProtection="1">
      <alignment horizontal="left" vertical="center"/>
      <protection locked="0"/>
    </xf>
    <xf numFmtId="0" fontId="28" fillId="0" borderId="0" xfId="31" applyFont="1" applyAlignment="1">
      <alignment horizontal="center"/>
    </xf>
    <xf numFmtId="0" fontId="28" fillId="0" borderId="0" xfId="31" applyFont="1" applyAlignment="1" applyProtection="1">
      <alignment vertical="center"/>
      <protection locked="0"/>
    </xf>
    <xf numFmtId="0" fontId="28" fillId="0" borderId="27" xfId="31" applyFont="1" applyBorder="1" applyAlignment="1" applyProtection="1">
      <alignment horizontal="center" vertical="center"/>
      <protection locked="0"/>
    </xf>
    <xf numFmtId="0" fontId="28" fillId="0" borderId="0" xfId="31" applyFont="1" applyBorder="1" applyAlignment="1" applyProtection="1">
      <alignment horizontal="center" vertical="center"/>
      <protection locked="0"/>
    </xf>
    <xf numFmtId="0" fontId="28" fillId="0" borderId="0" xfId="31" applyFont="1" applyBorder="1" applyAlignment="1">
      <alignment vertical="top" readingOrder="1"/>
    </xf>
    <xf numFmtId="0" fontId="32" fillId="0" borderId="0" xfId="31" applyFont="1" applyAlignment="1">
      <alignment horizontal="left" wrapText="1"/>
    </xf>
    <xf numFmtId="0" fontId="28" fillId="0" borderId="10" xfId="28" applyFont="1" applyBorder="1"/>
    <xf numFmtId="0" fontId="28" fillId="0" borderId="0" xfId="28" applyFont="1" applyBorder="1"/>
    <xf numFmtId="0" fontId="32" fillId="0" borderId="0" xfId="31" applyFont="1" applyAlignment="1">
      <alignment horizontal="center" wrapText="1"/>
    </xf>
    <xf numFmtId="0" fontId="28" fillId="0" borderId="0" xfId="28" applyFont="1"/>
    <xf numFmtId="0" fontId="28" fillId="0" borderId="24" xfId="30" applyFont="1" applyFill="1" applyBorder="1" applyAlignment="1">
      <alignment horizontal="center" vertical="center" wrapText="1"/>
    </xf>
    <xf numFmtId="0" fontId="28" fillId="0" borderId="16" xfId="31" applyFont="1" applyFill="1" applyBorder="1" applyAlignment="1">
      <alignment horizontal="center" vertical="center" wrapText="1"/>
    </xf>
    <xf numFmtId="0" fontId="28" fillId="0" borderId="17" xfId="31" applyFont="1" applyFill="1" applyBorder="1" applyAlignment="1">
      <alignment horizontal="center" vertical="center" wrapText="1"/>
    </xf>
    <xf numFmtId="4" fontId="28" fillId="0" borderId="10" xfId="31" applyNumberFormat="1" applyFont="1" applyBorder="1" applyAlignment="1">
      <alignment horizontal="right" vertical="top"/>
    </xf>
    <xf numFmtId="4" fontId="28" fillId="0" borderId="21" xfId="31" applyNumberFormat="1" applyFont="1" applyBorder="1" applyAlignment="1">
      <alignment horizontal="right" vertical="top"/>
    </xf>
    <xf numFmtId="0" fontId="26" fillId="0" borderId="0" xfId="0" applyFont="1" applyAlignment="1">
      <alignment horizontal="left"/>
    </xf>
    <xf numFmtId="4" fontId="28" fillId="0" borderId="15" xfId="31" applyNumberFormat="1" applyFont="1" applyBorder="1" applyAlignment="1">
      <alignment horizontal="right" vertical="top"/>
    </xf>
    <xf numFmtId="4" fontId="28" fillId="0" borderId="23" xfId="31" applyNumberFormat="1" applyFont="1" applyBorder="1" applyAlignment="1">
      <alignment horizontal="right" vertical="top"/>
    </xf>
    <xf numFmtId="49" fontId="25" fillId="24" borderId="25" xfId="31" applyNumberFormat="1" applyFont="1" applyFill="1" applyBorder="1" applyAlignment="1">
      <alignment horizontal="left" vertical="center" wrapText="1"/>
    </xf>
    <xf numFmtId="4" fontId="25" fillId="25" borderId="16" xfId="31" applyNumberFormat="1" applyFont="1" applyFill="1" applyBorder="1" applyAlignment="1">
      <alignment horizontal="right" vertical="top"/>
    </xf>
    <xf numFmtId="4" fontId="28" fillId="24" borderId="17" xfId="31" applyNumberFormat="1" applyFont="1" applyFill="1" applyBorder="1" applyAlignment="1">
      <alignment horizontal="right" vertical="top"/>
    </xf>
    <xf numFmtId="0" fontId="28" fillId="0" borderId="0" xfId="31" applyFont="1" applyBorder="1" applyAlignment="1">
      <alignment vertical="top"/>
    </xf>
    <xf numFmtId="0" fontId="28" fillId="0" borderId="0" xfId="31" applyFont="1" applyAlignment="1">
      <alignment horizontal="left"/>
    </xf>
    <xf numFmtId="0" fontId="31" fillId="0" borderId="0" xfId="31" applyFont="1" applyBorder="1"/>
    <xf numFmtId="0" fontId="25" fillId="0" borderId="18" xfId="31" applyNumberFormat="1" applyFont="1" applyFill="1" applyBorder="1" applyAlignment="1">
      <alignment horizontal="left" vertical="top" wrapText="1"/>
    </xf>
    <xf numFmtId="0" fontId="25" fillId="0" borderId="10" xfId="28" applyFont="1" applyBorder="1" applyAlignment="1">
      <alignment vertical="top" wrapText="1"/>
    </xf>
    <xf numFmtId="0" fontId="32" fillId="0" borderId="0" xfId="31" applyFont="1" applyAlignment="1">
      <alignment wrapText="1"/>
    </xf>
    <xf numFmtId="164" fontId="32" fillId="0" borderId="0" xfId="31" applyNumberFormat="1" applyFont="1" applyBorder="1" applyAlignment="1">
      <alignment horizontal="left" wrapText="1"/>
    </xf>
    <xf numFmtId="49" fontId="25" fillId="0" borderId="20" xfId="31" applyNumberFormat="1" applyFont="1" applyFill="1" applyBorder="1" applyAlignment="1">
      <alignment horizontal="left" vertical="top" wrapText="1"/>
    </xf>
    <xf numFmtId="49" fontId="28" fillId="0" borderId="20" xfId="31" applyNumberFormat="1" applyFont="1" applyFill="1" applyBorder="1" applyAlignment="1">
      <alignment horizontal="center" vertical="top" wrapText="1"/>
    </xf>
    <xf numFmtId="49" fontId="25" fillId="0" borderId="20" xfId="31" applyNumberFormat="1" applyFont="1" applyFill="1" applyBorder="1" applyAlignment="1">
      <alignment horizontal="center" vertical="top" wrapText="1"/>
    </xf>
    <xf numFmtId="49" fontId="25" fillId="0" borderId="22" xfId="31" applyNumberFormat="1" applyFont="1" applyFill="1" applyBorder="1" applyAlignment="1">
      <alignment horizontal="center" vertical="top" wrapText="1"/>
    </xf>
    <xf numFmtId="0" fontId="25" fillId="0" borderId="0" xfId="31" applyFont="1" applyAlignment="1">
      <alignment horizontal="left" wrapText="1"/>
    </xf>
    <xf numFmtId="0" fontId="28" fillId="0" borderId="0" xfId="31" applyFont="1" applyAlignment="1">
      <alignment horizontal="right" wrapText="1"/>
    </xf>
    <xf numFmtId="0" fontId="26" fillId="0" borderId="0" xfId="0" applyFont="1" applyAlignment="1">
      <alignment wrapText="1"/>
    </xf>
    <xf numFmtId="4" fontId="26" fillId="0" borderId="0" xfId="0" applyNumberFormat="1" applyFont="1"/>
    <xf numFmtId="4" fontId="25" fillId="0" borderId="29" xfId="28" applyNumberFormat="1" applyFont="1" applyFill="1" applyBorder="1" applyAlignment="1">
      <alignment horizontal="right" vertical="center" readingOrder="1"/>
    </xf>
    <xf numFmtId="0" fontId="33" fillId="0" borderId="29" xfId="0" applyFont="1" applyBorder="1"/>
    <xf numFmtId="0" fontId="33" fillId="0" borderId="29" xfId="0" applyFont="1" applyBorder="1" applyAlignment="1">
      <alignment vertical="top"/>
    </xf>
    <xf numFmtId="0" fontId="33" fillId="0" borderId="29" xfId="0" applyFont="1" applyBorder="1" applyAlignment="1">
      <alignment vertical="top" wrapText="1"/>
    </xf>
    <xf numFmtId="0" fontId="0" fillId="0" borderId="0" xfId="0" applyBorder="1"/>
    <xf numFmtId="4" fontId="28" fillId="0" borderId="0" xfId="31" applyNumberFormat="1" applyFont="1" applyBorder="1" applyAlignment="1">
      <alignment horizontal="right" vertical="top"/>
    </xf>
    <xf numFmtId="0" fontId="0" fillId="0" borderId="29" xfId="0" applyFill="1" applyBorder="1"/>
    <xf numFmtId="0" fontId="0" fillId="0" borderId="0" xfId="0" applyFill="1"/>
    <xf numFmtId="0" fontId="33" fillId="0" borderId="29" xfId="0" applyFont="1" applyFill="1" applyBorder="1"/>
    <xf numFmtId="0" fontId="0" fillId="0" borderId="29" xfId="0" applyFill="1" applyBorder="1" applyAlignment="1">
      <alignment horizontal="right"/>
    </xf>
    <xf numFmtId="0" fontId="0" fillId="0" borderId="29" xfId="0" applyBorder="1"/>
    <xf numFmtId="0" fontId="38" fillId="0" borderId="0" xfId="0" applyFont="1" applyAlignment="1">
      <alignment vertical="center"/>
    </xf>
    <xf numFmtId="49" fontId="25" fillId="0" borderId="20" xfId="31" applyNumberFormat="1" applyFont="1" applyBorder="1" applyAlignment="1">
      <alignment horizontal="left" vertical="top" wrapText="1"/>
    </xf>
    <xf numFmtId="4" fontId="28" fillId="0" borderId="21" xfId="31" applyNumberFormat="1" applyFont="1" applyBorder="1" applyAlignment="1">
      <alignment horizontal="right" vertical="top" wrapText="1"/>
    </xf>
    <xf numFmtId="0" fontId="33" fillId="0" borderId="29" xfId="0" applyFont="1" applyBorder="1" applyAlignment="1">
      <alignment wrapText="1"/>
    </xf>
    <xf numFmtId="0" fontId="37" fillId="0" borderId="29" xfId="0" applyFont="1" applyBorder="1"/>
    <xf numFmtId="1" fontId="28" fillId="0" borderId="29" xfId="0" applyNumberFormat="1" applyFont="1" applyFill="1" applyBorder="1"/>
    <xf numFmtId="0" fontId="3" fillId="0" borderId="29" xfId="0" applyFont="1" applyFill="1" applyBorder="1"/>
    <xf numFmtId="1" fontId="39" fillId="0" borderId="29" xfId="49" applyNumberFormat="1" applyFont="1" applyFill="1" applyBorder="1"/>
    <xf numFmtId="1" fontId="40" fillId="0" borderId="29" xfId="0" applyNumberFormat="1" applyFont="1" applyFill="1" applyBorder="1"/>
    <xf numFmtId="0" fontId="41" fillId="0" borderId="29" xfId="0" applyFont="1" applyFill="1" applyBorder="1"/>
    <xf numFmtId="165" fontId="42" fillId="0" borderId="29" xfId="0" applyNumberFormat="1" applyFont="1" applyFill="1" applyBorder="1" applyAlignment="1"/>
    <xf numFmtId="1" fontId="42" fillId="0" borderId="29" xfId="0" applyNumberFormat="1" applyFont="1" applyFill="1" applyBorder="1"/>
    <xf numFmtId="2" fontId="42" fillId="0" borderId="29" xfId="0" applyNumberFormat="1" applyFont="1" applyFill="1" applyBorder="1"/>
    <xf numFmtId="1" fontId="28" fillId="0" borderId="0" xfId="0" applyNumberFormat="1" applyFont="1" applyFill="1" applyBorder="1"/>
    <xf numFmtId="165" fontId="28" fillId="0" borderId="0" xfId="0" applyNumberFormat="1" applyFont="1" applyFill="1" applyBorder="1" applyAlignment="1"/>
    <xf numFmtId="2" fontId="28" fillId="0" borderId="0" xfId="0" applyNumberFormat="1" applyFont="1" applyFill="1" applyBorder="1"/>
    <xf numFmtId="1" fontId="25" fillId="0" borderId="29" xfId="0" applyNumberFormat="1" applyFont="1" applyFill="1" applyBorder="1"/>
    <xf numFmtId="165" fontId="25" fillId="0" borderId="29" xfId="0" applyNumberFormat="1" applyFont="1" applyFill="1" applyBorder="1" applyAlignment="1"/>
    <xf numFmtId="2" fontId="25" fillId="0" borderId="29" xfId="0" applyNumberFormat="1" applyFont="1" applyFill="1" applyBorder="1"/>
    <xf numFmtId="14" fontId="28" fillId="0" borderId="29" xfId="0" applyNumberFormat="1" applyFont="1" applyFill="1" applyBorder="1" applyAlignment="1">
      <alignment horizontal="left"/>
    </xf>
    <xf numFmtId="1" fontId="28" fillId="0" borderId="29" xfId="0" applyNumberFormat="1" applyFont="1" applyFill="1" applyBorder="1" applyAlignment="1">
      <alignment horizontal="left"/>
    </xf>
    <xf numFmtId="2" fontId="28" fillId="0" borderId="29" xfId="0" applyNumberFormat="1" applyFont="1" applyFill="1" applyBorder="1"/>
    <xf numFmtId="1" fontId="28" fillId="0" borderId="29" xfId="49" applyNumberFormat="1" applyFont="1" applyFill="1" applyBorder="1"/>
    <xf numFmtId="2" fontId="3" fillId="0" borderId="29" xfId="0" applyNumberFormat="1" applyFont="1" applyFill="1" applyBorder="1"/>
    <xf numFmtId="165" fontId="28" fillId="0" borderId="29" xfId="0" applyNumberFormat="1" applyFont="1" applyFill="1" applyBorder="1" applyAlignment="1"/>
    <xf numFmtId="1" fontId="25" fillId="0" borderId="0" xfId="0" applyNumberFormat="1" applyFont="1" applyFill="1" applyBorder="1" applyAlignment="1">
      <alignment horizontal="center"/>
    </xf>
    <xf numFmtId="2" fontId="0" fillId="0" borderId="0" xfId="0" applyNumberFormat="1"/>
    <xf numFmtId="0" fontId="21" fillId="19" borderId="0" xfId="42"/>
    <xf numFmtId="0" fontId="21" fillId="19" borderId="29" xfId="42" applyBorder="1"/>
    <xf numFmtId="2" fontId="33" fillId="0" borderId="0" xfId="0" applyNumberFormat="1" applyFont="1"/>
    <xf numFmtId="4" fontId="0" fillId="0" borderId="0" xfId="0" applyNumberFormat="1"/>
    <xf numFmtId="0" fontId="0" fillId="0" borderId="30" xfId="0" applyFill="1" applyBorder="1"/>
    <xf numFmtId="0" fontId="33" fillId="0" borderId="0" xfId="0" applyFont="1"/>
    <xf numFmtId="0" fontId="43" fillId="7" borderId="31" xfId="44" applyFont="1" applyBorder="1"/>
    <xf numFmtId="0" fontId="33" fillId="0" borderId="32" xfId="0" applyFont="1" applyBorder="1" applyAlignment="1">
      <alignment vertical="top"/>
    </xf>
    <xf numFmtId="0" fontId="33" fillId="0" borderId="32" xfId="0" applyFont="1" applyBorder="1" applyAlignment="1">
      <alignment vertical="top" wrapText="1"/>
    </xf>
    <xf numFmtId="0" fontId="33" fillId="0" borderId="32" xfId="0" applyFont="1" applyBorder="1"/>
    <xf numFmtId="0" fontId="0" fillId="0" borderId="32" xfId="0" applyFill="1" applyBorder="1"/>
    <xf numFmtId="4" fontId="25" fillId="0" borderId="32" xfId="28" applyNumberFormat="1" applyFont="1" applyFill="1" applyBorder="1" applyAlignment="1">
      <alignment horizontal="right" vertical="center" readingOrder="1"/>
    </xf>
    <xf numFmtId="0" fontId="33" fillId="0" borderId="32" xfId="0" applyFont="1" applyFill="1" applyBorder="1"/>
    <xf numFmtId="0" fontId="0" fillId="0" borderId="32" xfId="0" applyFill="1" applyBorder="1" applyAlignment="1">
      <alignment horizontal="right"/>
    </xf>
    <xf numFmtId="0" fontId="34" fillId="28" borderId="32" xfId="48" applyBorder="1"/>
    <xf numFmtId="0" fontId="21" fillId="14" borderId="32" xfId="41" applyBorder="1"/>
    <xf numFmtId="0" fontId="36" fillId="30" borderId="32" xfId="50" applyBorder="1"/>
    <xf numFmtId="0" fontId="0" fillId="0" borderId="32" xfId="0" applyBorder="1"/>
    <xf numFmtId="4" fontId="0" fillId="0" borderId="29" xfId="0" applyNumberFormat="1" applyFill="1" applyBorder="1"/>
    <xf numFmtId="4" fontId="28" fillId="0" borderId="19" xfId="31" applyNumberFormat="1" applyFont="1" applyBorder="1" applyAlignment="1">
      <alignment horizontal="right" vertical="top" wrapText="1"/>
    </xf>
    <xf numFmtId="2" fontId="28" fillId="0" borderId="0" xfId="0" applyNumberFormat="1" applyFont="1" applyFill="1" applyBorder="1" applyAlignment="1">
      <alignment vertical="center" wrapText="1"/>
    </xf>
    <xf numFmtId="2" fontId="28" fillId="0" borderId="0" xfId="0" applyNumberFormat="1" applyFont="1" applyFill="1" applyBorder="1" applyAlignment="1">
      <alignment wrapText="1"/>
    </xf>
    <xf numFmtId="2" fontId="28" fillId="0" borderId="0" xfId="0" applyNumberFormat="1" applyFont="1" applyFill="1" applyBorder="1" applyAlignment="1">
      <alignment horizontal="center" vertical="center" wrapText="1"/>
    </xf>
    <xf numFmtId="2" fontId="28" fillId="0" borderId="0" xfId="0" applyNumberFormat="1" applyFont="1" applyFill="1" applyBorder="1" applyAlignment="1">
      <alignment horizontal="center" vertical="center"/>
    </xf>
    <xf numFmtId="1" fontId="28" fillId="0" borderId="0" xfId="0" applyNumberFormat="1" applyFont="1" applyFill="1" applyBorder="1" applyAlignment="1">
      <alignment horizontal="center" vertical="center"/>
    </xf>
    <xf numFmtId="2" fontId="25" fillId="0" borderId="32" xfId="0" applyNumberFormat="1" applyFont="1" applyFill="1" applyBorder="1" applyAlignment="1">
      <alignment horizontal="left" vertical="center" wrapText="1"/>
    </xf>
    <xf numFmtId="2" fontId="25" fillId="0" borderId="32" xfId="0" applyNumberFormat="1" applyFont="1" applyFill="1" applyBorder="1" applyAlignment="1">
      <alignment horizontal="left" vertical="top" wrapText="1"/>
    </xf>
    <xf numFmtId="1" fontId="25" fillId="0" borderId="32" xfId="0" applyNumberFormat="1" applyFont="1" applyFill="1" applyBorder="1" applyAlignment="1">
      <alignment horizontal="center" vertical="center" wrapText="1"/>
    </xf>
    <xf numFmtId="2" fontId="25" fillId="0" borderId="32" xfId="0" applyNumberFormat="1" applyFont="1" applyFill="1" applyBorder="1" applyAlignment="1">
      <alignment horizontal="center" vertical="center" wrapText="1"/>
    </xf>
    <xf numFmtId="1" fontId="25" fillId="0" borderId="32" xfId="0" applyNumberFormat="1" applyFont="1" applyFill="1" applyBorder="1" applyAlignment="1">
      <alignment horizontal="center" vertical="center"/>
    </xf>
    <xf numFmtId="1" fontId="28" fillId="0" borderId="0" xfId="0" applyNumberFormat="1" applyFont="1" applyFill="1" applyBorder="1" applyAlignment="1">
      <alignment horizontal="left"/>
    </xf>
    <xf numFmtId="2" fontId="45" fillId="31" borderId="32" xfId="48" applyNumberFormat="1" applyFont="1" applyFill="1" applyBorder="1" applyAlignment="1">
      <alignment horizontal="right" vertical="center" wrapText="1"/>
    </xf>
    <xf numFmtId="2" fontId="45" fillId="31" borderId="32" xfId="48" applyNumberFormat="1" applyFont="1" applyFill="1" applyBorder="1" applyAlignment="1">
      <alignment horizontal="left" vertical="top" wrapText="1"/>
    </xf>
    <xf numFmtId="1" fontId="45" fillId="31" borderId="32" xfId="48" applyNumberFormat="1" applyFont="1" applyFill="1" applyBorder="1" applyAlignment="1">
      <alignment horizontal="center" vertical="center" wrapText="1"/>
    </xf>
    <xf numFmtId="2" fontId="42" fillId="32" borderId="32" xfId="48" applyNumberFormat="1" applyFont="1" applyFill="1" applyBorder="1" applyAlignment="1">
      <alignment horizontal="right" vertical="center" wrapText="1"/>
    </xf>
    <xf numFmtId="1" fontId="28" fillId="32" borderId="32" xfId="0" applyNumberFormat="1" applyFont="1" applyFill="1" applyBorder="1" applyAlignment="1">
      <alignment horizontal="center" vertical="center"/>
    </xf>
    <xf numFmtId="2" fontId="28" fillId="0" borderId="32" xfId="0" applyNumberFormat="1" applyFont="1" applyFill="1" applyBorder="1" applyAlignment="1">
      <alignment horizontal="right" vertical="center" wrapText="1"/>
    </xf>
    <xf numFmtId="2" fontId="28" fillId="0" borderId="32" xfId="0" applyNumberFormat="1" applyFont="1" applyFill="1" applyBorder="1" applyAlignment="1">
      <alignment horizontal="left" wrapText="1"/>
    </xf>
    <xf numFmtId="2" fontId="28" fillId="0" borderId="32" xfId="0" applyNumberFormat="1" applyFont="1" applyFill="1" applyBorder="1" applyAlignment="1">
      <alignment horizontal="center" vertical="center"/>
    </xf>
    <xf numFmtId="2" fontId="28" fillId="0" borderId="32" xfId="0" applyNumberFormat="1" applyFont="1" applyFill="1" applyBorder="1" applyAlignment="1">
      <alignment horizontal="center" vertical="center" wrapText="1"/>
    </xf>
    <xf numFmtId="2" fontId="25" fillId="32" borderId="32" xfId="0" applyNumberFormat="1" applyFont="1" applyFill="1" applyBorder="1" applyAlignment="1">
      <alignment horizontal="right" vertical="center" wrapText="1"/>
    </xf>
    <xf numFmtId="2" fontId="25" fillId="32" borderId="32" xfId="0" applyNumberFormat="1" applyFont="1" applyFill="1" applyBorder="1" applyAlignment="1">
      <alignment horizontal="left" wrapText="1"/>
    </xf>
    <xf numFmtId="2" fontId="25" fillId="32" borderId="32" xfId="0" applyNumberFormat="1" applyFont="1" applyFill="1" applyBorder="1" applyAlignment="1">
      <alignment horizontal="center" vertical="center" wrapText="1"/>
    </xf>
    <xf numFmtId="2" fontId="25" fillId="33" borderId="32" xfId="0" applyNumberFormat="1" applyFont="1" applyFill="1" applyBorder="1" applyAlignment="1">
      <alignment horizontal="right" vertical="center" wrapText="1"/>
    </xf>
    <xf numFmtId="1" fontId="28" fillId="33" borderId="32" xfId="0" applyNumberFormat="1" applyFont="1" applyFill="1" applyBorder="1" applyAlignment="1">
      <alignment horizontal="center" vertical="center"/>
    </xf>
    <xf numFmtId="2" fontId="28" fillId="34" borderId="32" xfId="0" applyNumberFormat="1" applyFont="1" applyFill="1" applyBorder="1" applyAlignment="1">
      <alignment horizontal="right" vertical="center" wrapText="1"/>
    </xf>
    <xf numFmtId="2" fontId="28" fillId="34" borderId="32" xfId="0" applyNumberFormat="1" applyFont="1" applyFill="1" applyBorder="1" applyAlignment="1">
      <alignment horizontal="center" vertical="center" wrapText="1"/>
    </xf>
    <xf numFmtId="2" fontId="25" fillId="35" borderId="32" xfId="0" applyNumberFormat="1" applyFont="1" applyFill="1" applyBorder="1" applyAlignment="1">
      <alignment horizontal="right" vertical="center" wrapText="1"/>
    </xf>
    <xf numFmtId="2" fontId="25" fillId="35" borderId="32" xfId="0" applyNumberFormat="1" applyFont="1" applyFill="1" applyBorder="1" applyAlignment="1">
      <alignment horizontal="left" vertical="top" wrapText="1"/>
    </xf>
    <xf numFmtId="2" fontId="25" fillId="35" borderId="32" xfId="0" applyNumberFormat="1" applyFont="1" applyFill="1" applyBorder="1" applyAlignment="1">
      <alignment horizontal="center" vertical="center" wrapText="1"/>
    </xf>
    <xf numFmtId="2" fontId="45" fillId="31" borderId="32" xfId="48" applyNumberFormat="1" applyFont="1" applyFill="1" applyBorder="1" applyAlignment="1">
      <alignment horizontal="center" vertical="center" wrapText="1"/>
    </xf>
    <xf numFmtId="2" fontId="28" fillId="34" borderId="32" xfId="0" applyNumberFormat="1" applyFont="1" applyFill="1" applyBorder="1" applyAlignment="1">
      <alignment vertical="center" wrapText="1"/>
    </xf>
    <xf numFmtId="2" fontId="28" fillId="34" borderId="32" xfId="0" applyNumberFormat="1" applyFont="1" applyFill="1" applyBorder="1" applyAlignment="1">
      <alignment horizontal="center" vertical="center"/>
    </xf>
    <xf numFmtId="1" fontId="28" fillId="0" borderId="0" xfId="0" applyNumberFormat="1" applyFont="1" applyFill="1" applyBorder="1" applyAlignment="1">
      <alignment vertical="center"/>
    </xf>
    <xf numFmtId="2" fontId="28" fillId="34" borderId="32" xfId="0" applyNumberFormat="1" applyFont="1" applyFill="1" applyBorder="1" applyAlignment="1">
      <alignment wrapText="1"/>
    </xf>
    <xf numFmtId="2" fontId="28" fillId="0" borderId="32" xfId="0" applyNumberFormat="1" applyFont="1" applyFill="1" applyBorder="1" applyAlignment="1">
      <alignment horizontal="left" vertical="center" wrapText="1"/>
    </xf>
    <xf numFmtId="1" fontId="28" fillId="0" borderId="32" xfId="0" applyNumberFormat="1" applyFont="1" applyFill="1" applyBorder="1" applyAlignment="1">
      <alignment horizontal="center" vertical="center"/>
    </xf>
    <xf numFmtId="2" fontId="28" fillId="34" borderId="32" xfId="0" applyNumberFormat="1" applyFont="1" applyFill="1" applyBorder="1" applyAlignment="1">
      <alignment horizontal="left" vertical="center" wrapText="1"/>
    </xf>
    <xf numFmtId="1" fontId="28" fillId="34" borderId="0" xfId="0" applyNumberFormat="1" applyFont="1" applyFill="1" applyBorder="1"/>
    <xf numFmtId="2" fontId="25" fillId="35" borderId="32" xfId="0" applyNumberFormat="1" applyFont="1" applyFill="1" applyBorder="1" applyAlignment="1">
      <alignment horizontal="left" wrapText="1"/>
    </xf>
    <xf numFmtId="2" fontId="45" fillId="31" borderId="32" xfId="48" applyNumberFormat="1" applyFont="1" applyFill="1" applyBorder="1" applyAlignment="1">
      <alignment horizontal="left" wrapText="1"/>
    </xf>
    <xf numFmtId="1" fontId="40" fillId="0" borderId="0" xfId="0" applyNumberFormat="1" applyFont="1" applyFill="1" applyBorder="1"/>
    <xf numFmtId="2" fontId="45" fillId="32" borderId="32" xfId="48" applyNumberFormat="1" applyFont="1" applyFill="1" applyBorder="1" applyAlignment="1">
      <alignment horizontal="right" vertical="center" wrapText="1"/>
    </xf>
    <xf numFmtId="1" fontId="40" fillId="32" borderId="32" xfId="0" applyNumberFormat="1" applyFont="1" applyFill="1" applyBorder="1" applyAlignment="1">
      <alignment horizontal="center" vertical="center"/>
    </xf>
    <xf numFmtId="2" fontId="40" fillId="0" borderId="32" xfId="48" applyNumberFormat="1" applyFont="1" applyFill="1" applyBorder="1" applyAlignment="1">
      <alignment horizontal="right" vertical="center" wrapText="1"/>
    </xf>
    <xf numFmtId="2" fontId="40" fillId="0" borderId="32" xfId="48" applyNumberFormat="1" applyFont="1" applyFill="1" applyBorder="1" applyAlignment="1">
      <alignment horizontal="left" wrapText="1"/>
    </xf>
    <xf numFmtId="2" fontId="40" fillId="32" borderId="32" xfId="48" applyNumberFormat="1" applyFont="1" applyFill="1" applyBorder="1" applyAlignment="1">
      <alignment horizontal="right" vertical="center" wrapText="1"/>
    </xf>
    <xf numFmtId="2" fontId="42" fillId="32" borderId="32" xfId="48" applyNumberFormat="1" applyFont="1" applyFill="1" applyBorder="1" applyAlignment="1">
      <alignment horizontal="left" wrapText="1"/>
    </xf>
    <xf numFmtId="2" fontId="42" fillId="32" borderId="32" xfId="48" applyNumberFormat="1" applyFont="1" applyFill="1" applyBorder="1" applyAlignment="1">
      <alignment horizontal="center" vertical="center" wrapText="1"/>
    </xf>
    <xf numFmtId="2" fontId="42" fillId="33" borderId="32" xfId="48" applyNumberFormat="1" applyFont="1" applyFill="1" applyBorder="1" applyAlignment="1">
      <alignment horizontal="right" vertical="center" wrapText="1"/>
    </xf>
    <xf numFmtId="2" fontId="42" fillId="33" borderId="32" xfId="48" applyNumberFormat="1" applyFont="1" applyFill="1" applyBorder="1" applyAlignment="1">
      <alignment horizontal="left" wrapText="1"/>
    </xf>
    <xf numFmtId="2" fontId="40" fillId="33" borderId="32" xfId="48" applyNumberFormat="1" applyFont="1" applyFill="1" applyBorder="1" applyAlignment="1">
      <alignment horizontal="center" vertical="center" wrapText="1"/>
    </xf>
    <xf numFmtId="1" fontId="40" fillId="33" borderId="32" xfId="0" applyNumberFormat="1" applyFont="1" applyFill="1" applyBorder="1" applyAlignment="1">
      <alignment horizontal="center" vertical="center"/>
    </xf>
    <xf numFmtId="2" fontId="28" fillId="32" borderId="32" xfId="48" applyNumberFormat="1" applyFont="1" applyFill="1" applyBorder="1" applyAlignment="1">
      <alignment horizontal="right" vertical="center" wrapText="1"/>
    </xf>
    <xf numFmtId="2" fontId="25" fillId="32" borderId="32" xfId="48" applyNumberFormat="1" applyFont="1" applyFill="1" applyBorder="1" applyAlignment="1">
      <alignment horizontal="left" wrapText="1"/>
    </xf>
    <xf numFmtId="2" fontId="25" fillId="32" borderId="32" xfId="48" applyNumberFormat="1" applyFont="1" applyFill="1" applyBorder="1" applyAlignment="1">
      <alignment horizontal="center" vertical="center" wrapText="1"/>
    </xf>
    <xf numFmtId="2" fontId="46" fillId="32" borderId="32" xfId="48" applyNumberFormat="1" applyFont="1" applyFill="1" applyBorder="1" applyAlignment="1">
      <alignment horizontal="right" vertical="center" wrapText="1"/>
    </xf>
    <xf numFmtId="2" fontId="45" fillId="32" borderId="32" xfId="48" applyNumberFormat="1" applyFont="1" applyFill="1" applyBorder="1" applyAlignment="1">
      <alignment horizontal="left" wrapText="1"/>
    </xf>
    <xf numFmtId="2" fontId="46" fillId="32" borderId="32" xfId="48" applyNumberFormat="1" applyFont="1" applyFill="1" applyBorder="1" applyAlignment="1">
      <alignment horizontal="center" vertical="center" wrapText="1"/>
    </xf>
    <xf numFmtId="2" fontId="42" fillId="32" borderId="32" xfId="48" applyNumberFormat="1" applyFont="1" applyFill="1" applyBorder="1" applyAlignment="1">
      <alignment horizontal="center" vertical="center"/>
    </xf>
    <xf numFmtId="1" fontId="39" fillId="0" borderId="32" xfId="49" applyNumberFormat="1" applyFont="1" applyFill="1" applyBorder="1" applyAlignment="1">
      <alignment horizontal="center" vertical="center"/>
    </xf>
    <xf numFmtId="0" fontId="28" fillId="0" borderId="32" xfId="0" applyFont="1" applyFill="1" applyBorder="1" applyAlignment="1">
      <alignment vertical="center" wrapText="1"/>
    </xf>
    <xf numFmtId="1" fontId="28" fillId="34" borderId="32" xfId="0" applyNumberFormat="1" applyFont="1" applyFill="1" applyBorder="1" applyAlignment="1">
      <alignment horizontal="right" vertical="center"/>
    </xf>
    <xf numFmtId="1" fontId="28" fillId="0" borderId="32" xfId="0" applyNumberFormat="1" applyFont="1" applyFill="1" applyBorder="1"/>
    <xf numFmtId="2" fontId="25" fillId="0" borderId="32" xfId="0" applyNumberFormat="1" applyFont="1" applyFill="1" applyBorder="1" applyAlignment="1">
      <alignment horizontal="right" wrapText="1"/>
    </xf>
    <xf numFmtId="166" fontId="25" fillId="0" borderId="32" xfId="0" applyNumberFormat="1" applyFont="1" applyFill="1" applyBorder="1" applyAlignment="1">
      <alignment horizontal="center" vertical="center" wrapText="1"/>
    </xf>
    <xf numFmtId="2" fontId="25" fillId="0" borderId="0" xfId="0" applyNumberFormat="1" applyFont="1" applyFill="1" applyBorder="1" applyAlignment="1">
      <alignment horizontal="center" vertical="center" wrapText="1"/>
    </xf>
    <xf numFmtId="2" fontId="47" fillId="0" borderId="0" xfId="48" applyNumberFormat="1" applyFont="1" applyFill="1" applyBorder="1" applyAlignment="1">
      <alignment horizontal="center" vertical="center" wrapText="1"/>
    </xf>
    <xf numFmtId="2" fontId="48" fillId="0" borderId="0" xfId="0" applyNumberFormat="1" applyFont="1" applyFill="1" applyBorder="1" applyAlignment="1">
      <alignment horizontal="center" vertical="center"/>
    </xf>
    <xf numFmtId="2" fontId="0" fillId="0" borderId="29" xfId="0" applyNumberFormat="1" applyBorder="1"/>
    <xf numFmtId="2" fontId="0" fillId="0" borderId="29" xfId="0" applyNumberFormat="1" applyFill="1" applyBorder="1"/>
    <xf numFmtId="2" fontId="0" fillId="36" borderId="29" xfId="0" applyNumberFormat="1" applyFill="1" applyBorder="1"/>
    <xf numFmtId="2" fontId="0" fillId="0" borderId="32" xfId="0" applyNumberFormat="1" applyBorder="1"/>
    <xf numFmtId="0" fontId="0" fillId="37" borderId="32" xfId="0" applyFill="1" applyBorder="1"/>
    <xf numFmtId="2" fontId="0" fillId="37" borderId="32" xfId="0" applyNumberFormat="1" applyFill="1" applyBorder="1"/>
    <xf numFmtId="4" fontId="50" fillId="0" borderId="0" xfId="0" applyNumberFormat="1" applyFont="1"/>
    <xf numFmtId="0" fontId="0" fillId="0" borderId="29" xfId="0" applyFont="1" applyBorder="1"/>
    <xf numFmtId="4" fontId="0" fillId="0" borderId="29" xfId="0" applyNumberFormat="1" applyFont="1" applyBorder="1"/>
    <xf numFmtId="4" fontId="51" fillId="0" borderId="0" xfId="0" applyNumberFormat="1" applyFont="1"/>
    <xf numFmtId="2" fontId="28" fillId="0" borderId="0" xfId="0" applyNumberFormat="1" applyFont="1" applyAlignment="1">
      <alignment horizontal="right" wrapText="1"/>
    </xf>
    <xf numFmtId="2" fontId="28" fillId="0" borderId="0" xfId="0" applyNumberFormat="1" applyFont="1" applyAlignment="1">
      <alignment wrapText="1"/>
    </xf>
    <xf numFmtId="2" fontId="28" fillId="0" borderId="0" xfId="0" applyNumberFormat="1" applyFont="1" applyAlignment="1">
      <alignment horizontal="center" vertical="center" wrapText="1"/>
    </xf>
    <xf numFmtId="1" fontId="28" fillId="0" borderId="0" xfId="0" applyNumberFormat="1" applyFont="1"/>
    <xf numFmtId="2" fontId="25" fillId="0" borderId="32" xfId="0" applyNumberFormat="1" applyFont="1" applyBorder="1" applyAlignment="1">
      <alignment horizontal="right" vertical="center" wrapText="1"/>
    </xf>
    <xf numFmtId="2" fontId="25" fillId="0" borderId="32" xfId="0" applyNumberFormat="1" applyFont="1" applyBorder="1" applyAlignment="1">
      <alignment horizontal="left" vertical="center" wrapText="1"/>
    </xf>
    <xf numFmtId="2" fontId="25" fillId="0" borderId="32" xfId="0" applyNumberFormat="1" applyFont="1" applyBorder="1" applyAlignment="1">
      <alignment horizontal="center" vertical="center" wrapText="1"/>
    </xf>
    <xf numFmtId="1" fontId="25" fillId="0" borderId="32" xfId="0" applyNumberFormat="1" applyFont="1" applyBorder="1" applyAlignment="1">
      <alignment horizontal="center" vertical="center" wrapText="1"/>
    </xf>
    <xf numFmtId="1" fontId="28" fillId="0" borderId="0" xfId="0" applyNumberFormat="1" applyFont="1" applyBorder="1" applyAlignment="1">
      <alignment wrapText="1"/>
    </xf>
    <xf numFmtId="1" fontId="28" fillId="0" borderId="0" xfId="0" applyNumberFormat="1" applyFont="1" applyAlignment="1">
      <alignment wrapText="1"/>
    </xf>
    <xf numFmtId="2" fontId="45" fillId="28" borderId="32" xfId="48" applyNumberFormat="1" applyFont="1" applyBorder="1" applyAlignment="1">
      <alignment horizontal="right" vertical="top" wrapText="1"/>
    </xf>
    <xf numFmtId="2" fontId="45" fillId="28" borderId="32" xfId="48" applyNumberFormat="1" applyFont="1" applyBorder="1" applyAlignment="1">
      <alignment horizontal="left" vertical="top" wrapText="1"/>
    </xf>
    <xf numFmtId="1" fontId="45" fillId="28" borderId="32" xfId="48" applyNumberFormat="1" applyFont="1" applyBorder="1" applyAlignment="1">
      <alignment horizontal="center" vertical="center" wrapText="1"/>
    </xf>
    <xf numFmtId="2" fontId="29" fillId="38" borderId="32" xfId="48" applyNumberFormat="1" applyFont="1" applyFill="1" applyBorder="1" applyAlignment="1">
      <alignment horizontal="right" vertical="top" wrapText="1"/>
    </xf>
    <xf numFmtId="2" fontId="29" fillId="38" borderId="0" xfId="48" applyNumberFormat="1" applyFont="1" applyFill="1" applyBorder="1" applyAlignment="1">
      <alignment horizontal="left" vertical="top" wrapText="1"/>
    </xf>
    <xf numFmtId="2" fontId="28" fillId="0" borderId="32" xfId="0" applyNumberFormat="1" applyFont="1" applyBorder="1" applyAlignment="1">
      <alignment horizontal="right" wrapText="1"/>
    </xf>
    <xf numFmtId="2" fontId="28" fillId="0" borderId="32" xfId="0" applyNumberFormat="1" applyFont="1" applyBorder="1" applyAlignment="1">
      <alignment horizontal="left" wrapText="1"/>
    </xf>
    <xf numFmtId="2" fontId="28" fillId="0" borderId="32" xfId="0" applyNumberFormat="1" applyFont="1" applyBorder="1" applyAlignment="1">
      <alignment horizontal="center" vertical="center" wrapText="1"/>
    </xf>
    <xf numFmtId="2" fontId="45" fillId="28" borderId="32" xfId="48" applyNumberFormat="1" applyFont="1" applyBorder="1" applyAlignment="1">
      <alignment horizontal="center" vertical="center" wrapText="1"/>
    </xf>
    <xf numFmtId="2" fontId="25" fillId="38" borderId="32" xfId="0" applyNumberFormat="1" applyFont="1" applyFill="1" applyBorder="1" applyAlignment="1">
      <alignment horizontal="right" wrapText="1"/>
    </xf>
    <xf numFmtId="2" fontId="25" fillId="38" borderId="0" xfId="0" applyNumberFormat="1" applyFont="1" applyFill="1" applyBorder="1" applyAlignment="1">
      <alignment horizontal="left" wrapText="1"/>
    </xf>
    <xf numFmtId="2" fontId="28" fillId="39" borderId="32" xfId="0" applyNumberFormat="1" applyFont="1" applyFill="1" applyBorder="1" applyAlignment="1">
      <alignment horizontal="left" wrapText="1"/>
    </xf>
    <xf numFmtId="1" fontId="25" fillId="0" borderId="0" xfId="0" applyNumberFormat="1" applyFont="1" applyBorder="1" applyAlignment="1">
      <alignment wrapText="1"/>
    </xf>
    <xf numFmtId="1" fontId="28" fillId="0" borderId="0" xfId="0" applyNumberFormat="1" applyFont="1" applyAlignment="1">
      <alignment horizontal="right" wrapText="1"/>
    </xf>
    <xf numFmtId="1" fontId="28" fillId="39" borderId="0" xfId="0" applyNumberFormat="1" applyFont="1" applyFill="1" applyAlignment="1">
      <alignment wrapText="1"/>
    </xf>
    <xf numFmtId="2" fontId="28" fillId="39" borderId="32" xfId="0" applyNumberFormat="1" applyFont="1" applyFill="1" applyBorder="1" applyAlignment="1">
      <alignment horizontal="center" vertical="center" wrapText="1"/>
    </xf>
    <xf numFmtId="2" fontId="25" fillId="38" borderId="32" xfId="0" applyNumberFormat="1" applyFont="1" applyFill="1" applyBorder="1" applyAlignment="1">
      <alignment horizontal="right" vertical="center" wrapText="1"/>
    </xf>
    <xf numFmtId="2" fontId="25" fillId="38" borderId="32" xfId="0" applyNumberFormat="1" applyFont="1" applyFill="1" applyBorder="1" applyAlignment="1">
      <alignment horizontal="left" vertical="center" wrapText="1"/>
    </xf>
    <xf numFmtId="2" fontId="25" fillId="38" borderId="32" xfId="0" applyNumberFormat="1" applyFont="1" applyFill="1" applyBorder="1" applyAlignment="1">
      <alignment horizontal="center" vertical="center" wrapText="1"/>
    </xf>
    <xf numFmtId="1" fontId="25" fillId="0" borderId="0" xfId="0" applyNumberFormat="1" applyFont="1" applyBorder="1" applyAlignment="1">
      <alignment vertical="center" wrapText="1"/>
    </xf>
    <xf numFmtId="1" fontId="28" fillId="0" borderId="0" xfId="0" applyNumberFormat="1" applyFont="1" applyBorder="1" applyAlignment="1">
      <alignment vertical="center" wrapText="1"/>
    </xf>
    <xf numFmtId="1" fontId="28" fillId="0" borderId="0" xfId="0" applyNumberFormat="1" applyFont="1" applyAlignment="1">
      <alignment vertical="center" wrapText="1"/>
    </xf>
    <xf numFmtId="2" fontId="25" fillId="27" borderId="32" xfId="0" applyNumberFormat="1" applyFont="1" applyFill="1" applyBorder="1" applyAlignment="1">
      <alignment horizontal="right" wrapText="1"/>
    </xf>
    <xf numFmtId="2" fontId="25" fillId="27" borderId="0" xfId="0" applyNumberFormat="1" applyFont="1" applyFill="1" applyBorder="1" applyAlignment="1">
      <alignment horizontal="left" wrapText="1"/>
    </xf>
    <xf numFmtId="2" fontId="28" fillId="0" borderId="32" xfId="0" applyNumberFormat="1" applyFont="1" applyBorder="1" applyAlignment="1">
      <alignment horizontal="right" vertical="center" wrapText="1"/>
    </xf>
    <xf numFmtId="2" fontId="28" fillId="39" borderId="32" xfId="0" applyNumberFormat="1" applyFont="1" applyFill="1" applyBorder="1" applyAlignment="1">
      <alignment horizontal="left" vertical="center" wrapText="1"/>
    </xf>
    <xf numFmtId="1" fontId="28" fillId="0" borderId="0" xfId="0" applyNumberFormat="1" applyFont="1" applyBorder="1" applyAlignment="1">
      <alignment horizontal="left" vertical="center" wrapText="1"/>
    </xf>
    <xf numFmtId="1" fontId="28" fillId="0" borderId="0" xfId="0" applyNumberFormat="1" applyFont="1" applyAlignment="1">
      <alignment horizontal="left" vertical="center" wrapText="1"/>
    </xf>
    <xf numFmtId="2" fontId="52" fillId="39" borderId="32" xfId="0" applyNumberFormat="1" applyFont="1" applyFill="1" applyBorder="1" applyAlignment="1">
      <alignment horizontal="center" vertical="center" wrapText="1"/>
    </xf>
    <xf numFmtId="2" fontId="28" fillId="39" borderId="26" xfId="0" applyNumberFormat="1" applyFont="1" applyFill="1" applyBorder="1" applyAlignment="1">
      <alignment horizontal="left" vertical="center" wrapText="1"/>
    </xf>
    <xf numFmtId="0" fontId="26" fillId="39" borderId="33" xfId="0" applyFont="1" applyFill="1" applyBorder="1" applyAlignment="1">
      <alignment horizontal="left" vertical="center" wrapText="1"/>
    </xf>
    <xf numFmtId="2" fontId="25" fillId="25" borderId="32" xfId="0" applyNumberFormat="1" applyFont="1" applyFill="1" applyBorder="1" applyAlignment="1">
      <alignment horizontal="right" vertical="center" wrapText="1"/>
    </xf>
    <xf numFmtId="2" fontId="25" fillId="25" borderId="32" xfId="0" applyNumberFormat="1" applyFont="1" applyFill="1" applyBorder="1" applyAlignment="1">
      <alignment horizontal="left" vertical="center" wrapText="1"/>
    </xf>
    <xf numFmtId="2" fontId="28" fillId="25" borderId="32" xfId="0" applyNumberFormat="1" applyFont="1" applyFill="1" applyBorder="1" applyAlignment="1">
      <alignment horizontal="center" vertical="center" wrapText="1"/>
    </xf>
    <xf numFmtId="2" fontId="25" fillId="25" borderId="32" xfId="0" applyNumberFormat="1" applyFont="1" applyFill="1" applyBorder="1" applyAlignment="1">
      <alignment horizontal="center" vertical="center" wrapText="1"/>
    </xf>
    <xf numFmtId="2" fontId="45" fillId="28" borderId="32" xfId="48" applyNumberFormat="1" applyFont="1" applyBorder="1" applyAlignment="1">
      <alignment horizontal="right" vertical="center" wrapText="1"/>
    </xf>
    <xf numFmtId="2" fontId="45" fillId="28" borderId="32" xfId="48" applyNumberFormat="1" applyFont="1" applyBorder="1" applyAlignment="1">
      <alignment horizontal="left" vertical="center" wrapText="1"/>
    </xf>
    <xf numFmtId="1" fontId="26" fillId="0" borderId="0" xfId="0" applyNumberFormat="1" applyFont="1" applyFill="1" applyBorder="1" applyAlignment="1">
      <alignment horizontal="left" vertical="center" wrapText="1"/>
    </xf>
    <xf numFmtId="1" fontId="26" fillId="0" borderId="0" xfId="0" applyNumberFormat="1" applyFont="1" applyFill="1" applyAlignment="1">
      <alignment horizontal="left" vertical="center" wrapText="1"/>
    </xf>
    <xf numFmtId="2" fontId="45" fillId="38" borderId="32" xfId="48" applyNumberFormat="1" applyFont="1" applyFill="1" applyBorder="1" applyAlignment="1">
      <alignment horizontal="right" vertical="center" wrapText="1"/>
    </xf>
    <xf numFmtId="2" fontId="29" fillId="38" borderId="0" xfId="48" applyNumberFormat="1" applyFont="1" applyFill="1" applyBorder="1" applyAlignment="1">
      <alignment horizontal="left" vertical="center" wrapText="1"/>
    </xf>
    <xf numFmtId="2" fontId="26" fillId="0" borderId="32" xfId="48" applyNumberFormat="1" applyFont="1" applyFill="1" applyBorder="1" applyAlignment="1">
      <alignment horizontal="right" vertical="center" wrapText="1"/>
    </xf>
    <xf numFmtId="2" fontId="26" fillId="0" borderId="32" xfId="48" applyNumberFormat="1" applyFont="1" applyFill="1" applyBorder="1" applyAlignment="1">
      <alignment horizontal="left" vertical="center" wrapText="1"/>
    </xf>
    <xf numFmtId="2" fontId="26" fillId="0" borderId="32" xfId="48" applyNumberFormat="1" applyFont="1" applyFill="1" applyBorder="1" applyAlignment="1">
      <alignment horizontal="center" vertical="center" wrapText="1"/>
    </xf>
    <xf numFmtId="2" fontId="26" fillId="38" borderId="32" xfId="48" applyNumberFormat="1" applyFont="1" applyFill="1" applyBorder="1" applyAlignment="1">
      <alignment horizontal="right" vertical="center" wrapText="1"/>
    </xf>
    <xf numFmtId="2" fontId="29" fillId="38" borderId="32" xfId="48" applyNumberFormat="1" applyFont="1" applyFill="1" applyBorder="1" applyAlignment="1">
      <alignment horizontal="left" vertical="center" wrapText="1"/>
    </xf>
    <xf numFmtId="2" fontId="29" fillId="38" borderId="32" xfId="48" applyNumberFormat="1" applyFont="1" applyFill="1" applyBorder="1" applyAlignment="1">
      <alignment horizontal="center" vertical="center" wrapText="1"/>
    </xf>
    <xf numFmtId="2" fontId="29" fillId="27" borderId="32" xfId="48" applyNumberFormat="1" applyFont="1" applyFill="1" applyBorder="1" applyAlignment="1">
      <alignment horizontal="right" vertical="center" wrapText="1"/>
    </xf>
    <xf numFmtId="2" fontId="29" fillId="27" borderId="32" xfId="48" applyNumberFormat="1" applyFont="1" applyFill="1" applyBorder="1" applyAlignment="1">
      <alignment horizontal="left" vertical="center" wrapText="1"/>
    </xf>
    <xf numFmtId="2" fontId="26" fillId="27" borderId="32" xfId="48" applyNumberFormat="1" applyFont="1" applyFill="1" applyBorder="1" applyAlignment="1">
      <alignment horizontal="center" vertical="center" wrapText="1"/>
    </xf>
    <xf numFmtId="2" fontId="28" fillId="0" borderId="32" xfId="0" applyNumberFormat="1" applyFont="1" applyBorder="1" applyAlignment="1">
      <alignment horizontal="left" vertical="center" wrapText="1"/>
    </xf>
    <xf numFmtId="2" fontId="26" fillId="39" borderId="32" xfId="48" applyNumberFormat="1" applyFont="1" applyFill="1" applyBorder="1" applyAlignment="1">
      <alignment horizontal="center" vertical="center" wrapText="1"/>
    </xf>
    <xf numFmtId="2" fontId="26" fillId="39" borderId="32" xfId="48" applyNumberFormat="1" applyFont="1" applyFill="1" applyBorder="1" applyAlignment="1">
      <alignment horizontal="right" vertical="center" wrapText="1"/>
    </xf>
    <xf numFmtId="2" fontId="26" fillId="39" borderId="32" xfId="48" applyNumberFormat="1" applyFont="1" applyFill="1" applyBorder="1" applyAlignment="1">
      <alignment horizontal="left" vertical="center" wrapText="1"/>
    </xf>
    <xf numFmtId="2" fontId="53" fillId="25" borderId="32" xfId="0" applyNumberFormat="1" applyFont="1" applyFill="1" applyBorder="1" applyAlignment="1">
      <alignment horizontal="center" vertical="center" wrapText="1"/>
    </xf>
    <xf numFmtId="2" fontId="28" fillId="38" borderId="32" xfId="48" applyNumberFormat="1" applyFont="1" applyFill="1" applyBorder="1" applyAlignment="1">
      <alignment horizontal="right" vertical="center" wrapText="1"/>
    </xf>
    <xf numFmtId="2" fontId="25" fillId="38" borderId="32" xfId="48" applyNumberFormat="1" applyFont="1" applyFill="1" applyBorder="1" applyAlignment="1">
      <alignment horizontal="left" vertical="center" wrapText="1"/>
    </xf>
    <xf numFmtId="2" fontId="28" fillId="38" borderId="32" xfId="48" applyNumberFormat="1" applyFont="1" applyFill="1" applyBorder="1" applyAlignment="1">
      <alignment horizontal="center" vertical="center" wrapText="1"/>
    </xf>
    <xf numFmtId="2" fontId="25" fillId="38" borderId="32" xfId="48" applyNumberFormat="1" applyFont="1" applyFill="1" applyBorder="1" applyAlignment="1">
      <alignment horizontal="center" vertical="center" wrapText="1"/>
    </xf>
    <xf numFmtId="2" fontId="46" fillId="38" borderId="32" xfId="48" applyNumberFormat="1" applyFont="1" applyFill="1" applyBorder="1" applyAlignment="1">
      <alignment horizontal="right" vertical="center" wrapText="1"/>
    </xf>
    <xf numFmtId="2" fontId="45" fillId="38" borderId="32" xfId="48" applyNumberFormat="1" applyFont="1" applyFill="1" applyBorder="1" applyAlignment="1">
      <alignment horizontal="left" vertical="center" wrapText="1"/>
    </xf>
    <xf numFmtId="2" fontId="46" fillId="38" borderId="32" xfId="48" applyNumberFormat="1" applyFont="1" applyFill="1" applyBorder="1" applyAlignment="1">
      <alignment horizontal="center" vertical="center" wrapText="1"/>
    </xf>
    <xf numFmtId="1" fontId="28" fillId="0" borderId="0" xfId="0" applyNumberFormat="1" applyFont="1" applyAlignment="1">
      <alignment horizontal="left" vertical="center"/>
    </xf>
    <xf numFmtId="2" fontId="53" fillId="0" borderId="32" xfId="0" applyNumberFormat="1" applyFont="1" applyBorder="1" applyAlignment="1">
      <alignment horizontal="center" vertical="center" wrapText="1"/>
    </xf>
    <xf numFmtId="2" fontId="25" fillId="0" borderId="0" xfId="0" applyNumberFormat="1" applyFont="1" applyAlignment="1">
      <alignment horizontal="center" vertical="center" wrapText="1"/>
    </xf>
    <xf numFmtId="2" fontId="28" fillId="40" borderId="32" xfId="0" applyNumberFormat="1" applyFont="1" applyFill="1" applyBorder="1" applyAlignment="1">
      <alignment horizontal="center" vertical="center" wrapText="1"/>
    </xf>
    <xf numFmtId="4" fontId="55" fillId="0" borderId="32" xfId="0" applyNumberFormat="1" applyFont="1" applyBorder="1"/>
    <xf numFmtId="0" fontId="0" fillId="0" borderId="29" xfId="0" applyFill="1" applyBorder="1" applyAlignment="1">
      <alignment wrapText="1"/>
    </xf>
    <xf numFmtId="4" fontId="54" fillId="41" borderId="29" xfId="0" applyNumberFormat="1" applyFont="1" applyFill="1" applyBorder="1" applyAlignment="1">
      <alignment horizontal="right" vertical="top"/>
    </xf>
    <xf numFmtId="2" fontId="28" fillId="0" borderId="29" xfId="0" applyNumberFormat="1" applyFont="1" applyFill="1" applyBorder="1" applyAlignment="1">
      <alignment horizontal="center" vertical="center" wrapText="1"/>
    </xf>
    <xf numFmtId="2" fontId="29" fillId="38" borderId="32" xfId="48" applyNumberFormat="1" applyFont="1" applyFill="1" applyBorder="1" applyAlignment="1">
      <alignment horizontal="left" vertical="center" wrapText="1"/>
    </xf>
    <xf numFmtId="2" fontId="25" fillId="25" borderId="32" xfId="0" applyNumberFormat="1" applyFont="1" applyFill="1" applyBorder="1" applyAlignment="1">
      <alignment horizontal="left" vertical="center" wrapText="1"/>
    </xf>
    <xf numFmtId="2" fontId="0" fillId="40" borderId="29" xfId="0" applyNumberFormat="1" applyFill="1" applyBorder="1"/>
    <xf numFmtId="1" fontId="28" fillId="0" borderId="0" xfId="0" applyNumberFormat="1" applyFont="1" applyAlignment="1">
      <alignment horizontal="center" vertical="center"/>
    </xf>
    <xf numFmtId="2" fontId="25" fillId="38" borderId="0" xfId="0" applyNumberFormat="1" applyFont="1" applyFill="1" applyAlignment="1">
      <alignment horizontal="left" wrapText="1"/>
    </xf>
    <xf numFmtId="2" fontId="28" fillId="37" borderId="32" xfId="0" applyNumberFormat="1" applyFont="1" applyFill="1" applyBorder="1" applyAlignment="1">
      <alignment horizontal="left" vertical="center" wrapText="1"/>
    </xf>
    <xf numFmtId="2" fontId="28" fillId="42" borderId="32" xfId="0" applyNumberFormat="1" applyFont="1" applyFill="1" applyBorder="1" applyAlignment="1">
      <alignment horizontal="center" vertical="center" wrapText="1"/>
    </xf>
    <xf numFmtId="2" fontId="28" fillId="43" borderId="32" xfId="0" applyNumberFormat="1" applyFont="1" applyFill="1" applyBorder="1" applyAlignment="1">
      <alignment horizontal="center" vertical="center" wrapText="1"/>
    </xf>
    <xf numFmtId="1" fontId="25" fillId="0" borderId="0" xfId="0" applyNumberFormat="1" applyFont="1" applyAlignment="1">
      <alignment vertical="center" wrapText="1"/>
    </xf>
    <xf numFmtId="1" fontId="28" fillId="0" borderId="0" xfId="0" applyNumberFormat="1" applyFont="1" applyAlignment="1">
      <alignment horizontal="right" vertical="center" wrapText="1"/>
    </xf>
    <xf numFmtId="1" fontId="28" fillId="37" borderId="32" xfId="0" applyNumberFormat="1" applyFont="1" applyFill="1" applyBorder="1" applyAlignment="1">
      <alignment vertical="center" wrapText="1"/>
    </xf>
    <xf numFmtId="1" fontId="28" fillId="40" borderId="0" xfId="0" applyNumberFormat="1" applyFont="1" applyFill="1" applyAlignment="1">
      <alignment horizontal="right" vertical="center" wrapText="1"/>
    </xf>
    <xf numFmtId="2" fontId="25" fillId="27" borderId="0" xfId="0" applyNumberFormat="1" applyFont="1" applyFill="1" applyAlignment="1">
      <alignment horizontal="left" wrapText="1"/>
    </xf>
    <xf numFmtId="2" fontId="34" fillId="0" borderId="32" xfId="48" applyNumberFormat="1" applyFill="1" applyBorder="1" applyAlignment="1">
      <alignment horizontal="center" vertical="center" wrapText="1"/>
    </xf>
    <xf numFmtId="2" fontId="52" fillId="0" borderId="32" xfId="0" applyNumberFormat="1" applyFont="1" applyBorder="1" applyAlignment="1">
      <alignment horizontal="center" vertical="center" wrapText="1"/>
    </xf>
    <xf numFmtId="1" fontId="26" fillId="0" borderId="0" xfId="0" applyNumberFormat="1" applyFont="1" applyAlignment="1">
      <alignment horizontal="left" vertical="center" wrapText="1"/>
    </xf>
    <xf numFmtId="2" fontId="25" fillId="40" borderId="32" xfId="0" applyNumberFormat="1" applyFont="1" applyFill="1" applyBorder="1" applyAlignment="1">
      <alignment horizontal="center" vertical="center" wrapText="1"/>
    </xf>
    <xf numFmtId="4" fontId="56" fillId="40" borderId="32" xfId="0" applyNumberFormat="1" applyFont="1" applyFill="1" applyBorder="1"/>
    <xf numFmtId="2" fontId="25" fillId="27" borderId="32" xfId="0" applyNumberFormat="1" applyFont="1" applyFill="1" applyBorder="1" applyAlignment="1">
      <alignment horizontal="left" wrapText="1"/>
    </xf>
    <xf numFmtId="2" fontId="29" fillId="38" borderId="32" xfId="48" applyNumberFormat="1" applyFont="1" applyFill="1" applyBorder="1" applyAlignment="1">
      <alignment horizontal="left" vertical="center" wrapText="1"/>
    </xf>
    <xf numFmtId="2" fontId="25" fillId="25" borderId="32" xfId="0" applyNumberFormat="1" applyFont="1" applyFill="1" applyBorder="1" applyAlignment="1">
      <alignment horizontal="left" vertical="center" wrapText="1"/>
    </xf>
    <xf numFmtId="2" fontId="25" fillId="40" borderId="0" xfId="0" applyNumberFormat="1" applyFont="1" applyFill="1" applyAlignment="1">
      <alignment horizontal="center" vertical="center" wrapText="1"/>
    </xf>
    <xf numFmtId="2" fontId="25" fillId="44" borderId="0" xfId="0" applyNumberFormat="1" applyFont="1" applyFill="1" applyAlignment="1">
      <alignment horizontal="center" vertical="center" wrapText="1"/>
    </xf>
    <xf numFmtId="0" fontId="54" fillId="0" borderId="29" xfId="0" applyFont="1" applyBorder="1"/>
    <xf numFmtId="0" fontId="30" fillId="0" borderId="12" xfId="46" applyFont="1" applyBorder="1" applyAlignment="1" applyProtection="1">
      <alignment horizontal="center" vertical="top"/>
    </xf>
    <xf numFmtId="0" fontId="28" fillId="0" borderId="13" xfId="28" applyFont="1" applyFill="1" applyBorder="1" applyAlignment="1">
      <alignment horizontal="left" vertical="center" wrapText="1" readingOrder="1"/>
    </xf>
    <xf numFmtId="0" fontId="28" fillId="0" borderId="26" xfId="28" applyFont="1" applyFill="1" applyBorder="1" applyAlignment="1">
      <alignment horizontal="left" vertical="center" wrapText="1" readingOrder="1"/>
    </xf>
    <xf numFmtId="0" fontId="28" fillId="0" borderId="11" xfId="28" applyFont="1" applyFill="1" applyBorder="1" applyAlignment="1">
      <alignment horizontal="left" vertical="center" wrapText="1" readingOrder="1"/>
    </xf>
    <xf numFmtId="0" fontId="28" fillId="0" borderId="0" xfId="28" applyFont="1" applyFill="1" applyAlignment="1">
      <alignment horizontal="left" vertical="center" wrapText="1" readingOrder="1"/>
    </xf>
    <xf numFmtId="0" fontId="25" fillId="0" borderId="10" xfId="28" applyFont="1" applyBorder="1" applyAlignment="1">
      <alignment horizontal="left" vertical="center" wrapText="1" readingOrder="1"/>
    </xf>
    <xf numFmtId="0" fontId="25" fillId="0" borderId="15" xfId="28" applyFont="1" applyBorder="1" applyAlignment="1">
      <alignment horizontal="center" vertical="center" readingOrder="1"/>
    </xf>
    <xf numFmtId="0" fontId="25" fillId="0" borderId="14" xfId="28" applyFont="1" applyBorder="1" applyAlignment="1">
      <alignment horizontal="center" vertical="center" readingOrder="1"/>
    </xf>
    <xf numFmtId="0" fontId="25" fillId="0" borderId="10" xfId="28" applyFont="1" applyBorder="1" applyAlignment="1">
      <alignment horizontal="center" vertical="center" wrapText="1" readingOrder="1"/>
    </xf>
    <xf numFmtId="0" fontId="25" fillId="0" borderId="15" xfId="28" applyFont="1" applyBorder="1" applyAlignment="1">
      <alignment horizontal="center" vertical="center" wrapText="1" readingOrder="1"/>
    </xf>
    <xf numFmtId="0" fontId="25" fillId="0" borderId="14" xfId="28" applyFont="1" applyBorder="1" applyAlignment="1">
      <alignment horizontal="center" vertical="center" wrapText="1" readingOrder="1"/>
    </xf>
    <xf numFmtId="0" fontId="26" fillId="0" borderId="10" xfId="0" applyFont="1" applyBorder="1" applyAlignment="1">
      <alignment horizontal="left" vertical="center" readingOrder="1"/>
    </xf>
    <xf numFmtId="0" fontId="26" fillId="0" borderId="11" xfId="0" applyFont="1" applyBorder="1" applyAlignment="1">
      <alignment horizontal="left" vertical="center" wrapText="1" readingOrder="1"/>
    </xf>
    <xf numFmtId="0" fontId="26" fillId="0" borderId="10" xfId="0" applyFont="1" applyBorder="1" applyAlignment="1">
      <alignment horizontal="left" vertical="center" wrapText="1" readingOrder="1"/>
    </xf>
    <xf numFmtId="164" fontId="28" fillId="0" borderId="13" xfId="28" applyNumberFormat="1" applyFont="1" applyBorder="1" applyAlignment="1">
      <alignment horizontal="center" vertical="center" readingOrder="1"/>
    </xf>
    <xf numFmtId="164" fontId="28" fillId="0" borderId="11" xfId="28" applyNumberFormat="1" applyFont="1" applyBorder="1" applyAlignment="1">
      <alignment horizontal="center" vertical="center" readingOrder="1"/>
    </xf>
    <xf numFmtId="0" fontId="28" fillId="0" borderId="10" xfId="31" applyFont="1" applyBorder="1" applyAlignment="1" applyProtection="1">
      <alignment horizontal="left" vertical="center" readingOrder="1"/>
      <protection locked="0"/>
    </xf>
    <xf numFmtId="164" fontId="28" fillId="0" borderId="10" xfId="28" applyNumberFormat="1" applyFont="1" applyBorder="1" applyAlignment="1">
      <alignment horizontal="center" vertical="center" readingOrder="1"/>
    </xf>
    <xf numFmtId="0" fontId="28" fillId="0" borderId="12" xfId="31" applyFont="1" applyBorder="1" applyAlignment="1">
      <alignment horizontal="left" vertical="top"/>
    </xf>
    <xf numFmtId="1" fontId="25" fillId="0" borderId="28" xfId="0" applyNumberFormat="1" applyFont="1" applyFill="1" applyBorder="1" applyAlignment="1">
      <alignment horizontal="center"/>
    </xf>
    <xf numFmtId="1" fontId="25" fillId="0" borderId="0" xfId="0" applyNumberFormat="1" applyFont="1" applyFill="1" applyBorder="1" applyAlignment="1">
      <alignment horizontal="center"/>
    </xf>
    <xf numFmtId="165" fontId="25" fillId="0" borderId="29" xfId="0" applyNumberFormat="1" applyFont="1" applyFill="1" applyBorder="1" applyAlignment="1">
      <alignment horizontal="center" wrapText="1"/>
    </xf>
    <xf numFmtId="2" fontId="25" fillId="0" borderId="0" xfId="0" applyNumberFormat="1" applyFont="1" applyAlignment="1">
      <alignment horizontal="left" wrapText="1"/>
    </xf>
    <xf numFmtId="2" fontId="28" fillId="0" borderId="0" xfId="0" applyNumberFormat="1" applyFont="1" applyAlignment="1">
      <alignment horizontal="left" wrapText="1"/>
    </xf>
    <xf numFmtId="2" fontId="29" fillId="38" borderId="32" xfId="48" applyNumberFormat="1" applyFont="1" applyFill="1" applyBorder="1" applyAlignment="1">
      <alignment horizontal="left" vertical="top" wrapText="1"/>
    </xf>
    <xf numFmtId="2" fontId="25" fillId="38" borderId="32" xfId="0" applyNumberFormat="1" applyFont="1" applyFill="1" applyBorder="1" applyAlignment="1">
      <alignment horizontal="left" wrapText="1"/>
    </xf>
    <xf numFmtId="2" fontId="25" fillId="27" borderId="32" xfId="0" applyNumberFormat="1" applyFont="1" applyFill="1" applyBorder="1" applyAlignment="1">
      <alignment horizontal="left" wrapText="1"/>
    </xf>
    <xf numFmtId="2" fontId="29" fillId="38" borderId="32" xfId="48" applyNumberFormat="1" applyFont="1" applyFill="1" applyBorder="1" applyAlignment="1">
      <alignment horizontal="left" vertical="center" wrapText="1"/>
    </xf>
    <xf numFmtId="2" fontId="25" fillId="25" borderId="32" xfId="0" applyNumberFormat="1" applyFont="1" applyFill="1" applyBorder="1" applyAlignment="1">
      <alignment horizontal="left" vertical="center" wrapText="1"/>
    </xf>
    <xf numFmtId="2" fontId="28" fillId="25" borderId="32" xfId="0" applyNumberFormat="1" applyFont="1" applyFill="1" applyBorder="1" applyAlignment="1">
      <alignment horizontal="left" vertical="center" wrapText="1"/>
    </xf>
    <xf numFmtId="2" fontId="25" fillId="35" borderId="32" xfId="0" applyNumberFormat="1" applyFont="1" applyFill="1" applyBorder="1" applyAlignment="1">
      <alignment horizontal="right" wrapText="1"/>
    </xf>
    <xf numFmtId="2" fontId="28" fillId="35" borderId="32" xfId="0" applyNumberFormat="1" applyFont="1" applyFill="1" applyBorder="1" applyAlignment="1">
      <alignment horizontal="right" wrapText="1"/>
    </xf>
    <xf numFmtId="2" fontId="25" fillId="0" borderId="0" xfId="0" applyNumberFormat="1" applyFont="1" applyFill="1" applyBorder="1" applyAlignment="1">
      <alignment horizontal="left" wrapText="1"/>
    </xf>
    <xf numFmtId="2" fontId="28" fillId="0" borderId="0" xfId="0" applyNumberFormat="1" applyFont="1" applyFill="1" applyBorder="1" applyAlignment="1">
      <alignment horizontal="left" wrapText="1"/>
    </xf>
    <xf numFmtId="2" fontId="44" fillId="0" borderId="0" xfId="0" applyNumberFormat="1" applyFont="1" applyFill="1" applyBorder="1" applyAlignment="1">
      <alignment horizontal="center" wrapText="1"/>
    </xf>
    <xf numFmtId="2" fontId="42" fillId="32" borderId="32" xfId="48" applyNumberFormat="1" applyFont="1" applyFill="1" applyBorder="1" applyAlignment="1">
      <alignment horizontal="left" vertical="top" wrapText="1"/>
    </xf>
    <xf numFmtId="2" fontId="25" fillId="33" borderId="32" xfId="0" applyNumberFormat="1" applyFont="1" applyFill="1" applyBorder="1" applyAlignment="1">
      <alignment horizontal="left" wrapText="1"/>
    </xf>
    <xf numFmtId="2" fontId="25" fillId="32" borderId="32" xfId="0" applyNumberFormat="1" applyFont="1" applyFill="1" applyBorder="1" applyAlignment="1">
      <alignment horizontal="left" wrapText="1"/>
    </xf>
    <xf numFmtId="2" fontId="42" fillId="32" borderId="32" xfId="48" applyNumberFormat="1" applyFont="1" applyFill="1" applyBorder="1" applyAlignment="1">
      <alignment horizontal="left" wrapText="1"/>
    </xf>
    <xf numFmtId="2" fontId="28" fillId="45" borderId="0" xfId="0" applyNumberFormat="1" applyFont="1" applyFill="1" applyAlignment="1">
      <alignment horizontal="center" vertical="center" wrapText="1"/>
    </xf>
    <xf numFmtId="2" fontId="45" fillId="46" borderId="32" xfId="48" applyNumberFormat="1" applyFont="1" applyFill="1" applyBorder="1" applyAlignment="1">
      <alignment horizontal="center" vertical="center" wrapText="1"/>
    </xf>
    <xf numFmtId="2" fontId="25" fillId="45" borderId="32" xfId="0" applyNumberFormat="1" applyFont="1" applyFill="1" applyBorder="1" applyAlignment="1">
      <alignment horizontal="center" vertical="center" wrapText="1"/>
    </xf>
    <xf numFmtId="2" fontId="28" fillId="27" borderId="32" xfId="0" applyNumberFormat="1" applyFont="1" applyFill="1" applyBorder="1" applyAlignment="1">
      <alignment horizontal="left" wrapText="1"/>
    </xf>
    <xf numFmtId="2" fontId="28" fillId="27" borderId="0" xfId="0" applyNumberFormat="1" applyFont="1" applyFill="1" applyAlignment="1">
      <alignment horizontal="left" wrapText="1"/>
    </xf>
    <xf numFmtId="2" fontId="34" fillId="47" borderId="32" xfId="48" applyNumberFormat="1" applyFill="1" applyBorder="1" applyAlignment="1">
      <alignment horizontal="center" vertical="center" wrapText="1"/>
    </xf>
    <xf numFmtId="2" fontId="28" fillId="47" borderId="32" xfId="0" applyNumberFormat="1" applyFont="1" applyFill="1" applyBorder="1" applyAlignment="1">
      <alignment horizontal="center" vertical="center" wrapText="1"/>
    </xf>
    <xf numFmtId="2" fontId="34" fillId="40" borderId="32" xfId="48" applyNumberFormat="1" applyFill="1" applyBorder="1" applyAlignment="1">
      <alignment horizontal="center" vertical="center" wrapText="1"/>
    </xf>
    <xf numFmtId="2" fontId="28" fillId="40" borderId="26" xfId="0" applyNumberFormat="1" applyFont="1" applyFill="1" applyBorder="1" applyAlignment="1">
      <alignment horizontal="left" vertical="center" wrapText="1"/>
    </xf>
    <xf numFmtId="2" fontId="28" fillId="40" borderId="32" xfId="0" applyNumberFormat="1" applyFont="1" applyFill="1" applyBorder="1" applyAlignment="1">
      <alignment horizontal="right" vertical="center" wrapText="1"/>
    </xf>
    <xf numFmtId="2" fontId="28" fillId="40" borderId="32" xfId="0" applyNumberFormat="1" applyFont="1" applyFill="1" applyBorder="1" applyAlignment="1">
      <alignment horizontal="left" vertical="center" wrapText="1"/>
    </xf>
    <xf numFmtId="4" fontId="58" fillId="0" borderId="32" xfId="0" applyNumberFormat="1" applyFont="1" applyBorder="1"/>
    <xf numFmtId="2" fontId="28" fillId="40" borderId="0" xfId="0" applyNumberFormat="1" applyFont="1" applyFill="1" applyAlignment="1">
      <alignment horizontal="center" vertical="center" wrapText="1"/>
    </xf>
    <xf numFmtId="2" fontId="59" fillId="0" borderId="32" xfId="0" applyNumberFormat="1" applyFont="1" applyBorder="1" applyAlignment="1">
      <alignment horizontal="center" vertical="center" wrapText="1"/>
    </xf>
    <xf numFmtId="2" fontId="58" fillId="0" borderId="32" xfId="0" applyNumberFormat="1" applyFont="1" applyBorder="1"/>
    <xf numFmtId="2" fontId="28" fillId="0" borderId="13" xfId="0" applyNumberFormat="1" applyFont="1" applyBorder="1" applyAlignment="1">
      <alignment horizontal="center" vertical="center" wrapText="1"/>
    </xf>
    <xf numFmtId="2" fontId="60" fillId="0" borderId="32" xfId="0" applyNumberFormat="1" applyFont="1" applyBorder="1" applyAlignment="1">
      <alignment horizontal="left" wrapText="1"/>
    </xf>
    <xf numFmtId="0" fontId="6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61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62" fillId="0" borderId="0" xfId="0" applyFont="1" applyAlignment="1">
      <alignment horizontal="right" vertical="center"/>
    </xf>
    <xf numFmtId="0" fontId="61" fillId="0" borderId="0" xfId="0" applyFont="1" applyAlignment="1">
      <alignment horizontal="right"/>
    </xf>
    <xf numFmtId="0" fontId="6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61" fillId="0" borderId="0" xfId="0" applyFont="1"/>
    <xf numFmtId="0" fontId="0" fillId="0" borderId="0" xfId="0" applyAlignment="1">
      <alignment wrapText="1"/>
    </xf>
    <xf numFmtId="1" fontId="0" fillId="0" borderId="0" xfId="0" applyNumberFormat="1"/>
    <xf numFmtId="0" fontId="60" fillId="0" borderId="0" xfId="0" applyFont="1" applyAlignment="1">
      <alignment wrapText="1"/>
    </xf>
    <xf numFmtId="49" fontId="60" fillId="0" borderId="0" xfId="0" applyNumberFormat="1" applyFont="1" applyAlignment="1">
      <alignment vertical="top"/>
    </xf>
    <xf numFmtId="0" fontId="60" fillId="0" borderId="32" xfId="0" applyFont="1" applyBorder="1" applyAlignment="1">
      <alignment horizontal="center" vertical="top" wrapText="1"/>
    </xf>
    <xf numFmtId="1" fontId="60" fillId="0" borderId="32" xfId="51" applyNumberFormat="1" applyFont="1" applyBorder="1" applyAlignment="1">
      <alignment horizontal="center"/>
    </xf>
    <xf numFmtId="1" fontId="60" fillId="0" borderId="0" xfId="51" applyNumberFormat="1" applyFont="1" applyBorder="1" applyAlignment="1">
      <alignment horizontal="center"/>
    </xf>
    <xf numFmtId="0" fontId="60" fillId="0" borderId="0" xfId="51" applyNumberFormat="1" applyFont="1" applyBorder="1" applyAlignment="1">
      <alignment horizontal="center"/>
    </xf>
    <xf numFmtId="0" fontId="60" fillId="0" borderId="34" xfId="0" applyFont="1" applyBorder="1" applyAlignment="1">
      <alignment horizontal="center" vertical="center" wrapText="1"/>
    </xf>
    <xf numFmtId="0" fontId="60" fillId="0" borderId="35" xfId="0" applyFont="1" applyBorder="1" applyAlignment="1">
      <alignment horizontal="center" vertical="center" wrapText="1"/>
    </xf>
    <xf numFmtId="0" fontId="60" fillId="0" borderId="35" xfId="0" applyFont="1" applyBorder="1" applyAlignment="1">
      <alignment horizontal="center" vertical="center" wrapText="1"/>
    </xf>
    <xf numFmtId="0" fontId="60" fillId="0" borderId="32" xfId="0" applyFont="1" applyBorder="1" applyAlignment="1">
      <alignment horizontal="center" vertical="center" wrapText="1"/>
    </xf>
    <xf numFmtId="49" fontId="60" fillId="0" borderId="32" xfId="0" applyNumberFormat="1" applyFont="1" applyBorder="1" applyAlignment="1">
      <alignment horizontal="center" vertical="center" wrapText="1"/>
    </xf>
    <xf numFmtId="1" fontId="60" fillId="0" borderId="32" xfId="0" applyNumberFormat="1" applyFont="1" applyBorder="1" applyAlignment="1">
      <alignment horizontal="center" vertical="center" wrapText="1"/>
    </xf>
    <xf numFmtId="1" fontId="60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60" fillId="0" borderId="0" xfId="0" applyNumberFormat="1" applyFont="1" applyAlignment="1">
      <alignment horizontal="center" vertical="center" wrapText="1"/>
    </xf>
    <xf numFmtId="0" fontId="60" fillId="0" borderId="15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wrapText="1"/>
    </xf>
    <xf numFmtId="1" fontId="3" fillId="0" borderId="32" xfId="0" applyNumberFormat="1" applyFont="1" applyBorder="1" applyAlignment="1">
      <alignment horizontal="center" wrapText="1"/>
    </xf>
    <xf numFmtId="1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60" fillId="0" borderId="30" xfId="0" applyFont="1" applyBorder="1" applyAlignment="1">
      <alignment horizontal="center" vertical="center" wrapText="1"/>
    </xf>
    <xf numFmtId="0" fontId="60" fillId="0" borderId="32" xfId="0" applyFont="1" applyBorder="1" applyAlignment="1">
      <alignment horizontal="center" vertical="center" wrapText="1"/>
    </xf>
    <xf numFmtId="0" fontId="60" fillId="0" borderId="15" xfId="0" applyFont="1" applyBorder="1" applyAlignment="1">
      <alignment horizontal="center" vertical="center"/>
    </xf>
    <xf numFmtId="0" fontId="65" fillId="0" borderId="15" xfId="0" applyFont="1" applyBorder="1" applyAlignment="1">
      <alignment horizontal="center" vertical="center" wrapText="1"/>
    </xf>
    <xf numFmtId="0" fontId="60" fillId="0" borderId="32" xfId="0" applyFont="1" applyBorder="1" applyAlignment="1">
      <alignment wrapText="1"/>
    </xf>
    <xf numFmtId="0" fontId="3" fillId="0" borderId="13" xfId="0" applyFont="1" applyBorder="1" applyAlignment="1">
      <alignment horizontal="left" wrapText="1"/>
    </xf>
    <xf numFmtId="2" fontId="3" fillId="0" borderId="32" xfId="0" applyNumberFormat="1" applyFont="1" applyBorder="1" applyAlignment="1">
      <alignment horizontal="right" wrapText="1"/>
    </xf>
    <xf numFmtId="2" fontId="3" fillId="0" borderId="0" xfId="0" applyNumberFormat="1" applyFont="1" applyAlignment="1">
      <alignment horizontal="right" wrapText="1"/>
    </xf>
    <xf numFmtId="0" fontId="60" fillId="0" borderId="30" xfId="0" applyFont="1" applyBorder="1" applyAlignment="1">
      <alignment horizontal="center" vertical="center"/>
    </xf>
    <xf numFmtId="0" fontId="65" fillId="0" borderId="30" xfId="0" applyFont="1" applyBorder="1" applyAlignment="1">
      <alignment horizontal="center" vertical="center" wrapText="1"/>
    </xf>
    <xf numFmtId="49" fontId="60" fillId="0" borderId="32" xfId="0" applyNumberFormat="1" applyFont="1" applyBorder="1" applyAlignment="1">
      <alignment horizontal="right" vertical="top"/>
    </xf>
    <xf numFmtId="0" fontId="67" fillId="0" borderId="13" xfId="0" applyFont="1" applyBorder="1" applyAlignment="1">
      <alignment horizontal="left" vertical="top" wrapText="1"/>
    </xf>
    <xf numFmtId="2" fontId="60" fillId="0" borderId="32" xfId="0" applyNumberFormat="1" applyFont="1" applyBorder="1" applyAlignment="1">
      <alignment horizontal="right" vertical="center"/>
    </xf>
    <xf numFmtId="1" fontId="60" fillId="0" borderId="0" xfId="0" applyNumberFormat="1" applyFont="1" applyAlignment="1">
      <alignment horizontal="right" vertical="center"/>
    </xf>
    <xf numFmtId="1" fontId="60" fillId="0" borderId="0" xfId="0" applyNumberFormat="1" applyFont="1"/>
    <xf numFmtId="3" fontId="60" fillId="0" borderId="0" xfId="0" applyNumberFormat="1" applyFont="1" applyAlignment="1">
      <alignment horizontal="right" vertical="center"/>
    </xf>
    <xf numFmtId="49" fontId="3" fillId="0" borderId="32" xfId="0" applyNumberFormat="1" applyFont="1" applyBorder="1" applyAlignment="1">
      <alignment horizontal="right" vertical="top"/>
    </xf>
    <xf numFmtId="0" fontId="3" fillId="0" borderId="32" xfId="0" applyFont="1" applyBorder="1" applyAlignment="1">
      <alignment horizontal="left" vertical="top" wrapText="1"/>
    </xf>
    <xf numFmtId="2" fontId="3" fillId="0" borderId="32" xfId="0" applyNumberFormat="1" applyFont="1" applyBorder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60" fillId="0" borderId="14" xfId="0" applyFont="1" applyBorder="1" applyAlignment="1">
      <alignment horizontal="center" vertical="center"/>
    </xf>
    <xf numFmtId="0" fontId="65" fillId="0" borderId="14" xfId="0" applyFont="1" applyBorder="1" applyAlignment="1">
      <alignment horizontal="center" vertical="center" wrapText="1"/>
    </xf>
    <xf numFmtId="0" fontId="60" fillId="0" borderId="11" xfId="0" applyFont="1" applyBorder="1" applyAlignment="1">
      <alignment horizontal="center" vertical="center" wrapText="1"/>
    </xf>
    <xf numFmtId="0" fontId="65" fillId="0" borderId="32" xfId="0" applyFont="1" applyBorder="1" applyAlignment="1">
      <alignment horizontal="center" vertical="center" wrapText="1"/>
    </xf>
    <xf numFmtId="0" fontId="67" fillId="0" borderId="32" xfId="0" applyFont="1" applyBorder="1" applyAlignment="1">
      <alignment wrapText="1"/>
    </xf>
    <xf numFmtId="0" fontId="3" fillId="0" borderId="32" xfId="0" applyFont="1" applyBorder="1" applyAlignment="1">
      <alignment wrapText="1"/>
    </xf>
    <xf numFmtId="0" fontId="3" fillId="0" borderId="32" xfId="0" applyFont="1" applyBorder="1" applyAlignment="1">
      <alignment vertical="top"/>
    </xf>
    <xf numFmtId="2" fontId="3" fillId="0" borderId="0" xfId="0" applyNumberFormat="1" applyFont="1" applyAlignment="1">
      <alignment horizontal="right" vertical="center"/>
    </xf>
    <xf numFmtId="0" fontId="60" fillId="0" borderId="36" xfId="0" applyFont="1" applyBorder="1" applyAlignment="1">
      <alignment vertical="center" wrapText="1"/>
    </xf>
    <xf numFmtId="0" fontId="60" fillId="0" borderId="14" xfId="0" applyFont="1" applyBorder="1" applyAlignment="1">
      <alignment vertical="center" wrapText="1"/>
    </xf>
    <xf numFmtId="49" fontId="60" fillId="0" borderId="32" xfId="0" applyNumberFormat="1" applyFont="1" applyBorder="1" applyAlignment="1">
      <alignment horizontal="left" vertical="top"/>
    </xf>
    <xf numFmtId="0" fontId="3" fillId="0" borderId="13" xfId="0" applyFont="1" applyBorder="1" applyAlignment="1">
      <alignment horizontal="left" vertical="top" wrapText="1"/>
    </xf>
    <xf numFmtId="0" fontId="60" fillId="0" borderId="34" xfId="0" applyFont="1" applyBorder="1" applyAlignment="1">
      <alignment vertical="center" wrapText="1"/>
    </xf>
    <xf numFmtId="0" fontId="60" fillId="0" borderId="27" xfId="0" applyFont="1" applyBorder="1" applyAlignment="1">
      <alignment vertical="center" wrapText="1"/>
    </xf>
    <xf numFmtId="0" fontId="60" fillId="0" borderId="35" xfId="0" applyFont="1" applyBorder="1" applyAlignment="1">
      <alignment vertical="center" wrapText="1"/>
    </xf>
    <xf numFmtId="0" fontId="67" fillId="0" borderId="13" xfId="0" applyFont="1" applyBorder="1" applyAlignment="1">
      <alignment horizontal="left" wrapText="1"/>
    </xf>
    <xf numFmtId="2" fontId="60" fillId="0" borderId="32" xfId="0" applyNumberFormat="1" applyFont="1" applyBorder="1" applyAlignment="1">
      <alignment horizontal="right" wrapText="1"/>
    </xf>
    <xf numFmtId="1" fontId="60" fillId="0" borderId="0" xfId="0" applyNumberFormat="1" applyFont="1" applyAlignment="1">
      <alignment horizontal="right" wrapText="1"/>
    </xf>
    <xf numFmtId="0" fontId="60" fillId="0" borderId="28" xfId="0" applyFont="1" applyBorder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60" fillId="0" borderId="32" xfId="0" applyFont="1" applyBorder="1" applyAlignment="1">
      <alignment vertical="center" wrapText="1"/>
    </xf>
    <xf numFmtId="1" fontId="3" fillId="0" borderId="0" xfId="0" applyNumberFormat="1" applyFont="1" applyAlignment="1">
      <alignment horizontal="right" wrapText="1"/>
    </xf>
    <xf numFmtId="0" fontId="60" fillId="0" borderId="14" xfId="0" applyFont="1" applyBorder="1" applyAlignment="1">
      <alignment horizontal="center" vertical="center" wrapText="1"/>
    </xf>
    <xf numFmtId="0" fontId="60" fillId="0" borderId="37" xfId="0" applyFont="1" applyBorder="1" applyAlignment="1">
      <alignment horizontal="center" vertical="center" wrapText="1"/>
    </xf>
    <xf numFmtId="0" fontId="60" fillId="0" borderId="12" xfId="0" applyFont="1" applyBorder="1" applyAlignment="1">
      <alignment horizontal="center" vertical="center" wrapText="1"/>
    </xf>
    <xf numFmtId="1" fontId="3" fillId="48" borderId="0" xfId="0" applyNumberFormat="1" applyFont="1" applyFill="1" applyAlignment="1">
      <alignment horizontal="right" vertical="center"/>
    </xf>
    <xf numFmtId="2" fontId="60" fillId="0" borderId="0" xfId="0" applyNumberFormat="1" applyFont="1"/>
    <xf numFmtId="0" fontId="60" fillId="0" borderId="0" xfId="0" applyFont="1" applyAlignment="1">
      <alignment vertical="center" wrapText="1"/>
    </xf>
    <xf numFmtId="0" fontId="60" fillId="0" borderId="27" xfId="0" applyFont="1" applyBorder="1" applyAlignment="1">
      <alignment horizontal="center" vertical="center" wrapText="1"/>
    </xf>
    <xf numFmtId="0" fontId="60" fillId="0" borderId="37" xfId="0" applyFont="1" applyBorder="1" applyAlignment="1">
      <alignment horizontal="left" vertical="top" wrapText="1"/>
    </xf>
    <xf numFmtId="1" fontId="3" fillId="0" borderId="0" xfId="0" applyNumberFormat="1" applyFont="1"/>
    <xf numFmtId="2" fontId="3" fillId="0" borderId="0" xfId="0" applyNumberFormat="1" applyFont="1"/>
    <xf numFmtId="0" fontId="60" fillId="0" borderId="0" xfId="0" applyFont="1" applyAlignment="1">
      <alignment horizontal="center" vertical="center" wrapText="1"/>
    </xf>
    <xf numFmtId="0" fontId="60" fillId="0" borderId="38" xfId="0" applyFont="1" applyBorder="1" applyAlignment="1">
      <alignment vertical="center" wrapText="1"/>
    </xf>
    <xf numFmtId="0" fontId="60" fillId="0" borderId="13" xfId="0" applyFont="1" applyBorder="1" applyAlignment="1">
      <alignment horizontal="left" vertical="top" wrapText="1"/>
    </xf>
    <xf numFmtId="2" fontId="60" fillId="0" borderId="32" xfId="0" applyNumberFormat="1" applyFont="1" applyBorder="1" applyAlignment="1">
      <alignment horizontal="right"/>
    </xf>
    <xf numFmtId="1" fontId="60" fillId="0" borderId="0" xfId="0" applyNumberFormat="1" applyFont="1" applyAlignment="1">
      <alignment horizontal="right"/>
    </xf>
    <xf numFmtId="2" fontId="3" fillId="0" borderId="32" xfId="0" applyNumberFormat="1" applyFont="1" applyBorder="1"/>
    <xf numFmtId="2" fontId="60" fillId="0" borderId="30" xfId="0" applyNumberFormat="1" applyFont="1" applyBorder="1"/>
    <xf numFmtId="0" fontId="60" fillId="0" borderId="13" xfId="0" applyFont="1" applyBorder="1" applyAlignment="1">
      <alignment wrapText="1"/>
    </xf>
    <xf numFmtId="2" fontId="3" fillId="0" borderId="32" xfId="0" applyNumberFormat="1" applyFont="1" applyBorder="1" applyAlignment="1">
      <alignment horizontal="right"/>
    </xf>
    <xf numFmtId="0" fontId="68" fillId="0" borderId="0" xfId="0" applyFont="1"/>
    <xf numFmtId="0" fontId="69" fillId="0" borderId="0" xfId="0" applyFont="1"/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2" fontId="70" fillId="0" borderId="0" xfId="0" applyNumberFormat="1" applyFont="1"/>
    <xf numFmtId="2" fontId="68" fillId="0" borderId="0" xfId="0" applyNumberFormat="1" applyFont="1"/>
    <xf numFmtId="0" fontId="70" fillId="0" borderId="0" xfId="0" applyFont="1"/>
    <xf numFmtId="0" fontId="60" fillId="0" borderId="0" xfId="0" applyFont="1" applyAlignment="1">
      <alignment horizontal="left"/>
    </xf>
    <xf numFmtId="2" fontId="3" fillId="0" borderId="0" xfId="0" applyNumberFormat="1" applyFont="1" applyAlignment="1">
      <alignment horizontal="right"/>
    </xf>
    <xf numFmtId="0" fontId="60" fillId="0" borderId="32" xfId="0" applyFont="1" applyBorder="1" applyAlignment="1">
      <alignment horizontal="right" vertical="top" wrapText="1"/>
    </xf>
    <xf numFmtId="1" fontId="60" fillId="0" borderId="32" xfId="51" applyNumberFormat="1" applyFont="1" applyBorder="1" applyAlignment="1">
      <alignment horizontal="center"/>
    </xf>
    <xf numFmtId="0" fontId="60" fillId="0" borderId="13" xfId="51" applyNumberFormat="1" applyFont="1" applyBorder="1" applyAlignment="1">
      <alignment horizontal="center"/>
    </xf>
    <xf numFmtId="0" fontId="60" fillId="0" borderId="11" xfId="51" applyNumberFormat="1" applyFont="1" applyBorder="1" applyAlignment="1">
      <alignment horizontal="center"/>
    </xf>
    <xf numFmtId="0" fontId="60" fillId="0" borderId="32" xfId="51" applyNumberFormat="1" applyFont="1" applyBorder="1" applyAlignment="1">
      <alignment horizontal="center"/>
    </xf>
    <xf numFmtId="0" fontId="0" fillId="0" borderId="32" xfId="0" applyBorder="1" applyAlignment="1">
      <alignment wrapText="1"/>
    </xf>
    <xf numFmtId="0" fontId="60" fillId="0" borderId="13" xfId="0" applyFont="1" applyBorder="1" applyAlignment="1">
      <alignment horizontal="center" wrapText="1"/>
    </xf>
    <xf numFmtId="1" fontId="60" fillId="0" borderId="32" xfId="0" applyNumberFormat="1" applyFont="1" applyBorder="1" applyAlignment="1">
      <alignment horizontal="center" wrapText="1"/>
    </xf>
    <xf numFmtId="0" fontId="60" fillId="0" borderId="32" xfId="0" applyFont="1" applyBorder="1" applyAlignment="1">
      <alignment horizontal="center" wrapText="1"/>
    </xf>
    <xf numFmtId="0" fontId="60" fillId="0" borderId="11" xfId="0" applyFont="1" applyBorder="1" applyAlignment="1">
      <alignment horizontal="center" wrapText="1"/>
    </xf>
    <xf numFmtId="0" fontId="60" fillId="0" borderId="32" xfId="0" applyFont="1" applyBorder="1" applyAlignment="1">
      <alignment horizontal="left"/>
    </xf>
    <xf numFmtId="0" fontId="60" fillId="0" borderId="32" xfId="0" applyFont="1" applyBorder="1" applyAlignment="1">
      <alignment horizontal="left" vertical="top" wrapText="1" shrinkToFit="1"/>
    </xf>
    <xf numFmtId="1" fontId="60" fillId="49" borderId="32" xfId="0" applyNumberFormat="1" applyFont="1" applyFill="1" applyBorder="1" applyAlignment="1">
      <alignment horizontal="right"/>
    </xf>
    <xf numFmtId="3" fontId="60" fillId="49" borderId="32" xfId="0" applyNumberFormat="1" applyFont="1" applyFill="1" applyBorder="1" applyAlignment="1">
      <alignment horizontal="right"/>
    </xf>
    <xf numFmtId="2" fontId="3" fillId="39" borderId="0" xfId="0" applyNumberFormat="1" applyFont="1" applyFill="1"/>
    <xf numFmtId="0" fontId="60" fillId="0" borderId="32" xfId="0" applyFont="1" applyBorder="1" applyAlignment="1">
      <alignment vertical="top" wrapText="1"/>
    </xf>
    <xf numFmtId="9" fontId="60" fillId="0" borderId="32" xfId="0" applyNumberFormat="1" applyFont="1" applyBorder="1" applyAlignment="1">
      <alignment horizontal="right"/>
    </xf>
    <xf numFmtId="2" fontId="60" fillId="39" borderId="32" xfId="0" applyNumberFormat="1" applyFont="1" applyFill="1" applyBorder="1" applyAlignment="1">
      <alignment horizontal="right"/>
    </xf>
    <xf numFmtId="10" fontId="60" fillId="0" borderId="32" xfId="0" applyNumberFormat="1" applyFont="1" applyBorder="1" applyAlignment="1">
      <alignment horizontal="right"/>
    </xf>
    <xf numFmtId="2" fontId="60" fillId="0" borderId="11" xfId="0" applyNumberFormat="1" applyFont="1" applyBorder="1" applyAlignment="1">
      <alignment horizontal="right"/>
    </xf>
    <xf numFmtId="49" fontId="3" fillId="0" borderId="32" xfId="0" applyNumberFormat="1" applyFont="1" applyBorder="1" applyAlignment="1">
      <alignment horizontal="left"/>
    </xf>
    <xf numFmtId="0" fontId="3" fillId="0" borderId="32" xfId="0" applyFont="1" applyBorder="1" applyAlignment="1">
      <alignment horizontal="left" vertical="top" wrapText="1" indent="1" shrinkToFit="1"/>
    </xf>
    <xf numFmtId="2" fontId="71" fillId="0" borderId="32" xfId="52" applyNumberFormat="1" applyFont="1" applyBorder="1" applyAlignment="1">
      <alignment wrapText="1"/>
    </xf>
    <xf numFmtId="1" fontId="3" fillId="49" borderId="32" xfId="0" applyNumberFormat="1" applyFont="1" applyFill="1" applyBorder="1" applyAlignment="1">
      <alignment horizontal="center"/>
    </xf>
    <xf numFmtId="10" fontId="3" fillId="49" borderId="32" xfId="0" applyNumberFormat="1" applyFont="1" applyFill="1" applyBorder="1" applyAlignment="1">
      <alignment horizontal="center"/>
    </xf>
    <xf numFmtId="2" fontId="3" fillId="39" borderId="32" xfId="52" applyNumberFormat="1" applyFont="1" applyFill="1" applyBorder="1" applyAlignment="1">
      <alignment wrapText="1"/>
    </xf>
    <xf numFmtId="10" fontId="3" fillId="49" borderId="15" xfId="0" applyNumberFormat="1" applyFont="1" applyFill="1" applyBorder="1" applyAlignment="1">
      <alignment horizontal="center"/>
    </xf>
    <xf numFmtId="2" fontId="3" fillId="0" borderId="11" xfId="0" applyNumberFormat="1" applyFont="1" applyBorder="1" applyAlignment="1">
      <alignment horizontal="right"/>
    </xf>
    <xf numFmtId="0" fontId="3" fillId="0" borderId="32" xfId="0" applyFont="1" applyBorder="1" applyAlignment="1">
      <alignment horizontal="left" vertical="top" wrapText="1" indent="1"/>
    </xf>
    <xf numFmtId="10" fontId="3" fillId="49" borderId="14" xfId="0" applyNumberFormat="1" applyFont="1" applyFill="1" applyBorder="1" applyAlignment="1">
      <alignment horizontal="center"/>
    </xf>
    <xf numFmtId="0" fontId="60" fillId="0" borderId="32" xfId="0" applyFont="1" applyBorder="1" applyAlignment="1">
      <alignment horizontal="left" vertical="center"/>
    </xf>
    <xf numFmtId="0" fontId="60" fillId="0" borderId="32" xfId="0" applyFont="1" applyBorder="1" applyAlignment="1">
      <alignment horizontal="left" vertical="top" wrapText="1"/>
    </xf>
    <xf numFmtId="1" fontId="60" fillId="0" borderId="32" xfId="0" applyNumberFormat="1" applyFont="1" applyBorder="1" applyAlignment="1">
      <alignment horizontal="right"/>
    </xf>
    <xf numFmtId="3" fontId="60" fillId="0" borderId="32" xfId="0" applyNumberFormat="1" applyFont="1" applyBorder="1" applyAlignment="1">
      <alignment horizontal="right"/>
    </xf>
    <xf numFmtId="10" fontId="60" fillId="0" borderId="13" xfId="0" applyNumberFormat="1" applyFont="1" applyBorder="1" applyAlignment="1">
      <alignment horizontal="right"/>
    </xf>
    <xf numFmtId="3" fontId="60" fillId="0" borderId="11" xfId="0" applyNumberFormat="1" applyFont="1" applyBorder="1" applyAlignment="1">
      <alignment horizontal="right"/>
    </xf>
    <xf numFmtId="49" fontId="3" fillId="0" borderId="32" xfId="0" applyNumberFormat="1" applyFont="1" applyBorder="1" applyAlignment="1">
      <alignment horizontal="left" vertical="center"/>
    </xf>
    <xf numFmtId="1" fontId="3" fillId="0" borderId="32" xfId="0" applyNumberFormat="1" applyFont="1" applyBorder="1" applyAlignment="1">
      <alignment horizontal="right"/>
    </xf>
    <xf numFmtId="1" fontId="3" fillId="49" borderId="15" xfId="0" applyNumberFormat="1" applyFont="1" applyFill="1" applyBorder="1" applyAlignment="1">
      <alignment horizontal="center"/>
    </xf>
    <xf numFmtId="3" fontId="3" fillId="0" borderId="32" xfId="0" applyNumberFormat="1" applyFont="1" applyBorder="1" applyAlignment="1">
      <alignment horizontal="right"/>
    </xf>
    <xf numFmtId="10" fontId="3" fillId="49" borderId="34" xfId="0" applyNumberFormat="1" applyFont="1" applyFill="1" applyBorder="1" applyAlignment="1">
      <alignment horizontal="center"/>
    </xf>
    <xf numFmtId="3" fontId="3" fillId="0" borderId="11" xfId="0" applyNumberFormat="1" applyFont="1" applyBorder="1" applyAlignment="1">
      <alignment horizontal="right"/>
    </xf>
    <xf numFmtId="1" fontId="3" fillId="49" borderId="14" xfId="0" applyNumberFormat="1" applyFont="1" applyFill="1" applyBorder="1" applyAlignment="1">
      <alignment horizontal="center"/>
    </xf>
    <xf numFmtId="10" fontId="3" fillId="49" borderId="37" xfId="0" applyNumberFormat="1" applyFont="1" applyFill="1" applyBorder="1" applyAlignment="1">
      <alignment horizontal="center"/>
    </xf>
    <xf numFmtId="3" fontId="3" fillId="0" borderId="0" xfId="0" applyNumberFormat="1" applyFont="1"/>
    <xf numFmtId="4" fontId="54" fillId="50" borderId="39" xfId="0" applyNumberFormat="1" applyFont="1" applyFill="1" applyBorder="1" applyAlignment="1">
      <alignment horizontal="right" vertical="top"/>
    </xf>
    <xf numFmtId="0" fontId="54" fillId="50" borderId="39" xfId="0" applyFont="1" applyFill="1" applyBorder="1" applyAlignment="1">
      <alignment horizontal="right" vertical="top"/>
    </xf>
    <xf numFmtId="0" fontId="0" fillId="51" borderId="30" xfId="0" applyFill="1" applyBorder="1"/>
    <xf numFmtId="0" fontId="0" fillId="51" borderId="0" xfId="0" applyFill="1"/>
    <xf numFmtId="0" fontId="37" fillId="0" borderId="0" xfId="0" applyFont="1"/>
    <xf numFmtId="4" fontId="72" fillId="0" borderId="0" xfId="0" applyNumberFormat="1" applyFont="1"/>
    <xf numFmtId="4" fontId="37" fillId="0" borderId="0" xfId="0" applyNumberFormat="1" applyFont="1"/>
  </cellXfs>
  <cellStyles count="53">
    <cellStyle name="20% – rõhk1" xfId="1" xr:uid="{00000000-0005-0000-0000-000000000000}"/>
    <cellStyle name="20% – rõhk2" xfId="2" xr:uid="{00000000-0005-0000-0000-000001000000}"/>
    <cellStyle name="20% – rõhk3" xfId="3" xr:uid="{00000000-0005-0000-0000-000002000000}"/>
    <cellStyle name="20% – rõhk4" xfId="4" xr:uid="{00000000-0005-0000-0000-000003000000}"/>
    <cellStyle name="20% – rõhk5" xfId="5" xr:uid="{00000000-0005-0000-0000-000004000000}"/>
    <cellStyle name="20% – rõhk6" xfId="6" xr:uid="{00000000-0005-0000-0000-000005000000}"/>
    <cellStyle name="40% – rõhk1" xfId="7" xr:uid="{00000000-0005-0000-0000-000006000000}"/>
    <cellStyle name="40% – rõhk2" xfId="8" xr:uid="{00000000-0005-0000-0000-000007000000}"/>
    <cellStyle name="40% – rõhk3" xfId="9" xr:uid="{00000000-0005-0000-0000-000008000000}"/>
    <cellStyle name="40% – rõhk4" xfId="10" xr:uid="{00000000-0005-0000-0000-000009000000}"/>
    <cellStyle name="40% – rõhk5" xfId="11" xr:uid="{00000000-0005-0000-0000-00000A000000}"/>
    <cellStyle name="40% – rõhk6" xfId="12" xr:uid="{00000000-0005-0000-0000-00000B000000}"/>
    <cellStyle name="60% – rõhk1" xfId="13" xr:uid="{00000000-0005-0000-0000-00000C000000}"/>
    <cellStyle name="60% – rõhk2" xfId="14" xr:uid="{00000000-0005-0000-0000-00000D000000}"/>
    <cellStyle name="60% – rõhk3" xfId="15" xr:uid="{00000000-0005-0000-0000-00000E000000}"/>
    <cellStyle name="60% – rõhk4" xfId="16" xr:uid="{00000000-0005-0000-0000-00000F000000}"/>
    <cellStyle name="60% – rõhk5" xfId="17" xr:uid="{00000000-0005-0000-0000-000010000000}"/>
    <cellStyle name="60% – rõhk6" xfId="18" xr:uid="{00000000-0005-0000-0000-000011000000}"/>
    <cellStyle name="Arvutus" xfId="19" xr:uid="{00000000-0005-0000-0000-000012000000}"/>
    <cellStyle name="Bad" xfId="49" builtinId="27"/>
    <cellStyle name="Comma" xfId="51" builtinId="3"/>
    <cellStyle name="Good" xfId="48" builtinId="26"/>
    <cellStyle name="Halb" xfId="20" xr:uid="{00000000-0005-0000-0000-000015000000}"/>
    <cellStyle name="Hea" xfId="21" xr:uid="{00000000-0005-0000-0000-000016000000}"/>
    <cellStyle name="Hoiatuse tekst" xfId="22" xr:uid="{00000000-0005-0000-0000-000017000000}"/>
    <cellStyle name="Hyperlink" xfId="46" builtinId="8"/>
    <cellStyle name="Kokku" xfId="23" xr:uid="{00000000-0005-0000-0000-000019000000}"/>
    <cellStyle name="Kontrolli lahtrit" xfId="24" xr:uid="{00000000-0005-0000-0000-00001A000000}"/>
    <cellStyle name="Lingitud lahter" xfId="25" xr:uid="{00000000-0005-0000-0000-00001B000000}"/>
    <cellStyle name="Märkus" xfId="26" xr:uid="{00000000-0005-0000-0000-00001C000000}"/>
    <cellStyle name="Neutraalne" xfId="27" xr:uid="{00000000-0005-0000-0000-00001D000000}"/>
    <cellStyle name="Neutral" xfId="50" builtinId="28"/>
    <cellStyle name="Normaallaad 2" xfId="28" xr:uid="{00000000-0005-0000-0000-00001F000000}"/>
    <cellStyle name="Normaallaad 3" xfId="29" xr:uid="{00000000-0005-0000-0000-000020000000}"/>
    <cellStyle name="Normal" xfId="0" builtinId="0"/>
    <cellStyle name="Normal 11" xfId="52" xr:uid="{8334D081-8AD3-4433-9E15-4258BCF1F350}"/>
    <cellStyle name="Normal 2" xfId="30" xr:uid="{00000000-0005-0000-0000-000022000000}"/>
    <cellStyle name="Normal_Ettemakse_taotlus_29.12.08" xfId="31" xr:uid="{00000000-0005-0000-0000-000023000000}"/>
    <cellStyle name="Pealkiri" xfId="32" xr:uid="{00000000-0005-0000-0000-000024000000}"/>
    <cellStyle name="Pealkiri 1" xfId="33" xr:uid="{00000000-0005-0000-0000-000025000000}"/>
    <cellStyle name="Pealkiri 2" xfId="34" xr:uid="{00000000-0005-0000-0000-000026000000}"/>
    <cellStyle name="Pealkiri 3" xfId="35" xr:uid="{00000000-0005-0000-0000-000027000000}"/>
    <cellStyle name="Pealkiri 4" xfId="36" xr:uid="{00000000-0005-0000-0000-000028000000}"/>
    <cellStyle name="Percent" xfId="47" builtinId="5"/>
    <cellStyle name="Rõhk1" xfId="37" xr:uid="{00000000-0005-0000-0000-00002A000000}"/>
    <cellStyle name="Rõhk2" xfId="38" xr:uid="{00000000-0005-0000-0000-00002B000000}"/>
    <cellStyle name="Rõhk3" xfId="39" xr:uid="{00000000-0005-0000-0000-00002C000000}"/>
    <cellStyle name="Rõhk4" xfId="40" xr:uid="{00000000-0005-0000-0000-00002D000000}"/>
    <cellStyle name="Rõhk5" xfId="41" xr:uid="{00000000-0005-0000-0000-00002E000000}"/>
    <cellStyle name="Rõhk6" xfId="42" xr:uid="{00000000-0005-0000-0000-00002F000000}"/>
    <cellStyle name="Selgitav tekst" xfId="43" xr:uid="{00000000-0005-0000-0000-000030000000}"/>
    <cellStyle name="Sisestus" xfId="44" xr:uid="{00000000-0005-0000-0000-000031000000}"/>
    <cellStyle name="Väljund" xfId="45" xr:uid="{00000000-0005-0000-0000-000032000000}"/>
  </cellStyles>
  <dxfs count="0"/>
  <tableStyles count="0" defaultTableStyle="TableStyleMedium2" defaultPivotStyle="PivotStyleLight16"/>
  <colors>
    <mruColors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51</xdr:row>
      <xdr:rowOff>0</xdr:rowOff>
    </xdr:from>
    <xdr:to>
      <xdr:col>17</xdr:col>
      <xdr:colOff>211074</xdr:colOff>
      <xdr:row>107</xdr:row>
      <xdr:rowOff>44434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0EF9BF-7506-4AD0-B990-1CF7BA715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09760"/>
          <a:ext cx="18285714" cy="102857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46908020216\Downloads\Lisa%202_SPIN%202023.%20a%20eelarv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a 2"/>
      <sheetName val="Sheet1"/>
      <sheetName val="Sheet 3"/>
      <sheetName val="Sheet2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K37"/>
  <sheetViews>
    <sheetView tabSelected="1" zoomScaleNormal="100" workbookViewId="0">
      <selection activeCell="K15" sqref="K15"/>
    </sheetView>
  </sheetViews>
  <sheetFormatPr defaultColWidth="9.109375" defaultRowHeight="11.4" x14ac:dyDescent="0.2"/>
  <cols>
    <col min="1" max="1" width="36.5546875" style="32" customWidth="1"/>
    <col min="2" max="2" width="17.6640625" style="32" customWidth="1"/>
    <col min="3" max="3" width="17.44140625" style="32" customWidth="1"/>
    <col min="4" max="4" width="13.44140625" style="32" customWidth="1"/>
    <col min="5" max="5" width="8.5546875" style="32" customWidth="1"/>
    <col min="6" max="9" width="9.109375" style="32"/>
    <col min="10" max="10" width="11" style="32" customWidth="1"/>
    <col min="11" max="11" width="21.5546875" style="32" customWidth="1"/>
    <col min="12" max="12" width="22.33203125" style="32" customWidth="1"/>
    <col min="13" max="13" width="24.6640625" style="32" customWidth="1"/>
    <col min="14" max="16384" width="9.109375" style="32"/>
  </cols>
  <sheetData>
    <row r="1" spans="1:11" x14ac:dyDescent="0.2">
      <c r="K1" s="32" t="s">
        <v>38</v>
      </c>
    </row>
    <row r="4" spans="1:11" s="4" customFormat="1" ht="20.25" customHeight="1" x14ac:dyDescent="0.3">
      <c r="A4" s="1" t="s">
        <v>26</v>
      </c>
      <c r="B4" s="2">
        <v>25</v>
      </c>
      <c r="C4" s="3"/>
      <c r="D4" s="3"/>
      <c r="E4" s="3"/>
    </row>
    <row r="5" spans="1:11" s="4" customFormat="1" ht="15.75" customHeight="1" x14ac:dyDescent="0.3">
      <c r="A5" s="324" t="s">
        <v>28</v>
      </c>
      <c r="B5" s="330" t="s">
        <v>30</v>
      </c>
      <c r="C5" s="330"/>
      <c r="D5" s="330"/>
      <c r="E5" s="5" t="s">
        <v>39</v>
      </c>
    </row>
    <row r="6" spans="1:11" s="4" customFormat="1" ht="15" customHeight="1" x14ac:dyDescent="0.3">
      <c r="A6" s="324"/>
      <c r="B6" s="330" t="s">
        <v>32</v>
      </c>
      <c r="C6" s="330"/>
      <c r="D6" s="330"/>
      <c r="E6" s="6"/>
    </row>
    <row r="7" spans="1:11" s="4" customFormat="1" ht="36" customHeight="1" x14ac:dyDescent="0.3">
      <c r="A7" s="324" t="s">
        <v>31</v>
      </c>
      <c r="B7" s="331" t="s">
        <v>37</v>
      </c>
      <c r="C7" s="332"/>
      <c r="D7" s="332"/>
      <c r="E7" s="6"/>
    </row>
    <row r="8" spans="1:11" s="4" customFormat="1" ht="30.75" customHeight="1" x14ac:dyDescent="0.3">
      <c r="A8" s="324"/>
      <c r="B8" s="331" t="s">
        <v>33</v>
      </c>
      <c r="C8" s="332"/>
      <c r="D8" s="332"/>
      <c r="E8" s="6"/>
    </row>
    <row r="9" spans="1:11" s="4" customFormat="1" ht="15" customHeight="1" x14ac:dyDescent="0.3">
      <c r="A9" s="7" t="s">
        <v>34</v>
      </c>
      <c r="B9" s="335" t="s">
        <v>351</v>
      </c>
      <c r="C9" s="335"/>
      <c r="D9" s="335"/>
      <c r="E9" s="335"/>
    </row>
    <row r="10" spans="1:11" s="4" customFormat="1" ht="15" customHeight="1" x14ac:dyDescent="0.3">
      <c r="A10" s="8" t="s">
        <v>15</v>
      </c>
      <c r="B10" s="335" t="s">
        <v>40</v>
      </c>
      <c r="C10" s="335"/>
      <c r="D10" s="335"/>
      <c r="E10" s="335"/>
    </row>
    <row r="11" spans="1:11" s="4" customFormat="1" ht="15" customHeight="1" x14ac:dyDescent="0.3">
      <c r="A11" s="9" t="s">
        <v>27</v>
      </c>
      <c r="B11" s="335" t="s">
        <v>41</v>
      </c>
      <c r="C11" s="335"/>
      <c r="D11" s="335"/>
      <c r="E11" s="335"/>
    </row>
    <row r="12" spans="1:11" s="4" customFormat="1" ht="15" customHeight="1" x14ac:dyDescent="0.3">
      <c r="A12" s="8" t="s">
        <v>0</v>
      </c>
      <c r="B12" s="335" t="s">
        <v>42</v>
      </c>
      <c r="C12" s="335"/>
      <c r="D12" s="335"/>
      <c r="E12" s="335"/>
    </row>
    <row r="13" spans="1:11" s="4" customFormat="1" ht="9" customHeight="1" x14ac:dyDescent="0.3">
      <c r="A13" s="10"/>
      <c r="B13" s="11"/>
      <c r="C13" s="11"/>
      <c r="D13" s="11"/>
      <c r="E13" s="11"/>
    </row>
    <row r="14" spans="1:11" s="4" customFormat="1" ht="15" customHeight="1" x14ac:dyDescent="0.3">
      <c r="A14" s="12" t="s">
        <v>1</v>
      </c>
      <c r="B14" s="336" t="s">
        <v>43</v>
      </c>
      <c r="C14" s="336"/>
      <c r="D14" s="13"/>
      <c r="E14" s="13"/>
    </row>
    <row r="15" spans="1:11" s="4" customFormat="1" ht="15" customHeight="1" x14ac:dyDescent="0.3">
      <c r="A15" s="14" t="s">
        <v>25</v>
      </c>
      <c r="B15" s="333"/>
      <c r="C15" s="334"/>
      <c r="D15" s="13"/>
      <c r="E15" s="13"/>
    </row>
    <row r="17" spans="1:10" s="15" customFormat="1" ht="31.5" customHeight="1" x14ac:dyDescent="0.3">
      <c r="A17" s="325" t="s">
        <v>36</v>
      </c>
      <c r="B17" s="327" t="s">
        <v>2</v>
      </c>
      <c r="C17" s="327"/>
      <c r="D17" s="328" t="s">
        <v>3</v>
      </c>
    </row>
    <row r="18" spans="1:10" s="15" customFormat="1" ht="15.75" customHeight="1" x14ac:dyDescent="0.3">
      <c r="A18" s="326"/>
      <c r="B18" s="16" t="s">
        <v>29</v>
      </c>
      <c r="C18" s="16" t="s">
        <v>4</v>
      </c>
      <c r="D18" s="329"/>
    </row>
    <row r="19" spans="1:10" s="15" customFormat="1" ht="12" x14ac:dyDescent="0.3">
      <c r="A19" s="17" t="s">
        <v>5</v>
      </c>
      <c r="B19" s="18">
        <v>0</v>
      </c>
      <c r="C19" s="19">
        <v>0</v>
      </c>
      <c r="D19" s="20"/>
    </row>
    <row r="20" spans="1:10" s="15" customFormat="1" ht="12" x14ac:dyDescent="0.3">
      <c r="A20" s="17" t="s">
        <v>6</v>
      </c>
      <c r="B20" s="21">
        <f>'Lisa 1'!B19</f>
        <v>207619.90250000003</v>
      </c>
      <c r="C20" s="19">
        <f>B20/B23</f>
        <v>1</v>
      </c>
      <c r="D20" s="22">
        <f>D21+D22</f>
        <v>0</v>
      </c>
    </row>
    <row r="21" spans="1:10" s="15" customFormat="1" x14ac:dyDescent="0.3">
      <c r="A21" s="23" t="s">
        <v>7</v>
      </c>
      <c r="B21" s="18">
        <f>B20*0.85</f>
        <v>176476.91712500001</v>
      </c>
      <c r="C21" s="19">
        <v>0.85</v>
      </c>
      <c r="D21" s="20"/>
    </row>
    <row r="22" spans="1:10" s="15" customFormat="1" x14ac:dyDescent="0.3">
      <c r="A22" s="23" t="s">
        <v>18</v>
      </c>
      <c r="B22" s="18">
        <f>B20*0.15</f>
        <v>31142.985375000004</v>
      </c>
      <c r="C22" s="19">
        <f>100%-C21</f>
        <v>0.15000000000000002</v>
      </c>
      <c r="D22" s="20"/>
    </row>
    <row r="23" spans="1:10" s="15" customFormat="1" ht="12" x14ac:dyDescent="0.3">
      <c r="A23" s="24" t="s">
        <v>8</v>
      </c>
      <c r="B23" s="25">
        <f>B19+B20</f>
        <v>207619.90250000003</v>
      </c>
      <c r="C23" s="26">
        <f>C19+C20</f>
        <v>1</v>
      </c>
      <c r="D23" s="26">
        <f>D19+D20</f>
        <v>0</v>
      </c>
    </row>
    <row r="24" spans="1:10" s="15" customFormat="1" ht="12" x14ac:dyDescent="0.3">
      <c r="A24" s="27" t="s">
        <v>16</v>
      </c>
      <c r="B24" s="28">
        <f>B20</f>
        <v>207619.90250000003</v>
      </c>
      <c r="D24" s="29"/>
    </row>
    <row r="26" spans="1:10" ht="21" customHeight="1" x14ac:dyDescent="0.2">
      <c r="A26" s="320" t="s">
        <v>17</v>
      </c>
      <c r="B26" s="321"/>
      <c r="C26" s="321"/>
      <c r="D26" s="321"/>
      <c r="E26" s="321"/>
      <c r="F26" s="321"/>
      <c r="G26" s="321"/>
      <c r="H26" s="322"/>
      <c r="I26" s="30"/>
      <c r="J26" s="31"/>
    </row>
    <row r="27" spans="1:10" ht="11.25" customHeight="1" x14ac:dyDescent="0.2">
      <c r="A27" s="33"/>
      <c r="B27" s="33"/>
      <c r="C27" s="33"/>
      <c r="D27" s="33"/>
      <c r="E27" s="33"/>
      <c r="F27" s="34"/>
      <c r="G27" s="31"/>
      <c r="H27" s="35"/>
      <c r="I27" s="35"/>
      <c r="J27" s="35"/>
    </row>
    <row r="28" spans="1:10" ht="23.25" customHeight="1" x14ac:dyDescent="0.2">
      <c r="A28" s="323" t="s">
        <v>19</v>
      </c>
      <c r="B28" s="323"/>
      <c r="C28" s="323"/>
      <c r="D28" s="323"/>
      <c r="E28" s="323"/>
      <c r="F28" s="323"/>
      <c r="G28" s="323"/>
      <c r="H28" s="323"/>
      <c r="I28" s="323"/>
      <c r="J28" s="36"/>
    </row>
    <row r="29" spans="1:10" x14ac:dyDescent="0.2">
      <c r="A29" s="37"/>
    </row>
    <row r="30" spans="1:10" ht="12" x14ac:dyDescent="0.25">
      <c r="A30" s="38" t="s">
        <v>23</v>
      </c>
      <c r="B30" s="319" t="s">
        <v>44</v>
      </c>
      <c r="C30" s="319"/>
      <c r="D30" s="319"/>
      <c r="E30" s="319"/>
      <c r="F30" s="319"/>
      <c r="G30" s="319"/>
      <c r="H30" s="319"/>
      <c r="I30" s="319"/>
    </row>
    <row r="31" spans="1:10" x14ac:dyDescent="0.2">
      <c r="A31" s="37"/>
      <c r="B31" s="39" t="s">
        <v>22</v>
      </c>
      <c r="C31" s="39"/>
      <c r="D31" s="40"/>
      <c r="E31" s="39"/>
      <c r="F31" s="40"/>
    </row>
    <row r="32" spans="1:10" x14ac:dyDescent="0.2">
      <c r="A32" s="37"/>
    </row>
    <row r="33" spans="1:9" ht="12" x14ac:dyDescent="0.2">
      <c r="A33" s="41" t="s">
        <v>9</v>
      </c>
      <c r="B33" s="319" t="s">
        <v>274</v>
      </c>
      <c r="C33" s="319"/>
      <c r="D33" s="319"/>
      <c r="E33" s="319"/>
      <c r="F33" s="319"/>
      <c r="G33" s="319"/>
      <c r="H33" s="319"/>
      <c r="I33" s="319"/>
    </row>
    <row r="34" spans="1:9" x14ac:dyDescent="0.2">
      <c r="A34" s="42"/>
      <c r="B34" s="43" t="s">
        <v>24</v>
      </c>
      <c r="C34" s="44"/>
      <c r="D34" s="44"/>
      <c r="E34" s="44"/>
      <c r="H34" s="45"/>
      <c r="I34" s="45"/>
    </row>
    <row r="35" spans="1:9" x14ac:dyDescent="0.2">
      <c r="A35" s="42"/>
      <c r="B35" s="46"/>
      <c r="C35" s="40"/>
      <c r="D35" s="39"/>
      <c r="E35" s="39"/>
      <c r="F35" s="40"/>
      <c r="G35" s="39"/>
      <c r="H35" s="40"/>
    </row>
    <row r="36" spans="1:9" x14ac:dyDescent="0.2">
      <c r="B36" s="40"/>
      <c r="C36" s="40"/>
    </row>
    <row r="37" spans="1:9" x14ac:dyDescent="0.2">
      <c r="A37" s="42"/>
      <c r="B37" s="46"/>
      <c r="C37" s="40"/>
    </row>
  </sheetData>
  <mergeCells count="19">
    <mergeCell ref="B9:E9"/>
    <mergeCell ref="B10:E10"/>
    <mergeCell ref="A7:A8"/>
    <mergeCell ref="B33:I33"/>
    <mergeCell ref="B30:I30"/>
    <mergeCell ref="A26:H26"/>
    <mergeCell ref="A28:I28"/>
    <mergeCell ref="A5:A6"/>
    <mergeCell ref="A17:A18"/>
    <mergeCell ref="B17:C17"/>
    <mergeCell ref="D17:D18"/>
    <mergeCell ref="B5:D5"/>
    <mergeCell ref="B6:D6"/>
    <mergeCell ref="B7:D7"/>
    <mergeCell ref="B15:C15"/>
    <mergeCell ref="B12:E12"/>
    <mergeCell ref="B14:C14"/>
    <mergeCell ref="B8:D8"/>
    <mergeCell ref="B11:E11"/>
  </mergeCells>
  <pageMargins left="0.70866141732283472" right="0.70866141732283472" top="0.74803149606299213" bottom="0.74803149606299213" header="0.31496062992125984" footer="0.31496062992125984"/>
  <pageSetup paperSize="9" fitToHeight="0" orientation="landscape" cellComments="asDisplayed" horizontalDpi="4294967295" verticalDpi="4294967295" r:id="rId1"/>
  <headerFooter>
    <oddHeader xml:space="preserve">&amp;R&amp;"Arial,Harilik"&amp;8Vorm kinnitatud SA Innove juhatuse liikme
14.01.2015 käskkirjaga nr 10&amp;"-,Harilik"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B19" sqref="B19"/>
    </sheetView>
  </sheetViews>
  <sheetFormatPr defaultColWidth="9.109375" defaultRowHeight="11.4" x14ac:dyDescent="0.2"/>
  <cols>
    <col min="1" max="1" width="43.6640625" style="76" customWidth="1"/>
    <col min="2" max="2" width="14.6640625" style="32" customWidth="1"/>
    <col min="3" max="3" width="28.109375" style="32" customWidth="1"/>
    <col min="4" max="4" width="31" style="32" customWidth="1"/>
    <col min="5" max="5" width="23.109375" style="32" customWidth="1"/>
    <col min="6" max="6" width="31.33203125" style="32" customWidth="1"/>
    <col min="7" max="16384" width="9.109375" style="32"/>
  </cols>
  <sheetData>
    <row r="1" spans="1:6" ht="12" x14ac:dyDescent="0.25">
      <c r="A1" s="47" t="s">
        <v>35</v>
      </c>
    </row>
    <row r="3" spans="1:6" ht="12" x14ac:dyDescent="0.2">
      <c r="A3" s="67" t="s">
        <v>26</v>
      </c>
      <c r="B3" s="48">
        <v>25</v>
      </c>
    </row>
    <row r="4" spans="1:6" s="15" customFormat="1" ht="12" x14ac:dyDescent="0.25">
      <c r="A4" s="68"/>
      <c r="B4" s="49"/>
      <c r="C4" s="50"/>
      <c r="D4" s="32"/>
      <c r="E4" s="32"/>
    </row>
    <row r="5" spans="1:6" ht="12.6" thickBot="1" x14ac:dyDescent="0.3">
      <c r="A5" s="69" t="s">
        <v>11</v>
      </c>
      <c r="B5" s="40"/>
      <c r="C5" s="51"/>
    </row>
    <row r="6" spans="1:6" ht="34.799999999999997" thickBot="1" x14ac:dyDescent="0.25">
      <c r="A6" s="52" t="s">
        <v>20</v>
      </c>
      <c r="B6" s="53" t="s">
        <v>12</v>
      </c>
      <c r="C6" s="54" t="s">
        <v>13</v>
      </c>
      <c r="D6" s="15"/>
      <c r="E6" s="15"/>
    </row>
    <row r="7" spans="1:6" ht="24" x14ac:dyDescent="0.3">
      <c r="A7" s="66" t="s">
        <v>360</v>
      </c>
      <c r="B7" s="115">
        <f>'Ettemaksu jääkide arvestus'!C29</f>
        <v>235466.625</v>
      </c>
      <c r="C7" s="135" t="s">
        <v>361</v>
      </c>
      <c r="D7" s="102"/>
    </row>
    <row r="8" spans="1:6" ht="24" x14ac:dyDescent="0.3">
      <c r="A8" s="70" t="s">
        <v>362</v>
      </c>
      <c r="B8" s="206">
        <f>'Ettemaksu jääkide arvestus'!F27</f>
        <v>27846.722499999974</v>
      </c>
      <c r="C8" s="91" t="s">
        <v>363</v>
      </c>
    </row>
    <row r="9" spans="1:6" x14ac:dyDescent="0.2">
      <c r="A9" s="71"/>
      <c r="B9" s="55"/>
      <c r="C9" s="56"/>
    </row>
    <row r="10" spans="1:6" x14ac:dyDescent="0.2">
      <c r="A10" s="71"/>
      <c r="B10" s="55"/>
      <c r="C10" s="56"/>
    </row>
    <row r="11" spans="1:6" ht="12" x14ac:dyDescent="0.2">
      <c r="A11" s="72"/>
      <c r="B11" s="55"/>
      <c r="C11" s="56"/>
    </row>
    <row r="12" spans="1:6" x14ac:dyDescent="0.2">
      <c r="A12" s="71"/>
      <c r="B12" s="55"/>
      <c r="C12" s="56"/>
    </row>
    <row r="13" spans="1:6" ht="12" x14ac:dyDescent="0.2">
      <c r="A13" s="72"/>
      <c r="B13" s="55"/>
      <c r="C13" s="56"/>
      <c r="F13" s="77"/>
    </row>
    <row r="14" spans="1:6" ht="14.4" x14ac:dyDescent="0.3">
      <c r="A14" s="71"/>
      <c r="B14" s="55"/>
      <c r="C14" s="56"/>
      <c r="D14" s="133"/>
    </row>
    <row r="15" spans="1:6" ht="12" x14ac:dyDescent="0.2">
      <c r="A15" s="72"/>
      <c r="B15" s="55"/>
      <c r="C15" s="56"/>
      <c r="F15" s="77"/>
    </row>
    <row r="16" spans="1:6" x14ac:dyDescent="0.2">
      <c r="A16" s="71"/>
      <c r="B16" s="55"/>
      <c r="C16" s="56"/>
    </row>
    <row r="17" spans="1:5" x14ac:dyDescent="0.2">
      <c r="A17" s="71"/>
      <c r="B17" s="55"/>
      <c r="C17" s="56"/>
      <c r="D17" s="51"/>
      <c r="E17" s="57"/>
    </row>
    <row r="18" spans="1:5" ht="12.6" thickBot="1" x14ac:dyDescent="0.25">
      <c r="A18" s="73"/>
      <c r="B18" s="58"/>
      <c r="C18" s="59"/>
      <c r="D18" s="51"/>
    </row>
    <row r="19" spans="1:5" ht="24.6" thickBot="1" x14ac:dyDescent="0.25">
      <c r="A19" s="60" t="s">
        <v>21</v>
      </c>
      <c r="B19" s="61">
        <f>B7-B8</f>
        <v>207619.90250000003</v>
      </c>
      <c r="C19" s="62"/>
      <c r="D19" s="51"/>
    </row>
    <row r="22" spans="1:5" ht="12" x14ac:dyDescent="0.25">
      <c r="A22" s="74" t="s">
        <v>14</v>
      </c>
      <c r="B22" s="337" t="s">
        <v>273</v>
      </c>
      <c r="C22" s="337"/>
      <c r="D22" s="63"/>
    </row>
    <row r="23" spans="1:5" x14ac:dyDescent="0.2">
      <c r="A23" s="75"/>
      <c r="B23" s="64"/>
      <c r="C23" s="64" t="s">
        <v>10</v>
      </c>
      <c r="D23" s="65"/>
    </row>
  </sheetData>
  <mergeCells count="1">
    <mergeCell ref="B22:C22"/>
  </mergeCells>
  <phoneticPr fontId="22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R38"/>
  <sheetViews>
    <sheetView topLeftCell="A19" workbookViewId="0">
      <selection activeCell="E27" sqref="E27"/>
    </sheetView>
  </sheetViews>
  <sheetFormatPr defaultRowHeight="14.4" x14ac:dyDescent="0.3"/>
  <cols>
    <col min="1" max="1" width="9.5546875" customWidth="1"/>
    <col min="2" max="2" width="11.88671875" customWidth="1"/>
    <col min="3" max="3" width="9.44140625" bestFit="1" customWidth="1"/>
    <col min="4" max="4" width="29.33203125" customWidth="1"/>
    <col min="5" max="5" width="24.44140625" customWidth="1"/>
    <col min="6" max="6" width="37" customWidth="1"/>
    <col min="15" max="15" width="40.109375" customWidth="1"/>
    <col min="16" max="16" width="26.6640625" customWidth="1"/>
  </cols>
  <sheetData>
    <row r="4" spans="1:18" ht="43.2" x14ac:dyDescent="0.3">
      <c r="A4" s="80"/>
      <c r="B4" s="80" t="s">
        <v>76</v>
      </c>
      <c r="C4" s="81" t="s">
        <v>50</v>
      </c>
      <c r="D4" s="81" t="s">
        <v>52</v>
      </c>
      <c r="E4" s="80" t="s">
        <v>45</v>
      </c>
      <c r="F4" s="80" t="s">
        <v>51</v>
      </c>
      <c r="G4" s="80"/>
      <c r="H4" s="80"/>
      <c r="I4" s="80"/>
      <c r="J4" s="79"/>
      <c r="K4" s="79"/>
      <c r="M4" s="82"/>
      <c r="N4" s="82"/>
      <c r="O4" s="82"/>
      <c r="P4" s="82"/>
      <c r="Q4" s="82"/>
      <c r="R4" s="82"/>
    </row>
    <row r="5" spans="1:18" x14ac:dyDescent="0.3">
      <c r="A5" s="84" t="s">
        <v>47</v>
      </c>
      <c r="B5" s="84">
        <v>46905</v>
      </c>
      <c r="C5" s="84">
        <v>53999</v>
      </c>
      <c r="D5" s="78">
        <v>7093.5199999999968</v>
      </c>
      <c r="E5" s="84">
        <v>50727.29</v>
      </c>
      <c r="F5" s="84">
        <f>C5-E5</f>
        <v>3271.7099999999991</v>
      </c>
      <c r="G5" s="84" t="s">
        <v>49</v>
      </c>
      <c r="H5" s="84"/>
      <c r="I5" s="84"/>
      <c r="J5" s="84"/>
      <c r="K5" s="84" t="s">
        <v>53</v>
      </c>
      <c r="L5" s="85"/>
      <c r="M5" s="82"/>
      <c r="N5" s="82"/>
      <c r="O5" s="82"/>
      <c r="P5" s="82"/>
      <c r="Q5" s="83"/>
      <c r="R5" s="82"/>
    </row>
    <row r="6" spans="1:18" x14ac:dyDescent="0.3">
      <c r="A6" s="84" t="s">
        <v>46</v>
      </c>
      <c r="B6" s="84">
        <v>0</v>
      </c>
      <c r="C6" s="84">
        <v>54749</v>
      </c>
      <c r="D6" s="84">
        <v>54749</v>
      </c>
      <c r="E6" s="84">
        <v>47779.88</v>
      </c>
      <c r="F6" s="84">
        <f>D6-E6</f>
        <v>6969.1200000000026</v>
      </c>
      <c r="G6" s="84"/>
      <c r="H6" s="84"/>
      <c r="I6" s="84"/>
      <c r="J6" s="84"/>
      <c r="K6" s="84" t="s">
        <v>54</v>
      </c>
      <c r="L6" s="85"/>
      <c r="M6" s="82"/>
      <c r="N6" s="82"/>
      <c r="O6" s="82"/>
      <c r="P6" s="82"/>
      <c r="Q6" s="83"/>
      <c r="R6" s="82"/>
    </row>
    <row r="7" spans="1:18" x14ac:dyDescent="0.3">
      <c r="A7" s="84" t="s">
        <v>48</v>
      </c>
      <c r="B7" s="84">
        <v>3271.71</v>
      </c>
      <c r="C7" s="84">
        <v>56469</v>
      </c>
      <c r="D7" s="86">
        <f>C7-B7</f>
        <v>53197.29</v>
      </c>
      <c r="E7" s="84">
        <v>40627.99</v>
      </c>
      <c r="F7" s="84">
        <f t="shared" ref="F7:F27" si="0">C7-E7</f>
        <v>15841.010000000002</v>
      </c>
      <c r="G7" s="84"/>
      <c r="H7" s="84"/>
      <c r="I7" s="84"/>
      <c r="J7" s="84"/>
      <c r="K7" s="84" t="s">
        <v>60</v>
      </c>
      <c r="L7" s="85"/>
      <c r="M7" s="82"/>
      <c r="N7" s="82"/>
      <c r="O7" s="82"/>
      <c r="P7" s="82"/>
      <c r="Q7" s="82"/>
      <c r="R7" s="82"/>
    </row>
    <row r="8" spans="1:18" x14ac:dyDescent="0.3">
      <c r="A8" s="84" t="s">
        <v>55</v>
      </c>
      <c r="B8" s="84">
        <f t="shared" ref="B8:B12" si="1">F6</f>
        <v>6969.1200000000026</v>
      </c>
      <c r="C8" s="84">
        <v>54599</v>
      </c>
      <c r="D8" s="84">
        <f>C8-B8</f>
        <v>47629.88</v>
      </c>
      <c r="E8" s="87">
        <v>52334.09</v>
      </c>
      <c r="F8" s="84">
        <f t="shared" si="0"/>
        <v>2264.9100000000035</v>
      </c>
      <c r="G8" s="84"/>
      <c r="H8" s="84"/>
      <c r="I8" s="84"/>
      <c r="J8" s="84"/>
      <c r="K8" s="84" t="s">
        <v>61</v>
      </c>
      <c r="L8" s="85"/>
      <c r="M8" s="82"/>
      <c r="N8" s="82"/>
      <c r="O8" s="82"/>
      <c r="P8" s="82"/>
      <c r="Q8" s="82"/>
      <c r="R8" s="82"/>
    </row>
    <row r="9" spans="1:18" x14ac:dyDescent="0.3">
      <c r="A9" s="84" t="s">
        <v>56</v>
      </c>
      <c r="B9" s="84">
        <f t="shared" si="1"/>
        <v>15841.010000000002</v>
      </c>
      <c r="C9" s="86">
        <v>50424</v>
      </c>
      <c r="D9" s="84">
        <f>C9-B9</f>
        <v>34582.99</v>
      </c>
      <c r="E9" s="84">
        <v>47854.82</v>
      </c>
      <c r="F9" s="84">
        <f t="shared" si="0"/>
        <v>2569.1800000000003</v>
      </c>
      <c r="G9" s="84"/>
      <c r="H9" s="84"/>
      <c r="I9" s="84"/>
      <c r="J9" s="84"/>
      <c r="K9" s="84" t="s">
        <v>62</v>
      </c>
      <c r="L9" s="85"/>
      <c r="M9" s="82"/>
      <c r="N9" s="82"/>
      <c r="O9" s="82"/>
      <c r="P9" s="82"/>
      <c r="Q9" s="82"/>
      <c r="R9" s="82"/>
    </row>
    <row r="10" spans="1:18" x14ac:dyDescent="0.3">
      <c r="A10" s="84" t="s">
        <v>57</v>
      </c>
      <c r="B10" s="84">
        <f t="shared" si="1"/>
        <v>2264.9100000000035</v>
      </c>
      <c r="C10" s="84">
        <v>50474</v>
      </c>
      <c r="D10" s="84">
        <f>C10-F8</f>
        <v>48209.09</v>
      </c>
      <c r="E10" s="84">
        <v>51536.33</v>
      </c>
      <c r="F10" s="84">
        <f t="shared" si="0"/>
        <v>-1062.3300000000017</v>
      </c>
      <c r="G10" s="84"/>
      <c r="H10" s="84"/>
      <c r="I10" s="84"/>
      <c r="J10" s="84"/>
      <c r="K10" s="84" t="s">
        <v>63</v>
      </c>
      <c r="L10" s="85"/>
      <c r="M10" s="82"/>
      <c r="N10" s="82"/>
      <c r="O10" s="82"/>
      <c r="P10" s="82"/>
      <c r="Q10" s="82"/>
      <c r="R10" s="82"/>
    </row>
    <row r="11" spans="1:18" x14ac:dyDescent="0.3">
      <c r="A11" s="84" t="s">
        <v>58</v>
      </c>
      <c r="B11" s="84">
        <f t="shared" si="1"/>
        <v>2569.1800000000003</v>
      </c>
      <c r="C11" s="84">
        <v>62152.2</v>
      </c>
      <c r="D11" s="84">
        <f t="shared" ref="D11:D29" si="2">C11-B11</f>
        <v>59583.02</v>
      </c>
      <c r="E11" s="84">
        <v>49250.89</v>
      </c>
      <c r="F11" s="84">
        <f t="shared" si="0"/>
        <v>12901.309999999998</v>
      </c>
      <c r="G11" s="84"/>
      <c r="H11" s="84"/>
      <c r="I11" s="84"/>
      <c r="J11" s="84"/>
      <c r="K11" s="84" t="s">
        <v>65</v>
      </c>
      <c r="L11" s="85"/>
      <c r="M11" s="82"/>
      <c r="N11" s="82"/>
      <c r="O11" s="82"/>
      <c r="P11" s="82"/>
      <c r="Q11" s="82"/>
      <c r="R11" s="82"/>
    </row>
    <row r="12" spans="1:18" x14ac:dyDescent="0.3">
      <c r="A12" s="84" t="s">
        <v>59</v>
      </c>
      <c r="B12" s="84">
        <f t="shared" si="1"/>
        <v>-1062.3300000000017</v>
      </c>
      <c r="C12" s="84">
        <v>60491.3</v>
      </c>
      <c r="D12" s="84">
        <f t="shared" si="2"/>
        <v>61553.630000000005</v>
      </c>
      <c r="E12" s="84">
        <v>56772.62</v>
      </c>
      <c r="F12" s="84">
        <f t="shared" si="0"/>
        <v>3718.6800000000003</v>
      </c>
      <c r="G12" s="84"/>
      <c r="H12" s="84"/>
      <c r="I12" s="84"/>
      <c r="J12" s="84"/>
      <c r="K12" s="84">
        <v>16.170000000000002</v>
      </c>
      <c r="L12" s="85"/>
      <c r="M12" s="82"/>
      <c r="N12" s="82"/>
      <c r="O12" s="82"/>
      <c r="P12" s="82"/>
      <c r="Q12" s="82"/>
      <c r="R12" s="82"/>
    </row>
    <row r="13" spans="1:18" ht="15.6" x14ac:dyDescent="0.3">
      <c r="A13" s="84" t="s">
        <v>64</v>
      </c>
      <c r="B13" s="84">
        <f t="shared" ref="B13:B18" si="3">F11</f>
        <v>12901.309999999998</v>
      </c>
      <c r="C13" s="84">
        <v>59407.7</v>
      </c>
      <c r="D13" s="84">
        <f t="shared" si="2"/>
        <v>46506.39</v>
      </c>
      <c r="E13" s="84">
        <v>56520.959999999999</v>
      </c>
      <c r="F13" s="84">
        <f t="shared" si="0"/>
        <v>2886.739999999998</v>
      </c>
      <c r="G13" s="84"/>
      <c r="H13" s="84"/>
      <c r="I13" s="84"/>
      <c r="J13" s="84"/>
      <c r="K13" s="84" t="s">
        <v>67</v>
      </c>
      <c r="L13" s="85"/>
      <c r="O13" s="89" t="s">
        <v>69</v>
      </c>
    </row>
    <row r="14" spans="1:18" x14ac:dyDescent="0.3">
      <c r="A14" s="84" t="s">
        <v>66</v>
      </c>
      <c r="B14" s="84">
        <f t="shared" si="3"/>
        <v>3718.6800000000003</v>
      </c>
      <c r="C14" s="84">
        <v>59357.65</v>
      </c>
      <c r="D14" s="84">
        <f t="shared" si="2"/>
        <v>55638.97</v>
      </c>
      <c r="E14" s="134">
        <v>58827.07</v>
      </c>
      <c r="F14" s="84">
        <f t="shared" si="0"/>
        <v>530.58000000000175</v>
      </c>
      <c r="G14" s="84"/>
      <c r="H14" s="84"/>
      <c r="I14" s="84"/>
      <c r="J14" s="84"/>
      <c r="K14" s="84" t="s">
        <v>124</v>
      </c>
      <c r="L14" s="85"/>
    </row>
    <row r="15" spans="1:18" ht="60" x14ac:dyDescent="0.3">
      <c r="A15" s="84" t="s">
        <v>68</v>
      </c>
      <c r="B15" s="84">
        <f t="shared" si="3"/>
        <v>2886.739999999998</v>
      </c>
      <c r="C15" s="88">
        <v>62907.65</v>
      </c>
      <c r="D15" s="84">
        <f t="shared" si="2"/>
        <v>60020.91</v>
      </c>
      <c r="E15" s="212">
        <v>55222.28</v>
      </c>
      <c r="F15" s="88">
        <f t="shared" si="0"/>
        <v>7685.3700000000026</v>
      </c>
      <c r="G15" s="88"/>
      <c r="H15" s="88"/>
      <c r="I15" s="88"/>
      <c r="J15" s="88"/>
      <c r="K15" s="84" t="s">
        <v>131</v>
      </c>
      <c r="O15" s="90" t="s">
        <v>70</v>
      </c>
    </row>
    <row r="16" spans="1:18" x14ac:dyDescent="0.3">
      <c r="A16" s="88" t="s">
        <v>125</v>
      </c>
      <c r="B16" s="84">
        <f t="shared" si="3"/>
        <v>530.58000000000175</v>
      </c>
      <c r="C16" s="115">
        <v>77446.950000000012</v>
      </c>
      <c r="D16" s="84">
        <f t="shared" si="2"/>
        <v>76916.37000000001</v>
      </c>
      <c r="E16" s="212">
        <v>72804.33</v>
      </c>
      <c r="F16" s="88">
        <f t="shared" si="0"/>
        <v>4642.6200000000099</v>
      </c>
      <c r="G16" s="88"/>
      <c r="H16" s="88"/>
      <c r="I16" s="88"/>
      <c r="J16" s="88"/>
      <c r="K16" s="84" t="s">
        <v>132</v>
      </c>
    </row>
    <row r="17" spans="1:16" x14ac:dyDescent="0.3">
      <c r="A17" s="88" t="s">
        <v>126</v>
      </c>
      <c r="B17" s="88">
        <f t="shared" si="3"/>
        <v>7685.3700000000026</v>
      </c>
      <c r="C17" s="207">
        <f>'2020'!D60</f>
        <v>72679.625</v>
      </c>
      <c r="D17" s="206">
        <f t="shared" si="2"/>
        <v>64994.254999999997</v>
      </c>
      <c r="E17" s="212">
        <v>65821.710000000006</v>
      </c>
      <c r="F17" s="205">
        <f t="shared" si="0"/>
        <v>6857.9149999999936</v>
      </c>
      <c r="G17" s="88"/>
      <c r="H17" s="88"/>
      <c r="I17" s="88"/>
      <c r="J17" s="88"/>
      <c r="K17" s="84" t="s">
        <v>133</v>
      </c>
    </row>
    <row r="18" spans="1:16" x14ac:dyDescent="0.3">
      <c r="A18" s="88" t="s">
        <v>127</v>
      </c>
      <c r="B18" s="88">
        <f t="shared" si="3"/>
        <v>4642.6200000000099</v>
      </c>
      <c r="C18" s="207">
        <f>'2020'!G60</f>
        <v>77969.625</v>
      </c>
      <c r="D18" s="205">
        <f t="shared" si="2"/>
        <v>73327.00499999999</v>
      </c>
      <c r="E18" s="213">
        <v>67056.73</v>
      </c>
      <c r="F18" s="205">
        <f t="shared" si="0"/>
        <v>10912.895000000004</v>
      </c>
      <c r="G18" s="88"/>
      <c r="H18" s="88"/>
      <c r="I18" s="88"/>
      <c r="J18" s="88"/>
      <c r="K18" s="84" t="s">
        <v>134</v>
      </c>
    </row>
    <row r="19" spans="1:16" x14ac:dyDescent="0.3">
      <c r="A19" s="88" t="s">
        <v>128</v>
      </c>
      <c r="B19" s="205">
        <f t="shared" ref="B19:B24" si="4">F17</f>
        <v>6857.9149999999936</v>
      </c>
      <c r="C19" s="205">
        <v>81878.240000000005</v>
      </c>
      <c r="D19" s="205">
        <f t="shared" si="2"/>
        <v>75020.325000000012</v>
      </c>
      <c r="E19" s="212">
        <v>63426.080000000002</v>
      </c>
      <c r="F19" s="205">
        <f t="shared" si="0"/>
        <v>18452.160000000003</v>
      </c>
      <c r="G19" s="88"/>
      <c r="H19" s="88"/>
      <c r="I19" s="88"/>
      <c r="J19" s="88"/>
      <c r="K19" s="84" t="s">
        <v>135</v>
      </c>
    </row>
    <row r="20" spans="1:16" x14ac:dyDescent="0.3">
      <c r="A20" s="88" t="s">
        <v>129</v>
      </c>
      <c r="B20" s="205">
        <f t="shared" si="4"/>
        <v>10912.895000000004</v>
      </c>
      <c r="C20" s="205">
        <v>82159.63</v>
      </c>
      <c r="D20" s="205">
        <f t="shared" si="2"/>
        <v>71246.735000000001</v>
      </c>
      <c r="E20" s="214">
        <v>62965.06</v>
      </c>
      <c r="F20" s="205">
        <f t="shared" si="0"/>
        <v>19194.570000000007</v>
      </c>
      <c r="G20" s="88"/>
      <c r="H20" s="88"/>
      <c r="I20" s="88"/>
      <c r="J20" s="88"/>
      <c r="K20" s="84" t="s">
        <v>136</v>
      </c>
    </row>
    <row r="21" spans="1:16" x14ac:dyDescent="0.3">
      <c r="A21" s="209" t="s">
        <v>130</v>
      </c>
      <c r="B21" s="210">
        <f t="shared" si="4"/>
        <v>18452.160000000003</v>
      </c>
      <c r="C21" s="210">
        <v>115277.63</v>
      </c>
      <c r="D21" s="209">
        <f t="shared" si="2"/>
        <v>96825.47</v>
      </c>
      <c r="E21" s="133">
        <v>64008.59</v>
      </c>
      <c r="F21" s="205">
        <f t="shared" si="0"/>
        <v>51269.040000000008</v>
      </c>
      <c r="G21" s="133"/>
      <c r="H21" s="133"/>
      <c r="I21" s="133"/>
      <c r="J21" s="133"/>
      <c r="K21" s="84" t="s">
        <v>137</v>
      </c>
    </row>
    <row r="22" spans="1:16" x14ac:dyDescent="0.3">
      <c r="A22" s="126" t="s">
        <v>230</v>
      </c>
      <c r="B22" s="208">
        <f t="shared" si="4"/>
        <v>19194.570000000007</v>
      </c>
      <c r="C22" s="208">
        <v>123660.13</v>
      </c>
      <c r="D22" s="209">
        <f t="shared" si="2"/>
        <v>104465.56</v>
      </c>
      <c r="E22" s="133">
        <v>70860.37</v>
      </c>
      <c r="F22" s="205">
        <f t="shared" si="0"/>
        <v>52799.760000000009</v>
      </c>
      <c r="G22" s="133"/>
      <c r="H22" s="133"/>
      <c r="I22" s="133"/>
      <c r="J22" s="133"/>
      <c r="K22" s="133"/>
    </row>
    <row r="23" spans="1:16" x14ac:dyDescent="0.3">
      <c r="A23" s="126" t="s">
        <v>231</v>
      </c>
      <c r="B23" s="208">
        <f t="shared" si="4"/>
        <v>51269.040000000008</v>
      </c>
      <c r="C23" s="208">
        <v>134972.13</v>
      </c>
      <c r="D23" s="133">
        <f t="shared" si="2"/>
        <v>83703.09</v>
      </c>
      <c r="E23" s="120">
        <v>74486.69</v>
      </c>
      <c r="F23" s="133">
        <f t="shared" si="0"/>
        <v>60485.440000000002</v>
      </c>
      <c r="G23" s="133"/>
      <c r="H23" s="133"/>
      <c r="I23" s="133"/>
      <c r="J23" s="133"/>
      <c r="K23" s="133"/>
    </row>
    <row r="24" spans="1:16" ht="15.6" x14ac:dyDescent="0.3">
      <c r="A24" s="126" t="s">
        <v>232</v>
      </c>
      <c r="B24" s="208">
        <f t="shared" si="4"/>
        <v>52799.760000000009</v>
      </c>
      <c r="C24" s="208">
        <v>127139.36</v>
      </c>
      <c r="D24" s="133">
        <f t="shared" si="2"/>
        <v>74339.599999999991</v>
      </c>
      <c r="E24" s="291">
        <v>100908.06</v>
      </c>
      <c r="F24" s="133">
        <f t="shared" si="0"/>
        <v>26231.300000000003</v>
      </c>
      <c r="G24" s="133"/>
      <c r="H24" s="133"/>
      <c r="I24" s="133"/>
      <c r="J24" s="133"/>
      <c r="K24" s="133"/>
    </row>
    <row r="25" spans="1:16" ht="14.4" customHeight="1" x14ac:dyDescent="0.3">
      <c r="A25" s="292" t="s">
        <v>275</v>
      </c>
      <c r="B25" s="206">
        <f>F23</f>
        <v>60485.440000000002</v>
      </c>
      <c r="C25" s="88">
        <v>181697.41249999998</v>
      </c>
      <c r="D25" s="205">
        <f t="shared" si="2"/>
        <v>121211.97249999997</v>
      </c>
      <c r="E25" s="88">
        <v>141770.09</v>
      </c>
      <c r="F25" s="297">
        <f t="shared" si="0"/>
        <v>39927.32249999998</v>
      </c>
      <c r="G25" s="88"/>
      <c r="H25" s="88"/>
      <c r="I25" s="88"/>
      <c r="J25" s="88"/>
      <c r="K25" s="88"/>
      <c r="L25" s="92" t="s">
        <v>73</v>
      </c>
      <c r="M25" s="88">
        <v>73253.039999999994</v>
      </c>
      <c r="N25" s="88"/>
      <c r="O25" s="79" t="s">
        <v>72</v>
      </c>
      <c r="P25" s="88"/>
    </row>
    <row r="26" spans="1:16" x14ac:dyDescent="0.3">
      <c r="A26" s="88" t="s">
        <v>277</v>
      </c>
      <c r="B26" s="206">
        <f>F24</f>
        <v>26231.300000000003</v>
      </c>
      <c r="C26" s="88">
        <v>175347.41249999998</v>
      </c>
      <c r="D26" s="205">
        <f t="shared" si="2"/>
        <v>149116.11249999999</v>
      </c>
      <c r="E26" s="205">
        <v>146950.07999999999</v>
      </c>
      <c r="F26" s="297">
        <f t="shared" si="0"/>
        <v>28397.33249999999</v>
      </c>
      <c r="G26" s="88"/>
      <c r="H26" s="88"/>
      <c r="I26" s="88"/>
      <c r="J26" s="88"/>
      <c r="K26" s="88"/>
      <c r="L26" s="88"/>
      <c r="M26" s="88">
        <v>56520.959999999999</v>
      </c>
      <c r="N26" s="88"/>
      <c r="O26" s="88">
        <f>C14</f>
        <v>59357.65</v>
      </c>
      <c r="P26" s="93" t="s">
        <v>74</v>
      </c>
    </row>
    <row r="27" spans="1:16" x14ac:dyDescent="0.3">
      <c r="A27" s="88" t="s">
        <v>288</v>
      </c>
      <c r="B27" s="88">
        <v>39927.32</v>
      </c>
      <c r="C27" s="88">
        <v>174479.54249999998</v>
      </c>
      <c r="D27" s="205">
        <f t="shared" si="2"/>
        <v>134552.22249999997</v>
      </c>
      <c r="E27" s="205">
        <v>146632.82</v>
      </c>
      <c r="F27" s="297">
        <f t="shared" si="0"/>
        <v>27846.722499999974</v>
      </c>
      <c r="G27" s="293"/>
      <c r="H27" s="88"/>
      <c r="I27" s="88"/>
      <c r="J27" s="88"/>
      <c r="K27" s="88"/>
      <c r="L27" s="88"/>
      <c r="M27" s="88">
        <f>M25-M26</f>
        <v>16732.079999999994</v>
      </c>
      <c r="N27" s="88"/>
      <c r="O27" s="88">
        <f>C15</f>
        <v>62907.65</v>
      </c>
      <c r="P27" s="88"/>
    </row>
    <row r="28" spans="1:16" x14ac:dyDescent="0.3">
      <c r="A28" s="88" t="s">
        <v>289</v>
      </c>
      <c r="B28" s="88">
        <v>28397.33</v>
      </c>
      <c r="C28" s="88">
        <v>185861.67249999999</v>
      </c>
      <c r="D28" s="205">
        <f t="shared" si="2"/>
        <v>157464.34249999997</v>
      </c>
      <c r="E28" s="318" t="s">
        <v>142</v>
      </c>
      <c r="F28" s="88"/>
      <c r="G28" s="88"/>
      <c r="H28" s="88"/>
      <c r="I28" s="88"/>
      <c r="J28" s="88"/>
      <c r="K28" s="88"/>
      <c r="L28" s="88"/>
      <c r="M28" s="88"/>
      <c r="N28" s="79" t="s">
        <v>75</v>
      </c>
      <c r="O28" s="79">
        <f>O26+O27</f>
        <v>122265.3</v>
      </c>
      <c r="P28" s="79"/>
    </row>
    <row r="29" spans="1:16" x14ac:dyDescent="0.3">
      <c r="A29" s="88" t="s">
        <v>353</v>
      </c>
      <c r="B29" s="294">
        <f>F27</f>
        <v>27846.722499999974</v>
      </c>
      <c r="C29" s="294">
        <v>235466.625</v>
      </c>
      <c r="D29" s="205">
        <f t="shared" si="2"/>
        <v>207619.90250000003</v>
      </c>
      <c r="E29" s="294" t="s">
        <v>352</v>
      </c>
      <c r="F29" s="294"/>
      <c r="G29" s="294"/>
      <c r="H29" s="294"/>
      <c r="I29" s="294"/>
      <c r="J29" s="294"/>
      <c r="K29" s="294"/>
      <c r="L29" s="88"/>
      <c r="M29" s="88"/>
      <c r="N29" s="88"/>
      <c r="O29" s="88"/>
      <c r="P29" s="88"/>
    </row>
    <row r="30" spans="1:16" x14ac:dyDescent="0.3">
      <c r="A30" s="120" t="s">
        <v>354</v>
      </c>
      <c r="E30" s="211"/>
    </row>
    <row r="31" spans="1:16" x14ac:dyDescent="0.3">
      <c r="A31" s="120" t="s">
        <v>355</v>
      </c>
    </row>
    <row r="32" spans="1:16" x14ac:dyDescent="0.3">
      <c r="A32" s="528" t="s">
        <v>356</v>
      </c>
      <c r="B32" s="529" t="s">
        <v>357</v>
      </c>
    </row>
    <row r="35" spans="2:16" x14ac:dyDescent="0.3">
      <c r="P35">
        <v>185861.67249999999</v>
      </c>
    </row>
    <row r="37" spans="2:16" x14ac:dyDescent="0.3">
      <c r="B37" s="530" t="s">
        <v>358</v>
      </c>
      <c r="C37" s="530"/>
      <c r="D37" s="530"/>
      <c r="E37" s="531"/>
      <c r="F37" s="530"/>
    </row>
    <row r="38" spans="2:16" x14ac:dyDescent="0.3">
      <c r="B38" s="530" t="s">
        <v>359</v>
      </c>
      <c r="C38" s="530"/>
      <c r="D38" s="530"/>
      <c r="E38" s="532"/>
      <c r="F38" s="530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P50"/>
  <sheetViews>
    <sheetView topLeftCell="A46" workbookViewId="0">
      <selection activeCell="D47" sqref="D47"/>
    </sheetView>
  </sheetViews>
  <sheetFormatPr defaultRowHeight="14.4" x14ac:dyDescent="0.3"/>
  <cols>
    <col min="2" max="2" width="15.33203125" customWidth="1"/>
    <col min="3" max="3" width="15.88671875" customWidth="1"/>
    <col min="4" max="4" width="29.6640625" customWidth="1"/>
    <col min="5" max="6" width="18.109375" customWidth="1"/>
    <col min="13" max="13" width="41.5546875" customWidth="1"/>
    <col min="14" max="14" width="23.44140625" customWidth="1"/>
    <col min="17" max="17" width="21.44140625" customWidth="1"/>
  </cols>
  <sheetData>
    <row r="4" spans="1:5" x14ac:dyDescent="0.3">
      <c r="A4" s="94"/>
      <c r="B4" s="95" t="s">
        <v>77</v>
      </c>
      <c r="C4" s="95" t="s">
        <v>78</v>
      </c>
      <c r="D4" s="95">
        <v>97384.31</v>
      </c>
    </row>
    <row r="5" spans="1:5" x14ac:dyDescent="0.3">
      <c r="A5" s="96"/>
      <c r="B5" s="95" t="s">
        <v>79</v>
      </c>
      <c r="C5" s="95" t="s">
        <v>80</v>
      </c>
      <c r="D5" s="95">
        <v>43600.45</v>
      </c>
    </row>
    <row r="6" spans="1:5" x14ac:dyDescent="0.3">
      <c r="A6" s="97"/>
      <c r="B6" s="95" t="s">
        <v>81</v>
      </c>
      <c r="C6" s="95" t="s">
        <v>82</v>
      </c>
      <c r="D6" s="95">
        <v>30860.06</v>
      </c>
    </row>
    <row r="7" spans="1:5" x14ac:dyDescent="0.3">
      <c r="A7" s="97"/>
      <c r="B7" s="95" t="s">
        <v>83</v>
      </c>
      <c r="C7" s="95" t="s">
        <v>84</v>
      </c>
      <c r="D7" s="95">
        <v>38322.120000000003</v>
      </c>
    </row>
    <row r="8" spans="1:5" x14ac:dyDescent="0.3">
      <c r="A8" s="97"/>
      <c r="B8" s="95" t="s">
        <v>85</v>
      </c>
      <c r="C8" s="95"/>
      <c r="D8" s="95">
        <v>47799.3</v>
      </c>
    </row>
    <row r="9" spans="1:5" x14ac:dyDescent="0.3">
      <c r="A9" s="97"/>
      <c r="B9" s="95" t="s">
        <v>86</v>
      </c>
      <c r="C9" s="95"/>
      <c r="D9" s="95">
        <v>36947.760000000002</v>
      </c>
    </row>
    <row r="10" spans="1:5" x14ac:dyDescent="0.3">
      <c r="A10" s="97"/>
      <c r="B10" s="98" t="s">
        <v>87</v>
      </c>
      <c r="C10" s="98"/>
      <c r="D10" s="98">
        <v>31277.78</v>
      </c>
    </row>
    <row r="11" spans="1:5" x14ac:dyDescent="0.3">
      <c r="A11" s="97"/>
      <c r="B11" s="98" t="s">
        <v>88</v>
      </c>
      <c r="C11" s="98"/>
      <c r="D11" s="98">
        <v>17368.75</v>
      </c>
    </row>
    <row r="12" spans="1:5" x14ac:dyDescent="0.3">
      <c r="A12" s="97"/>
      <c r="B12" s="98"/>
      <c r="C12" s="98"/>
      <c r="D12" s="117">
        <v>244</v>
      </c>
      <c r="E12" s="116">
        <v>250</v>
      </c>
    </row>
    <row r="13" spans="1:5" x14ac:dyDescent="0.3">
      <c r="A13" s="97"/>
      <c r="B13" s="99" t="s">
        <v>89</v>
      </c>
      <c r="C13" s="100"/>
      <c r="D13" s="101">
        <v>343804.53</v>
      </c>
    </row>
    <row r="17" spans="1:14" x14ac:dyDescent="0.3">
      <c r="A17" s="338" t="s">
        <v>90</v>
      </c>
      <c r="B17" s="339"/>
      <c r="C17" s="339"/>
      <c r="D17" s="339"/>
      <c r="E17" s="339"/>
      <c r="F17" s="114"/>
    </row>
    <row r="18" spans="1:14" x14ac:dyDescent="0.3">
      <c r="A18" s="102"/>
      <c r="B18" s="103"/>
      <c r="C18" s="102"/>
      <c r="D18" s="104"/>
      <c r="E18" s="102"/>
      <c r="F18" s="102"/>
    </row>
    <row r="19" spans="1:14" x14ac:dyDescent="0.3">
      <c r="A19" s="105" t="s">
        <v>91</v>
      </c>
      <c r="B19" s="106" t="s">
        <v>92</v>
      </c>
      <c r="C19" s="105" t="s">
        <v>93</v>
      </c>
      <c r="D19" s="107" t="s">
        <v>29</v>
      </c>
      <c r="E19" s="102"/>
      <c r="F19" s="102"/>
    </row>
    <row r="20" spans="1:14" x14ac:dyDescent="0.3">
      <c r="A20" s="94" t="s">
        <v>94</v>
      </c>
      <c r="B20" s="108">
        <v>42003</v>
      </c>
      <c r="C20" s="109" t="s">
        <v>95</v>
      </c>
      <c r="D20" s="110">
        <v>125722</v>
      </c>
      <c r="E20" s="102"/>
      <c r="F20" s="102"/>
    </row>
    <row r="21" spans="1:14" x14ac:dyDescent="0.3">
      <c r="A21" s="94" t="s">
        <v>96</v>
      </c>
      <c r="B21" s="108">
        <v>42217</v>
      </c>
      <c r="C21" s="109" t="s">
        <v>97</v>
      </c>
      <c r="D21" s="110">
        <v>94389</v>
      </c>
      <c r="E21" s="102"/>
      <c r="F21" s="102"/>
    </row>
    <row r="22" spans="1:14" x14ac:dyDescent="0.3">
      <c r="A22" s="111" t="s">
        <v>98</v>
      </c>
      <c r="B22" s="108">
        <v>42401</v>
      </c>
      <c r="C22" s="109" t="s">
        <v>99</v>
      </c>
      <c r="D22" s="112">
        <v>82484.009999999995</v>
      </c>
      <c r="E22" s="102"/>
      <c r="F22" s="102"/>
    </row>
    <row r="23" spans="1:14" x14ac:dyDescent="0.3">
      <c r="A23" s="111" t="s">
        <v>100</v>
      </c>
      <c r="B23" s="108">
        <v>42583</v>
      </c>
      <c r="C23" s="109" t="s">
        <v>101</v>
      </c>
      <c r="D23" s="112">
        <v>88115</v>
      </c>
      <c r="E23" s="102"/>
      <c r="F23" s="102"/>
    </row>
    <row r="24" spans="1:14" x14ac:dyDescent="0.3">
      <c r="A24" s="105"/>
      <c r="B24" s="340" t="s">
        <v>102</v>
      </c>
      <c r="C24" s="340"/>
      <c r="D24" s="107">
        <f>SUM(D20:D23)</f>
        <v>390710.01</v>
      </c>
      <c r="E24" s="102"/>
      <c r="F24" s="102"/>
    </row>
    <row r="25" spans="1:14" x14ac:dyDescent="0.3">
      <c r="A25" s="94"/>
      <c r="B25" s="113"/>
      <c r="C25" s="94"/>
      <c r="D25" s="110"/>
      <c r="E25" s="102"/>
      <c r="F25" s="102"/>
    </row>
    <row r="27" spans="1:14" x14ac:dyDescent="0.3">
      <c r="N27" s="118"/>
    </row>
    <row r="28" spans="1:14" x14ac:dyDescent="0.3">
      <c r="M28" t="s">
        <v>115</v>
      </c>
      <c r="N28" s="115">
        <f>D24+D35+D36+D37+D38+D39+D40+D41+D42+D43+D44</f>
        <v>859453.78999999992</v>
      </c>
    </row>
    <row r="29" spans="1:14" x14ac:dyDescent="0.3">
      <c r="M29" t="s">
        <v>116</v>
      </c>
      <c r="N29">
        <f>D4+D5+D6+D7+D8+D9+D10+D11+E35+E36+E37+E38+E39+E40+E41+E42+E43</f>
        <v>796965.39999999991</v>
      </c>
    </row>
    <row r="30" spans="1:14" x14ac:dyDescent="0.3">
      <c r="C30" t="s">
        <v>103</v>
      </c>
      <c r="D30" s="115">
        <f>D24-D13</f>
        <v>46905.479999999981</v>
      </c>
      <c r="M30" t="s">
        <v>117</v>
      </c>
      <c r="N30">
        <f>D4+D5+D6+D7+D8+D9+D10+D11+F35+F36+F37+F38+F39+F40+F42+F41</f>
        <v>723712.36</v>
      </c>
    </row>
    <row r="31" spans="1:14" x14ac:dyDescent="0.3">
      <c r="M31" t="s">
        <v>119</v>
      </c>
      <c r="N31">
        <f>D4+D5+D6+D7+D8+D9+D10+D11+F35+F36+F37+F38+F39+F40+F41+F42+F43</f>
        <v>796965.4</v>
      </c>
    </row>
    <row r="32" spans="1:14" x14ac:dyDescent="0.3">
      <c r="N32" s="115"/>
    </row>
    <row r="33" spans="1:16" x14ac:dyDescent="0.3">
      <c r="M33" t="s">
        <v>120</v>
      </c>
      <c r="N33" s="115">
        <f>N28-N30</f>
        <v>135741.42999999993</v>
      </c>
    </row>
    <row r="34" spans="1:16" ht="28.8" x14ac:dyDescent="0.3">
      <c r="A34" s="123"/>
      <c r="B34" s="123" t="s">
        <v>76</v>
      </c>
      <c r="C34" s="124" t="s">
        <v>50</v>
      </c>
      <c r="D34" s="124" t="s">
        <v>52</v>
      </c>
      <c r="E34" s="123" t="s">
        <v>45</v>
      </c>
      <c r="F34" s="124" t="s">
        <v>118</v>
      </c>
      <c r="G34" s="123" t="s">
        <v>51</v>
      </c>
      <c r="H34" s="123"/>
      <c r="I34" s="123"/>
      <c r="J34" s="123"/>
      <c r="K34" s="125"/>
      <c r="L34" s="125"/>
      <c r="M34" s="121" t="s">
        <v>121</v>
      </c>
      <c r="N34" s="118">
        <f>N28-N31</f>
        <v>62488.389999999898</v>
      </c>
      <c r="O34" s="121">
        <f>C44+G43</f>
        <v>62244.39</v>
      </c>
    </row>
    <row r="35" spans="1:16" x14ac:dyDescent="0.3">
      <c r="A35" s="126" t="s">
        <v>47</v>
      </c>
      <c r="B35" s="126">
        <v>46905</v>
      </c>
      <c r="C35" s="126">
        <v>53999</v>
      </c>
      <c r="D35" s="127">
        <v>7093.5199999999968</v>
      </c>
      <c r="E35" s="126">
        <f>'Ettemaksu jääkide arvestus'!E5</f>
        <v>50727.29</v>
      </c>
      <c r="F35" s="126">
        <v>50727.29</v>
      </c>
      <c r="G35" s="126">
        <v>3271.7099999999991</v>
      </c>
      <c r="H35" s="126" t="s">
        <v>49</v>
      </c>
      <c r="I35" s="126"/>
      <c r="J35" s="126"/>
      <c r="K35" s="126" t="s">
        <v>109</v>
      </c>
      <c r="L35" s="126" t="s">
        <v>53</v>
      </c>
      <c r="M35" s="120" t="s">
        <v>122</v>
      </c>
      <c r="N35">
        <f>G43+C44+244</f>
        <v>62488.39</v>
      </c>
      <c r="O35" s="121"/>
      <c r="P35" s="116">
        <v>244</v>
      </c>
    </row>
    <row r="36" spans="1:16" x14ac:dyDescent="0.3">
      <c r="A36" s="126" t="s">
        <v>46</v>
      </c>
      <c r="B36" s="126">
        <v>0</v>
      </c>
      <c r="C36" s="126">
        <v>54749</v>
      </c>
      <c r="D36" s="126">
        <v>54749</v>
      </c>
      <c r="E36" s="126">
        <v>47779.88</v>
      </c>
      <c r="F36" s="126">
        <v>47779.88</v>
      </c>
      <c r="G36" s="126">
        <v>6969.1200000000026</v>
      </c>
      <c r="H36" s="126"/>
      <c r="I36" s="126"/>
      <c r="J36" s="126"/>
      <c r="K36" s="126" t="s">
        <v>110</v>
      </c>
      <c r="L36" s="126" t="s">
        <v>54</v>
      </c>
    </row>
    <row r="37" spans="1:16" x14ac:dyDescent="0.3">
      <c r="A37" s="126" t="s">
        <v>48</v>
      </c>
      <c r="B37" s="126">
        <v>3271.71</v>
      </c>
      <c r="C37" s="126">
        <v>56469</v>
      </c>
      <c r="D37" s="128">
        <v>53197.29</v>
      </c>
      <c r="E37" s="126">
        <v>40627.99</v>
      </c>
      <c r="F37" s="126">
        <v>40627.99</v>
      </c>
      <c r="G37" s="126">
        <v>15841.010000000002</v>
      </c>
      <c r="H37" s="126"/>
      <c r="I37" s="126"/>
      <c r="J37" s="126"/>
      <c r="K37" s="126" t="s">
        <v>111</v>
      </c>
      <c r="L37" s="126" t="s">
        <v>60</v>
      </c>
      <c r="M37" s="121" t="s">
        <v>123</v>
      </c>
      <c r="N37" s="122">
        <f>C44+C45</f>
        <v>122265.3</v>
      </c>
    </row>
    <row r="38" spans="1:16" x14ac:dyDescent="0.3">
      <c r="A38" s="126" t="s">
        <v>55</v>
      </c>
      <c r="B38" s="126">
        <v>6969.1200000000026</v>
      </c>
      <c r="C38" s="126">
        <v>54599</v>
      </c>
      <c r="D38" s="126">
        <v>47629.88</v>
      </c>
      <c r="E38" s="129">
        <v>52334.09</v>
      </c>
      <c r="F38" s="129">
        <v>52334.09</v>
      </c>
      <c r="G38" s="126">
        <v>2264.9100000000035</v>
      </c>
      <c r="H38" s="126"/>
      <c r="I38" s="126"/>
      <c r="J38" s="126"/>
      <c r="K38" s="126" t="s">
        <v>112</v>
      </c>
      <c r="L38" s="126" t="s">
        <v>61</v>
      </c>
      <c r="N38">
        <f>C44+C45</f>
        <v>122265.3</v>
      </c>
    </row>
    <row r="39" spans="1:16" x14ac:dyDescent="0.3">
      <c r="A39" s="126" t="s">
        <v>56</v>
      </c>
      <c r="B39" s="126">
        <v>15841.010000000002</v>
      </c>
      <c r="C39" s="128">
        <v>50424</v>
      </c>
      <c r="D39" s="126">
        <v>34582.99</v>
      </c>
      <c r="E39" s="126">
        <v>47854.82</v>
      </c>
      <c r="F39" s="126">
        <v>47854.82</v>
      </c>
      <c r="G39" s="126">
        <v>2569.1800000000003</v>
      </c>
      <c r="H39" s="126"/>
      <c r="I39" s="126"/>
      <c r="J39" s="126"/>
      <c r="K39" s="126" t="s">
        <v>113</v>
      </c>
      <c r="L39" s="126" t="s">
        <v>62</v>
      </c>
    </row>
    <row r="40" spans="1:16" x14ac:dyDescent="0.3">
      <c r="A40" s="126" t="s">
        <v>57</v>
      </c>
      <c r="B40" s="126">
        <v>2264.9100000000035</v>
      </c>
      <c r="C40" s="126">
        <v>50474</v>
      </c>
      <c r="D40" s="126">
        <v>48209.09</v>
      </c>
      <c r="E40" s="126">
        <v>51536.33</v>
      </c>
      <c r="F40" s="126">
        <v>51536.33</v>
      </c>
      <c r="G40" s="126">
        <v>-1062.3300000000017</v>
      </c>
      <c r="H40" s="126"/>
      <c r="I40" s="126"/>
      <c r="J40" s="126"/>
      <c r="K40" s="126" t="s">
        <v>114</v>
      </c>
      <c r="L40" s="126" t="s">
        <v>63</v>
      </c>
    </row>
    <row r="41" spans="1:16" x14ac:dyDescent="0.3">
      <c r="A41" s="126" t="s">
        <v>58</v>
      </c>
      <c r="B41" s="126">
        <v>2569.1800000000003</v>
      </c>
      <c r="C41" s="126">
        <v>62152.2</v>
      </c>
      <c r="D41" s="126">
        <v>59583.02</v>
      </c>
      <c r="E41" s="126">
        <v>49250.89</v>
      </c>
      <c r="F41" s="126">
        <v>49250.89</v>
      </c>
      <c r="G41" s="126">
        <v>12901.309999999998</v>
      </c>
      <c r="H41" s="126"/>
      <c r="I41" s="126"/>
      <c r="J41" s="126"/>
      <c r="K41" s="126" t="s">
        <v>108</v>
      </c>
      <c r="L41" s="126" t="s">
        <v>65</v>
      </c>
    </row>
    <row r="42" spans="1:16" x14ac:dyDescent="0.3">
      <c r="A42" s="126" t="s">
        <v>59</v>
      </c>
      <c r="B42" s="126">
        <v>-1062.3300000000017</v>
      </c>
      <c r="C42" s="126">
        <v>60491.3</v>
      </c>
      <c r="D42" s="126">
        <v>61553.630000000005</v>
      </c>
      <c r="E42" s="130">
        <v>56772.62</v>
      </c>
      <c r="F42" s="131">
        <v>40040.54</v>
      </c>
      <c r="G42" s="126">
        <v>3718.6800000000003</v>
      </c>
      <c r="H42" s="126"/>
      <c r="I42" s="126"/>
      <c r="J42" s="126"/>
      <c r="K42" s="126" t="s">
        <v>107</v>
      </c>
      <c r="L42" s="126">
        <v>16.170000000000002</v>
      </c>
    </row>
    <row r="43" spans="1:16" x14ac:dyDescent="0.3">
      <c r="A43" s="126" t="s">
        <v>64</v>
      </c>
      <c r="B43" s="126">
        <v>12901.309999999998</v>
      </c>
      <c r="C43" s="126">
        <v>59407.7</v>
      </c>
      <c r="D43" s="126">
        <v>46506.39</v>
      </c>
      <c r="E43" s="130">
        <v>56520.959999999999</v>
      </c>
      <c r="F43" s="131">
        <v>73253.039999999994</v>
      </c>
      <c r="G43" s="132">
        <v>2886.739999999998</v>
      </c>
      <c r="H43" s="126"/>
      <c r="I43" s="126"/>
      <c r="J43" s="126"/>
      <c r="K43" s="126" t="s">
        <v>106</v>
      </c>
      <c r="L43" s="126" t="s">
        <v>67</v>
      </c>
      <c r="N43" s="119"/>
    </row>
    <row r="44" spans="1:16" x14ac:dyDescent="0.3">
      <c r="A44" s="126" t="s">
        <v>66</v>
      </c>
      <c r="B44" s="126">
        <v>3718.6800000000003</v>
      </c>
      <c r="C44" s="132">
        <v>59357.65</v>
      </c>
      <c r="D44" s="133">
        <v>55638.97</v>
      </c>
      <c r="E44" s="126" t="s">
        <v>71</v>
      </c>
      <c r="F44" s="126"/>
      <c r="G44" s="126"/>
      <c r="H44" s="126"/>
      <c r="I44" s="126"/>
      <c r="J44" s="126"/>
      <c r="K44" s="126" t="s">
        <v>105</v>
      </c>
      <c r="L44" s="126"/>
    </row>
    <row r="45" spans="1:16" x14ac:dyDescent="0.3">
      <c r="A45" s="126" t="s">
        <v>68</v>
      </c>
      <c r="B45" s="126">
        <v>2886.739999999998</v>
      </c>
      <c r="C45" s="132">
        <v>62907.65</v>
      </c>
      <c r="D45" s="133">
        <v>60020.91</v>
      </c>
      <c r="E45" s="133"/>
      <c r="F45" s="133"/>
      <c r="G45" s="133"/>
      <c r="H45" s="133"/>
      <c r="I45" s="133"/>
      <c r="J45" s="133"/>
      <c r="K45" s="133" t="s">
        <v>104</v>
      </c>
      <c r="L45" s="133"/>
      <c r="N45" s="119"/>
    </row>
    <row r="50" spans="2:2" x14ac:dyDescent="0.3">
      <c r="B50" t="s">
        <v>276</v>
      </c>
    </row>
  </sheetData>
  <mergeCells count="2">
    <mergeCell ref="A17:E17"/>
    <mergeCell ref="B24:C2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E27CC-2CFD-4BD3-97F0-76DBD39AA0F4}">
  <dimension ref="A2:W61"/>
  <sheetViews>
    <sheetView topLeftCell="A18" workbookViewId="0">
      <selection activeCell="G53" sqref="G53:Q53"/>
    </sheetView>
  </sheetViews>
  <sheetFormatPr defaultColWidth="9.109375" defaultRowHeight="11.4" x14ac:dyDescent="0.2"/>
  <cols>
    <col min="1" max="1" width="9.109375" style="215"/>
    <col min="2" max="2" width="46.44140625" style="216" customWidth="1"/>
    <col min="3" max="3" width="8.5546875" style="217" customWidth="1"/>
    <col min="4" max="4" width="14.44140625" style="217" customWidth="1"/>
    <col min="5" max="5" width="11.44140625" style="217" customWidth="1"/>
    <col min="6" max="6" width="16.88671875" style="217" customWidth="1"/>
    <col min="7" max="7" width="10.6640625" style="217" customWidth="1"/>
    <col min="8" max="8" width="11.109375" style="217" customWidth="1"/>
    <col min="9" max="9" width="10.6640625" style="217" customWidth="1"/>
    <col min="10" max="14" width="10.33203125" style="217" customWidth="1"/>
    <col min="15" max="15" width="10.88671875" style="217" customWidth="1"/>
    <col min="16" max="17" width="10.33203125" style="217" customWidth="1"/>
    <col min="18" max="18" width="10.6640625" style="217" customWidth="1"/>
    <col min="19" max="257" width="9.109375" style="218"/>
    <col min="258" max="258" width="46.44140625" style="218" customWidth="1"/>
    <col min="259" max="259" width="8.5546875" style="218" customWidth="1"/>
    <col min="260" max="260" width="14.44140625" style="218" customWidth="1"/>
    <col min="261" max="261" width="11.44140625" style="218" customWidth="1"/>
    <col min="262" max="262" width="16.88671875" style="218" customWidth="1"/>
    <col min="263" max="263" width="10.6640625" style="218" customWidth="1"/>
    <col min="264" max="264" width="11.109375" style="218" customWidth="1"/>
    <col min="265" max="265" width="10.6640625" style="218" customWidth="1"/>
    <col min="266" max="270" width="10.33203125" style="218" customWidth="1"/>
    <col min="271" max="271" width="10.88671875" style="218" customWidth="1"/>
    <col min="272" max="273" width="10.33203125" style="218" customWidth="1"/>
    <col min="274" max="274" width="10.6640625" style="218" customWidth="1"/>
    <col min="275" max="513" width="9.109375" style="218"/>
    <col min="514" max="514" width="46.44140625" style="218" customWidth="1"/>
    <col min="515" max="515" width="8.5546875" style="218" customWidth="1"/>
    <col min="516" max="516" width="14.44140625" style="218" customWidth="1"/>
    <col min="517" max="517" width="11.44140625" style="218" customWidth="1"/>
    <col min="518" max="518" width="16.88671875" style="218" customWidth="1"/>
    <col min="519" max="519" width="10.6640625" style="218" customWidth="1"/>
    <col min="520" max="520" width="11.109375" style="218" customWidth="1"/>
    <col min="521" max="521" width="10.6640625" style="218" customWidth="1"/>
    <col min="522" max="526" width="10.33203125" style="218" customWidth="1"/>
    <col min="527" max="527" width="10.88671875" style="218" customWidth="1"/>
    <col min="528" max="529" width="10.33203125" style="218" customWidth="1"/>
    <col min="530" max="530" width="10.6640625" style="218" customWidth="1"/>
    <col min="531" max="769" width="9.109375" style="218"/>
    <col min="770" max="770" width="46.44140625" style="218" customWidth="1"/>
    <col min="771" max="771" width="8.5546875" style="218" customWidth="1"/>
    <col min="772" max="772" width="14.44140625" style="218" customWidth="1"/>
    <col min="773" max="773" width="11.44140625" style="218" customWidth="1"/>
    <col min="774" max="774" width="16.88671875" style="218" customWidth="1"/>
    <col min="775" max="775" width="10.6640625" style="218" customWidth="1"/>
    <col min="776" max="776" width="11.109375" style="218" customWidth="1"/>
    <col min="777" max="777" width="10.6640625" style="218" customWidth="1"/>
    <col min="778" max="782" width="10.33203125" style="218" customWidth="1"/>
    <col min="783" max="783" width="10.88671875" style="218" customWidth="1"/>
    <col min="784" max="785" width="10.33203125" style="218" customWidth="1"/>
    <col min="786" max="786" width="10.6640625" style="218" customWidth="1"/>
    <col min="787" max="1025" width="9.109375" style="218"/>
    <col min="1026" max="1026" width="46.44140625" style="218" customWidth="1"/>
    <col min="1027" max="1027" width="8.5546875" style="218" customWidth="1"/>
    <col min="1028" max="1028" width="14.44140625" style="218" customWidth="1"/>
    <col min="1029" max="1029" width="11.44140625" style="218" customWidth="1"/>
    <col min="1030" max="1030" width="16.88671875" style="218" customWidth="1"/>
    <col min="1031" max="1031" width="10.6640625" style="218" customWidth="1"/>
    <col min="1032" max="1032" width="11.109375" style="218" customWidth="1"/>
    <col min="1033" max="1033" width="10.6640625" style="218" customWidth="1"/>
    <col min="1034" max="1038" width="10.33203125" style="218" customWidth="1"/>
    <col min="1039" max="1039" width="10.88671875" style="218" customWidth="1"/>
    <col min="1040" max="1041" width="10.33203125" style="218" customWidth="1"/>
    <col min="1042" max="1042" width="10.6640625" style="218" customWidth="1"/>
    <col min="1043" max="1281" width="9.109375" style="218"/>
    <col min="1282" max="1282" width="46.44140625" style="218" customWidth="1"/>
    <col min="1283" max="1283" width="8.5546875" style="218" customWidth="1"/>
    <col min="1284" max="1284" width="14.44140625" style="218" customWidth="1"/>
    <col min="1285" max="1285" width="11.44140625" style="218" customWidth="1"/>
    <col min="1286" max="1286" width="16.88671875" style="218" customWidth="1"/>
    <col min="1287" max="1287" width="10.6640625" style="218" customWidth="1"/>
    <col min="1288" max="1288" width="11.109375" style="218" customWidth="1"/>
    <col min="1289" max="1289" width="10.6640625" style="218" customWidth="1"/>
    <col min="1290" max="1294" width="10.33203125" style="218" customWidth="1"/>
    <col min="1295" max="1295" width="10.88671875" style="218" customWidth="1"/>
    <col min="1296" max="1297" width="10.33203125" style="218" customWidth="1"/>
    <col min="1298" max="1298" width="10.6640625" style="218" customWidth="1"/>
    <col min="1299" max="1537" width="9.109375" style="218"/>
    <col min="1538" max="1538" width="46.44140625" style="218" customWidth="1"/>
    <col min="1539" max="1539" width="8.5546875" style="218" customWidth="1"/>
    <col min="1540" max="1540" width="14.44140625" style="218" customWidth="1"/>
    <col min="1541" max="1541" width="11.44140625" style="218" customWidth="1"/>
    <col min="1542" max="1542" width="16.88671875" style="218" customWidth="1"/>
    <col min="1543" max="1543" width="10.6640625" style="218" customWidth="1"/>
    <col min="1544" max="1544" width="11.109375" style="218" customWidth="1"/>
    <col min="1545" max="1545" width="10.6640625" style="218" customWidth="1"/>
    <col min="1546" max="1550" width="10.33203125" style="218" customWidth="1"/>
    <col min="1551" max="1551" width="10.88671875" style="218" customWidth="1"/>
    <col min="1552" max="1553" width="10.33203125" style="218" customWidth="1"/>
    <col min="1554" max="1554" width="10.6640625" style="218" customWidth="1"/>
    <col min="1555" max="1793" width="9.109375" style="218"/>
    <col min="1794" max="1794" width="46.44140625" style="218" customWidth="1"/>
    <col min="1795" max="1795" width="8.5546875" style="218" customWidth="1"/>
    <col min="1796" max="1796" width="14.44140625" style="218" customWidth="1"/>
    <col min="1797" max="1797" width="11.44140625" style="218" customWidth="1"/>
    <col min="1798" max="1798" width="16.88671875" style="218" customWidth="1"/>
    <col min="1799" max="1799" width="10.6640625" style="218" customWidth="1"/>
    <col min="1800" max="1800" width="11.109375" style="218" customWidth="1"/>
    <col min="1801" max="1801" width="10.6640625" style="218" customWidth="1"/>
    <col min="1802" max="1806" width="10.33203125" style="218" customWidth="1"/>
    <col min="1807" max="1807" width="10.88671875" style="218" customWidth="1"/>
    <col min="1808" max="1809" width="10.33203125" style="218" customWidth="1"/>
    <col min="1810" max="1810" width="10.6640625" style="218" customWidth="1"/>
    <col min="1811" max="2049" width="9.109375" style="218"/>
    <col min="2050" max="2050" width="46.44140625" style="218" customWidth="1"/>
    <col min="2051" max="2051" width="8.5546875" style="218" customWidth="1"/>
    <col min="2052" max="2052" width="14.44140625" style="218" customWidth="1"/>
    <col min="2053" max="2053" width="11.44140625" style="218" customWidth="1"/>
    <col min="2054" max="2054" width="16.88671875" style="218" customWidth="1"/>
    <col min="2055" max="2055" width="10.6640625" style="218" customWidth="1"/>
    <col min="2056" max="2056" width="11.109375" style="218" customWidth="1"/>
    <col min="2057" max="2057" width="10.6640625" style="218" customWidth="1"/>
    <col min="2058" max="2062" width="10.33203125" style="218" customWidth="1"/>
    <col min="2063" max="2063" width="10.88671875" style="218" customWidth="1"/>
    <col min="2064" max="2065" width="10.33203125" style="218" customWidth="1"/>
    <col min="2066" max="2066" width="10.6640625" style="218" customWidth="1"/>
    <col min="2067" max="2305" width="9.109375" style="218"/>
    <col min="2306" max="2306" width="46.44140625" style="218" customWidth="1"/>
    <col min="2307" max="2307" width="8.5546875" style="218" customWidth="1"/>
    <col min="2308" max="2308" width="14.44140625" style="218" customWidth="1"/>
    <col min="2309" max="2309" width="11.44140625" style="218" customWidth="1"/>
    <col min="2310" max="2310" width="16.88671875" style="218" customWidth="1"/>
    <col min="2311" max="2311" width="10.6640625" style="218" customWidth="1"/>
    <col min="2312" max="2312" width="11.109375" style="218" customWidth="1"/>
    <col min="2313" max="2313" width="10.6640625" style="218" customWidth="1"/>
    <col min="2314" max="2318" width="10.33203125" style="218" customWidth="1"/>
    <col min="2319" max="2319" width="10.88671875" style="218" customWidth="1"/>
    <col min="2320" max="2321" width="10.33203125" style="218" customWidth="1"/>
    <col min="2322" max="2322" width="10.6640625" style="218" customWidth="1"/>
    <col min="2323" max="2561" width="9.109375" style="218"/>
    <col min="2562" max="2562" width="46.44140625" style="218" customWidth="1"/>
    <col min="2563" max="2563" width="8.5546875" style="218" customWidth="1"/>
    <col min="2564" max="2564" width="14.44140625" style="218" customWidth="1"/>
    <col min="2565" max="2565" width="11.44140625" style="218" customWidth="1"/>
    <col min="2566" max="2566" width="16.88671875" style="218" customWidth="1"/>
    <col min="2567" max="2567" width="10.6640625" style="218" customWidth="1"/>
    <col min="2568" max="2568" width="11.109375" style="218" customWidth="1"/>
    <col min="2569" max="2569" width="10.6640625" style="218" customWidth="1"/>
    <col min="2570" max="2574" width="10.33203125" style="218" customWidth="1"/>
    <col min="2575" max="2575" width="10.88671875" style="218" customWidth="1"/>
    <col min="2576" max="2577" width="10.33203125" style="218" customWidth="1"/>
    <col min="2578" max="2578" width="10.6640625" style="218" customWidth="1"/>
    <col min="2579" max="2817" width="9.109375" style="218"/>
    <col min="2818" max="2818" width="46.44140625" style="218" customWidth="1"/>
    <col min="2819" max="2819" width="8.5546875" style="218" customWidth="1"/>
    <col min="2820" max="2820" width="14.44140625" style="218" customWidth="1"/>
    <col min="2821" max="2821" width="11.44140625" style="218" customWidth="1"/>
    <col min="2822" max="2822" width="16.88671875" style="218" customWidth="1"/>
    <col min="2823" max="2823" width="10.6640625" style="218" customWidth="1"/>
    <col min="2824" max="2824" width="11.109375" style="218" customWidth="1"/>
    <col min="2825" max="2825" width="10.6640625" style="218" customWidth="1"/>
    <col min="2826" max="2830" width="10.33203125" style="218" customWidth="1"/>
    <col min="2831" max="2831" width="10.88671875" style="218" customWidth="1"/>
    <col min="2832" max="2833" width="10.33203125" style="218" customWidth="1"/>
    <col min="2834" max="2834" width="10.6640625" style="218" customWidth="1"/>
    <col min="2835" max="3073" width="9.109375" style="218"/>
    <col min="3074" max="3074" width="46.44140625" style="218" customWidth="1"/>
    <col min="3075" max="3075" width="8.5546875" style="218" customWidth="1"/>
    <col min="3076" max="3076" width="14.44140625" style="218" customWidth="1"/>
    <col min="3077" max="3077" width="11.44140625" style="218" customWidth="1"/>
    <col min="3078" max="3078" width="16.88671875" style="218" customWidth="1"/>
    <col min="3079" max="3079" width="10.6640625" style="218" customWidth="1"/>
    <col min="3080" max="3080" width="11.109375" style="218" customWidth="1"/>
    <col min="3081" max="3081" width="10.6640625" style="218" customWidth="1"/>
    <col min="3082" max="3086" width="10.33203125" style="218" customWidth="1"/>
    <col min="3087" max="3087" width="10.88671875" style="218" customWidth="1"/>
    <col min="3088" max="3089" width="10.33203125" style="218" customWidth="1"/>
    <col min="3090" max="3090" width="10.6640625" style="218" customWidth="1"/>
    <col min="3091" max="3329" width="9.109375" style="218"/>
    <col min="3330" max="3330" width="46.44140625" style="218" customWidth="1"/>
    <col min="3331" max="3331" width="8.5546875" style="218" customWidth="1"/>
    <col min="3332" max="3332" width="14.44140625" style="218" customWidth="1"/>
    <col min="3333" max="3333" width="11.44140625" style="218" customWidth="1"/>
    <col min="3334" max="3334" width="16.88671875" style="218" customWidth="1"/>
    <col min="3335" max="3335" width="10.6640625" style="218" customWidth="1"/>
    <col min="3336" max="3336" width="11.109375" style="218" customWidth="1"/>
    <col min="3337" max="3337" width="10.6640625" style="218" customWidth="1"/>
    <col min="3338" max="3342" width="10.33203125" style="218" customWidth="1"/>
    <col min="3343" max="3343" width="10.88671875" style="218" customWidth="1"/>
    <col min="3344" max="3345" width="10.33203125" style="218" customWidth="1"/>
    <col min="3346" max="3346" width="10.6640625" style="218" customWidth="1"/>
    <col min="3347" max="3585" width="9.109375" style="218"/>
    <col min="3586" max="3586" width="46.44140625" style="218" customWidth="1"/>
    <col min="3587" max="3587" width="8.5546875" style="218" customWidth="1"/>
    <col min="3588" max="3588" width="14.44140625" style="218" customWidth="1"/>
    <col min="3589" max="3589" width="11.44140625" style="218" customWidth="1"/>
    <col min="3590" max="3590" width="16.88671875" style="218" customWidth="1"/>
    <col min="3591" max="3591" width="10.6640625" style="218" customWidth="1"/>
    <col min="3592" max="3592" width="11.109375" style="218" customWidth="1"/>
    <col min="3593" max="3593" width="10.6640625" style="218" customWidth="1"/>
    <col min="3594" max="3598" width="10.33203125" style="218" customWidth="1"/>
    <col min="3599" max="3599" width="10.88671875" style="218" customWidth="1"/>
    <col min="3600" max="3601" width="10.33203125" style="218" customWidth="1"/>
    <col min="3602" max="3602" width="10.6640625" style="218" customWidth="1"/>
    <col min="3603" max="3841" width="9.109375" style="218"/>
    <col min="3842" max="3842" width="46.44140625" style="218" customWidth="1"/>
    <col min="3843" max="3843" width="8.5546875" style="218" customWidth="1"/>
    <col min="3844" max="3844" width="14.44140625" style="218" customWidth="1"/>
    <col min="3845" max="3845" width="11.44140625" style="218" customWidth="1"/>
    <col min="3846" max="3846" width="16.88671875" style="218" customWidth="1"/>
    <col min="3847" max="3847" width="10.6640625" style="218" customWidth="1"/>
    <col min="3848" max="3848" width="11.109375" style="218" customWidth="1"/>
    <col min="3849" max="3849" width="10.6640625" style="218" customWidth="1"/>
    <col min="3850" max="3854" width="10.33203125" style="218" customWidth="1"/>
    <col min="3855" max="3855" width="10.88671875" style="218" customWidth="1"/>
    <col min="3856" max="3857" width="10.33203125" style="218" customWidth="1"/>
    <col min="3858" max="3858" width="10.6640625" style="218" customWidth="1"/>
    <col min="3859" max="4097" width="9.109375" style="218"/>
    <col min="4098" max="4098" width="46.44140625" style="218" customWidth="1"/>
    <col min="4099" max="4099" width="8.5546875" style="218" customWidth="1"/>
    <col min="4100" max="4100" width="14.44140625" style="218" customWidth="1"/>
    <col min="4101" max="4101" width="11.44140625" style="218" customWidth="1"/>
    <col min="4102" max="4102" width="16.88671875" style="218" customWidth="1"/>
    <col min="4103" max="4103" width="10.6640625" style="218" customWidth="1"/>
    <col min="4104" max="4104" width="11.109375" style="218" customWidth="1"/>
    <col min="4105" max="4105" width="10.6640625" style="218" customWidth="1"/>
    <col min="4106" max="4110" width="10.33203125" style="218" customWidth="1"/>
    <col min="4111" max="4111" width="10.88671875" style="218" customWidth="1"/>
    <col min="4112" max="4113" width="10.33203125" style="218" customWidth="1"/>
    <col min="4114" max="4114" width="10.6640625" style="218" customWidth="1"/>
    <col min="4115" max="4353" width="9.109375" style="218"/>
    <col min="4354" max="4354" width="46.44140625" style="218" customWidth="1"/>
    <col min="4355" max="4355" width="8.5546875" style="218" customWidth="1"/>
    <col min="4356" max="4356" width="14.44140625" style="218" customWidth="1"/>
    <col min="4357" max="4357" width="11.44140625" style="218" customWidth="1"/>
    <col min="4358" max="4358" width="16.88671875" style="218" customWidth="1"/>
    <col min="4359" max="4359" width="10.6640625" style="218" customWidth="1"/>
    <col min="4360" max="4360" width="11.109375" style="218" customWidth="1"/>
    <col min="4361" max="4361" width="10.6640625" style="218" customWidth="1"/>
    <col min="4362" max="4366" width="10.33203125" style="218" customWidth="1"/>
    <col min="4367" max="4367" width="10.88671875" style="218" customWidth="1"/>
    <col min="4368" max="4369" width="10.33203125" style="218" customWidth="1"/>
    <col min="4370" max="4370" width="10.6640625" style="218" customWidth="1"/>
    <col min="4371" max="4609" width="9.109375" style="218"/>
    <col min="4610" max="4610" width="46.44140625" style="218" customWidth="1"/>
    <col min="4611" max="4611" width="8.5546875" style="218" customWidth="1"/>
    <col min="4612" max="4612" width="14.44140625" style="218" customWidth="1"/>
    <col min="4613" max="4613" width="11.44140625" style="218" customWidth="1"/>
    <col min="4614" max="4614" width="16.88671875" style="218" customWidth="1"/>
    <col min="4615" max="4615" width="10.6640625" style="218" customWidth="1"/>
    <col min="4616" max="4616" width="11.109375" style="218" customWidth="1"/>
    <col min="4617" max="4617" width="10.6640625" style="218" customWidth="1"/>
    <col min="4618" max="4622" width="10.33203125" style="218" customWidth="1"/>
    <col min="4623" max="4623" width="10.88671875" style="218" customWidth="1"/>
    <col min="4624" max="4625" width="10.33203125" style="218" customWidth="1"/>
    <col min="4626" max="4626" width="10.6640625" style="218" customWidth="1"/>
    <col min="4627" max="4865" width="9.109375" style="218"/>
    <col min="4866" max="4866" width="46.44140625" style="218" customWidth="1"/>
    <col min="4867" max="4867" width="8.5546875" style="218" customWidth="1"/>
    <col min="4868" max="4868" width="14.44140625" style="218" customWidth="1"/>
    <col min="4869" max="4869" width="11.44140625" style="218" customWidth="1"/>
    <col min="4870" max="4870" width="16.88671875" style="218" customWidth="1"/>
    <col min="4871" max="4871" width="10.6640625" style="218" customWidth="1"/>
    <col min="4872" max="4872" width="11.109375" style="218" customWidth="1"/>
    <col min="4873" max="4873" width="10.6640625" style="218" customWidth="1"/>
    <col min="4874" max="4878" width="10.33203125" style="218" customWidth="1"/>
    <col min="4879" max="4879" width="10.88671875" style="218" customWidth="1"/>
    <col min="4880" max="4881" width="10.33203125" style="218" customWidth="1"/>
    <col min="4882" max="4882" width="10.6640625" style="218" customWidth="1"/>
    <col min="4883" max="5121" width="9.109375" style="218"/>
    <col min="5122" max="5122" width="46.44140625" style="218" customWidth="1"/>
    <col min="5123" max="5123" width="8.5546875" style="218" customWidth="1"/>
    <col min="5124" max="5124" width="14.44140625" style="218" customWidth="1"/>
    <col min="5125" max="5125" width="11.44140625" style="218" customWidth="1"/>
    <col min="5126" max="5126" width="16.88671875" style="218" customWidth="1"/>
    <col min="5127" max="5127" width="10.6640625" style="218" customWidth="1"/>
    <col min="5128" max="5128" width="11.109375" style="218" customWidth="1"/>
    <col min="5129" max="5129" width="10.6640625" style="218" customWidth="1"/>
    <col min="5130" max="5134" width="10.33203125" style="218" customWidth="1"/>
    <col min="5135" max="5135" width="10.88671875" style="218" customWidth="1"/>
    <col min="5136" max="5137" width="10.33203125" style="218" customWidth="1"/>
    <col min="5138" max="5138" width="10.6640625" style="218" customWidth="1"/>
    <col min="5139" max="5377" width="9.109375" style="218"/>
    <col min="5378" max="5378" width="46.44140625" style="218" customWidth="1"/>
    <col min="5379" max="5379" width="8.5546875" style="218" customWidth="1"/>
    <col min="5380" max="5380" width="14.44140625" style="218" customWidth="1"/>
    <col min="5381" max="5381" width="11.44140625" style="218" customWidth="1"/>
    <col min="5382" max="5382" width="16.88671875" style="218" customWidth="1"/>
    <col min="5383" max="5383" width="10.6640625" style="218" customWidth="1"/>
    <col min="5384" max="5384" width="11.109375" style="218" customWidth="1"/>
    <col min="5385" max="5385" width="10.6640625" style="218" customWidth="1"/>
    <col min="5386" max="5390" width="10.33203125" style="218" customWidth="1"/>
    <col min="5391" max="5391" width="10.88671875" style="218" customWidth="1"/>
    <col min="5392" max="5393" width="10.33203125" style="218" customWidth="1"/>
    <col min="5394" max="5394" width="10.6640625" style="218" customWidth="1"/>
    <col min="5395" max="5633" width="9.109375" style="218"/>
    <col min="5634" max="5634" width="46.44140625" style="218" customWidth="1"/>
    <col min="5635" max="5635" width="8.5546875" style="218" customWidth="1"/>
    <col min="5636" max="5636" width="14.44140625" style="218" customWidth="1"/>
    <col min="5637" max="5637" width="11.44140625" style="218" customWidth="1"/>
    <col min="5638" max="5638" width="16.88671875" style="218" customWidth="1"/>
    <col min="5639" max="5639" width="10.6640625" style="218" customWidth="1"/>
    <col min="5640" max="5640" width="11.109375" style="218" customWidth="1"/>
    <col min="5641" max="5641" width="10.6640625" style="218" customWidth="1"/>
    <col min="5642" max="5646" width="10.33203125" style="218" customWidth="1"/>
    <col min="5647" max="5647" width="10.88671875" style="218" customWidth="1"/>
    <col min="5648" max="5649" width="10.33203125" style="218" customWidth="1"/>
    <col min="5650" max="5650" width="10.6640625" style="218" customWidth="1"/>
    <col min="5651" max="5889" width="9.109375" style="218"/>
    <col min="5890" max="5890" width="46.44140625" style="218" customWidth="1"/>
    <col min="5891" max="5891" width="8.5546875" style="218" customWidth="1"/>
    <col min="5892" max="5892" width="14.44140625" style="218" customWidth="1"/>
    <col min="5893" max="5893" width="11.44140625" style="218" customWidth="1"/>
    <col min="5894" max="5894" width="16.88671875" style="218" customWidth="1"/>
    <col min="5895" max="5895" width="10.6640625" style="218" customWidth="1"/>
    <col min="5896" max="5896" width="11.109375" style="218" customWidth="1"/>
    <col min="5897" max="5897" width="10.6640625" style="218" customWidth="1"/>
    <col min="5898" max="5902" width="10.33203125" style="218" customWidth="1"/>
    <col min="5903" max="5903" width="10.88671875" style="218" customWidth="1"/>
    <col min="5904" max="5905" width="10.33203125" style="218" customWidth="1"/>
    <col min="5906" max="5906" width="10.6640625" style="218" customWidth="1"/>
    <col min="5907" max="6145" width="9.109375" style="218"/>
    <col min="6146" max="6146" width="46.44140625" style="218" customWidth="1"/>
    <col min="6147" max="6147" width="8.5546875" style="218" customWidth="1"/>
    <col min="6148" max="6148" width="14.44140625" style="218" customWidth="1"/>
    <col min="6149" max="6149" width="11.44140625" style="218" customWidth="1"/>
    <col min="6150" max="6150" width="16.88671875" style="218" customWidth="1"/>
    <col min="6151" max="6151" width="10.6640625" style="218" customWidth="1"/>
    <col min="6152" max="6152" width="11.109375" style="218" customWidth="1"/>
    <col min="6153" max="6153" width="10.6640625" style="218" customWidth="1"/>
    <col min="6154" max="6158" width="10.33203125" style="218" customWidth="1"/>
    <col min="6159" max="6159" width="10.88671875" style="218" customWidth="1"/>
    <col min="6160" max="6161" width="10.33203125" style="218" customWidth="1"/>
    <col min="6162" max="6162" width="10.6640625" style="218" customWidth="1"/>
    <col min="6163" max="6401" width="9.109375" style="218"/>
    <col min="6402" max="6402" width="46.44140625" style="218" customWidth="1"/>
    <col min="6403" max="6403" width="8.5546875" style="218" customWidth="1"/>
    <col min="6404" max="6404" width="14.44140625" style="218" customWidth="1"/>
    <col min="6405" max="6405" width="11.44140625" style="218" customWidth="1"/>
    <col min="6406" max="6406" width="16.88671875" style="218" customWidth="1"/>
    <col min="6407" max="6407" width="10.6640625" style="218" customWidth="1"/>
    <col min="6408" max="6408" width="11.109375" style="218" customWidth="1"/>
    <col min="6409" max="6409" width="10.6640625" style="218" customWidth="1"/>
    <col min="6410" max="6414" width="10.33203125" style="218" customWidth="1"/>
    <col min="6415" max="6415" width="10.88671875" style="218" customWidth="1"/>
    <col min="6416" max="6417" width="10.33203125" style="218" customWidth="1"/>
    <col min="6418" max="6418" width="10.6640625" style="218" customWidth="1"/>
    <col min="6419" max="6657" width="9.109375" style="218"/>
    <col min="6658" max="6658" width="46.44140625" style="218" customWidth="1"/>
    <col min="6659" max="6659" width="8.5546875" style="218" customWidth="1"/>
    <col min="6660" max="6660" width="14.44140625" style="218" customWidth="1"/>
    <col min="6661" max="6661" width="11.44140625" style="218" customWidth="1"/>
    <col min="6662" max="6662" width="16.88671875" style="218" customWidth="1"/>
    <col min="6663" max="6663" width="10.6640625" style="218" customWidth="1"/>
    <col min="6664" max="6664" width="11.109375" style="218" customWidth="1"/>
    <col min="6665" max="6665" width="10.6640625" style="218" customWidth="1"/>
    <col min="6666" max="6670" width="10.33203125" style="218" customWidth="1"/>
    <col min="6671" max="6671" width="10.88671875" style="218" customWidth="1"/>
    <col min="6672" max="6673" width="10.33203125" style="218" customWidth="1"/>
    <col min="6674" max="6674" width="10.6640625" style="218" customWidth="1"/>
    <col min="6675" max="6913" width="9.109375" style="218"/>
    <col min="6914" max="6914" width="46.44140625" style="218" customWidth="1"/>
    <col min="6915" max="6915" width="8.5546875" style="218" customWidth="1"/>
    <col min="6916" max="6916" width="14.44140625" style="218" customWidth="1"/>
    <col min="6917" max="6917" width="11.44140625" style="218" customWidth="1"/>
    <col min="6918" max="6918" width="16.88671875" style="218" customWidth="1"/>
    <col min="6919" max="6919" width="10.6640625" style="218" customWidth="1"/>
    <col min="6920" max="6920" width="11.109375" style="218" customWidth="1"/>
    <col min="6921" max="6921" width="10.6640625" style="218" customWidth="1"/>
    <col min="6922" max="6926" width="10.33203125" style="218" customWidth="1"/>
    <col min="6927" max="6927" width="10.88671875" style="218" customWidth="1"/>
    <col min="6928" max="6929" width="10.33203125" style="218" customWidth="1"/>
    <col min="6930" max="6930" width="10.6640625" style="218" customWidth="1"/>
    <col min="6931" max="7169" width="9.109375" style="218"/>
    <col min="7170" max="7170" width="46.44140625" style="218" customWidth="1"/>
    <col min="7171" max="7171" width="8.5546875" style="218" customWidth="1"/>
    <col min="7172" max="7172" width="14.44140625" style="218" customWidth="1"/>
    <col min="7173" max="7173" width="11.44140625" style="218" customWidth="1"/>
    <col min="7174" max="7174" width="16.88671875" style="218" customWidth="1"/>
    <col min="7175" max="7175" width="10.6640625" style="218" customWidth="1"/>
    <col min="7176" max="7176" width="11.109375" style="218" customWidth="1"/>
    <col min="7177" max="7177" width="10.6640625" style="218" customWidth="1"/>
    <col min="7178" max="7182" width="10.33203125" style="218" customWidth="1"/>
    <col min="7183" max="7183" width="10.88671875" style="218" customWidth="1"/>
    <col min="7184" max="7185" width="10.33203125" style="218" customWidth="1"/>
    <col min="7186" max="7186" width="10.6640625" style="218" customWidth="1"/>
    <col min="7187" max="7425" width="9.109375" style="218"/>
    <col min="7426" max="7426" width="46.44140625" style="218" customWidth="1"/>
    <col min="7427" max="7427" width="8.5546875" style="218" customWidth="1"/>
    <col min="7428" max="7428" width="14.44140625" style="218" customWidth="1"/>
    <col min="7429" max="7429" width="11.44140625" style="218" customWidth="1"/>
    <col min="7430" max="7430" width="16.88671875" style="218" customWidth="1"/>
    <col min="7431" max="7431" width="10.6640625" style="218" customWidth="1"/>
    <col min="7432" max="7432" width="11.109375" style="218" customWidth="1"/>
    <col min="7433" max="7433" width="10.6640625" style="218" customWidth="1"/>
    <col min="7434" max="7438" width="10.33203125" style="218" customWidth="1"/>
    <col min="7439" max="7439" width="10.88671875" style="218" customWidth="1"/>
    <col min="7440" max="7441" width="10.33203125" style="218" customWidth="1"/>
    <col min="7442" max="7442" width="10.6640625" style="218" customWidth="1"/>
    <col min="7443" max="7681" width="9.109375" style="218"/>
    <col min="7682" max="7682" width="46.44140625" style="218" customWidth="1"/>
    <col min="7683" max="7683" width="8.5546875" style="218" customWidth="1"/>
    <col min="7684" max="7684" width="14.44140625" style="218" customWidth="1"/>
    <col min="7685" max="7685" width="11.44140625" style="218" customWidth="1"/>
    <col min="7686" max="7686" width="16.88671875" style="218" customWidth="1"/>
    <col min="7687" max="7687" width="10.6640625" style="218" customWidth="1"/>
    <col min="7688" max="7688" width="11.109375" style="218" customWidth="1"/>
    <col min="7689" max="7689" width="10.6640625" style="218" customWidth="1"/>
    <col min="7690" max="7694" width="10.33203125" style="218" customWidth="1"/>
    <col min="7695" max="7695" width="10.88671875" style="218" customWidth="1"/>
    <col min="7696" max="7697" width="10.33203125" style="218" customWidth="1"/>
    <col min="7698" max="7698" width="10.6640625" style="218" customWidth="1"/>
    <col min="7699" max="7937" width="9.109375" style="218"/>
    <col min="7938" max="7938" width="46.44140625" style="218" customWidth="1"/>
    <col min="7939" max="7939" width="8.5546875" style="218" customWidth="1"/>
    <col min="7940" max="7940" width="14.44140625" style="218" customWidth="1"/>
    <col min="7941" max="7941" width="11.44140625" style="218" customWidth="1"/>
    <col min="7942" max="7942" width="16.88671875" style="218" customWidth="1"/>
    <col min="7943" max="7943" width="10.6640625" style="218" customWidth="1"/>
    <col min="7944" max="7944" width="11.109375" style="218" customWidth="1"/>
    <col min="7945" max="7945" width="10.6640625" style="218" customWidth="1"/>
    <col min="7946" max="7950" width="10.33203125" style="218" customWidth="1"/>
    <col min="7951" max="7951" width="10.88671875" style="218" customWidth="1"/>
    <col min="7952" max="7953" width="10.33203125" style="218" customWidth="1"/>
    <col min="7954" max="7954" width="10.6640625" style="218" customWidth="1"/>
    <col min="7955" max="8193" width="9.109375" style="218"/>
    <col min="8194" max="8194" width="46.44140625" style="218" customWidth="1"/>
    <col min="8195" max="8195" width="8.5546875" style="218" customWidth="1"/>
    <col min="8196" max="8196" width="14.44140625" style="218" customWidth="1"/>
    <col min="8197" max="8197" width="11.44140625" style="218" customWidth="1"/>
    <col min="8198" max="8198" width="16.88671875" style="218" customWidth="1"/>
    <col min="8199" max="8199" width="10.6640625" style="218" customWidth="1"/>
    <col min="8200" max="8200" width="11.109375" style="218" customWidth="1"/>
    <col min="8201" max="8201" width="10.6640625" style="218" customWidth="1"/>
    <col min="8202" max="8206" width="10.33203125" style="218" customWidth="1"/>
    <col min="8207" max="8207" width="10.88671875" style="218" customWidth="1"/>
    <col min="8208" max="8209" width="10.33203125" style="218" customWidth="1"/>
    <col min="8210" max="8210" width="10.6640625" style="218" customWidth="1"/>
    <col min="8211" max="8449" width="9.109375" style="218"/>
    <col min="8450" max="8450" width="46.44140625" style="218" customWidth="1"/>
    <col min="8451" max="8451" width="8.5546875" style="218" customWidth="1"/>
    <col min="8452" max="8452" width="14.44140625" style="218" customWidth="1"/>
    <col min="8453" max="8453" width="11.44140625" style="218" customWidth="1"/>
    <col min="8454" max="8454" width="16.88671875" style="218" customWidth="1"/>
    <col min="8455" max="8455" width="10.6640625" style="218" customWidth="1"/>
    <col min="8456" max="8456" width="11.109375" style="218" customWidth="1"/>
    <col min="8457" max="8457" width="10.6640625" style="218" customWidth="1"/>
    <col min="8458" max="8462" width="10.33203125" style="218" customWidth="1"/>
    <col min="8463" max="8463" width="10.88671875" style="218" customWidth="1"/>
    <col min="8464" max="8465" width="10.33203125" style="218" customWidth="1"/>
    <col min="8466" max="8466" width="10.6640625" style="218" customWidth="1"/>
    <col min="8467" max="8705" width="9.109375" style="218"/>
    <col min="8706" max="8706" width="46.44140625" style="218" customWidth="1"/>
    <col min="8707" max="8707" width="8.5546875" style="218" customWidth="1"/>
    <col min="8708" max="8708" width="14.44140625" style="218" customWidth="1"/>
    <col min="8709" max="8709" width="11.44140625" style="218" customWidth="1"/>
    <col min="8710" max="8710" width="16.88671875" style="218" customWidth="1"/>
    <col min="8711" max="8711" width="10.6640625" style="218" customWidth="1"/>
    <col min="8712" max="8712" width="11.109375" style="218" customWidth="1"/>
    <col min="8713" max="8713" width="10.6640625" style="218" customWidth="1"/>
    <col min="8714" max="8718" width="10.33203125" style="218" customWidth="1"/>
    <col min="8719" max="8719" width="10.88671875" style="218" customWidth="1"/>
    <col min="8720" max="8721" width="10.33203125" style="218" customWidth="1"/>
    <col min="8722" max="8722" width="10.6640625" style="218" customWidth="1"/>
    <col min="8723" max="8961" width="9.109375" style="218"/>
    <col min="8962" max="8962" width="46.44140625" style="218" customWidth="1"/>
    <col min="8963" max="8963" width="8.5546875" style="218" customWidth="1"/>
    <col min="8964" max="8964" width="14.44140625" style="218" customWidth="1"/>
    <col min="8965" max="8965" width="11.44140625" style="218" customWidth="1"/>
    <col min="8966" max="8966" width="16.88671875" style="218" customWidth="1"/>
    <col min="8967" max="8967" width="10.6640625" style="218" customWidth="1"/>
    <col min="8968" max="8968" width="11.109375" style="218" customWidth="1"/>
    <col min="8969" max="8969" width="10.6640625" style="218" customWidth="1"/>
    <col min="8970" max="8974" width="10.33203125" style="218" customWidth="1"/>
    <col min="8975" max="8975" width="10.88671875" style="218" customWidth="1"/>
    <col min="8976" max="8977" width="10.33203125" style="218" customWidth="1"/>
    <col min="8978" max="8978" width="10.6640625" style="218" customWidth="1"/>
    <col min="8979" max="9217" width="9.109375" style="218"/>
    <col min="9218" max="9218" width="46.44140625" style="218" customWidth="1"/>
    <col min="9219" max="9219" width="8.5546875" style="218" customWidth="1"/>
    <col min="9220" max="9220" width="14.44140625" style="218" customWidth="1"/>
    <col min="9221" max="9221" width="11.44140625" style="218" customWidth="1"/>
    <col min="9222" max="9222" width="16.88671875" style="218" customWidth="1"/>
    <col min="9223" max="9223" width="10.6640625" style="218" customWidth="1"/>
    <col min="9224" max="9224" width="11.109375" style="218" customWidth="1"/>
    <col min="9225" max="9225" width="10.6640625" style="218" customWidth="1"/>
    <col min="9226" max="9230" width="10.33203125" style="218" customWidth="1"/>
    <col min="9231" max="9231" width="10.88671875" style="218" customWidth="1"/>
    <col min="9232" max="9233" width="10.33203125" style="218" customWidth="1"/>
    <col min="9234" max="9234" width="10.6640625" style="218" customWidth="1"/>
    <col min="9235" max="9473" width="9.109375" style="218"/>
    <col min="9474" max="9474" width="46.44140625" style="218" customWidth="1"/>
    <col min="9475" max="9475" width="8.5546875" style="218" customWidth="1"/>
    <col min="9476" max="9476" width="14.44140625" style="218" customWidth="1"/>
    <col min="9477" max="9477" width="11.44140625" style="218" customWidth="1"/>
    <col min="9478" max="9478" width="16.88671875" style="218" customWidth="1"/>
    <col min="9479" max="9479" width="10.6640625" style="218" customWidth="1"/>
    <col min="9480" max="9480" width="11.109375" style="218" customWidth="1"/>
    <col min="9481" max="9481" width="10.6640625" style="218" customWidth="1"/>
    <col min="9482" max="9486" width="10.33203125" style="218" customWidth="1"/>
    <col min="9487" max="9487" width="10.88671875" style="218" customWidth="1"/>
    <col min="9488" max="9489" width="10.33203125" style="218" customWidth="1"/>
    <col min="9490" max="9490" width="10.6640625" style="218" customWidth="1"/>
    <col min="9491" max="9729" width="9.109375" style="218"/>
    <col min="9730" max="9730" width="46.44140625" style="218" customWidth="1"/>
    <col min="9731" max="9731" width="8.5546875" style="218" customWidth="1"/>
    <col min="9732" max="9732" width="14.44140625" style="218" customWidth="1"/>
    <col min="9733" max="9733" width="11.44140625" style="218" customWidth="1"/>
    <col min="9734" max="9734" width="16.88671875" style="218" customWidth="1"/>
    <col min="9735" max="9735" width="10.6640625" style="218" customWidth="1"/>
    <col min="9736" max="9736" width="11.109375" style="218" customWidth="1"/>
    <col min="9737" max="9737" width="10.6640625" style="218" customWidth="1"/>
    <col min="9738" max="9742" width="10.33203125" style="218" customWidth="1"/>
    <col min="9743" max="9743" width="10.88671875" style="218" customWidth="1"/>
    <col min="9744" max="9745" width="10.33203125" style="218" customWidth="1"/>
    <col min="9746" max="9746" width="10.6640625" style="218" customWidth="1"/>
    <col min="9747" max="9985" width="9.109375" style="218"/>
    <col min="9986" max="9986" width="46.44140625" style="218" customWidth="1"/>
    <col min="9987" max="9987" width="8.5546875" style="218" customWidth="1"/>
    <col min="9988" max="9988" width="14.44140625" style="218" customWidth="1"/>
    <col min="9989" max="9989" width="11.44140625" style="218" customWidth="1"/>
    <col min="9990" max="9990" width="16.88671875" style="218" customWidth="1"/>
    <col min="9991" max="9991" width="10.6640625" style="218" customWidth="1"/>
    <col min="9992" max="9992" width="11.109375" style="218" customWidth="1"/>
    <col min="9993" max="9993" width="10.6640625" style="218" customWidth="1"/>
    <col min="9994" max="9998" width="10.33203125" style="218" customWidth="1"/>
    <col min="9999" max="9999" width="10.88671875" style="218" customWidth="1"/>
    <col min="10000" max="10001" width="10.33203125" style="218" customWidth="1"/>
    <col min="10002" max="10002" width="10.6640625" style="218" customWidth="1"/>
    <col min="10003" max="10241" width="9.109375" style="218"/>
    <col min="10242" max="10242" width="46.44140625" style="218" customWidth="1"/>
    <col min="10243" max="10243" width="8.5546875" style="218" customWidth="1"/>
    <col min="10244" max="10244" width="14.44140625" style="218" customWidth="1"/>
    <col min="10245" max="10245" width="11.44140625" style="218" customWidth="1"/>
    <col min="10246" max="10246" width="16.88671875" style="218" customWidth="1"/>
    <col min="10247" max="10247" width="10.6640625" style="218" customWidth="1"/>
    <col min="10248" max="10248" width="11.109375" style="218" customWidth="1"/>
    <col min="10249" max="10249" width="10.6640625" style="218" customWidth="1"/>
    <col min="10250" max="10254" width="10.33203125" style="218" customWidth="1"/>
    <col min="10255" max="10255" width="10.88671875" style="218" customWidth="1"/>
    <col min="10256" max="10257" width="10.33203125" style="218" customWidth="1"/>
    <col min="10258" max="10258" width="10.6640625" style="218" customWidth="1"/>
    <col min="10259" max="10497" width="9.109375" style="218"/>
    <col min="10498" max="10498" width="46.44140625" style="218" customWidth="1"/>
    <col min="10499" max="10499" width="8.5546875" style="218" customWidth="1"/>
    <col min="10500" max="10500" width="14.44140625" style="218" customWidth="1"/>
    <col min="10501" max="10501" width="11.44140625" style="218" customWidth="1"/>
    <col min="10502" max="10502" width="16.88671875" style="218" customWidth="1"/>
    <col min="10503" max="10503" width="10.6640625" style="218" customWidth="1"/>
    <col min="10504" max="10504" width="11.109375" style="218" customWidth="1"/>
    <col min="10505" max="10505" width="10.6640625" style="218" customWidth="1"/>
    <col min="10506" max="10510" width="10.33203125" style="218" customWidth="1"/>
    <col min="10511" max="10511" width="10.88671875" style="218" customWidth="1"/>
    <col min="10512" max="10513" width="10.33203125" style="218" customWidth="1"/>
    <col min="10514" max="10514" width="10.6640625" style="218" customWidth="1"/>
    <col min="10515" max="10753" width="9.109375" style="218"/>
    <col min="10754" max="10754" width="46.44140625" style="218" customWidth="1"/>
    <col min="10755" max="10755" width="8.5546875" style="218" customWidth="1"/>
    <col min="10756" max="10756" width="14.44140625" style="218" customWidth="1"/>
    <col min="10757" max="10757" width="11.44140625" style="218" customWidth="1"/>
    <col min="10758" max="10758" width="16.88671875" style="218" customWidth="1"/>
    <col min="10759" max="10759" width="10.6640625" style="218" customWidth="1"/>
    <col min="10760" max="10760" width="11.109375" style="218" customWidth="1"/>
    <col min="10761" max="10761" width="10.6640625" style="218" customWidth="1"/>
    <col min="10762" max="10766" width="10.33203125" style="218" customWidth="1"/>
    <col min="10767" max="10767" width="10.88671875" style="218" customWidth="1"/>
    <col min="10768" max="10769" width="10.33203125" style="218" customWidth="1"/>
    <col min="10770" max="10770" width="10.6640625" style="218" customWidth="1"/>
    <col min="10771" max="11009" width="9.109375" style="218"/>
    <col min="11010" max="11010" width="46.44140625" style="218" customWidth="1"/>
    <col min="11011" max="11011" width="8.5546875" style="218" customWidth="1"/>
    <col min="11012" max="11012" width="14.44140625" style="218" customWidth="1"/>
    <col min="11013" max="11013" width="11.44140625" style="218" customWidth="1"/>
    <col min="11014" max="11014" width="16.88671875" style="218" customWidth="1"/>
    <col min="11015" max="11015" width="10.6640625" style="218" customWidth="1"/>
    <col min="11016" max="11016" width="11.109375" style="218" customWidth="1"/>
    <col min="11017" max="11017" width="10.6640625" style="218" customWidth="1"/>
    <col min="11018" max="11022" width="10.33203125" style="218" customWidth="1"/>
    <col min="11023" max="11023" width="10.88671875" style="218" customWidth="1"/>
    <col min="11024" max="11025" width="10.33203125" style="218" customWidth="1"/>
    <col min="11026" max="11026" width="10.6640625" style="218" customWidth="1"/>
    <col min="11027" max="11265" width="9.109375" style="218"/>
    <col min="11266" max="11266" width="46.44140625" style="218" customWidth="1"/>
    <col min="11267" max="11267" width="8.5546875" style="218" customWidth="1"/>
    <col min="11268" max="11268" width="14.44140625" style="218" customWidth="1"/>
    <col min="11269" max="11269" width="11.44140625" style="218" customWidth="1"/>
    <col min="11270" max="11270" width="16.88671875" style="218" customWidth="1"/>
    <col min="11271" max="11271" width="10.6640625" style="218" customWidth="1"/>
    <col min="11272" max="11272" width="11.109375" style="218" customWidth="1"/>
    <col min="11273" max="11273" width="10.6640625" style="218" customWidth="1"/>
    <col min="11274" max="11278" width="10.33203125" style="218" customWidth="1"/>
    <col min="11279" max="11279" width="10.88671875" style="218" customWidth="1"/>
    <col min="11280" max="11281" width="10.33203125" style="218" customWidth="1"/>
    <col min="11282" max="11282" width="10.6640625" style="218" customWidth="1"/>
    <col min="11283" max="11521" width="9.109375" style="218"/>
    <col min="11522" max="11522" width="46.44140625" style="218" customWidth="1"/>
    <col min="11523" max="11523" width="8.5546875" style="218" customWidth="1"/>
    <col min="11524" max="11524" width="14.44140625" style="218" customWidth="1"/>
    <col min="11525" max="11525" width="11.44140625" style="218" customWidth="1"/>
    <col min="11526" max="11526" width="16.88671875" style="218" customWidth="1"/>
    <col min="11527" max="11527" width="10.6640625" style="218" customWidth="1"/>
    <col min="11528" max="11528" width="11.109375" style="218" customWidth="1"/>
    <col min="11529" max="11529" width="10.6640625" style="218" customWidth="1"/>
    <col min="11530" max="11534" width="10.33203125" style="218" customWidth="1"/>
    <col min="11535" max="11535" width="10.88671875" style="218" customWidth="1"/>
    <col min="11536" max="11537" width="10.33203125" style="218" customWidth="1"/>
    <col min="11538" max="11538" width="10.6640625" style="218" customWidth="1"/>
    <col min="11539" max="11777" width="9.109375" style="218"/>
    <col min="11778" max="11778" width="46.44140625" style="218" customWidth="1"/>
    <col min="11779" max="11779" width="8.5546875" style="218" customWidth="1"/>
    <col min="11780" max="11780" width="14.44140625" style="218" customWidth="1"/>
    <col min="11781" max="11781" width="11.44140625" style="218" customWidth="1"/>
    <col min="11782" max="11782" width="16.88671875" style="218" customWidth="1"/>
    <col min="11783" max="11783" width="10.6640625" style="218" customWidth="1"/>
    <col min="11784" max="11784" width="11.109375" style="218" customWidth="1"/>
    <col min="11785" max="11785" width="10.6640625" style="218" customWidth="1"/>
    <col min="11786" max="11790" width="10.33203125" style="218" customWidth="1"/>
    <col min="11791" max="11791" width="10.88671875" style="218" customWidth="1"/>
    <col min="11792" max="11793" width="10.33203125" style="218" customWidth="1"/>
    <col min="11794" max="11794" width="10.6640625" style="218" customWidth="1"/>
    <col min="11795" max="12033" width="9.109375" style="218"/>
    <col min="12034" max="12034" width="46.44140625" style="218" customWidth="1"/>
    <col min="12035" max="12035" width="8.5546875" style="218" customWidth="1"/>
    <col min="12036" max="12036" width="14.44140625" style="218" customWidth="1"/>
    <col min="12037" max="12037" width="11.44140625" style="218" customWidth="1"/>
    <col min="12038" max="12038" width="16.88671875" style="218" customWidth="1"/>
    <col min="12039" max="12039" width="10.6640625" style="218" customWidth="1"/>
    <col min="12040" max="12040" width="11.109375" style="218" customWidth="1"/>
    <col min="12041" max="12041" width="10.6640625" style="218" customWidth="1"/>
    <col min="12042" max="12046" width="10.33203125" style="218" customWidth="1"/>
    <col min="12047" max="12047" width="10.88671875" style="218" customWidth="1"/>
    <col min="12048" max="12049" width="10.33203125" style="218" customWidth="1"/>
    <col min="12050" max="12050" width="10.6640625" style="218" customWidth="1"/>
    <col min="12051" max="12289" width="9.109375" style="218"/>
    <col min="12290" max="12290" width="46.44140625" style="218" customWidth="1"/>
    <col min="12291" max="12291" width="8.5546875" style="218" customWidth="1"/>
    <col min="12292" max="12292" width="14.44140625" style="218" customWidth="1"/>
    <col min="12293" max="12293" width="11.44140625" style="218" customWidth="1"/>
    <col min="12294" max="12294" width="16.88671875" style="218" customWidth="1"/>
    <col min="12295" max="12295" width="10.6640625" style="218" customWidth="1"/>
    <col min="12296" max="12296" width="11.109375" style="218" customWidth="1"/>
    <col min="12297" max="12297" width="10.6640625" style="218" customWidth="1"/>
    <col min="12298" max="12302" width="10.33203125" style="218" customWidth="1"/>
    <col min="12303" max="12303" width="10.88671875" style="218" customWidth="1"/>
    <col min="12304" max="12305" width="10.33203125" style="218" customWidth="1"/>
    <col min="12306" max="12306" width="10.6640625" style="218" customWidth="1"/>
    <col min="12307" max="12545" width="9.109375" style="218"/>
    <col min="12546" max="12546" width="46.44140625" style="218" customWidth="1"/>
    <col min="12547" max="12547" width="8.5546875" style="218" customWidth="1"/>
    <col min="12548" max="12548" width="14.44140625" style="218" customWidth="1"/>
    <col min="12549" max="12549" width="11.44140625" style="218" customWidth="1"/>
    <col min="12550" max="12550" width="16.88671875" style="218" customWidth="1"/>
    <col min="12551" max="12551" width="10.6640625" style="218" customWidth="1"/>
    <col min="12552" max="12552" width="11.109375" style="218" customWidth="1"/>
    <col min="12553" max="12553" width="10.6640625" style="218" customWidth="1"/>
    <col min="12554" max="12558" width="10.33203125" style="218" customWidth="1"/>
    <col min="12559" max="12559" width="10.88671875" style="218" customWidth="1"/>
    <col min="12560" max="12561" width="10.33203125" style="218" customWidth="1"/>
    <col min="12562" max="12562" width="10.6640625" style="218" customWidth="1"/>
    <col min="12563" max="12801" width="9.109375" style="218"/>
    <col min="12802" max="12802" width="46.44140625" style="218" customWidth="1"/>
    <col min="12803" max="12803" width="8.5546875" style="218" customWidth="1"/>
    <col min="12804" max="12804" width="14.44140625" style="218" customWidth="1"/>
    <col min="12805" max="12805" width="11.44140625" style="218" customWidth="1"/>
    <col min="12806" max="12806" width="16.88671875" style="218" customWidth="1"/>
    <col min="12807" max="12807" width="10.6640625" style="218" customWidth="1"/>
    <col min="12808" max="12808" width="11.109375" style="218" customWidth="1"/>
    <col min="12809" max="12809" width="10.6640625" style="218" customWidth="1"/>
    <col min="12810" max="12814" width="10.33203125" style="218" customWidth="1"/>
    <col min="12815" max="12815" width="10.88671875" style="218" customWidth="1"/>
    <col min="12816" max="12817" width="10.33203125" style="218" customWidth="1"/>
    <col min="12818" max="12818" width="10.6640625" style="218" customWidth="1"/>
    <col min="12819" max="13057" width="9.109375" style="218"/>
    <col min="13058" max="13058" width="46.44140625" style="218" customWidth="1"/>
    <col min="13059" max="13059" width="8.5546875" style="218" customWidth="1"/>
    <col min="13060" max="13060" width="14.44140625" style="218" customWidth="1"/>
    <col min="13061" max="13061" width="11.44140625" style="218" customWidth="1"/>
    <col min="13062" max="13062" width="16.88671875" style="218" customWidth="1"/>
    <col min="13063" max="13063" width="10.6640625" style="218" customWidth="1"/>
    <col min="13064" max="13064" width="11.109375" style="218" customWidth="1"/>
    <col min="13065" max="13065" width="10.6640625" style="218" customWidth="1"/>
    <col min="13066" max="13070" width="10.33203125" style="218" customWidth="1"/>
    <col min="13071" max="13071" width="10.88671875" style="218" customWidth="1"/>
    <col min="13072" max="13073" width="10.33203125" style="218" customWidth="1"/>
    <col min="13074" max="13074" width="10.6640625" style="218" customWidth="1"/>
    <col min="13075" max="13313" width="9.109375" style="218"/>
    <col min="13314" max="13314" width="46.44140625" style="218" customWidth="1"/>
    <col min="13315" max="13315" width="8.5546875" style="218" customWidth="1"/>
    <col min="13316" max="13316" width="14.44140625" style="218" customWidth="1"/>
    <col min="13317" max="13317" width="11.44140625" style="218" customWidth="1"/>
    <col min="13318" max="13318" width="16.88671875" style="218" customWidth="1"/>
    <col min="13319" max="13319" width="10.6640625" style="218" customWidth="1"/>
    <col min="13320" max="13320" width="11.109375" style="218" customWidth="1"/>
    <col min="13321" max="13321" width="10.6640625" style="218" customWidth="1"/>
    <col min="13322" max="13326" width="10.33203125" style="218" customWidth="1"/>
    <col min="13327" max="13327" width="10.88671875" style="218" customWidth="1"/>
    <col min="13328" max="13329" width="10.33203125" style="218" customWidth="1"/>
    <col min="13330" max="13330" width="10.6640625" style="218" customWidth="1"/>
    <col min="13331" max="13569" width="9.109375" style="218"/>
    <col min="13570" max="13570" width="46.44140625" style="218" customWidth="1"/>
    <col min="13571" max="13571" width="8.5546875" style="218" customWidth="1"/>
    <col min="13572" max="13572" width="14.44140625" style="218" customWidth="1"/>
    <col min="13573" max="13573" width="11.44140625" style="218" customWidth="1"/>
    <col min="13574" max="13574" width="16.88671875" style="218" customWidth="1"/>
    <col min="13575" max="13575" width="10.6640625" style="218" customWidth="1"/>
    <col min="13576" max="13576" width="11.109375" style="218" customWidth="1"/>
    <col min="13577" max="13577" width="10.6640625" style="218" customWidth="1"/>
    <col min="13578" max="13582" width="10.33203125" style="218" customWidth="1"/>
    <col min="13583" max="13583" width="10.88671875" style="218" customWidth="1"/>
    <col min="13584" max="13585" width="10.33203125" style="218" customWidth="1"/>
    <col min="13586" max="13586" width="10.6640625" style="218" customWidth="1"/>
    <col min="13587" max="13825" width="9.109375" style="218"/>
    <col min="13826" max="13826" width="46.44140625" style="218" customWidth="1"/>
    <col min="13827" max="13827" width="8.5546875" style="218" customWidth="1"/>
    <col min="13828" max="13828" width="14.44140625" style="218" customWidth="1"/>
    <col min="13829" max="13829" width="11.44140625" style="218" customWidth="1"/>
    <col min="13830" max="13830" width="16.88671875" style="218" customWidth="1"/>
    <col min="13831" max="13831" width="10.6640625" style="218" customWidth="1"/>
    <col min="13832" max="13832" width="11.109375" style="218" customWidth="1"/>
    <col min="13833" max="13833" width="10.6640625" style="218" customWidth="1"/>
    <col min="13834" max="13838" width="10.33203125" style="218" customWidth="1"/>
    <col min="13839" max="13839" width="10.88671875" style="218" customWidth="1"/>
    <col min="13840" max="13841" width="10.33203125" style="218" customWidth="1"/>
    <col min="13842" max="13842" width="10.6640625" style="218" customWidth="1"/>
    <col min="13843" max="14081" width="9.109375" style="218"/>
    <col min="14082" max="14082" width="46.44140625" style="218" customWidth="1"/>
    <col min="14083" max="14083" width="8.5546875" style="218" customWidth="1"/>
    <col min="14084" max="14084" width="14.44140625" style="218" customWidth="1"/>
    <col min="14085" max="14085" width="11.44140625" style="218" customWidth="1"/>
    <col min="14086" max="14086" width="16.88671875" style="218" customWidth="1"/>
    <col min="14087" max="14087" width="10.6640625" style="218" customWidth="1"/>
    <col min="14088" max="14088" width="11.109375" style="218" customWidth="1"/>
    <col min="14089" max="14089" width="10.6640625" style="218" customWidth="1"/>
    <col min="14090" max="14094" width="10.33203125" style="218" customWidth="1"/>
    <col min="14095" max="14095" width="10.88671875" style="218" customWidth="1"/>
    <col min="14096" max="14097" width="10.33203125" style="218" customWidth="1"/>
    <col min="14098" max="14098" width="10.6640625" style="218" customWidth="1"/>
    <col min="14099" max="14337" width="9.109375" style="218"/>
    <col min="14338" max="14338" width="46.44140625" style="218" customWidth="1"/>
    <col min="14339" max="14339" width="8.5546875" style="218" customWidth="1"/>
    <col min="14340" max="14340" width="14.44140625" style="218" customWidth="1"/>
    <col min="14341" max="14341" width="11.44140625" style="218" customWidth="1"/>
    <col min="14342" max="14342" width="16.88671875" style="218" customWidth="1"/>
    <col min="14343" max="14343" width="10.6640625" style="218" customWidth="1"/>
    <col min="14344" max="14344" width="11.109375" style="218" customWidth="1"/>
    <col min="14345" max="14345" width="10.6640625" style="218" customWidth="1"/>
    <col min="14346" max="14350" width="10.33203125" style="218" customWidth="1"/>
    <col min="14351" max="14351" width="10.88671875" style="218" customWidth="1"/>
    <col min="14352" max="14353" width="10.33203125" style="218" customWidth="1"/>
    <col min="14354" max="14354" width="10.6640625" style="218" customWidth="1"/>
    <col min="14355" max="14593" width="9.109375" style="218"/>
    <col min="14594" max="14594" width="46.44140625" style="218" customWidth="1"/>
    <col min="14595" max="14595" width="8.5546875" style="218" customWidth="1"/>
    <col min="14596" max="14596" width="14.44140625" style="218" customWidth="1"/>
    <col min="14597" max="14597" width="11.44140625" style="218" customWidth="1"/>
    <col min="14598" max="14598" width="16.88671875" style="218" customWidth="1"/>
    <col min="14599" max="14599" width="10.6640625" style="218" customWidth="1"/>
    <col min="14600" max="14600" width="11.109375" style="218" customWidth="1"/>
    <col min="14601" max="14601" width="10.6640625" style="218" customWidth="1"/>
    <col min="14602" max="14606" width="10.33203125" style="218" customWidth="1"/>
    <col min="14607" max="14607" width="10.88671875" style="218" customWidth="1"/>
    <col min="14608" max="14609" width="10.33203125" style="218" customWidth="1"/>
    <col min="14610" max="14610" width="10.6640625" style="218" customWidth="1"/>
    <col min="14611" max="14849" width="9.109375" style="218"/>
    <col min="14850" max="14850" width="46.44140625" style="218" customWidth="1"/>
    <col min="14851" max="14851" width="8.5546875" style="218" customWidth="1"/>
    <col min="14852" max="14852" width="14.44140625" style="218" customWidth="1"/>
    <col min="14853" max="14853" width="11.44140625" style="218" customWidth="1"/>
    <col min="14854" max="14854" width="16.88671875" style="218" customWidth="1"/>
    <col min="14855" max="14855" width="10.6640625" style="218" customWidth="1"/>
    <col min="14856" max="14856" width="11.109375" style="218" customWidth="1"/>
    <col min="14857" max="14857" width="10.6640625" style="218" customWidth="1"/>
    <col min="14858" max="14862" width="10.33203125" style="218" customWidth="1"/>
    <col min="14863" max="14863" width="10.88671875" style="218" customWidth="1"/>
    <col min="14864" max="14865" width="10.33203125" style="218" customWidth="1"/>
    <col min="14866" max="14866" width="10.6640625" style="218" customWidth="1"/>
    <col min="14867" max="15105" width="9.109375" style="218"/>
    <col min="15106" max="15106" width="46.44140625" style="218" customWidth="1"/>
    <col min="15107" max="15107" width="8.5546875" style="218" customWidth="1"/>
    <col min="15108" max="15108" width="14.44140625" style="218" customWidth="1"/>
    <col min="15109" max="15109" width="11.44140625" style="218" customWidth="1"/>
    <col min="15110" max="15110" width="16.88671875" style="218" customWidth="1"/>
    <col min="15111" max="15111" width="10.6640625" style="218" customWidth="1"/>
    <col min="15112" max="15112" width="11.109375" style="218" customWidth="1"/>
    <col min="15113" max="15113" width="10.6640625" style="218" customWidth="1"/>
    <col min="15114" max="15118" width="10.33203125" style="218" customWidth="1"/>
    <col min="15119" max="15119" width="10.88671875" style="218" customWidth="1"/>
    <col min="15120" max="15121" width="10.33203125" style="218" customWidth="1"/>
    <col min="15122" max="15122" width="10.6640625" style="218" customWidth="1"/>
    <col min="15123" max="15361" width="9.109375" style="218"/>
    <col min="15362" max="15362" width="46.44140625" style="218" customWidth="1"/>
    <col min="15363" max="15363" width="8.5546875" style="218" customWidth="1"/>
    <col min="15364" max="15364" width="14.44140625" style="218" customWidth="1"/>
    <col min="15365" max="15365" width="11.44140625" style="218" customWidth="1"/>
    <col min="15366" max="15366" width="16.88671875" style="218" customWidth="1"/>
    <col min="15367" max="15367" width="10.6640625" style="218" customWidth="1"/>
    <col min="15368" max="15368" width="11.109375" style="218" customWidth="1"/>
    <col min="15369" max="15369" width="10.6640625" style="218" customWidth="1"/>
    <col min="15370" max="15374" width="10.33203125" style="218" customWidth="1"/>
    <col min="15375" max="15375" width="10.88671875" style="218" customWidth="1"/>
    <col min="15376" max="15377" width="10.33203125" style="218" customWidth="1"/>
    <col min="15378" max="15378" width="10.6640625" style="218" customWidth="1"/>
    <col min="15379" max="15617" width="9.109375" style="218"/>
    <col min="15618" max="15618" width="46.44140625" style="218" customWidth="1"/>
    <col min="15619" max="15619" width="8.5546875" style="218" customWidth="1"/>
    <col min="15620" max="15620" width="14.44140625" style="218" customWidth="1"/>
    <col min="15621" max="15621" width="11.44140625" style="218" customWidth="1"/>
    <col min="15622" max="15622" width="16.88671875" style="218" customWidth="1"/>
    <col min="15623" max="15623" width="10.6640625" style="218" customWidth="1"/>
    <col min="15624" max="15624" width="11.109375" style="218" customWidth="1"/>
    <col min="15625" max="15625" width="10.6640625" style="218" customWidth="1"/>
    <col min="15626" max="15630" width="10.33203125" style="218" customWidth="1"/>
    <col min="15631" max="15631" width="10.88671875" style="218" customWidth="1"/>
    <col min="15632" max="15633" width="10.33203125" style="218" customWidth="1"/>
    <col min="15634" max="15634" width="10.6640625" style="218" customWidth="1"/>
    <col min="15635" max="15873" width="9.109375" style="218"/>
    <col min="15874" max="15874" width="46.44140625" style="218" customWidth="1"/>
    <col min="15875" max="15875" width="8.5546875" style="218" customWidth="1"/>
    <col min="15876" max="15876" width="14.44140625" style="218" customWidth="1"/>
    <col min="15877" max="15877" width="11.44140625" style="218" customWidth="1"/>
    <col min="15878" max="15878" width="16.88671875" style="218" customWidth="1"/>
    <col min="15879" max="15879" width="10.6640625" style="218" customWidth="1"/>
    <col min="15880" max="15880" width="11.109375" style="218" customWidth="1"/>
    <col min="15881" max="15881" width="10.6640625" style="218" customWidth="1"/>
    <col min="15882" max="15886" width="10.33203125" style="218" customWidth="1"/>
    <col min="15887" max="15887" width="10.88671875" style="218" customWidth="1"/>
    <col min="15888" max="15889" width="10.33203125" style="218" customWidth="1"/>
    <col min="15890" max="15890" width="10.6640625" style="218" customWidth="1"/>
    <col min="15891" max="16129" width="9.109375" style="218"/>
    <col min="16130" max="16130" width="46.44140625" style="218" customWidth="1"/>
    <col min="16131" max="16131" width="8.5546875" style="218" customWidth="1"/>
    <col min="16132" max="16132" width="14.44140625" style="218" customWidth="1"/>
    <col min="16133" max="16133" width="11.44140625" style="218" customWidth="1"/>
    <col min="16134" max="16134" width="16.88671875" style="218" customWidth="1"/>
    <col min="16135" max="16135" width="10.6640625" style="218" customWidth="1"/>
    <col min="16136" max="16136" width="11.109375" style="218" customWidth="1"/>
    <col min="16137" max="16137" width="10.6640625" style="218" customWidth="1"/>
    <col min="16138" max="16142" width="10.33203125" style="218" customWidth="1"/>
    <col min="16143" max="16143" width="10.88671875" style="218" customWidth="1"/>
    <col min="16144" max="16145" width="10.33203125" style="218" customWidth="1"/>
    <col min="16146" max="16146" width="10.6640625" style="218" customWidth="1"/>
    <col min="16147" max="16384" width="9.109375" style="218"/>
  </cols>
  <sheetData>
    <row r="2" spans="1:23" x14ac:dyDescent="0.2">
      <c r="O2" s="217" t="s">
        <v>278</v>
      </c>
    </row>
    <row r="3" spans="1:23" s="298" customFormat="1" ht="37.950000000000003" customHeight="1" x14ac:dyDescent="0.3">
      <c r="A3" s="217"/>
      <c r="B3" s="217" t="s">
        <v>279</v>
      </c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 t="s">
        <v>280</v>
      </c>
      <c r="P3" s="217"/>
      <c r="Q3" s="217"/>
      <c r="R3" s="217"/>
    </row>
    <row r="6" spans="1:23" s="224" customFormat="1" ht="34.5" customHeight="1" x14ac:dyDescent="0.2">
      <c r="A6" s="219" t="s">
        <v>91</v>
      </c>
      <c r="B6" s="220" t="s">
        <v>140</v>
      </c>
      <c r="C6" s="221" t="s">
        <v>235</v>
      </c>
      <c r="D6" s="221" t="s">
        <v>236</v>
      </c>
      <c r="E6" s="221" t="s">
        <v>237</v>
      </c>
      <c r="F6" s="222" t="s">
        <v>281</v>
      </c>
      <c r="G6" s="222" t="s">
        <v>142</v>
      </c>
      <c r="H6" s="222" t="s">
        <v>143</v>
      </c>
      <c r="I6" s="222" t="s">
        <v>144</v>
      </c>
      <c r="J6" s="222" t="s">
        <v>145</v>
      </c>
      <c r="K6" s="222" t="s">
        <v>239</v>
      </c>
      <c r="L6" s="222" t="s">
        <v>147</v>
      </c>
      <c r="M6" s="222" t="s">
        <v>148</v>
      </c>
      <c r="N6" s="222" t="s">
        <v>149</v>
      </c>
      <c r="O6" s="222" t="s">
        <v>150</v>
      </c>
      <c r="P6" s="222" t="s">
        <v>151</v>
      </c>
      <c r="Q6" s="222" t="s">
        <v>152</v>
      </c>
      <c r="R6" s="222" t="s">
        <v>153</v>
      </c>
    </row>
    <row r="7" spans="1:23" s="224" customFormat="1" ht="13.2" customHeight="1" x14ac:dyDescent="0.2">
      <c r="A7" s="225" t="s">
        <v>94</v>
      </c>
      <c r="B7" s="226" t="s">
        <v>154</v>
      </c>
      <c r="C7" s="227"/>
      <c r="D7" s="227"/>
      <c r="E7" s="227"/>
      <c r="F7" s="227">
        <f>F9</f>
        <v>40200</v>
      </c>
      <c r="G7" s="227">
        <f>G9</f>
        <v>3350</v>
      </c>
      <c r="H7" s="227">
        <f t="shared" ref="H7:R7" si="0">H9</f>
        <v>3350</v>
      </c>
      <c r="I7" s="227">
        <f t="shared" si="0"/>
        <v>3350</v>
      </c>
      <c r="J7" s="227">
        <f t="shared" si="0"/>
        <v>3350</v>
      </c>
      <c r="K7" s="227">
        <f t="shared" si="0"/>
        <v>3350</v>
      </c>
      <c r="L7" s="227">
        <f t="shared" si="0"/>
        <v>3350</v>
      </c>
      <c r="M7" s="227">
        <f t="shared" si="0"/>
        <v>3350</v>
      </c>
      <c r="N7" s="227">
        <f t="shared" si="0"/>
        <v>3350</v>
      </c>
      <c r="O7" s="227">
        <f t="shared" si="0"/>
        <v>3350</v>
      </c>
      <c r="P7" s="227">
        <f t="shared" si="0"/>
        <v>3350</v>
      </c>
      <c r="Q7" s="227">
        <f t="shared" si="0"/>
        <v>3350</v>
      </c>
      <c r="R7" s="227">
        <f t="shared" si="0"/>
        <v>3350</v>
      </c>
    </row>
    <row r="8" spans="1:23" s="224" customFormat="1" ht="12" x14ac:dyDescent="0.2">
      <c r="A8" s="228" t="s">
        <v>155</v>
      </c>
      <c r="B8" s="343" t="s">
        <v>156</v>
      </c>
      <c r="C8" s="343"/>
      <c r="D8" s="343"/>
      <c r="E8" s="343"/>
      <c r="F8" s="343"/>
      <c r="G8" s="343"/>
      <c r="H8" s="343"/>
      <c r="I8" s="343"/>
      <c r="J8" s="343"/>
      <c r="K8" s="229"/>
      <c r="L8" s="229"/>
      <c r="M8" s="229"/>
      <c r="N8" s="229"/>
      <c r="O8" s="229"/>
      <c r="P8" s="229"/>
      <c r="Q8" s="229"/>
      <c r="R8" s="229"/>
    </row>
    <row r="9" spans="1:23" s="224" customFormat="1" ht="14.25" customHeight="1" x14ac:dyDescent="0.2">
      <c r="A9" s="230" t="s">
        <v>157</v>
      </c>
      <c r="B9" s="231" t="s">
        <v>158</v>
      </c>
      <c r="C9" s="232" t="s">
        <v>240</v>
      </c>
      <c r="D9" s="232">
        <v>1</v>
      </c>
      <c r="E9" s="232">
        <v>3350</v>
      </c>
      <c r="F9" s="232">
        <f>SUM(G9:R9)</f>
        <v>40200</v>
      </c>
      <c r="G9" s="232">
        <v>3350</v>
      </c>
      <c r="H9" s="232">
        <v>3350</v>
      </c>
      <c r="I9" s="232">
        <v>3350</v>
      </c>
      <c r="J9" s="232">
        <v>3350</v>
      </c>
      <c r="K9" s="232">
        <v>3350</v>
      </c>
      <c r="L9" s="232">
        <v>3350</v>
      </c>
      <c r="M9" s="232">
        <v>3350</v>
      </c>
      <c r="N9" s="232">
        <v>3350</v>
      </c>
      <c r="O9" s="232">
        <v>3350</v>
      </c>
      <c r="P9" s="232">
        <v>3350</v>
      </c>
      <c r="Q9" s="232">
        <v>3350</v>
      </c>
      <c r="R9" s="232">
        <v>3350</v>
      </c>
    </row>
    <row r="10" spans="1:23" s="224" customFormat="1" ht="13.95" customHeight="1" x14ac:dyDescent="0.2">
      <c r="A10" s="225" t="s">
        <v>96</v>
      </c>
      <c r="B10" s="226" t="s">
        <v>164</v>
      </c>
      <c r="C10" s="233"/>
      <c r="D10" s="233"/>
      <c r="E10" s="233"/>
      <c r="F10" s="233">
        <f>F18+F33</f>
        <v>594897.60000000009</v>
      </c>
      <c r="G10" s="233">
        <f>G18+G33</f>
        <v>53223.25</v>
      </c>
      <c r="H10" s="233">
        <f>H18+H33</f>
        <v>48473.25</v>
      </c>
      <c r="I10" s="233">
        <f>I18+I33</f>
        <v>51123.25</v>
      </c>
      <c r="J10" s="233">
        <f>J18+J33</f>
        <v>52473.25</v>
      </c>
      <c r="K10" s="233">
        <f t="shared" ref="K10:R10" si="1">K18+K33</f>
        <v>45623.25</v>
      </c>
      <c r="L10" s="233">
        <f t="shared" si="1"/>
        <v>48373.25</v>
      </c>
      <c r="M10" s="233">
        <f t="shared" si="1"/>
        <v>40323.25</v>
      </c>
      <c r="N10" s="233">
        <f t="shared" si="1"/>
        <v>55326.35</v>
      </c>
      <c r="O10" s="233">
        <f t="shared" si="1"/>
        <v>44626.35</v>
      </c>
      <c r="P10" s="233">
        <f t="shared" si="1"/>
        <v>51526.35</v>
      </c>
      <c r="Q10" s="233">
        <f t="shared" si="1"/>
        <v>51052.9</v>
      </c>
      <c r="R10" s="233">
        <f t="shared" si="1"/>
        <v>52752.9</v>
      </c>
    </row>
    <row r="11" spans="1:23" s="224" customFormat="1" ht="12" x14ac:dyDescent="0.25">
      <c r="A11" s="234" t="s">
        <v>165</v>
      </c>
      <c r="B11" s="344" t="s">
        <v>166</v>
      </c>
      <c r="C11" s="344"/>
      <c r="D11" s="344"/>
      <c r="E11" s="344"/>
      <c r="F11" s="344"/>
      <c r="G11" s="344"/>
      <c r="H11" s="344"/>
      <c r="I11" s="344"/>
      <c r="J11" s="344"/>
      <c r="K11" s="299"/>
      <c r="L11" s="299"/>
      <c r="M11" s="299"/>
      <c r="N11" s="299"/>
      <c r="O11" s="299"/>
      <c r="P11" s="299"/>
      <c r="Q11" s="299"/>
      <c r="R11" s="299"/>
    </row>
    <row r="12" spans="1:23" s="246" customFormat="1" ht="24" customHeight="1" x14ac:dyDescent="0.3">
      <c r="A12" s="249" t="s">
        <v>167</v>
      </c>
      <c r="B12" s="300" t="s">
        <v>282</v>
      </c>
      <c r="C12" s="232" t="s">
        <v>241</v>
      </c>
      <c r="D12" s="301">
        <v>15</v>
      </c>
      <c r="E12" s="302">
        <f>603.75*1.14</f>
        <v>688.27499999999998</v>
      </c>
      <c r="F12" s="301">
        <f t="shared" ref="F12:F17" si="2">SUM(G12:R12)</f>
        <v>132148.80000000002</v>
      </c>
      <c r="G12" s="301">
        <f>E12*D12</f>
        <v>10324.125</v>
      </c>
      <c r="H12" s="301">
        <f>E12*D12</f>
        <v>10324.125</v>
      </c>
      <c r="I12" s="301">
        <f>E12*D12</f>
        <v>10324.125</v>
      </c>
      <c r="J12" s="301">
        <f>E12*D12</f>
        <v>10324.125</v>
      </c>
      <c r="K12" s="301">
        <f>E12*D12</f>
        <v>10324.125</v>
      </c>
      <c r="L12" s="301">
        <f>E12*D12</f>
        <v>10324.125</v>
      </c>
      <c r="M12" s="301">
        <f>E12*D12</f>
        <v>10324.125</v>
      </c>
      <c r="N12" s="301">
        <f>E12*D12+2*E12</f>
        <v>11700.674999999999</v>
      </c>
      <c r="O12" s="301">
        <f>E12*D12+2*E12</f>
        <v>11700.674999999999</v>
      </c>
      <c r="P12" s="301">
        <f>E12*D12+2*E12</f>
        <v>11700.674999999999</v>
      </c>
      <c r="Q12" s="301">
        <f>E12*D12+3*E12</f>
        <v>12388.95</v>
      </c>
      <c r="R12" s="301">
        <f>E12*D12+3*E12</f>
        <v>12388.95</v>
      </c>
    </row>
    <row r="13" spans="1:23" s="246" customFormat="1" ht="25.2" customHeight="1" x14ac:dyDescent="0.3">
      <c r="A13" s="249" t="s">
        <v>169</v>
      </c>
      <c r="B13" s="300" t="s">
        <v>283</v>
      </c>
      <c r="C13" s="232" t="s">
        <v>241</v>
      </c>
      <c r="D13" s="301">
        <v>15</v>
      </c>
      <c r="E13" s="302">
        <f>603.75*1.14</f>
        <v>688.27499999999998</v>
      </c>
      <c r="F13" s="301">
        <f t="shared" si="2"/>
        <v>132148.80000000002</v>
      </c>
      <c r="G13" s="301">
        <f>E13*D13</f>
        <v>10324.125</v>
      </c>
      <c r="H13" s="301">
        <f>E13*D13</f>
        <v>10324.125</v>
      </c>
      <c r="I13" s="301">
        <f>E13*D13</f>
        <v>10324.125</v>
      </c>
      <c r="J13" s="301">
        <f>E13*D13</f>
        <v>10324.125</v>
      </c>
      <c r="K13" s="301">
        <f>E13*D13</f>
        <v>10324.125</v>
      </c>
      <c r="L13" s="301">
        <f>E13*D13</f>
        <v>10324.125</v>
      </c>
      <c r="M13" s="301">
        <f>E13*D13</f>
        <v>10324.125</v>
      </c>
      <c r="N13" s="301">
        <f>E12*D12+2*E12</f>
        <v>11700.674999999999</v>
      </c>
      <c r="O13" s="301">
        <f>E12*D12+2*E12</f>
        <v>11700.674999999999</v>
      </c>
      <c r="P13" s="301">
        <f>E12*D12+2*E12</f>
        <v>11700.674999999999</v>
      </c>
      <c r="Q13" s="301">
        <f>E12*D12+3*E12</f>
        <v>12388.95</v>
      </c>
      <c r="R13" s="301">
        <f>E12*D12+3*E12</f>
        <v>12388.95</v>
      </c>
    </row>
    <row r="14" spans="1:23" s="246" customFormat="1" ht="15" customHeight="1" x14ac:dyDescent="0.3">
      <c r="A14" s="249" t="s">
        <v>171</v>
      </c>
      <c r="B14" s="300" t="s">
        <v>243</v>
      </c>
      <c r="C14" s="232" t="s">
        <v>240</v>
      </c>
      <c r="D14" s="301">
        <v>4</v>
      </c>
      <c r="E14" s="302">
        <f>1875*1.14</f>
        <v>2137.5</v>
      </c>
      <c r="F14" s="301">
        <f t="shared" si="2"/>
        <v>102600</v>
      </c>
      <c r="G14" s="301">
        <f>E14*D14</f>
        <v>8550</v>
      </c>
      <c r="H14" s="301">
        <f>E14*D14</f>
        <v>8550</v>
      </c>
      <c r="I14" s="301">
        <f>E14*D14</f>
        <v>8550</v>
      </c>
      <c r="J14" s="301">
        <f>E14*D14</f>
        <v>8550</v>
      </c>
      <c r="K14" s="301">
        <f>E14*D14</f>
        <v>8550</v>
      </c>
      <c r="L14" s="301">
        <f>E14*D14</f>
        <v>8550</v>
      </c>
      <c r="M14" s="301">
        <f>E14*D14</f>
        <v>8550</v>
      </c>
      <c r="N14" s="301">
        <f>E14*D14</f>
        <v>8550</v>
      </c>
      <c r="O14" s="301">
        <f>E14*D14</f>
        <v>8550</v>
      </c>
      <c r="P14" s="301">
        <f>E14*D14</f>
        <v>8550</v>
      </c>
      <c r="Q14" s="301">
        <f>E14*D14</f>
        <v>8550</v>
      </c>
      <c r="R14" s="301">
        <f>E14*D14</f>
        <v>8550</v>
      </c>
      <c r="U14" s="303"/>
      <c r="V14" s="303"/>
      <c r="W14" s="303"/>
    </row>
    <row r="15" spans="1:23" s="246" customFormat="1" ht="12.75" customHeight="1" x14ac:dyDescent="0.3">
      <c r="A15" s="249" t="s">
        <v>173</v>
      </c>
      <c r="B15" s="250" t="s">
        <v>244</v>
      </c>
      <c r="C15" s="232" t="s">
        <v>240</v>
      </c>
      <c r="D15" s="232">
        <v>1</v>
      </c>
      <c r="E15" s="302">
        <f>1500*1.14</f>
        <v>1709.9999999999998</v>
      </c>
      <c r="F15" s="232">
        <f t="shared" si="2"/>
        <v>20519.999999999996</v>
      </c>
      <c r="G15" s="232">
        <f>E15*D15</f>
        <v>1709.9999999999998</v>
      </c>
      <c r="H15" s="232">
        <f>E15*D15</f>
        <v>1709.9999999999998</v>
      </c>
      <c r="I15" s="232">
        <f>E15*D15</f>
        <v>1709.9999999999998</v>
      </c>
      <c r="J15" s="232">
        <f>E15*D15</f>
        <v>1709.9999999999998</v>
      </c>
      <c r="K15" s="232">
        <f>E15*D15</f>
        <v>1709.9999999999998</v>
      </c>
      <c r="L15" s="232">
        <f>E15*D15</f>
        <v>1709.9999999999998</v>
      </c>
      <c r="M15" s="232">
        <f>E15*D15</f>
        <v>1709.9999999999998</v>
      </c>
      <c r="N15" s="232">
        <f>E15*D15</f>
        <v>1709.9999999999998</v>
      </c>
      <c r="O15" s="232">
        <f>E15*D15</f>
        <v>1709.9999999999998</v>
      </c>
      <c r="P15" s="232">
        <f>E15*D15</f>
        <v>1709.9999999999998</v>
      </c>
      <c r="Q15" s="232">
        <f>E15*D15</f>
        <v>1709.9999999999998</v>
      </c>
      <c r="R15" s="232">
        <f>E15*D15</f>
        <v>1709.9999999999998</v>
      </c>
    </row>
    <row r="16" spans="1:23" s="246" customFormat="1" ht="12.75" customHeight="1" x14ac:dyDescent="0.3">
      <c r="A16" s="304" t="s">
        <v>245</v>
      </c>
      <c r="B16" s="305" t="s">
        <v>284</v>
      </c>
      <c r="C16" s="232" t="s">
        <v>240</v>
      </c>
      <c r="D16" s="301">
        <v>3</v>
      </c>
      <c r="E16" s="302">
        <f>1300*1.14</f>
        <v>1481.9999999999998</v>
      </c>
      <c r="F16" s="301">
        <f t="shared" si="2"/>
        <v>53351.999999999993</v>
      </c>
      <c r="G16" s="301">
        <f>E16*D16</f>
        <v>4445.9999999999991</v>
      </c>
      <c r="H16" s="301">
        <f>E16*D16</f>
        <v>4445.9999999999991</v>
      </c>
      <c r="I16" s="301">
        <f>E16*D16</f>
        <v>4445.9999999999991</v>
      </c>
      <c r="J16" s="301">
        <f>E16*D16</f>
        <v>4445.9999999999991</v>
      </c>
      <c r="K16" s="301">
        <f>E16*D16</f>
        <v>4445.9999999999991</v>
      </c>
      <c r="L16" s="301">
        <f>E16*D16</f>
        <v>4445.9999999999991</v>
      </c>
      <c r="M16" s="301">
        <f>E16*D16</f>
        <v>4445.9999999999991</v>
      </c>
      <c r="N16" s="301">
        <f>E16*D16</f>
        <v>4445.9999999999991</v>
      </c>
      <c r="O16" s="301">
        <f>E16*D16</f>
        <v>4445.9999999999991</v>
      </c>
      <c r="P16" s="301">
        <f>E16*D16</f>
        <v>4445.9999999999991</v>
      </c>
      <c r="Q16" s="301">
        <f>E16*D16</f>
        <v>4445.9999999999991</v>
      </c>
      <c r="R16" s="301">
        <f>E16*D16</f>
        <v>4445.9999999999991</v>
      </c>
    </row>
    <row r="17" spans="1:21" s="246" customFormat="1" ht="12.75" customHeight="1" x14ac:dyDescent="0.3">
      <c r="A17" s="306" t="s">
        <v>285</v>
      </c>
      <c r="B17" s="305" t="s">
        <v>286</v>
      </c>
      <c r="C17" s="232" t="s">
        <v>287</v>
      </c>
      <c r="D17" s="301">
        <v>1</v>
      </c>
      <c r="E17" s="302">
        <f>2750*1.14</f>
        <v>3134.9999999999995</v>
      </c>
      <c r="F17" s="301">
        <f t="shared" si="2"/>
        <v>37619.999999999993</v>
      </c>
      <c r="G17" s="301">
        <f>D17*E17</f>
        <v>3134.9999999999995</v>
      </c>
      <c r="H17" s="301">
        <f>D17*E17</f>
        <v>3134.9999999999995</v>
      </c>
      <c r="I17" s="301">
        <f>D17*E17</f>
        <v>3134.9999999999995</v>
      </c>
      <c r="J17" s="301">
        <f>D17*E17</f>
        <v>3134.9999999999995</v>
      </c>
      <c r="K17" s="301">
        <f>D17*E17</f>
        <v>3134.9999999999995</v>
      </c>
      <c r="L17" s="301">
        <f>D17*E17</f>
        <v>3134.9999999999995</v>
      </c>
      <c r="M17" s="301">
        <f>D17*E17</f>
        <v>3134.9999999999995</v>
      </c>
      <c r="N17" s="301">
        <f>D17*E17</f>
        <v>3134.9999999999995</v>
      </c>
      <c r="O17" s="301">
        <f>D17*E17</f>
        <v>3134.9999999999995</v>
      </c>
      <c r="P17" s="301">
        <f>D17*E17</f>
        <v>3134.9999999999995</v>
      </c>
      <c r="Q17" s="301">
        <f>D17*E17</f>
        <v>3134.9999999999995</v>
      </c>
      <c r="R17" s="301">
        <f>D17*E17</f>
        <v>3134.9999999999995</v>
      </c>
    </row>
    <row r="18" spans="1:21" s="246" customFormat="1" ht="21.75" customHeight="1" x14ac:dyDescent="0.3">
      <c r="A18" s="241" t="s">
        <v>165</v>
      </c>
      <c r="B18" s="242" t="s">
        <v>175</v>
      </c>
      <c r="C18" s="243"/>
      <c r="D18" s="243"/>
      <c r="E18" s="243"/>
      <c r="F18" s="243">
        <f>F12+F13+F14+F15+F16+F17</f>
        <v>478389.60000000003</v>
      </c>
      <c r="G18" s="243">
        <f>G12+G13+G14+G15+G16+G17</f>
        <v>38489.25</v>
      </c>
      <c r="H18" s="243">
        <f t="shared" ref="H18:R18" si="3">H12+H13+H14+H15+H16+H17</f>
        <v>38489.25</v>
      </c>
      <c r="I18" s="243">
        <f t="shared" si="3"/>
        <v>38489.25</v>
      </c>
      <c r="J18" s="243">
        <f t="shared" si="3"/>
        <v>38489.25</v>
      </c>
      <c r="K18" s="243">
        <f t="shared" si="3"/>
        <v>38489.25</v>
      </c>
      <c r="L18" s="243">
        <f t="shared" si="3"/>
        <v>38489.25</v>
      </c>
      <c r="M18" s="243">
        <f t="shared" si="3"/>
        <v>38489.25</v>
      </c>
      <c r="N18" s="243">
        <f t="shared" si="3"/>
        <v>41242.35</v>
      </c>
      <c r="O18" s="243">
        <f t="shared" si="3"/>
        <v>41242.35</v>
      </c>
      <c r="P18" s="243">
        <f t="shared" si="3"/>
        <v>41242.35</v>
      </c>
      <c r="Q18" s="243">
        <f t="shared" si="3"/>
        <v>42618.9</v>
      </c>
      <c r="R18" s="243">
        <f t="shared" si="3"/>
        <v>42618.9</v>
      </c>
      <c r="S18" s="303"/>
      <c r="T18" s="303"/>
      <c r="U18" s="303"/>
    </row>
    <row r="19" spans="1:21" s="224" customFormat="1" ht="12" x14ac:dyDescent="0.25">
      <c r="A19" s="247" t="s">
        <v>176</v>
      </c>
      <c r="B19" s="345" t="s">
        <v>177</v>
      </c>
      <c r="C19" s="345"/>
      <c r="D19" s="345"/>
      <c r="E19" s="345"/>
      <c r="F19" s="345"/>
      <c r="G19" s="345"/>
      <c r="H19" s="345"/>
      <c r="I19" s="345"/>
      <c r="J19" s="345"/>
      <c r="K19" s="307"/>
      <c r="L19" s="307"/>
      <c r="M19" s="307"/>
      <c r="N19" s="307"/>
      <c r="O19" s="307"/>
      <c r="P19" s="307"/>
      <c r="Q19" s="307"/>
      <c r="R19" s="307"/>
    </row>
    <row r="20" spans="1:21" s="252" customFormat="1" ht="19.5" customHeight="1" x14ac:dyDescent="0.3">
      <c r="A20" s="249" t="s">
        <v>178</v>
      </c>
      <c r="B20" s="300" t="s">
        <v>179</v>
      </c>
      <c r="C20" s="232" t="s">
        <v>247</v>
      </c>
      <c r="D20" s="232">
        <v>12</v>
      </c>
      <c r="E20" s="232">
        <v>1584</v>
      </c>
      <c r="F20" s="308">
        <f>SUM(G20:R20)</f>
        <v>19008</v>
      </c>
      <c r="G20" s="232">
        <f>E20*D20/12</f>
        <v>1584</v>
      </c>
      <c r="H20" s="232">
        <f>E20*D20/12</f>
        <v>1584</v>
      </c>
      <c r="I20" s="232">
        <f>E20*D20/12</f>
        <v>1584</v>
      </c>
      <c r="J20" s="232">
        <f>E20*D20/12</f>
        <v>1584</v>
      </c>
      <c r="K20" s="232">
        <f>E20*D20/12</f>
        <v>1584</v>
      </c>
      <c r="L20" s="232">
        <f>E20*D20/12</f>
        <v>1584</v>
      </c>
      <c r="M20" s="232">
        <f>E20*D20/12</f>
        <v>1584</v>
      </c>
      <c r="N20" s="232">
        <f>E20*D20/12</f>
        <v>1584</v>
      </c>
      <c r="O20" s="232">
        <f>E20*D20/12</f>
        <v>1584</v>
      </c>
      <c r="P20" s="232">
        <f>E20*D20/12</f>
        <v>1584</v>
      </c>
      <c r="Q20" s="232">
        <f>E20*D20/12</f>
        <v>1584</v>
      </c>
      <c r="R20" s="232">
        <f>E20*D20/12</f>
        <v>1584</v>
      </c>
    </row>
    <row r="21" spans="1:21" s="252" customFormat="1" ht="37.200000000000003" customHeight="1" x14ac:dyDescent="0.3">
      <c r="A21" s="249" t="s">
        <v>180</v>
      </c>
      <c r="B21" s="250" t="s">
        <v>248</v>
      </c>
      <c r="C21" s="232" t="s">
        <v>249</v>
      </c>
      <c r="D21" s="232" t="s">
        <v>250</v>
      </c>
      <c r="E21" s="232" t="s">
        <v>251</v>
      </c>
      <c r="F21" s="308">
        <f>SUM(G21:R21)</f>
        <v>7200</v>
      </c>
      <c r="G21" s="232">
        <f>3100</f>
        <v>3100</v>
      </c>
      <c r="H21" s="232">
        <v>0</v>
      </c>
      <c r="I21" s="232">
        <v>1000</v>
      </c>
      <c r="J21" s="232">
        <v>0</v>
      </c>
      <c r="K21" s="232">
        <v>0</v>
      </c>
      <c r="L21" s="232">
        <v>0</v>
      </c>
      <c r="M21" s="232">
        <v>0</v>
      </c>
      <c r="N21" s="232">
        <f>1500+2*800</f>
        <v>3100</v>
      </c>
      <c r="O21" s="232">
        <v>0</v>
      </c>
      <c r="P21" s="232">
        <v>0</v>
      </c>
      <c r="Q21" s="232">
        <v>0</v>
      </c>
      <c r="R21" s="232">
        <v>0</v>
      </c>
    </row>
    <row r="22" spans="1:21" s="252" customFormat="1" hidden="1" x14ac:dyDescent="0.3">
      <c r="A22" s="249"/>
      <c r="B22" s="250" t="s">
        <v>182</v>
      </c>
      <c r="C22" s="232"/>
      <c r="D22" s="232"/>
      <c r="E22" s="232"/>
      <c r="F22" s="232">
        <f>SUM(G22:J22)</f>
        <v>0</v>
      </c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  <c r="R22" s="232"/>
    </row>
    <row r="23" spans="1:21" s="252" customFormat="1" hidden="1" x14ac:dyDescent="0.3">
      <c r="A23" s="249"/>
      <c r="B23" s="250" t="s">
        <v>183</v>
      </c>
      <c r="C23" s="232"/>
      <c r="D23" s="232"/>
      <c r="E23" s="232"/>
      <c r="F23" s="232">
        <f>SUM(G23:J23)</f>
        <v>0</v>
      </c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</row>
    <row r="24" spans="1:21" s="252" customFormat="1" ht="27.6" customHeight="1" x14ac:dyDescent="0.3">
      <c r="A24" s="249" t="s">
        <v>184</v>
      </c>
      <c r="B24" s="250" t="s">
        <v>252</v>
      </c>
      <c r="C24" s="232" t="s">
        <v>249</v>
      </c>
      <c r="D24" s="232">
        <v>3</v>
      </c>
      <c r="E24" s="232">
        <v>950</v>
      </c>
      <c r="F24" s="308">
        <f t="shared" ref="F24:F33" si="4">SUM(G24:R24)</f>
        <v>11400</v>
      </c>
      <c r="G24" s="232">
        <v>0</v>
      </c>
      <c r="H24" s="232">
        <f>D24*E24</f>
        <v>2850</v>
      </c>
      <c r="I24" s="232">
        <v>0</v>
      </c>
      <c r="J24" s="232">
        <f>D24*E24</f>
        <v>2850</v>
      </c>
      <c r="K24" s="232">
        <v>0</v>
      </c>
      <c r="L24" s="232">
        <v>0</v>
      </c>
      <c r="M24" s="232">
        <v>0</v>
      </c>
      <c r="N24" s="232">
        <f>D24*E24</f>
        <v>2850</v>
      </c>
      <c r="O24" s="232">
        <v>0</v>
      </c>
      <c r="P24" s="232">
        <f>D24*E24</f>
        <v>2850</v>
      </c>
      <c r="Q24" s="232">
        <v>0</v>
      </c>
      <c r="R24" s="232">
        <v>0</v>
      </c>
    </row>
    <row r="25" spans="1:21" s="252" customFormat="1" ht="18" customHeight="1" x14ac:dyDescent="0.3">
      <c r="A25" s="249" t="s">
        <v>186</v>
      </c>
      <c r="B25" s="250" t="s">
        <v>187</v>
      </c>
      <c r="C25" s="232"/>
      <c r="D25" s="232"/>
      <c r="E25" s="232"/>
      <c r="F25" s="232">
        <f t="shared" si="4"/>
        <v>0</v>
      </c>
      <c r="G25" s="232">
        <v>0</v>
      </c>
      <c r="H25" s="232">
        <v>0</v>
      </c>
      <c r="I25" s="232">
        <v>0</v>
      </c>
      <c r="J25" s="232">
        <v>0</v>
      </c>
      <c r="K25" s="232">
        <v>0</v>
      </c>
      <c r="L25" s="232">
        <v>0</v>
      </c>
      <c r="M25" s="232">
        <v>0</v>
      </c>
      <c r="N25" s="232">
        <v>0</v>
      </c>
      <c r="O25" s="232">
        <v>0</v>
      </c>
      <c r="P25" s="232">
        <v>0</v>
      </c>
      <c r="Q25" s="232">
        <v>0</v>
      </c>
      <c r="R25" s="232">
        <v>0</v>
      </c>
    </row>
    <row r="26" spans="1:21" s="252" customFormat="1" ht="31.5" customHeight="1" x14ac:dyDescent="0.3">
      <c r="A26" s="249" t="s">
        <v>188</v>
      </c>
      <c r="B26" s="250" t="s">
        <v>253</v>
      </c>
      <c r="C26" s="232" t="s">
        <v>249</v>
      </c>
      <c r="D26" s="232">
        <v>2</v>
      </c>
      <c r="E26" s="232">
        <v>6750</v>
      </c>
      <c r="F26" s="308">
        <f t="shared" si="4"/>
        <v>13500</v>
      </c>
      <c r="G26" s="232">
        <v>0</v>
      </c>
      <c r="H26" s="232">
        <v>0</v>
      </c>
      <c r="I26" s="232">
        <v>0</v>
      </c>
      <c r="J26" s="232">
        <v>0</v>
      </c>
      <c r="K26" s="232">
        <v>0</v>
      </c>
      <c r="L26" s="232">
        <f>E26*D26/2</f>
        <v>6750</v>
      </c>
      <c r="M26" s="232">
        <v>0</v>
      </c>
      <c r="N26" s="232">
        <v>0</v>
      </c>
      <c r="O26" s="232">
        <v>0</v>
      </c>
      <c r="P26" s="232">
        <v>0</v>
      </c>
      <c r="Q26" s="232">
        <v>0</v>
      </c>
      <c r="R26" s="232">
        <f>E26*D26/2</f>
        <v>6750</v>
      </c>
    </row>
    <row r="27" spans="1:21" s="252" customFormat="1" ht="30" customHeight="1" x14ac:dyDescent="0.3">
      <c r="A27" s="249" t="s">
        <v>190</v>
      </c>
      <c r="B27" s="250" t="s">
        <v>254</v>
      </c>
      <c r="C27" s="232" t="s">
        <v>255</v>
      </c>
      <c r="D27" s="232">
        <v>1</v>
      </c>
      <c r="E27" s="232" t="s">
        <v>251</v>
      </c>
      <c r="F27" s="308">
        <f t="shared" si="4"/>
        <v>2500</v>
      </c>
      <c r="G27" s="232">
        <v>500</v>
      </c>
      <c r="H27" s="232">
        <v>0</v>
      </c>
      <c r="I27" s="232">
        <v>500</v>
      </c>
      <c r="J27" s="232">
        <v>0</v>
      </c>
      <c r="K27" s="232">
        <v>0</v>
      </c>
      <c r="L27" s="232">
        <v>0</v>
      </c>
      <c r="M27" s="232">
        <v>0</v>
      </c>
      <c r="N27" s="232">
        <v>1500</v>
      </c>
      <c r="O27" s="232">
        <v>0</v>
      </c>
      <c r="P27" s="232">
        <v>0</v>
      </c>
      <c r="Q27" s="232">
        <v>0</v>
      </c>
      <c r="R27" s="232">
        <v>0</v>
      </c>
    </row>
    <row r="28" spans="1:21" s="252" customFormat="1" ht="27" customHeight="1" x14ac:dyDescent="0.3">
      <c r="A28" s="249" t="s">
        <v>192</v>
      </c>
      <c r="B28" s="250" t="s">
        <v>256</v>
      </c>
      <c r="C28" s="232" t="s">
        <v>247</v>
      </c>
      <c r="D28" s="232">
        <v>12</v>
      </c>
      <c r="E28" s="232">
        <v>1050</v>
      </c>
      <c r="F28" s="308">
        <f t="shared" si="4"/>
        <v>11400</v>
      </c>
      <c r="G28" s="232">
        <f>E28*D28/12</f>
        <v>1050</v>
      </c>
      <c r="H28" s="309">
        <f>E28*D28/12</f>
        <v>1050</v>
      </c>
      <c r="I28" s="232">
        <f>E28*D28/12</f>
        <v>1050</v>
      </c>
      <c r="J28" s="232">
        <f>E28*D28/12</f>
        <v>1050</v>
      </c>
      <c r="K28" s="232">
        <f>E28*D28/12</f>
        <v>1050</v>
      </c>
      <c r="L28" s="232">
        <f>E28*D28/12</f>
        <v>1050</v>
      </c>
      <c r="M28" s="232">
        <v>0</v>
      </c>
      <c r="N28" s="232">
        <v>0</v>
      </c>
      <c r="O28" s="232">
        <f>E28*D28/12+200</f>
        <v>1250</v>
      </c>
      <c r="P28" s="232">
        <f>E28*D28/12+250</f>
        <v>1300</v>
      </c>
      <c r="Q28" s="232">
        <f>E28*D28/12+250</f>
        <v>1300</v>
      </c>
      <c r="R28" s="232">
        <f>E28*D28/12+200</f>
        <v>1250</v>
      </c>
    </row>
    <row r="29" spans="1:21" s="252" customFormat="1" ht="19.5" customHeight="1" x14ac:dyDescent="0.3">
      <c r="A29" s="249" t="s">
        <v>257</v>
      </c>
      <c r="B29" s="254" t="s">
        <v>258</v>
      </c>
      <c r="C29" s="232" t="s">
        <v>249</v>
      </c>
      <c r="D29" s="232">
        <v>1</v>
      </c>
      <c r="E29" s="232">
        <v>4500</v>
      </c>
      <c r="F29" s="232">
        <f t="shared" si="4"/>
        <v>4500</v>
      </c>
      <c r="G29" s="232">
        <v>0</v>
      </c>
      <c r="H29" s="232">
        <v>0</v>
      </c>
      <c r="I29" s="232">
        <v>0</v>
      </c>
      <c r="J29" s="232">
        <v>0</v>
      </c>
      <c r="K29" s="232">
        <v>0</v>
      </c>
      <c r="L29" s="232">
        <v>0</v>
      </c>
      <c r="M29" s="232">
        <v>0</v>
      </c>
      <c r="N29" s="232">
        <f>4500</f>
        <v>4500</v>
      </c>
      <c r="O29" s="232">
        <v>0</v>
      </c>
      <c r="P29" s="232">
        <v>0</v>
      </c>
      <c r="Q29" s="232">
        <v>0</v>
      </c>
      <c r="R29" s="232">
        <v>0</v>
      </c>
    </row>
    <row r="30" spans="1:21" s="252" customFormat="1" ht="34.5" customHeight="1" x14ac:dyDescent="0.3">
      <c r="A30" s="249" t="s">
        <v>259</v>
      </c>
      <c r="B30" s="250" t="s">
        <v>260</v>
      </c>
      <c r="C30" s="232" t="s">
        <v>247</v>
      </c>
      <c r="D30" s="232">
        <v>1</v>
      </c>
      <c r="E30" s="232">
        <v>500</v>
      </c>
      <c r="F30" s="232">
        <f t="shared" si="4"/>
        <v>6000</v>
      </c>
      <c r="G30" s="232">
        <f>E30*D30</f>
        <v>500</v>
      </c>
      <c r="H30" s="232">
        <f>E30*D30</f>
        <v>500</v>
      </c>
      <c r="I30" s="232">
        <f>E30*D30</f>
        <v>500</v>
      </c>
      <c r="J30" s="232">
        <f>E30*D30</f>
        <v>500</v>
      </c>
      <c r="K30" s="232">
        <f>E30*D30</f>
        <v>500</v>
      </c>
      <c r="L30" s="232">
        <f>E30*D30</f>
        <v>500</v>
      </c>
      <c r="M30" s="232">
        <f>E30*D30/2</f>
        <v>250</v>
      </c>
      <c r="N30" s="232">
        <f>E30*D30+50</f>
        <v>550</v>
      </c>
      <c r="O30" s="232">
        <f>E30*D30+50</f>
        <v>550</v>
      </c>
      <c r="P30" s="232">
        <f>E30*D30+50</f>
        <v>550</v>
      </c>
      <c r="Q30" s="232">
        <f>E30*D30+50</f>
        <v>550</v>
      </c>
      <c r="R30" s="232">
        <f>E30*D30+50</f>
        <v>550</v>
      </c>
    </row>
    <row r="31" spans="1:21" s="252" customFormat="1" ht="26.25" customHeight="1" x14ac:dyDescent="0.3">
      <c r="A31" s="249" t="s">
        <v>261</v>
      </c>
      <c r="B31" s="255" t="s">
        <v>262</v>
      </c>
      <c r="C31" s="232" t="s">
        <v>247</v>
      </c>
      <c r="D31" s="232">
        <v>1</v>
      </c>
      <c r="E31" s="232">
        <v>16000</v>
      </c>
      <c r="F31" s="232">
        <f t="shared" si="4"/>
        <v>16000</v>
      </c>
      <c r="G31" s="232">
        <v>4000</v>
      </c>
      <c r="H31" s="232">
        <v>4000</v>
      </c>
      <c r="I31" s="232">
        <v>4000</v>
      </c>
      <c r="J31" s="232">
        <v>4000</v>
      </c>
      <c r="K31" s="232">
        <v>0</v>
      </c>
      <c r="L31" s="232">
        <v>0</v>
      </c>
      <c r="M31" s="232">
        <v>0</v>
      </c>
      <c r="N31" s="232">
        <v>0</v>
      </c>
      <c r="O31" s="232">
        <v>0</v>
      </c>
      <c r="P31" s="232">
        <v>0</v>
      </c>
      <c r="Q31" s="232">
        <v>0</v>
      </c>
      <c r="R31" s="232">
        <v>0</v>
      </c>
    </row>
    <row r="32" spans="1:21" s="252" customFormat="1" ht="29.25" customHeight="1" x14ac:dyDescent="0.3">
      <c r="A32" s="249" t="s">
        <v>263</v>
      </c>
      <c r="B32" s="250" t="s">
        <v>264</v>
      </c>
      <c r="C32" s="232" t="s">
        <v>247</v>
      </c>
      <c r="D32" s="232" t="s">
        <v>265</v>
      </c>
      <c r="E32" s="232" t="s">
        <v>251</v>
      </c>
      <c r="F32" s="232">
        <f t="shared" si="4"/>
        <v>25000</v>
      </c>
      <c r="G32" s="232">
        <v>4000</v>
      </c>
      <c r="H32" s="232">
        <v>0</v>
      </c>
      <c r="I32" s="232">
        <v>4000</v>
      </c>
      <c r="J32" s="232">
        <v>4000</v>
      </c>
      <c r="K32" s="232">
        <v>4000</v>
      </c>
      <c r="L32" s="232">
        <v>0</v>
      </c>
      <c r="M32" s="232">
        <v>0</v>
      </c>
      <c r="N32" s="232">
        <v>0</v>
      </c>
      <c r="O32" s="232">
        <v>0</v>
      </c>
      <c r="P32" s="232">
        <v>4000</v>
      </c>
      <c r="Q32" s="232">
        <v>5000</v>
      </c>
      <c r="R32" s="232">
        <v>0</v>
      </c>
    </row>
    <row r="33" spans="1:21" s="252" customFormat="1" ht="12" x14ac:dyDescent="0.3">
      <c r="A33" s="256" t="s">
        <v>176</v>
      </c>
      <c r="B33" s="296" t="s">
        <v>196</v>
      </c>
      <c r="C33" s="258"/>
      <c r="D33" s="258"/>
      <c r="E33" s="258"/>
      <c r="F33" s="259">
        <f t="shared" si="4"/>
        <v>116508</v>
      </c>
      <c r="G33" s="259">
        <f>SUM(G20:G32)</f>
        <v>14734</v>
      </c>
      <c r="H33" s="259">
        <f>SUM(H20:H32)</f>
        <v>9984</v>
      </c>
      <c r="I33" s="259">
        <f>SUM(I20:I32)</f>
        <v>12634</v>
      </c>
      <c r="J33" s="259">
        <f>SUM(J20:J32)</f>
        <v>13984</v>
      </c>
      <c r="K33" s="259">
        <f t="shared" ref="K33:R33" si="5">SUM(K20:K32)</f>
        <v>7134</v>
      </c>
      <c r="L33" s="259">
        <f t="shared" si="5"/>
        <v>9884</v>
      </c>
      <c r="M33" s="259">
        <f t="shared" si="5"/>
        <v>1834</v>
      </c>
      <c r="N33" s="259">
        <f t="shared" si="5"/>
        <v>14084</v>
      </c>
      <c r="O33" s="259">
        <f t="shared" si="5"/>
        <v>3384</v>
      </c>
      <c r="P33" s="259">
        <f t="shared" si="5"/>
        <v>10284</v>
      </c>
      <c r="Q33" s="259">
        <f t="shared" si="5"/>
        <v>8434</v>
      </c>
      <c r="R33" s="259">
        <f t="shared" si="5"/>
        <v>10134</v>
      </c>
    </row>
    <row r="34" spans="1:21" s="310" customFormat="1" ht="12" x14ac:dyDescent="0.3">
      <c r="A34" s="260" t="s">
        <v>98</v>
      </c>
      <c r="B34" s="261" t="s">
        <v>197</v>
      </c>
      <c r="C34" s="233"/>
      <c r="D34" s="233"/>
      <c r="E34" s="233"/>
      <c r="F34" s="233">
        <f>F36+F43</f>
        <v>4500</v>
      </c>
      <c r="G34" s="233">
        <f>G36+G43</f>
        <v>0</v>
      </c>
      <c r="H34" s="233">
        <f>H36+H43</f>
        <v>0</v>
      </c>
      <c r="I34" s="233">
        <f>I36+I43</f>
        <v>0</v>
      </c>
      <c r="J34" s="233">
        <f>J36+J43</f>
        <v>0</v>
      </c>
      <c r="K34" s="233">
        <f t="shared" ref="K34:R34" si="6">K36+K43</f>
        <v>0</v>
      </c>
      <c r="L34" s="233">
        <f t="shared" si="6"/>
        <v>0</v>
      </c>
      <c r="M34" s="233">
        <f t="shared" si="6"/>
        <v>0</v>
      </c>
      <c r="N34" s="233">
        <f t="shared" si="6"/>
        <v>4500</v>
      </c>
      <c r="O34" s="233">
        <f t="shared" si="6"/>
        <v>0</v>
      </c>
      <c r="P34" s="233">
        <f t="shared" si="6"/>
        <v>0</v>
      </c>
      <c r="Q34" s="233">
        <f t="shared" si="6"/>
        <v>0</v>
      </c>
      <c r="R34" s="233">
        <f t="shared" si="6"/>
        <v>0</v>
      </c>
    </row>
    <row r="35" spans="1:21" s="310" customFormat="1" ht="12" x14ac:dyDescent="0.3">
      <c r="A35" s="264" t="s">
        <v>198</v>
      </c>
      <c r="B35" s="346" t="s">
        <v>199</v>
      </c>
      <c r="C35" s="346"/>
      <c r="D35" s="346"/>
      <c r="E35" s="346"/>
      <c r="F35" s="346"/>
      <c r="G35" s="346"/>
      <c r="H35" s="346"/>
      <c r="I35" s="346"/>
      <c r="J35" s="346"/>
      <c r="K35" s="265"/>
      <c r="L35" s="265"/>
      <c r="M35" s="265"/>
      <c r="N35" s="265"/>
      <c r="O35" s="265"/>
      <c r="P35" s="265"/>
      <c r="Q35" s="265"/>
      <c r="R35" s="265"/>
    </row>
    <row r="36" spans="1:21" s="310" customFormat="1" x14ac:dyDescent="0.3">
      <c r="A36" s="266" t="s">
        <v>200</v>
      </c>
      <c r="B36" s="267" t="s">
        <v>266</v>
      </c>
      <c r="C36" s="268"/>
      <c r="D36" s="268"/>
      <c r="E36" s="268"/>
      <c r="F36" s="268">
        <f>SUM(G36:R36)</f>
        <v>0</v>
      </c>
      <c r="G36" s="268">
        <v>0</v>
      </c>
      <c r="H36" s="268">
        <v>0</v>
      </c>
      <c r="I36" s="268">
        <v>0</v>
      </c>
      <c r="J36" s="268">
        <v>0</v>
      </c>
      <c r="K36" s="268">
        <v>0</v>
      </c>
      <c r="L36" s="268">
        <v>0</v>
      </c>
      <c r="M36" s="268">
        <v>0</v>
      </c>
      <c r="N36" s="268">
        <v>0</v>
      </c>
      <c r="O36" s="268">
        <v>0</v>
      </c>
      <c r="P36" s="268">
        <v>0</v>
      </c>
      <c r="Q36" s="268">
        <v>0</v>
      </c>
      <c r="R36" s="268">
        <v>0</v>
      </c>
    </row>
    <row r="37" spans="1:21" s="310" customFormat="1" ht="12" x14ac:dyDescent="0.3">
      <c r="A37" s="269" t="s">
        <v>198</v>
      </c>
      <c r="B37" s="295" t="s">
        <v>202</v>
      </c>
      <c r="C37" s="271"/>
      <c r="D37" s="271"/>
      <c r="E37" s="271"/>
      <c r="F37" s="271"/>
      <c r="G37" s="271"/>
      <c r="H37" s="271"/>
      <c r="I37" s="271"/>
      <c r="J37" s="271"/>
      <c r="K37" s="271"/>
      <c r="L37" s="271"/>
      <c r="M37" s="271"/>
      <c r="N37" s="271"/>
      <c r="O37" s="271"/>
      <c r="P37" s="271"/>
      <c r="Q37" s="271"/>
      <c r="R37" s="271"/>
    </row>
    <row r="38" spans="1:21" s="310" customFormat="1" ht="12" x14ac:dyDescent="0.3">
      <c r="A38" s="272" t="s">
        <v>203</v>
      </c>
      <c r="B38" s="273" t="s">
        <v>204</v>
      </c>
      <c r="C38" s="274"/>
      <c r="D38" s="274"/>
      <c r="E38" s="274"/>
      <c r="F38" s="274"/>
      <c r="G38" s="274"/>
      <c r="H38" s="274"/>
      <c r="I38" s="274"/>
      <c r="J38" s="274"/>
      <c r="K38" s="274"/>
      <c r="L38" s="274"/>
      <c r="M38" s="274"/>
      <c r="N38" s="274"/>
      <c r="O38" s="274"/>
      <c r="P38" s="274"/>
      <c r="Q38" s="274"/>
      <c r="R38" s="274"/>
    </row>
    <row r="39" spans="1:21" s="310" customFormat="1" ht="22.8" x14ac:dyDescent="0.3">
      <c r="A39" s="249" t="s">
        <v>205</v>
      </c>
      <c r="B39" s="275" t="s">
        <v>206</v>
      </c>
      <c r="C39" s="276" t="s">
        <v>249</v>
      </c>
      <c r="D39" s="268" t="s">
        <v>267</v>
      </c>
      <c r="E39" s="268" t="s">
        <v>251</v>
      </c>
      <c r="F39" s="268">
        <f>SUM(G39:R39)</f>
        <v>0</v>
      </c>
      <c r="G39" s="268">
        <v>0</v>
      </c>
      <c r="H39" s="268">
        <v>0</v>
      </c>
      <c r="I39" s="268">
        <v>0</v>
      </c>
      <c r="J39" s="268">
        <v>0</v>
      </c>
      <c r="K39" s="268">
        <v>0</v>
      </c>
      <c r="L39" s="268">
        <v>0</v>
      </c>
      <c r="M39" s="268">
        <v>0</v>
      </c>
      <c r="N39" s="268">
        <v>0</v>
      </c>
      <c r="O39" s="268">
        <v>0</v>
      </c>
      <c r="P39" s="268">
        <v>0</v>
      </c>
      <c r="Q39" s="268">
        <v>0</v>
      </c>
      <c r="R39" s="268">
        <v>0</v>
      </c>
    </row>
    <row r="40" spans="1:21" s="310" customFormat="1" ht="20.25" customHeight="1" x14ac:dyDescent="0.3">
      <c r="A40" s="249" t="s">
        <v>207</v>
      </c>
      <c r="B40" s="250" t="s">
        <v>208</v>
      </c>
      <c r="C40" s="276" t="s">
        <v>249</v>
      </c>
      <c r="D40" s="268">
        <v>1</v>
      </c>
      <c r="E40" s="268">
        <v>4500</v>
      </c>
      <c r="F40" s="268">
        <f>SUM(G40:R40)</f>
        <v>4500</v>
      </c>
      <c r="G40" s="268">
        <v>0</v>
      </c>
      <c r="H40" s="268">
        <v>0</v>
      </c>
      <c r="I40" s="268">
        <v>0</v>
      </c>
      <c r="J40" s="268">
        <v>0</v>
      </c>
      <c r="K40" s="268">
        <v>0</v>
      </c>
      <c r="L40" s="268">
        <v>0</v>
      </c>
      <c r="M40" s="268">
        <v>0</v>
      </c>
      <c r="N40" s="268">
        <v>4500</v>
      </c>
      <c r="O40" s="268">
        <v>0</v>
      </c>
      <c r="P40" s="268">
        <v>0</v>
      </c>
      <c r="Q40" s="268">
        <v>0</v>
      </c>
      <c r="R40" s="268">
        <v>0</v>
      </c>
    </row>
    <row r="41" spans="1:21" s="310" customFormat="1" ht="21" customHeight="1" x14ac:dyDescent="0.3">
      <c r="A41" s="277" t="s">
        <v>268</v>
      </c>
      <c r="B41" s="278" t="s">
        <v>269</v>
      </c>
      <c r="C41" s="276" t="s">
        <v>249</v>
      </c>
      <c r="D41" s="268">
        <v>1</v>
      </c>
      <c r="E41" s="268">
        <v>0</v>
      </c>
      <c r="F41" s="268">
        <f>SUM(G41:R41)</f>
        <v>0</v>
      </c>
      <c r="G41" s="268">
        <v>0</v>
      </c>
      <c r="H41" s="268">
        <v>0</v>
      </c>
      <c r="I41" s="268">
        <v>0</v>
      </c>
      <c r="J41" s="268">
        <v>0</v>
      </c>
      <c r="K41" s="268">
        <v>0</v>
      </c>
      <c r="L41" s="268">
        <v>0</v>
      </c>
      <c r="M41" s="268">
        <v>0</v>
      </c>
      <c r="N41" s="268">
        <v>0</v>
      </c>
      <c r="O41" s="268">
        <v>0</v>
      </c>
      <c r="P41" s="268">
        <v>0</v>
      </c>
      <c r="Q41" s="268">
        <v>0</v>
      </c>
      <c r="R41" s="268">
        <v>0</v>
      </c>
    </row>
    <row r="42" spans="1:21" s="310" customFormat="1" ht="39" customHeight="1" x14ac:dyDescent="0.3">
      <c r="A42" s="277" t="s">
        <v>270</v>
      </c>
      <c r="B42" s="278" t="s">
        <v>271</v>
      </c>
      <c r="C42" s="276" t="s">
        <v>247</v>
      </c>
      <c r="D42" s="268" t="s">
        <v>272</v>
      </c>
      <c r="E42" s="268" t="s">
        <v>251</v>
      </c>
      <c r="F42" s="268">
        <f>SUM(G42:R42)</f>
        <v>0</v>
      </c>
      <c r="G42" s="268">
        <v>0</v>
      </c>
      <c r="H42" s="268">
        <v>0</v>
      </c>
      <c r="I42" s="268">
        <v>0</v>
      </c>
      <c r="J42" s="268">
        <v>0</v>
      </c>
      <c r="K42" s="268">
        <v>0</v>
      </c>
      <c r="L42" s="268">
        <v>0</v>
      </c>
      <c r="M42" s="268">
        <v>0</v>
      </c>
      <c r="N42" s="268">
        <v>0</v>
      </c>
      <c r="O42" s="268">
        <v>0</v>
      </c>
      <c r="P42" s="268">
        <v>0</v>
      </c>
      <c r="Q42" s="268">
        <v>0</v>
      </c>
      <c r="R42" s="268">
        <v>0</v>
      </c>
    </row>
    <row r="43" spans="1:21" s="252" customFormat="1" ht="12" x14ac:dyDescent="0.3">
      <c r="A43" s="256" t="s">
        <v>203</v>
      </c>
      <c r="B43" s="296" t="s">
        <v>209</v>
      </c>
      <c r="C43" s="258"/>
      <c r="D43" s="258"/>
      <c r="E43" s="258"/>
      <c r="F43" s="279">
        <f>SUM(G43:R43)</f>
        <v>4500</v>
      </c>
      <c r="G43" s="279">
        <f>G39+G40+G41+G42</f>
        <v>0</v>
      </c>
      <c r="H43" s="279">
        <f>H39+H40+H41+H42</f>
        <v>0</v>
      </c>
      <c r="I43" s="279">
        <f>I39+I40+I41+I42</f>
        <v>0</v>
      </c>
      <c r="J43" s="279">
        <f>J39+J40+J41+J42</f>
        <v>0</v>
      </c>
      <c r="K43" s="279">
        <f t="shared" ref="K43:R43" si="7">K39+K40+K41+K42</f>
        <v>0</v>
      </c>
      <c r="L43" s="279">
        <f t="shared" si="7"/>
        <v>0</v>
      </c>
      <c r="M43" s="279">
        <f t="shared" si="7"/>
        <v>0</v>
      </c>
      <c r="N43" s="279">
        <f t="shared" si="7"/>
        <v>4500</v>
      </c>
      <c r="O43" s="279">
        <f t="shared" si="7"/>
        <v>0</v>
      </c>
      <c r="P43" s="279">
        <f t="shared" si="7"/>
        <v>0</v>
      </c>
      <c r="Q43" s="279">
        <f t="shared" si="7"/>
        <v>0</v>
      </c>
      <c r="R43" s="279">
        <f t="shared" si="7"/>
        <v>0</v>
      </c>
      <c r="S43" s="310"/>
      <c r="T43" s="310"/>
      <c r="U43" s="310"/>
    </row>
    <row r="44" spans="1:21" s="252" customFormat="1" ht="12" x14ac:dyDescent="0.3">
      <c r="A44" s="280" t="s">
        <v>210</v>
      </c>
      <c r="B44" s="281" t="s">
        <v>211</v>
      </c>
      <c r="C44" s="282"/>
      <c r="D44" s="282"/>
      <c r="E44" s="282"/>
      <c r="F44" s="283">
        <f>F7+F18</f>
        <v>518589.60000000003</v>
      </c>
      <c r="G44" s="283">
        <f t="shared" ref="G44:R44" si="8">G7+G18</f>
        <v>41839.25</v>
      </c>
      <c r="H44" s="283">
        <f t="shared" si="8"/>
        <v>41839.25</v>
      </c>
      <c r="I44" s="283">
        <f t="shared" si="8"/>
        <v>41839.25</v>
      </c>
      <c r="J44" s="283">
        <f t="shared" si="8"/>
        <v>41839.25</v>
      </c>
      <c r="K44" s="283">
        <f t="shared" si="8"/>
        <v>41839.25</v>
      </c>
      <c r="L44" s="283">
        <f t="shared" si="8"/>
        <v>41839.25</v>
      </c>
      <c r="M44" s="283">
        <f t="shared" si="8"/>
        <v>41839.25</v>
      </c>
      <c r="N44" s="283">
        <f t="shared" si="8"/>
        <v>44592.35</v>
      </c>
      <c r="O44" s="283">
        <f t="shared" si="8"/>
        <v>44592.35</v>
      </c>
      <c r="P44" s="283">
        <f t="shared" si="8"/>
        <v>44592.35</v>
      </c>
      <c r="Q44" s="283">
        <f t="shared" si="8"/>
        <v>45968.9</v>
      </c>
      <c r="R44" s="283">
        <f t="shared" si="8"/>
        <v>45968.9</v>
      </c>
      <c r="S44" s="310">
        <f>F44*0.15</f>
        <v>77788.44</v>
      </c>
      <c r="T44" s="310"/>
      <c r="U44" s="310"/>
    </row>
    <row r="45" spans="1:21" s="252" customFormat="1" ht="12" hidden="1" x14ac:dyDescent="0.3">
      <c r="A45" s="284"/>
      <c r="B45" s="285"/>
      <c r="C45" s="286"/>
      <c r="D45" s="286"/>
      <c r="E45" s="286" t="e">
        <f>SUM(#REF!)</f>
        <v>#REF!</v>
      </c>
      <c r="F45" s="286"/>
      <c r="G45" s="286"/>
      <c r="H45" s="286"/>
      <c r="I45" s="286"/>
      <c r="J45" s="286"/>
      <c r="K45" s="286"/>
      <c r="L45" s="286"/>
      <c r="M45" s="286"/>
      <c r="N45" s="286"/>
      <c r="O45" s="286"/>
      <c r="P45" s="286"/>
      <c r="Q45" s="286"/>
      <c r="R45" s="286"/>
      <c r="S45" s="310"/>
      <c r="T45" s="310"/>
      <c r="U45" s="310"/>
    </row>
    <row r="46" spans="1:21" s="252" customFormat="1" ht="12" hidden="1" x14ac:dyDescent="0.3">
      <c r="A46" s="284"/>
      <c r="B46" s="285"/>
      <c r="C46" s="286"/>
      <c r="D46" s="286"/>
      <c r="E46" s="286"/>
      <c r="F46" s="271"/>
      <c r="G46" s="271"/>
      <c r="H46" s="271"/>
      <c r="I46" s="271"/>
      <c r="J46" s="271"/>
      <c r="K46" s="271"/>
      <c r="L46" s="271"/>
      <c r="M46" s="271"/>
      <c r="N46" s="271"/>
      <c r="O46" s="271"/>
      <c r="P46" s="271"/>
      <c r="Q46" s="271"/>
      <c r="R46" s="271"/>
      <c r="S46" s="310"/>
      <c r="T46" s="310"/>
      <c r="U46" s="310"/>
    </row>
    <row r="47" spans="1:21" s="252" customFormat="1" ht="12" hidden="1" x14ac:dyDescent="0.3">
      <c r="A47" s="284"/>
      <c r="B47" s="285"/>
      <c r="C47" s="286"/>
      <c r="D47" s="286"/>
      <c r="E47" s="286"/>
      <c r="F47" s="271"/>
      <c r="G47" s="271"/>
      <c r="H47" s="271"/>
      <c r="I47" s="271"/>
      <c r="J47" s="271"/>
      <c r="K47" s="271"/>
      <c r="L47" s="271"/>
      <c r="M47" s="271"/>
      <c r="N47" s="271"/>
      <c r="O47" s="271"/>
      <c r="P47" s="271"/>
      <c r="Q47" s="271"/>
      <c r="R47" s="271"/>
      <c r="S47" s="310"/>
      <c r="T47" s="310"/>
      <c r="U47" s="310"/>
    </row>
    <row r="48" spans="1:21" s="252" customFormat="1" ht="12" hidden="1" x14ac:dyDescent="0.3">
      <c r="A48" s="284"/>
      <c r="B48" s="285"/>
      <c r="C48" s="286"/>
      <c r="D48" s="286"/>
      <c r="E48" s="286"/>
      <c r="F48" s="271"/>
      <c r="G48" s="271"/>
      <c r="H48" s="271"/>
      <c r="I48" s="271"/>
      <c r="J48" s="271"/>
      <c r="K48" s="271"/>
      <c r="L48" s="271"/>
      <c r="M48" s="271"/>
      <c r="N48" s="271"/>
      <c r="O48" s="271"/>
      <c r="P48" s="271"/>
      <c r="Q48" s="271"/>
      <c r="R48" s="271"/>
      <c r="S48" s="310"/>
      <c r="T48" s="310"/>
      <c r="U48" s="310"/>
    </row>
    <row r="49" spans="1:21" s="252" customFormat="1" ht="12" hidden="1" x14ac:dyDescent="0.3">
      <c r="A49" s="284"/>
      <c r="B49" s="285"/>
      <c r="C49" s="286"/>
      <c r="D49" s="286"/>
      <c r="E49" s="286"/>
      <c r="F49" s="271"/>
      <c r="G49" s="271"/>
      <c r="H49" s="271"/>
      <c r="I49" s="271"/>
      <c r="J49" s="271"/>
      <c r="K49" s="271"/>
      <c r="L49" s="271"/>
      <c r="M49" s="271"/>
      <c r="N49" s="271"/>
      <c r="O49" s="271"/>
      <c r="P49" s="271"/>
      <c r="Q49" s="271"/>
      <c r="R49" s="271"/>
      <c r="S49" s="310"/>
      <c r="T49" s="310"/>
      <c r="U49" s="310"/>
    </row>
    <row r="50" spans="1:21" s="252" customFormat="1" ht="12" x14ac:dyDescent="0.3">
      <c r="A50" s="260" t="s">
        <v>212</v>
      </c>
      <c r="B50" s="261" t="s">
        <v>213</v>
      </c>
      <c r="C50" s="233"/>
      <c r="D50" s="233"/>
      <c r="E50" s="227"/>
      <c r="F50" s="233">
        <f>15*F44/100</f>
        <v>77788.44</v>
      </c>
      <c r="G50" s="233">
        <f t="shared" ref="G50:R50" si="9">15*G44/100</f>
        <v>6275.8874999999998</v>
      </c>
      <c r="H50" s="233">
        <f t="shared" si="9"/>
        <v>6275.8874999999998</v>
      </c>
      <c r="I50" s="233">
        <f t="shared" si="9"/>
        <v>6275.8874999999998</v>
      </c>
      <c r="J50" s="233">
        <f t="shared" si="9"/>
        <v>6275.8874999999998</v>
      </c>
      <c r="K50" s="233">
        <f t="shared" si="9"/>
        <v>6275.8874999999998</v>
      </c>
      <c r="L50" s="233">
        <f t="shared" si="9"/>
        <v>6275.8874999999998</v>
      </c>
      <c r="M50" s="233">
        <f t="shared" si="9"/>
        <v>6275.8874999999998</v>
      </c>
      <c r="N50" s="233">
        <f t="shared" si="9"/>
        <v>6688.8525</v>
      </c>
      <c r="O50" s="233">
        <f t="shared" si="9"/>
        <v>6688.8525</v>
      </c>
      <c r="P50" s="233">
        <f t="shared" si="9"/>
        <v>6688.8525</v>
      </c>
      <c r="Q50" s="233">
        <f t="shared" si="9"/>
        <v>6895.335</v>
      </c>
      <c r="R50" s="233">
        <f t="shared" si="9"/>
        <v>6895.335</v>
      </c>
    </row>
    <row r="51" spans="1:21" s="287" customFormat="1" ht="12" x14ac:dyDescent="0.3">
      <c r="A51" s="347" t="s">
        <v>228</v>
      </c>
      <c r="B51" s="348"/>
      <c r="C51" s="259"/>
      <c r="D51" s="259"/>
      <c r="E51" s="259"/>
      <c r="F51" s="259">
        <f>SUM(G51:R51)</f>
        <v>77788.44</v>
      </c>
      <c r="G51" s="259">
        <f>G50</f>
        <v>6275.8874999999998</v>
      </c>
      <c r="H51" s="259">
        <f>H50</f>
        <v>6275.8874999999998</v>
      </c>
      <c r="I51" s="259">
        <f>I50</f>
        <v>6275.8874999999998</v>
      </c>
      <c r="J51" s="259">
        <f>J50</f>
        <v>6275.8874999999998</v>
      </c>
      <c r="K51" s="259">
        <f>K50</f>
        <v>6275.8874999999998</v>
      </c>
      <c r="L51" s="259">
        <f t="shared" ref="L51:R51" si="10">L50</f>
        <v>6275.8874999999998</v>
      </c>
      <c r="M51" s="259">
        <f t="shared" si="10"/>
        <v>6275.8874999999998</v>
      </c>
      <c r="N51" s="259">
        <f t="shared" si="10"/>
        <v>6688.8525</v>
      </c>
      <c r="O51" s="259">
        <f t="shared" si="10"/>
        <v>6688.8525</v>
      </c>
      <c r="P51" s="259">
        <f t="shared" si="10"/>
        <v>6688.8525</v>
      </c>
      <c r="Q51" s="259">
        <f t="shared" si="10"/>
        <v>6895.335</v>
      </c>
      <c r="R51" s="259">
        <f t="shared" si="10"/>
        <v>6895.335</v>
      </c>
    </row>
    <row r="52" spans="1:21" s="287" customFormat="1" ht="12" x14ac:dyDescent="0.3">
      <c r="A52" s="249"/>
      <c r="B52" s="220" t="s">
        <v>229</v>
      </c>
      <c r="C52" s="232"/>
      <c r="D52" s="232"/>
      <c r="E52" s="232"/>
      <c r="F52" s="288">
        <f>F7+F10+F34+F50</f>
        <v>717386.04</v>
      </c>
      <c r="G52" s="288">
        <f t="shared" ref="G52:R52" si="11">G7+G10+G34+G50</f>
        <v>62849.137499999997</v>
      </c>
      <c r="H52" s="288">
        <f t="shared" si="11"/>
        <v>58099.137499999997</v>
      </c>
      <c r="I52" s="288">
        <f t="shared" si="11"/>
        <v>60749.137499999997</v>
      </c>
      <c r="J52" s="288">
        <f t="shared" si="11"/>
        <v>62099.137499999997</v>
      </c>
      <c r="K52" s="288">
        <f t="shared" si="11"/>
        <v>55249.137499999997</v>
      </c>
      <c r="L52" s="288">
        <f t="shared" si="11"/>
        <v>57999.137499999997</v>
      </c>
      <c r="M52" s="288">
        <f t="shared" si="11"/>
        <v>49949.137499999997</v>
      </c>
      <c r="N52" s="288">
        <f t="shared" si="11"/>
        <v>69865.202499999999</v>
      </c>
      <c r="O52" s="288">
        <f t="shared" si="11"/>
        <v>54665.202499999999</v>
      </c>
      <c r="P52" s="288">
        <f t="shared" si="11"/>
        <v>61565.202499999999</v>
      </c>
      <c r="Q52" s="288">
        <f t="shared" si="11"/>
        <v>61298.235000000001</v>
      </c>
      <c r="R52" s="288">
        <f t="shared" si="11"/>
        <v>62998.235000000001</v>
      </c>
    </row>
    <row r="53" spans="1:21" ht="12" x14ac:dyDescent="0.25">
      <c r="A53" s="341"/>
      <c r="B53" s="342"/>
      <c r="C53" s="289"/>
      <c r="D53" s="289"/>
      <c r="E53" s="289"/>
      <c r="F53" s="289"/>
      <c r="G53" s="311">
        <v>45092.28</v>
      </c>
      <c r="H53" s="311">
        <v>44163.07</v>
      </c>
      <c r="I53" s="311">
        <v>52514.74</v>
      </c>
      <c r="J53" s="311">
        <v>47910.62</v>
      </c>
      <c r="K53" s="311">
        <v>47790.55</v>
      </c>
      <c r="L53" s="312">
        <v>51248.91</v>
      </c>
      <c r="M53" s="316">
        <v>42033.38</v>
      </c>
      <c r="N53" s="317">
        <v>51970.11</v>
      </c>
      <c r="O53" s="289">
        <v>52629.33</v>
      </c>
      <c r="P53" s="289">
        <v>71537.119999999995</v>
      </c>
      <c r="Q53" s="289">
        <v>69091.61</v>
      </c>
      <c r="R53" s="289"/>
    </row>
    <row r="54" spans="1:21" x14ac:dyDescent="0.2">
      <c r="P54" s="526">
        <v>71537.119999999995</v>
      </c>
      <c r="Q54" s="527"/>
    </row>
    <row r="55" spans="1:21" x14ac:dyDescent="0.2">
      <c r="O55" s="526">
        <v>52629.33</v>
      </c>
      <c r="P55" s="527"/>
    </row>
    <row r="56" spans="1:21" x14ac:dyDescent="0.2">
      <c r="S56" s="218">
        <f>M53+N53+O53</f>
        <v>146632.82</v>
      </c>
    </row>
    <row r="57" spans="1:21" x14ac:dyDescent="0.2">
      <c r="K57" s="217">
        <f>J53+K53+L53</f>
        <v>146950.08000000002</v>
      </c>
      <c r="N57" s="217">
        <v>47790.55</v>
      </c>
    </row>
    <row r="58" spans="1:21" x14ac:dyDescent="0.2">
      <c r="N58" s="217">
        <v>51248.91</v>
      </c>
    </row>
    <row r="59" spans="1:21" x14ac:dyDescent="0.2">
      <c r="N59" s="217">
        <v>42033.383999999998</v>
      </c>
    </row>
    <row r="60" spans="1:21" x14ac:dyDescent="0.2">
      <c r="N60" s="217">
        <v>51970.110000000015</v>
      </c>
    </row>
    <row r="61" spans="1:21" x14ac:dyDescent="0.2">
      <c r="N61" s="217">
        <v>47000</v>
      </c>
    </row>
  </sheetData>
  <mergeCells count="6">
    <mergeCell ref="A53:B53"/>
    <mergeCell ref="B8:J8"/>
    <mergeCell ref="B11:J11"/>
    <mergeCell ref="B19:J19"/>
    <mergeCell ref="B35:J35"/>
    <mergeCell ref="A51:B51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72"/>
  <sheetViews>
    <sheetView topLeftCell="A31" workbookViewId="0">
      <selection activeCell="D78" sqref="D78"/>
    </sheetView>
  </sheetViews>
  <sheetFormatPr defaultRowHeight="11.4" x14ac:dyDescent="0.2"/>
  <cols>
    <col min="1" max="1" width="9.109375" style="136" customWidth="1"/>
    <col min="2" max="2" width="46.44140625" style="137" customWidth="1"/>
    <col min="3" max="3" width="14.33203125" style="138" customWidth="1"/>
    <col min="4" max="4" width="10.6640625" style="138" customWidth="1"/>
    <col min="5" max="5" width="11.109375" style="138" customWidth="1"/>
    <col min="6" max="6" width="10.6640625" style="138" customWidth="1"/>
    <col min="7" max="7" width="10.33203125" style="138" customWidth="1"/>
    <col min="8" max="8" width="9.44140625" style="139" customWidth="1"/>
    <col min="9" max="9" width="10.44140625" style="139" customWidth="1"/>
    <col min="10" max="10" width="10.109375" style="139" customWidth="1"/>
    <col min="11" max="11" width="10.6640625" style="140" customWidth="1"/>
    <col min="12" max="13" width="10.88671875" style="140" customWidth="1"/>
    <col min="14" max="14" width="11.109375" style="140" customWidth="1"/>
    <col min="15" max="15" width="12" style="140" customWidth="1"/>
    <col min="16" max="256" width="9.109375" style="102"/>
    <col min="257" max="257" width="9.109375" style="102" customWidth="1"/>
    <col min="258" max="258" width="46.44140625" style="102" customWidth="1"/>
    <col min="259" max="259" width="14.33203125" style="102" customWidth="1"/>
    <col min="260" max="260" width="10.6640625" style="102" customWidth="1"/>
    <col min="261" max="261" width="11.109375" style="102" customWidth="1"/>
    <col min="262" max="262" width="10.6640625" style="102" customWidth="1"/>
    <col min="263" max="263" width="10.33203125" style="102" customWidth="1"/>
    <col min="264" max="264" width="9.44140625" style="102" customWidth="1"/>
    <col min="265" max="265" width="10.44140625" style="102" customWidth="1"/>
    <col min="266" max="266" width="10.109375" style="102" customWidth="1"/>
    <col min="267" max="267" width="10.6640625" style="102" customWidth="1"/>
    <col min="268" max="269" width="10.88671875" style="102" customWidth="1"/>
    <col min="270" max="270" width="11.109375" style="102" customWidth="1"/>
    <col min="271" max="271" width="12" style="102" customWidth="1"/>
    <col min="272" max="512" width="9.109375" style="102"/>
    <col min="513" max="513" width="9.109375" style="102" customWidth="1"/>
    <col min="514" max="514" width="46.44140625" style="102" customWidth="1"/>
    <col min="515" max="515" width="14.33203125" style="102" customWidth="1"/>
    <col min="516" max="516" width="10.6640625" style="102" customWidth="1"/>
    <col min="517" max="517" width="11.109375" style="102" customWidth="1"/>
    <col min="518" max="518" width="10.6640625" style="102" customWidth="1"/>
    <col min="519" max="519" width="10.33203125" style="102" customWidth="1"/>
    <col min="520" max="520" width="9.44140625" style="102" customWidth="1"/>
    <col min="521" max="521" width="10.44140625" style="102" customWidth="1"/>
    <col min="522" max="522" width="10.109375" style="102" customWidth="1"/>
    <col min="523" max="523" width="10.6640625" style="102" customWidth="1"/>
    <col min="524" max="525" width="10.88671875" style="102" customWidth="1"/>
    <col min="526" max="526" width="11.109375" style="102" customWidth="1"/>
    <col min="527" max="527" width="12" style="102" customWidth="1"/>
    <col min="528" max="768" width="9.109375" style="102"/>
    <col min="769" max="769" width="9.109375" style="102" customWidth="1"/>
    <col min="770" max="770" width="46.44140625" style="102" customWidth="1"/>
    <col min="771" max="771" width="14.33203125" style="102" customWidth="1"/>
    <col min="772" max="772" width="10.6640625" style="102" customWidth="1"/>
    <col min="773" max="773" width="11.109375" style="102" customWidth="1"/>
    <col min="774" max="774" width="10.6640625" style="102" customWidth="1"/>
    <col min="775" max="775" width="10.33203125" style="102" customWidth="1"/>
    <col min="776" max="776" width="9.44140625" style="102" customWidth="1"/>
    <col min="777" max="777" width="10.44140625" style="102" customWidth="1"/>
    <col min="778" max="778" width="10.109375" style="102" customWidth="1"/>
    <col min="779" max="779" width="10.6640625" style="102" customWidth="1"/>
    <col min="780" max="781" width="10.88671875" style="102" customWidth="1"/>
    <col min="782" max="782" width="11.109375" style="102" customWidth="1"/>
    <col min="783" max="783" width="12" style="102" customWidth="1"/>
    <col min="784" max="1024" width="9.109375" style="102"/>
    <col min="1025" max="1025" width="9.109375" style="102" customWidth="1"/>
    <col min="1026" max="1026" width="46.44140625" style="102" customWidth="1"/>
    <col min="1027" max="1027" width="14.33203125" style="102" customWidth="1"/>
    <col min="1028" max="1028" width="10.6640625" style="102" customWidth="1"/>
    <col min="1029" max="1029" width="11.109375" style="102" customWidth="1"/>
    <col min="1030" max="1030" width="10.6640625" style="102" customWidth="1"/>
    <col min="1031" max="1031" width="10.33203125" style="102" customWidth="1"/>
    <col min="1032" max="1032" width="9.44140625" style="102" customWidth="1"/>
    <col min="1033" max="1033" width="10.44140625" style="102" customWidth="1"/>
    <col min="1034" max="1034" width="10.109375" style="102" customWidth="1"/>
    <col min="1035" max="1035" width="10.6640625" style="102" customWidth="1"/>
    <col min="1036" max="1037" width="10.88671875" style="102" customWidth="1"/>
    <col min="1038" max="1038" width="11.109375" style="102" customWidth="1"/>
    <col min="1039" max="1039" width="12" style="102" customWidth="1"/>
    <col min="1040" max="1280" width="9.109375" style="102"/>
    <col min="1281" max="1281" width="9.109375" style="102" customWidth="1"/>
    <col min="1282" max="1282" width="46.44140625" style="102" customWidth="1"/>
    <col min="1283" max="1283" width="14.33203125" style="102" customWidth="1"/>
    <col min="1284" max="1284" width="10.6640625" style="102" customWidth="1"/>
    <col min="1285" max="1285" width="11.109375" style="102" customWidth="1"/>
    <col min="1286" max="1286" width="10.6640625" style="102" customWidth="1"/>
    <col min="1287" max="1287" width="10.33203125" style="102" customWidth="1"/>
    <col min="1288" max="1288" width="9.44140625" style="102" customWidth="1"/>
    <col min="1289" max="1289" width="10.44140625" style="102" customWidth="1"/>
    <col min="1290" max="1290" width="10.109375" style="102" customWidth="1"/>
    <col min="1291" max="1291" width="10.6640625" style="102" customWidth="1"/>
    <col min="1292" max="1293" width="10.88671875" style="102" customWidth="1"/>
    <col min="1294" max="1294" width="11.109375" style="102" customWidth="1"/>
    <col min="1295" max="1295" width="12" style="102" customWidth="1"/>
    <col min="1296" max="1536" width="9.109375" style="102"/>
    <col min="1537" max="1537" width="9.109375" style="102" customWidth="1"/>
    <col min="1538" max="1538" width="46.44140625" style="102" customWidth="1"/>
    <col min="1539" max="1539" width="14.33203125" style="102" customWidth="1"/>
    <col min="1540" max="1540" width="10.6640625" style="102" customWidth="1"/>
    <col min="1541" max="1541" width="11.109375" style="102" customWidth="1"/>
    <col min="1542" max="1542" width="10.6640625" style="102" customWidth="1"/>
    <col min="1543" max="1543" width="10.33203125" style="102" customWidth="1"/>
    <col min="1544" max="1544" width="9.44140625" style="102" customWidth="1"/>
    <col min="1545" max="1545" width="10.44140625" style="102" customWidth="1"/>
    <col min="1546" max="1546" width="10.109375" style="102" customWidth="1"/>
    <col min="1547" max="1547" width="10.6640625" style="102" customWidth="1"/>
    <col min="1548" max="1549" width="10.88671875" style="102" customWidth="1"/>
    <col min="1550" max="1550" width="11.109375" style="102" customWidth="1"/>
    <col min="1551" max="1551" width="12" style="102" customWidth="1"/>
    <col min="1552" max="1792" width="9.109375" style="102"/>
    <col min="1793" max="1793" width="9.109375" style="102" customWidth="1"/>
    <col min="1794" max="1794" width="46.44140625" style="102" customWidth="1"/>
    <col min="1795" max="1795" width="14.33203125" style="102" customWidth="1"/>
    <col min="1796" max="1796" width="10.6640625" style="102" customWidth="1"/>
    <col min="1797" max="1797" width="11.109375" style="102" customWidth="1"/>
    <col min="1798" max="1798" width="10.6640625" style="102" customWidth="1"/>
    <col min="1799" max="1799" width="10.33203125" style="102" customWidth="1"/>
    <col min="1800" max="1800" width="9.44140625" style="102" customWidth="1"/>
    <col min="1801" max="1801" width="10.44140625" style="102" customWidth="1"/>
    <col min="1802" max="1802" width="10.109375" style="102" customWidth="1"/>
    <col min="1803" max="1803" width="10.6640625" style="102" customWidth="1"/>
    <col min="1804" max="1805" width="10.88671875" style="102" customWidth="1"/>
    <col min="1806" max="1806" width="11.109375" style="102" customWidth="1"/>
    <col min="1807" max="1807" width="12" style="102" customWidth="1"/>
    <col min="1808" max="2048" width="9.109375" style="102"/>
    <col min="2049" max="2049" width="9.109375" style="102" customWidth="1"/>
    <col min="2050" max="2050" width="46.44140625" style="102" customWidth="1"/>
    <col min="2051" max="2051" width="14.33203125" style="102" customWidth="1"/>
    <col min="2052" max="2052" width="10.6640625" style="102" customWidth="1"/>
    <col min="2053" max="2053" width="11.109375" style="102" customWidth="1"/>
    <col min="2054" max="2054" width="10.6640625" style="102" customWidth="1"/>
    <col min="2055" max="2055" width="10.33203125" style="102" customWidth="1"/>
    <col min="2056" max="2056" width="9.44140625" style="102" customWidth="1"/>
    <col min="2057" max="2057" width="10.44140625" style="102" customWidth="1"/>
    <col min="2058" max="2058" width="10.109375" style="102" customWidth="1"/>
    <col min="2059" max="2059" width="10.6640625" style="102" customWidth="1"/>
    <col min="2060" max="2061" width="10.88671875" style="102" customWidth="1"/>
    <col min="2062" max="2062" width="11.109375" style="102" customWidth="1"/>
    <col min="2063" max="2063" width="12" style="102" customWidth="1"/>
    <col min="2064" max="2304" width="9.109375" style="102"/>
    <col min="2305" max="2305" width="9.109375" style="102" customWidth="1"/>
    <col min="2306" max="2306" width="46.44140625" style="102" customWidth="1"/>
    <col min="2307" max="2307" width="14.33203125" style="102" customWidth="1"/>
    <col min="2308" max="2308" width="10.6640625" style="102" customWidth="1"/>
    <col min="2309" max="2309" width="11.109375" style="102" customWidth="1"/>
    <col min="2310" max="2310" width="10.6640625" style="102" customWidth="1"/>
    <col min="2311" max="2311" width="10.33203125" style="102" customWidth="1"/>
    <col min="2312" max="2312" width="9.44140625" style="102" customWidth="1"/>
    <col min="2313" max="2313" width="10.44140625" style="102" customWidth="1"/>
    <col min="2314" max="2314" width="10.109375" style="102" customWidth="1"/>
    <col min="2315" max="2315" width="10.6640625" style="102" customWidth="1"/>
    <col min="2316" max="2317" width="10.88671875" style="102" customWidth="1"/>
    <col min="2318" max="2318" width="11.109375" style="102" customWidth="1"/>
    <col min="2319" max="2319" width="12" style="102" customWidth="1"/>
    <col min="2320" max="2560" width="9.109375" style="102"/>
    <col min="2561" max="2561" width="9.109375" style="102" customWidth="1"/>
    <col min="2562" max="2562" width="46.44140625" style="102" customWidth="1"/>
    <col min="2563" max="2563" width="14.33203125" style="102" customWidth="1"/>
    <col min="2564" max="2564" width="10.6640625" style="102" customWidth="1"/>
    <col min="2565" max="2565" width="11.109375" style="102" customWidth="1"/>
    <col min="2566" max="2566" width="10.6640625" style="102" customWidth="1"/>
    <col min="2567" max="2567" width="10.33203125" style="102" customWidth="1"/>
    <col min="2568" max="2568" width="9.44140625" style="102" customWidth="1"/>
    <col min="2569" max="2569" width="10.44140625" style="102" customWidth="1"/>
    <col min="2570" max="2570" width="10.109375" style="102" customWidth="1"/>
    <col min="2571" max="2571" width="10.6640625" style="102" customWidth="1"/>
    <col min="2572" max="2573" width="10.88671875" style="102" customWidth="1"/>
    <col min="2574" max="2574" width="11.109375" style="102" customWidth="1"/>
    <col min="2575" max="2575" width="12" style="102" customWidth="1"/>
    <col min="2576" max="2816" width="9.109375" style="102"/>
    <col min="2817" max="2817" width="9.109375" style="102" customWidth="1"/>
    <col min="2818" max="2818" width="46.44140625" style="102" customWidth="1"/>
    <col min="2819" max="2819" width="14.33203125" style="102" customWidth="1"/>
    <col min="2820" max="2820" width="10.6640625" style="102" customWidth="1"/>
    <col min="2821" max="2821" width="11.109375" style="102" customWidth="1"/>
    <col min="2822" max="2822" width="10.6640625" style="102" customWidth="1"/>
    <col min="2823" max="2823" width="10.33203125" style="102" customWidth="1"/>
    <col min="2824" max="2824" width="9.44140625" style="102" customWidth="1"/>
    <col min="2825" max="2825" width="10.44140625" style="102" customWidth="1"/>
    <col min="2826" max="2826" width="10.109375" style="102" customWidth="1"/>
    <col min="2827" max="2827" width="10.6640625" style="102" customWidth="1"/>
    <col min="2828" max="2829" width="10.88671875" style="102" customWidth="1"/>
    <col min="2830" max="2830" width="11.109375" style="102" customWidth="1"/>
    <col min="2831" max="2831" width="12" style="102" customWidth="1"/>
    <col min="2832" max="3072" width="9.109375" style="102"/>
    <col min="3073" max="3073" width="9.109375" style="102" customWidth="1"/>
    <col min="3074" max="3074" width="46.44140625" style="102" customWidth="1"/>
    <col min="3075" max="3075" width="14.33203125" style="102" customWidth="1"/>
    <col min="3076" max="3076" width="10.6640625" style="102" customWidth="1"/>
    <col min="3077" max="3077" width="11.109375" style="102" customWidth="1"/>
    <col min="3078" max="3078" width="10.6640625" style="102" customWidth="1"/>
    <col min="3079" max="3079" width="10.33203125" style="102" customWidth="1"/>
    <col min="3080" max="3080" width="9.44140625" style="102" customWidth="1"/>
    <col min="3081" max="3081" width="10.44140625" style="102" customWidth="1"/>
    <col min="3082" max="3082" width="10.109375" style="102" customWidth="1"/>
    <col min="3083" max="3083" width="10.6640625" style="102" customWidth="1"/>
    <col min="3084" max="3085" width="10.88671875" style="102" customWidth="1"/>
    <col min="3086" max="3086" width="11.109375" style="102" customWidth="1"/>
    <col min="3087" max="3087" width="12" style="102" customWidth="1"/>
    <col min="3088" max="3328" width="9.109375" style="102"/>
    <col min="3329" max="3329" width="9.109375" style="102" customWidth="1"/>
    <col min="3330" max="3330" width="46.44140625" style="102" customWidth="1"/>
    <col min="3331" max="3331" width="14.33203125" style="102" customWidth="1"/>
    <col min="3332" max="3332" width="10.6640625" style="102" customWidth="1"/>
    <col min="3333" max="3333" width="11.109375" style="102" customWidth="1"/>
    <col min="3334" max="3334" width="10.6640625" style="102" customWidth="1"/>
    <col min="3335" max="3335" width="10.33203125" style="102" customWidth="1"/>
    <col min="3336" max="3336" width="9.44140625" style="102" customWidth="1"/>
    <col min="3337" max="3337" width="10.44140625" style="102" customWidth="1"/>
    <col min="3338" max="3338" width="10.109375" style="102" customWidth="1"/>
    <col min="3339" max="3339" width="10.6640625" style="102" customWidth="1"/>
    <col min="3340" max="3341" width="10.88671875" style="102" customWidth="1"/>
    <col min="3342" max="3342" width="11.109375" style="102" customWidth="1"/>
    <col min="3343" max="3343" width="12" style="102" customWidth="1"/>
    <col min="3344" max="3584" width="9.109375" style="102"/>
    <col min="3585" max="3585" width="9.109375" style="102" customWidth="1"/>
    <col min="3586" max="3586" width="46.44140625" style="102" customWidth="1"/>
    <col min="3587" max="3587" width="14.33203125" style="102" customWidth="1"/>
    <col min="3588" max="3588" width="10.6640625" style="102" customWidth="1"/>
    <col min="3589" max="3589" width="11.109375" style="102" customWidth="1"/>
    <col min="3590" max="3590" width="10.6640625" style="102" customWidth="1"/>
    <col min="3591" max="3591" width="10.33203125" style="102" customWidth="1"/>
    <col min="3592" max="3592" width="9.44140625" style="102" customWidth="1"/>
    <col min="3593" max="3593" width="10.44140625" style="102" customWidth="1"/>
    <col min="3594" max="3594" width="10.109375" style="102" customWidth="1"/>
    <col min="3595" max="3595" width="10.6640625" style="102" customWidth="1"/>
    <col min="3596" max="3597" width="10.88671875" style="102" customWidth="1"/>
    <col min="3598" max="3598" width="11.109375" style="102" customWidth="1"/>
    <col min="3599" max="3599" width="12" style="102" customWidth="1"/>
    <col min="3600" max="3840" width="9.109375" style="102"/>
    <col min="3841" max="3841" width="9.109375" style="102" customWidth="1"/>
    <col min="3842" max="3842" width="46.44140625" style="102" customWidth="1"/>
    <col min="3843" max="3843" width="14.33203125" style="102" customWidth="1"/>
    <col min="3844" max="3844" width="10.6640625" style="102" customWidth="1"/>
    <col min="3845" max="3845" width="11.109375" style="102" customWidth="1"/>
    <col min="3846" max="3846" width="10.6640625" style="102" customWidth="1"/>
    <col min="3847" max="3847" width="10.33203125" style="102" customWidth="1"/>
    <col min="3848" max="3848" width="9.44140625" style="102" customWidth="1"/>
    <col min="3849" max="3849" width="10.44140625" style="102" customWidth="1"/>
    <col min="3850" max="3850" width="10.109375" style="102" customWidth="1"/>
    <col min="3851" max="3851" width="10.6640625" style="102" customWidth="1"/>
    <col min="3852" max="3853" width="10.88671875" style="102" customWidth="1"/>
    <col min="3854" max="3854" width="11.109375" style="102" customWidth="1"/>
    <col min="3855" max="3855" width="12" style="102" customWidth="1"/>
    <col min="3856" max="4096" width="9.109375" style="102"/>
    <col min="4097" max="4097" width="9.109375" style="102" customWidth="1"/>
    <col min="4098" max="4098" width="46.44140625" style="102" customWidth="1"/>
    <col min="4099" max="4099" width="14.33203125" style="102" customWidth="1"/>
    <col min="4100" max="4100" width="10.6640625" style="102" customWidth="1"/>
    <col min="4101" max="4101" width="11.109375" style="102" customWidth="1"/>
    <col min="4102" max="4102" width="10.6640625" style="102" customWidth="1"/>
    <col min="4103" max="4103" width="10.33203125" style="102" customWidth="1"/>
    <col min="4104" max="4104" width="9.44140625" style="102" customWidth="1"/>
    <col min="4105" max="4105" width="10.44140625" style="102" customWidth="1"/>
    <col min="4106" max="4106" width="10.109375" style="102" customWidth="1"/>
    <col min="4107" max="4107" width="10.6640625" style="102" customWidth="1"/>
    <col min="4108" max="4109" width="10.88671875" style="102" customWidth="1"/>
    <col min="4110" max="4110" width="11.109375" style="102" customWidth="1"/>
    <col min="4111" max="4111" width="12" style="102" customWidth="1"/>
    <col min="4112" max="4352" width="9.109375" style="102"/>
    <col min="4353" max="4353" width="9.109375" style="102" customWidth="1"/>
    <col min="4354" max="4354" width="46.44140625" style="102" customWidth="1"/>
    <col min="4355" max="4355" width="14.33203125" style="102" customWidth="1"/>
    <col min="4356" max="4356" width="10.6640625" style="102" customWidth="1"/>
    <col min="4357" max="4357" width="11.109375" style="102" customWidth="1"/>
    <col min="4358" max="4358" width="10.6640625" style="102" customWidth="1"/>
    <col min="4359" max="4359" width="10.33203125" style="102" customWidth="1"/>
    <col min="4360" max="4360" width="9.44140625" style="102" customWidth="1"/>
    <col min="4361" max="4361" width="10.44140625" style="102" customWidth="1"/>
    <col min="4362" max="4362" width="10.109375" style="102" customWidth="1"/>
    <col min="4363" max="4363" width="10.6640625" style="102" customWidth="1"/>
    <col min="4364" max="4365" width="10.88671875" style="102" customWidth="1"/>
    <col min="4366" max="4366" width="11.109375" style="102" customWidth="1"/>
    <col min="4367" max="4367" width="12" style="102" customWidth="1"/>
    <col min="4368" max="4608" width="9.109375" style="102"/>
    <col min="4609" max="4609" width="9.109375" style="102" customWidth="1"/>
    <col min="4610" max="4610" width="46.44140625" style="102" customWidth="1"/>
    <col min="4611" max="4611" width="14.33203125" style="102" customWidth="1"/>
    <col min="4612" max="4612" width="10.6640625" style="102" customWidth="1"/>
    <col min="4613" max="4613" width="11.109375" style="102" customWidth="1"/>
    <col min="4614" max="4614" width="10.6640625" style="102" customWidth="1"/>
    <col min="4615" max="4615" width="10.33203125" style="102" customWidth="1"/>
    <col min="4616" max="4616" width="9.44140625" style="102" customWidth="1"/>
    <col min="4617" max="4617" width="10.44140625" style="102" customWidth="1"/>
    <col min="4618" max="4618" width="10.109375" style="102" customWidth="1"/>
    <col min="4619" max="4619" width="10.6640625" style="102" customWidth="1"/>
    <col min="4620" max="4621" width="10.88671875" style="102" customWidth="1"/>
    <col min="4622" max="4622" width="11.109375" style="102" customWidth="1"/>
    <col min="4623" max="4623" width="12" style="102" customWidth="1"/>
    <col min="4624" max="4864" width="9.109375" style="102"/>
    <col min="4865" max="4865" width="9.109375" style="102" customWidth="1"/>
    <col min="4866" max="4866" width="46.44140625" style="102" customWidth="1"/>
    <col min="4867" max="4867" width="14.33203125" style="102" customWidth="1"/>
    <col min="4868" max="4868" width="10.6640625" style="102" customWidth="1"/>
    <col min="4869" max="4869" width="11.109375" style="102" customWidth="1"/>
    <col min="4870" max="4870" width="10.6640625" style="102" customWidth="1"/>
    <col min="4871" max="4871" width="10.33203125" style="102" customWidth="1"/>
    <col min="4872" max="4872" width="9.44140625" style="102" customWidth="1"/>
    <col min="4873" max="4873" width="10.44140625" style="102" customWidth="1"/>
    <col min="4874" max="4874" width="10.109375" style="102" customWidth="1"/>
    <col min="4875" max="4875" width="10.6640625" style="102" customWidth="1"/>
    <col min="4876" max="4877" width="10.88671875" style="102" customWidth="1"/>
    <col min="4878" max="4878" width="11.109375" style="102" customWidth="1"/>
    <col min="4879" max="4879" width="12" style="102" customWidth="1"/>
    <col min="4880" max="5120" width="9.109375" style="102"/>
    <col min="5121" max="5121" width="9.109375" style="102" customWidth="1"/>
    <col min="5122" max="5122" width="46.44140625" style="102" customWidth="1"/>
    <col min="5123" max="5123" width="14.33203125" style="102" customWidth="1"/>
    <col min="5124" max="5124" width="10.6640625" style="102" customWidth="1"/>
    <col min="5125" max="5125" width="11.109375" style="102" customWidth="1"/>
    <col min="5126" max="5126" width="10.6640625" style="102" customWidth="1"/>
    <col min="5127" max="5127" width="10.33203125" style="102" customWidth="1"/>
    <col min="5128" max="5128" width="9.44140625" style="102" customWidth="1"/>
    <col min="5129" max="5129" width="10.44140625" style="102" customWidth="1"/>
    <col min="5130" max="5130" width="10.109375" style="102" customWidth="1"/>
    <col min="5131" max="5131" width="10.6640625" style="102" customWidth="1"/>
    <col min="5132" max="5133" width="10.88671875" style="102" customWidth="1"/>
    <col min="5134" max="5134" width="11.109375" style="102" customWidth="1"/>
    <col min="5135" max="5135" width="12" style="102" customWidth="1"/>
    <col min="5136" max="5376" width="9.109375" style="102"/>
    <col min="5377" max="5377" width="9.109375" style="102" customWidth="1"/>
    <col min="5378" max="5378" width="46.44140625" style="102" customWidth="1"/>
    <col min="5379" max="5379" width="14.33203125" style="102" customWidth="1"/>
    <col min="5380" max="5380" width="10.6640625" style="102" customWidth="1"/>
    <col min="5381" max="5381" width="11.109375" style="102" customWidth="1"/>
    <col min="5382" max="5382" width="10.6640625" style="102" customWidth="1"/>
    <col min="5383" max="5383" width="10.33203125" style="102" customWidth="1"/>
    <col min="5384" max="5384" width="9.44140625" style="102" customWidth="1"/>
    <col min="5385" max="5385" width="10.44140625" style="102" customWidth="1"/>
    <col min="5386" max="5386" width="10.109375" style="102" customWidth="1"/>
    <col min="5387" max="5387" width="10.6640625" style="102" customWidth="1"/>
    <col min="5388" max="5389" width="10.88671875" style="102" customWidth="1"/>
    <col min="5390" max="5390" width="11.109375" style="102" customWidth="1"/>
    <col min="5391" max="5391" width="12" style="102" customWidth="1"/>
    <col min="5392" max="5632" width="9.109375" style="102"/>
    <col min="5633" max="5633" width="9.109375" style="102" customWidth="1"/>
    <col min="5634" max="5634" width="46.44140625" style="102" customWidth="1"/>
    <col min="5635" max="5635" width="14.33203125" style="102" customWidth="1"/>
    <col min="5636" max="5636" width="10.6640625" style="102" customWidth="1"/>
    <col min="5637" max="5637" width="11.109375" style="102" customWidth="1"/>
    <col min="5638" max="5638" width="10.6640625" style="102" customWidth="1"/>
    <col min="5639" max="5639" width="10.33203125" style="102" customWidth="1"/>
    <col min="5640" max="5640" width="9.44140625" style="102" customWidth="1"/>
    <col min="5641" max="5641" width="10.44140625" style="102" customWidth="1"/>
    <col min="5642" max="5642" width="10.109375" style="102" customWidth="1"/>
    <col min="5643" max="5643" width="10.6640625" style="102" customWidth="1"/>
    <col min="5644" max="5645" width="10.88671875" style="102" customWidth="1"/>
    <col min="5646" max="5646" width="11.109375" style="102" customWidth="1"/>
    <col min="5647" max="5647" width="12" style="102" customWidth="1"/>
    <col min="5648" max="5888" width="9.109375" style="102"/>
    <col min="5889" max="5889" width="9.109375" style="102" customWidth="1"/>
    <col min="5890" max="5890" width="46.44140625" style="102" customWidth="1"/>
    <col min="5891" max="5891" width="14.33203125" style="102" customWidth="1"/>
    <col min="5892" max="5892" width="10.6640625" style="102" customWidth="1"/>
    <col min="5893" max="5893" width="11.109375" style="102" customWidth="1"/>
    <col min="5894" max="5894" width="10.6640625" style="102" customWidth="1"/>
    <col min="5895" max="5895" width="10.33203125" style="102" customWidth="1"/>
    <col min="5896" max="5896" width="9.44140625" style="102" customWidth="1"/>
    <col min="5897" max="5897" width="10.44140625" style="102" customWidth="1"/>
    <col min="5898" max="5898" width="10.109375" style="102" customWidth="1"/>
    <col min="5899" max="5899" width="10.6640625" style="102" customWidth="1"/>
    <col min="5900" max="5901" width="10.88671875" style="102" customWidth="1"/>
    <col min="5902" max="5902" width="11.109375" style="102" customWidth="1"/>
    <col min="5903" max="5903" width="12" style="102" customWidth="1"/>
    <col min="5904" max="6144" width="9.109375" style="102"/>
    <col min="6145" max="6145" width="9.109375" style="102" customWidth="1"/>
    <col min="6146" max="6146" width="46.44140625" style="102" customWidth="1"/>
    <col min="6147" max="6147" width="14.33203125" style="102" customWidth="1"/>
    <col min="6148" max="6148" width="10.6640625" style="102" customWidth="1"/>
    <col min="6149" max="6149" width="11.109375" style="102" customWidth="1"/>
    <col min="6150" max="6150" width="10.6640625" style="102" customWidth="1"/>
    <col min="6151" max="6151" width="10.33203125" style="102" customWidth="1"/>
    <col min="6152" max="6152" width="9.44140625" style="102" customWidth="1"/>
    <col min="6153" max="6153" width="10.44140625" style="102" customWidth="1"/>
    <col min="6154" max="6154" width="10.109375" style="102" customWidth="1"/>
    <col min="6155" max="6155" width="10.6640625" style="102" customWidth="1"/>
    <col min="6156" max="6157" width="10.88671875" style="102" customWidth="1"/>
    <col min="6158" max="6158" width="11.109375" style="102" customWidth="1"/>
    <col min="6159" max="6159" width="12" style="102" customWidth="1"/>
    <col min="6160" max="6400" width="9.109375" style="102"/>
    <col min="6401" max="6401" width="9.109375" style="102" customWidth="1"/>
    <col min="6402" max="6402" width="46.44140625" style="102" customWidth="1"/>
    <col min="6403" max="6403" width="14.33203125" style="102" customWidth="1"/>
    <col min="6404" max="6404" width="10.6640625" style="102" customWidth="1"/>
    <col min="6405" max="6405" width="11.109375" style="102" customWidth="1"/>
    <col min="6406" max="6406" width="10.6640625" style="102" customWidth="1"/>
    <col min="6407" max="6407" width="10.33203125" style="102" customWidth="1"/>
    <col min="6408" max="6408" width="9.44140625" style="102" customWidth="1"/>
    <col min="6409" max="6409" width="10.44140625" style="102" customWidth="1"/>
    <col min="6410" max="6410" width="10.109375" style="102" customWidth="1"/>
    <col min="6411" max="6411" width="10.6640625" style="102" customWidth="1"/>
    <col min="6412" max="6413" width="10.88671875" style="102" customWidth="1"/>
    <col min="6414" max="6414" width="11.109375" style="102" customWidth="1"/>
    <col min="6415" max="6415" width="12" style="102" customWidth="1"/>
    <col min="6416" max="6656" width="9.109375" style="102"/>
    <col min="6657" max="6657" width="9.109375" style="102" customWidth="1"/>
    <col min="6658" max="6658" width="46.44140625" style="102" customWidth="1"/>
    <col min="6659" max="6659" width="14.33203125" style="102" customWidth="1"/>
    <col min="6660" max="6660" width="10.6640625" style="102" customWidth="1"/>
    <col min="6661" max="6661" width="11.109375" style="102" customWidth="1"/>
    <col min="6662" max="6662" width="10.6640625" style="102" customWidth="1"/>
    <col min="6663" max="6663" width="10.33203125" style="102" customWidth="1"/>
    <col min="6664" max="6664" width="9.44140625" style="102" customWidth="1"/>
    <col min="6665" max="6665" width="10.44140625" style="102" customWidth="1"/>
    <col min="6666" max="6666" width="10.109375" style="102" customWidth="1"/>
    <col min="6667" max="6667" width="10.6640625" style="102" customWidth="1"/>
    <col min="6668" max="6669" width="10.88671875" style="102" customWidth="1"/>
    <col min="6670" max="6670" width="11.109375" style="102" customWidth="1"/>
    <col min="6671" max="6671" width="12" style="102" customWidth="1"/>
    <col min="6672" max="6912" width="9.109375" style="102"/>
    <col min="6913" max="6913" width="9.109375" style="102" customWidth="1"/>
    <col min="6914" max="6914" width="46.44140625" style="102" customWidth="1"/>
    <col min="6915" max="6915" width="14.33203125" style="102" customWidth="1"/>
    <col min="6916" max="6916" width="10.6640625" style="102" customWidth="1"/>
    <col min="6917" max="6917" width="11.109375" style="102" customWidth="1"/>
    <col min="6918" max="6918" width="10.6640625" style="102" customWidth="1"/>
    <col min="6919" max="6919" width="10.33203125" style="102" customWidth="1"/>
    <col min="6920" max="6920" width="9.44140625" style="102" customWidth="1"/>
    <col min="6921" max="6921" width="10.44140625" style="102" customWidth="1"/>
    <col min="6922" max="6922" width="10.109375" style="102" customWidth="1"/>
    <col min="6923" max="6923" width="10.6640625" style="102" customWidth="1"/>
    <col min="6924" max="6925" width="10.88671875" style="102" customWidth="1"/>
    <col min="6926" max="6926" width="11.109375" style="102" customWidth="1"/>
    <col min="6927" max="6927" width="12" style="102" customWidth="1"/>
    <col min="6928" max="7168" width="9.109375" style="102"/>
    <col min="7169" max="7169" width="9.109375" style="102" customWidth="1"/>
    <col min="7170" max="7170" width="46.44140625" style="102" customWidth="1"/>
    <col min="7171" max="7171" width="14.33203125" style="102" customWidth="1"/>
    <col min="7172" max="7172" width="10.6640625" style="102" customWidth="1"/>
    <col min="7173" max="7173" width="11.109375" style="102" customWidth="1"/>
    <col min="7174" max="7174" width="10.6640625" style="102" customWidth="1"/>
    <col min="7175" max="7175" width="10.33203125" style="102" customWidth="1"/>
    <col min="7176" max="7176" width="9.44140625" style="102" customWidth="1"/>
    <col min="7177" max="7177" width="10.44140625" style="102" customWidth="1"/>
    <col min="7178" max="7178" width="10.109375" style="102" customWidth="1"/>
    <col min="7179" max="7179" width="10.6640625" style="102" customWidth="1"/>
    <col min="7180" max="7181" width="10.88671875" style="102" customWidth="1"/>
    <col min="7182" max="7182" width="11.109375" style="102" customWidth="1"/>
    <col min="7183" max="7183" width="12" style="102" customWidth="1"/>
    <col min="7184" max="7424" width="9.109375" style="102"/>
    <col min="7425" max="7425" width="9.109375" style="102" customWidth="1"/>
    <col min="7426" max="7426" width="46.44140625" style="102" customWidth="1"/>
    <col min="7427" max="7427" width="14.33203125" style="102" customWidth="1"/>
    <col min="7428" max="7428" width="10.6640625" style="102" customWidth="1"/>
    <col min="7429" max="7429" width="11.109375" style="102" customWidth="1"/>
    <col min="7430" max="7430" width="10.6640625" style="102" customWidth="1"/>
    <col min="7431" max="7431" width="10.33203125" style="102" customWidth="1"/>
    <col min="7432" max="7432" width="9.44140625" style="102" customWidth="1"/>
    <col min="7433" max="7433" width="10.44140625" style="102" customWidth="1"/>
    <col min="7434" max="7434" width="10.109375" style="102" customWidth="1"/>
    <col min="7435" max="7435" width="10.6640625" style="102" customWidth="1"/>
    <col min="7436" max="7437" width="10.88671875" style="102" customWidth="1"/>
    <col min="7438" max="7438" width="11.109375" style="102" customWidth="1"/>
    <col min="7439" max="7439" width="12" style="102" customWidth="1"/>
    <col min="7440" max="7680" width="9.109375" style="102"/>
    <col min="7681" max="7681" width="9.109375" style="102" customWidth="1"/>
    <col min="7682" max="7682" width="46.44140625" style="102" customWidth="1"/>
    <col min="7683" max="7683" width="14.33203125" style="102" customWidth="1"/>
    <col min="7684" max="7684" width="10.6640625" style="102" customWidth="1"/>
    <col min="7685" max="7685" width="11.109375" style="102" customWidth="1"/>
    <col min="7686" max="7686" width="10.6640625" style="102" customWidth="1"/>
    <col min="7687" max="7687" width="10.33203125" style="102" customWidth="1"/>
    <col min="7688" max="7688" width="9.44140625" style="102" customWidth="1"/>
    <col min="7689" max="7689" width="10.44140625" style="102" customWidth="1"/>
    <col min="7690" max="7690" width="10.109375" style="102" customWidth="1"/>
    <col min="7691" max="7691" width="10.6640625" style="102" customWidth="1"/>
    <col min="7692" max="7693" width="10.88671875" style="102" customWidth="1"/>
    <col min="7694" max="7694" width="11.109375" style="102" customWidth="1"/>
    <col min="7695" max="7695" width="12" style="102" customWidth="1"/>
    <col min="7696" max="7936" width="9.109375" style="102"/>
    <col min="7937" max="7937" width="9.109375" style="102" customWidth="1"/>
    <col min="7938" max="7938" width="46.44140625" style="102" customWidth="1"/>
    <col min="7939" max="7939" width="14.33203125" style="102" customWidth="1"/>
    <col min="7940" max="7940" width="10.6640625" style="102" customWidth="1"/>
    <col min="7941" max="7941" width="11.109375" style="102" customWidth="1"/>
    <col min="7942" max="7942" width="10.6640625" style="102" customWidth="1"/>
    <col min="7943" max="7943" width="10.33203125" style="102" customWidth="1"/>
    <col min="7944" max="7944" width="9.44140625" style="102" customWidth="1"/>
    <col min="7945" max="7945" width="10.44140625" style="102" customWidth="1"/>
    <col min="7946" max="7946" width="10.109375" style="102" customWidth="1"/>
    <col min="7947" max="7947" width="10.6640625" style="102" customWidth="1"/>
    <col min="7948" max="7949" width="10.88671875" style="102" customWidth="1"/>
    <col min="7950" max="7950" width="11.109375" style="102" customWidth="1"/>
    <col min="7951" max="7951" width="12" style="102" customWidth="1"/>
    <col min="7952" max="8192" width="9.109375" style="102"/>
    <col min="8193" max="8193" width="9.109375" style="102" customWidth="1"/>
    <col min="8194" max="8194" width="46.44140625" style="102" customWidth="1"/>
    <col min="8195" max="8195" width="14.33203125" style="102" customWidth="1"/>
    <col min="8196" max="8196" width="10.6640625" style="102" customWidth="1"/>
    <col min="8197" max="8197" width="11.109375" style="102" customWidth="1"/>
    <col min="8198" max="8198" width="10.6640625" style="102" customWidth="1"/>
    <col min="8199" max="8199" width="10.33203125" style="102" customWidth="1"/>
    <col min="8200" max="8200" width="9.44140625" style="102" customWidth="1"/>
    <col min="8201" max="8201" width="10.44140625" style="102" customWidth="1"/>
    <col min="8202" max="8202" width="10.109375" style="102" customWidth="1"/>
    <col min="8203" max="8203" width="10.6640625" style="102" customWidth="1"/>
    <col min="8204" max="8205" width="10.88671875" style="102" customWidth="1"/>
    <col min="8206" max="8206" width="11.109375" style="102" customWidth="1"/>
    <col min="8207" max="8207" width="12" style="102" customWidth="1"/>
    <col min="8208" max="8448" width="9.109375" style="102"/>
    <col min="8449" max="8449" width="9.109375" style="102" customWidth="1"/>
    <col min="8450" max="8450" width="46.44140625" style="102" customWidth="1"/>
    <col min="8451" max="8451" width="14.33203125" style="102" customWidth="1"/>
    <col min="8452" max="8452" width="10.6640625" style="102" customWidth="1"/>
    <col min="8453" max="8453" width="11.109375" style="102" customWidth="1"/>
    <col min="8454" max="8454" width="10.6640625" style="102" customWidth="1"/>
    <col min="8455" max="8455" width="10.33203125" style="102" customWidth="1"/>
    <col min="8456" max="8456" width="9.44140625" style="102" customWidth="1"/>
    <col min="8457" max="8457" width="10.44140625" style="102" customWidth="1"/>
    <col min="8458" max="8458" width="10.109375" style="102" customWidth="1"/>
    <col min="8459" max="8459" width="10.6640625" style="102" customWidth="1"/>
    <col min="8460" max="8461" width="10.88671875" style="102" customWidth="1"/>
    <col min="8462" max="8462" width="11.109375" style="102" customWidth="1"/>
    <col min="8463" max="8463" width="12" style="102" customWidth="1"/>
    <col min="8464" max="8704" width="9.109375" style="102"/>
    <col min="8705" max="8705" width="9.109375" style="102" customWidth="1"/>
    <col min="8706" max="8706" width="46.44140625" style="102" customWidth="1"/>
    <col min="8707" max="8707" width="14.33203125" style="102" customWidth="1"/>
    <col min="8708" max="8708" width="10.6640625" style="102" customWidth="1"/>
    <col min="8709" max="8709" width="11.109375" style="102" customWidth="1"/>
    <col min="8710" max="8710" width="10.6640625" style="102" customWidth="1"/>
    <col min="8711" max="8711" width="10.33203125" style="102" customWidth="1"/>
    <col min="8712" max="8712" width="9.44140625" style="102" customWidth="1"/>
    <col min="8713" max="8713" width="10.44140625" style="102" customWidth="1"/>
    <col min="8714" max="8714" width="10.109375" style="102" customWidth="1"/>
    <col min="8715" max="8715" width="10.6640625" style="102" customWidth="1"/>
    <col min="8716" max="8717" width="10.88671875" style="102" customWidth="1"/>
    <col min="8718" max="8718" width="11.109375" style="102" customWidth="1"/>
    <col min="8719" max="8719" width="12" style="102" customWidth="1"/>
    <col min="8720" max="8960" width="9.109375" style="102"/>
    <col min="8961" max="8961" width="9.109375" style="102" customWidth="1"/>
    <col min="8962" max="8962" width="46.44140625" style="102" customWidth="1"/>
    <col min="8963" max="8963" width="14.33203125" style="102" customWidth="1"/>
    <col min="8964" max="8964" width="10.6640625" style="102" customWidth="1"/>
    <col min="8965" max="8965" width="11.109375" style="102" customWidth="1"/>
    <col min="8966" max="8966" width="10.6640625" style="102" customWidth="1"/>
    <col min="8967" max="8967" width="10.33203125" style="102" customWidth="1"/>
    <col min="8968" max="8968" width="9.44140625" style="102" customWidth="1"/>
    <col min="8969" max="8969" width="10.44140625" style="102" customWidth="1"/>
    <col min="8970" max="8970" width="10.109375" style="102" customWidth="1"/>
    <col min="8971" max="8971" width="10.6640625" style="102" customWidth="1"/>
    <col min="8972" max="8973" width="10.88671875" style="102" customWidth="1"/>
    <col min="8974" max="8974" width="11.109375" style="102" customWidth="1"/>
    <col min="8975" max="8975" width="12" style="102" customWidth="1"/>
    <col min="8976" max="9216" width="9.109375" style="102"/>
    <col min="9217" max="9217" width="9.109375" style="102" customWidth="1"/>
    <col min="9218" max="9218" width="46.44140625" style="102" customWidth="1"/>
    <col min="9219" max="9219" width="14.33203125" style="102" customWidth="1"/>
    <col min="9220" max="9220" width="10.6640625" style="102" customWidth="1"/>
    <col min="9221" max="9221" width="11.109375" style="102" customWidth="1"/>
    <col min="9222" max="9222" width="10.6640625" style="102" customWidth="1"/>
    <col min="9223" max="9223" width="10.33203125" style="102" customWidth="1"/>
    <col min="9224" max="9224" width="9.44140625" style="102" customWidth="1"/>
    <col min="9225" max="9225" width="10.44140625" style="102" customWidth="1"/>
    <col min="9226" max="9226" width="10.109375" style="102" customWidth="1"/>
    <col min="9227" max="9227" width="10.6640625" style="102" customWidth="1"/>
    <col min="9228" max="9229" width="10.88671875" style="102" customWidth="1"/>
    <col min="9230" max="9230" width="11.109375" style="102" customWidth="1"/>
    <col min="9231" max="9231" width="12" style="102" customWidth="1"/>
    <col min="9232" max="9472" width="9.109375" style="102"/>
    <col min="9473" max="9473" width="9.109375" style="102" customWidth="1"/>
    <col min="9474" max="9474" width="46.44140625" style="102" customWidth="1"/>
    <col min="9475" max="9475" width="14.33203125" style="102" customWidth="1"/>
    <col min="9476" max="9476" width="10.6640625" style="102" customWidth="1"/>
    <col min="9477" max="9477" width="11.109375" style="102" customWidth="1"/>
    <col min="9478" max="9478" width="10.6640625" style="102" customWidth="1"/>
    <col min="9479" max="9479" width="10.33203125" style="102" customWidth="1"/>
    <col min="9480" max="9480" width="9.44140625" style="102" customWidth="1"/>
    <col min="9481" max="9481" width="10.44140625" style="102" customWidth="1"/>
    <col min="9482" max="9482" width="10.109375" style="102" customWidth="1"/>
    <col min="9483" max="9483" width="10.6640625" style="102" customWidth="1"/>
    <col min="9484" max="9485" width="10.88671875" style="102" customWidth="1"/>
    <col min="9486" max="9486" width="11.109375" style="102" customWidth="1"/>
    <col min="9487" max="9487" width="12" style="102" customWidth="1"/>
    <col min="9488" max="9728" width="9.109375" style="102"/>
    <col min="9729" max="9729" width="9.109375" style="102" customWidth="1"/>
    <col min="9730" max="9730" width="46.44140625" style="102" customWidth="1"/>
    <col min="9731" max="9731" width="14.33203125" style="102" customWidth="1"/>
    <col min="9732" max="9732" width="10.6640625" style="102" customWidth="1"/>
    <col min="9733" max="9733" width="11.109375" style="102" customWidth="1"/>
    <col min="9734" max="9734" width="10.6640625" style="102" customWidth="1"/>
    <col min="9735" max="9735" width="10.33203125" style="102" customWidth="1"/>
    <col min="9736" max="9736" width="9.44140625" style="102" customWidth="1"/>
    <col min="9737" max="9737" width="10.44140625" style="102" customWidth="1"/>
    <col min="9738" max="9738" width="10.109375" style="102" customWidth="1"/>
    <col min="9739" max="9739" width="10.6640625" style="102" customWidth="1"/>
    <col min="9740" max="9741" width="10.88671875" style="102" customWidth="1"/>
    <col min="9742" max="9742" width="11.109375" style="102" customWidth="1"/>
    <col min="9743" max="9743" width="12" style="102" customWidth="1"/>
    <col min="9744" max="9984" width="9.109375" style="102"/>
    <col min="9985" max="9985" width="9.109375" style="102" customWidth="1"/>
    <col min="9986" max="9986" width="46.44140625" style="102" customWidth="1"/>
    <col min="9987" max="9987" width="14.33203125" style="102" customWidth="1"/>
    <col min="9988" max="9988" width="10.6640625" style="102" customWidth="1"/>
    <col min="9989" max="9989" width="11.109375" style="102" customWidth="1"/>
    <col min="9990" max="9990" width="10.6640625" style="102" customWidth="1"/>
    <col min="9991" max="9991" width="10.33203125" style="102" customWidth="1"/>
    <col min="9992" max="9992" width="9.44140625" style="102" customWidth="1"/>
    <col min="9993" max="9993" width="10.44140625" style="102" customWidth="1"/>
    <col min="9994" max="9994" width="10.109375" style="102" customWidth="1"/>
    <col min="9995" max="9995" width="10.6640625" style="102" customWidth="1"/>
    <col min="9996" max="9997" width="10.88671875" style="102" customWidth="1"/>
    <col min="9998" max="9998" width="11.109375" style="102" customWidth="1"/>
    <col min="9999" max="9999" width="12" style="102" customWidth="1"/>
    <col min="10000" max="10240" width="9.109375" style="102"/>
    <col min="10241" max="10241" width="9.109375" style="102" customWidth="1"/>
    <col min="10242" max="10242" width="46.44140625" style="102" customWidth="1"/>
    <col min="10243" max="10243" width="14.33203125" style="102" customWidth="1"/>
    <col min="10244" max="10244" width="10.6640625" style="102" customWidth="1"/>
    <col min="10245" max="10245" width="11.109375" style="102" customWidth="1"/>
    <col min="10246" max="10246" width="10.6640625" style="102" customWidth="1"/>
    <col min="10247" max="10247" width="10.33203125" style="102" customWidth="1"/>
    <col min="10248" max="10248" width="9.44140625" style="102" customWidth="1"/>
    <col min="10249" max="10249" width="10.44140625" style="102" customWidth="1"/>
    <col min="10250" max="10250" width="10.109375" style="102" customWidth="1"/>
    <col min="10251" max="10251" width="10.6640625" style="102" customWidth="1"/>
    <col min="10252" max="10253" width="10.88671875" style="102" customWidth="1"/>
    <col min="10254" max="10254" width="11.109375" style="102" customWidth="1"/>
    <col min="10255" max="10255" width="12" style="102" customWidth="1"/>
    <col min="10256" max="10496" width="9.109375" style="102"/>
    <col min="10497" max="10497" width="9.109375" style="102" customWidth="1"/>
    <col min="10498" max="10498" width="46.44140625" style="102" customWidth="1"/>
    <col min="10499" max="10499" width="14.33203125" style="102" customWidth="1"/>
    <col min="10500" max="10500" width="10.6640625" style="102" customWidth="1"/>
    <col min="10501" max="10501" width="11.109375" style="102" customWidth="1"/>
    <col min="10502" max="10502" width="10.6640625" style="102" customWidth="1"/>
    <col min="10503" max="10503" width="10.33203125" style="102" customWidth="1"/>
    <col min="10504" max="10504" width="9.44140625" style="102" customWidth="1"/>
    <col min="10505" max="10505" width="10.44140625" style="102" customWidth="1"/>
    <col min="10506" max="10506" width="10.109375" style="102" customWidth="1"/>
    <col min="10507" max="10507" width="10.6640625" style="102" customWidth="1"/>
    <col min="10508" max="10509" width="10.88671875" style="102" customWidth="1"/>
    <col min="10510" max="10510" width="11.109375" style="102" customWidth="1"/>
    <col min="10511" max="10511" width="12" style="102" customWidth="1"/>
    <col min="10512" max="10752" width="9.109375" style="102"/>
    <col min="10753" max="10753" width="9.109375" style="102" customWidth="1"/>
    <col min="10754" max="10754" width="46.44140625" style="102" customWidth="1"/>
    <col min="10755" max="10755" width="14.33203125" style="102" customWidth="1"/>
    <col min="10756" max="10756" width="10.6640625" style="102" customWidth="1"/>
    <col min="10757" max="10757" width="11.109375" style="102" customWidth="1"/>
    <col min="10758" max="10758" width="10.6640625" style="102" customWidth="1"/>
    <col min="10759" max="10759" width="10.33203125" style="102" customWidth="1"/>
    <col min="10760" max="10760" width="9.44140625" style="102" customWidth="1"/>
    <col min="10761" max="10761" width="10.44140625" style="102" customWidth="1"/>
    <col min="10762" max="10762" width="10.109375" style="102" customWidth="1"/>
    <col min="10763" max="10763" width="10.6640625" style="102" customWidth="1"/>
    <col min="10764" max="10765" width="10.88671875" style="102" customWidth="1"/>
    <col min="10766" max="10766" width="11.109375" style="102" customWidth="1"/>
    <col min="10767" max="10767" width="12" style="102" customWidth="1"/>
    <col min="10768" max="11008" width="9.109375" style="102"/>
    <col min="11009" max="11009" width="9.109375" style="102" customWidth="1"/>
    <col min="11010" max="11010" width="46.44140625" style="102" customWidth="1"/>
    <col min="11011" max="11011" width="14.33203125" style="102" customWidth="1"/>
    <col min="11012" max="11012" width="10.6640625" style="102" customWidth="1"/>
    <col min="11013" max="11013" width="11.109375" style="102" customWidth="1"/>
    <col min="11014" max="11014" width="10.6640625" style="102" customWidth="1"/>
    <col min="11015" max="11015" width="10.33203125" style="102" customWidth="1"/>
    <col min="11016" max="11016" width="9.44140625" style="102" customWidth="1"/>
    <col min="11017" max="11017" width="10.44140625" style="102" customWidth="1"/>
    <col min="11018" max="11018" width="10.109375" style="102" customWidth="1"/>
    <col min="11019" max="11019" width="10.6640625" style="102" customWidth="1"/>
    <col min="11020" max="11021" width="10.88671875" style="102" customWidth="1"/>
    <col min="11022" max="11022" width="11.109375" style="102" customWidth="1"/>
    <col min="11023" max="11023" width="12" style="102" customWidth="1"/>
    <col min="11024" max="11264" width="9.109375" style="102"/>
    <col min="11265" max="11265" width="9.109375" style="102" customWidth="1"/>
    <col min="11266" max="11266" width="46.44140625" style="102" customWidth="1"/>
    <col min="11267" max="11267" width="14.33203125" style="102" customWidth="1"/>
    <col min="11268" max="11268" width="10.6640625" style="102" customWidth="1"/>
    <col min="11269" max="11269" width="11.109375" style="102" customWidth="1"/>
    <col min="11270" max="11270" width="10.6640625" style="102" customWidth="1"/>
    <col min="11271" max="11271" width="10.33203125" style="102" customWidth="1"/>
    <col min="11272" max="11272" width="9.44140625" style="102" customWidth="1"/>
    <col min="11273" max="11273" width="10.44140625" style="102" customWidth="1"/>
    <col min="11274" max="11274" width="10.109375" style="102" customWidth="1"/>
    <col min="11275" max="11275" width="10.6640625" style="102" customWidth="1"/>
    <col min="11276" max="11277" width="10.88671875" style="102" customWidth="1"/>
    <col min="11278" max="11278" width="11.109375" style="102" customWidth="1"/>
    <col min="11279" max="11279" width="12" style="102" customWidth="1"/>
    <col min="11280" max="11520" width="9.109375" style="102"/>
    <col min="11521" max="11521" width="9.109375" style="102" customWidth="1"/>
    <col min="11522" max="11522" width="46.44140625" style="102" customWidth="1"/>
    <col min="11523" max="11523" width="14.33203125" style="102" customWidth="1"/>
    <col min="11524" max="11524" width="10.6640625" style="102" customWidth="1"/>
    <col min="11525" max="11525" width="11.109375" style="102" customWidth="1"/>
    <col min="11526" max="11526" width="10.6640625" style="102" customWidth="1"/>
    <col min="11527" max="11527" width="10.33203125" style="102" customWidth="1"/>
    <col min="11528" max="11528" width="9.44140625" style="102" customWidth="1"/>
    <col min="11529" max="11529" width="10.44140625" style="102" customWidth="1"/>
    <col min="11530" max="11530" width="10.109375" style="102" customWidth="1"/>
    <col min="11531" max="11531" width="10.6640625" style="102" customWidth="1"/>
    <col min="11532" max="11533" width="10.88671875" style="102" customWidth="1"/>
    <col min="11534" max="11534" width="11.109375" style="102" customWidth="1"/>
    <col min="11535" max="11535" width="12" style="102" customWidth="1"/>
    <col min="11536" max="11776" width="9.109375" style="102"/>
    <col min="11777" max="11777" width="9.109375" style="102" customWidth="1"/>
    <col min="11778" max="11778" width="46.44140625" style="102" customWidth="1"/>
    <col min="11779" max="11779" width="14.33203125" style="102" customWidth="1"/>
    <col min="11780" max="11780" width="10.6640625" style="102" customWidth="1"/>
    <col min="11781" max="11781" width="11.109375" style="102" customWidth="1"/>
    <col min="11782" max="11782" width="10.6640625" style="102" customWidth="1"/>
    <col min="11783" max="11783" width="10.33203125" style="102" customWidth="1"/>
    <col min="11784" max="11784" width="9.44140625" style="102" customWidth="1"/>
    <col min="11785" max="11785" width="10.44140625" style="102" customWidth="1"/>
    <col min="11786" max="11786" width="10.109375" style="102" customWidth="1"/>
    <col min="11787" max="11787" width="10.6640625" style="102" customWidth="1"/>
    <col min="11788" max="11789" width="10.88671875" style="102" customWidth="1"/>
    <col min="11790" max="11790" width="11.109375" style="102" customWidth="1"/>
    <col min="11791" max="11791" width="12" style="102" customWidth="1"/>
    <col min="11792" max="12032" width="9.109375" style="102"/>
    <col min="12033" max="12033" width="9.109375" style="102" customWidth="1"/>
    <col min="12034" max="12034" width="46.44140625" style="102" customWidth="1"/>
    <col min="12035" max="12035" width="14.33203125" style="102" customWidth="1"/>
    <col min="12036" max="12036" width="10.6640625" style="102" customWidth="1"/>
    <col min="12037" max="12037" width="11.109375" style="102" customWidth="1"/>
    <col min="12038" max="12038" width="10.6640625" style="102" customWidth="1"/>
    <col min="12039" max="12039" width="10.33203125" style="102" customWidth="1"/>
    <col min="12040" max="12040" width="9.44140625" style="102" customWidth="1"/>
    <col min="12041" max="12041" width="10.44140625" style="102" customWidth="1"/>
    <col min="12042" max="12042" width="10.109375" style="102" customWidth="1"/>
    <col min="12043" max="12043" width="10.6640625" style="102" customWidth="1"/>
    <col min="12044" max="12045" width="10.88671875" style="102" customWidth="1"/>
    <col min="12046" max="12046" width="11.109375" style="102" customWidth="1"/>
    <col min="12047" max="12047" width="12" style="102" customWidth="1"/>
    <col min="12048" max="12288" width="9.109375" style="102"/>
    <col min="12289" max="12289" width="9.109375" style="102" customWidth="1"/>
    <col min="12290" max="12290" width="46.44140625" style="102" customWidth="1"/>
    <col min="12291" max="12291" width="14.33203125" style="102" customWidth="1"/>
    <col min="12292" max="12292" width="10.6640625" style="102" customWidth="1"/>
    <col min="12293" max="12293" width="11.109375" style="102" customWidth="1"/>
    <col min="12294" max="12294" width="10.6640625" style="102" customWidth="1"/>
    <col min="12295" max="12295" width="10.33203125" style="102" customWidth="1"/>
    <col min="12296" max="12296" width="9.44140625" style="102" customWidth="1"/>
    <col min="12297" max="12297" width="10.44140625" style="102" customWidth="1"/>
    <col min="12298" max="12298" width="10.109375" style="102" customWidth="1"/>
    <col min="12299" max="12299" width="10.6640625" style="102" customWidth="1"/>
    <col min="12300" max="12301" width="10.88671875" style="102" customWidth="1"/>
    <col min="12302" max="12302" width="11.109375" style="102" customWidth="1"/>
    <col min="12303" max="12303" width="12" style="102" customWidth="1"/>
    <col min="12304" max="12544" width="9.109375" style="102"/>
    <col min="12545" max="12545" width="9.109375" style="102" customWidth="1"/>
    <col min="12546" max="12546" width="46.44140625" style="102" customWidth="1"/>
    <col min="12547" max="12547" width="14.33203125" style="102" customWidth="1"/>
    <col min="12548" max="12548" width="10.6640625" style="102" customWidth="1"/>
    <col min="12549" max="12549" width="11.109375" style="102" customWidth="1"/>
    <col min="12550" max="12550" width="10.6640625" style="102" customWidth="1"/>
    <col min="12551" max="12551" width="10.33203125" style="102" customWidth="1"/>
    <col min="12552" max="12552" width="9.44140625" style="102" customWidth="1"/>
    <col min="12553" max="12553" width="10.44140625" style="102" customWidth="1"/>
    <col min="12554" max="12554" width="10.109375" style="102" customWidth="1"/>
    <col min="12555" max="12555" width="10.6640625" style="102" customWidth="1"/>
    <col min="12556" max="12557" width="10.88671875" style="102" customWidth="1"/>
    <col min="12558" max="12558" width="11.109375" style="102" customWidth="1"/>
    <col min="12559" max="12559" width="12" style="102" customWidth="1"/>
    <col min="12560" max="12800" width="9.109375" style="102"/>
    <col min="12801" max="12801" width="9.109375" style="102" customWidth="1"/>
    <col min="12802" max="12802" width="46.44140625" style="102" customWidth="1"/>
    <col min="12803" max="12803" width="14.33203125" style="102" customWidth="1"/>
    <col min="12804" max="12804" width="10.6640625" style="102" customWidth="1"/>
    <col min="12805" max="12805" width="11.109375" style="102" customWidth="1"/>
    <col min="12806" max="12806" width="10.6640625" style="102" customWidth="1"/>
    <col min="12807" max="12807" width="10.33203125" style="102" customWidth="1"/>
    <col min="12808" max="12808" width="9.44140625" style="102" customWidth="1"/>
    <col min="12809" max="12809" width="10.44140625" style="102" customWidth="1"/>
    <col min="12810" max="12810" width="10.109375" style="102" customWidth="1"/>
    <col min="12811" max="12811" width="10.6640625" style="102" customWidth="1"/>
    <col min="12812" max="12813" width="10.88671875" style="102" customWidth="1"/>
    <col min="12814" max="12814" width="11.109375" style="102" customWidth="1"/>
    <col min="12815" max="12815" width="12" style="102" customWidth="1"/>
    <col min="12816" max="13056" width="9.109375" style="102"/>
    <col min="13057" max="13057" width="9.109375" style="102" customWidth="1"/>
    <col min="13058" max="13058" width="46.44140625" style="102" customWidth="1"/>
    <col min="13059" max="13059" width="14.33203125" style="102" customWidth="1"/>
    <col min="13060" max="13060" width="10.6640625" style="102" customWidth="1"/>
    <col min="13061" max="13061" width="11.109375" style="102" customWidth="1"/>
    <col min="13062" max="13062" width="10.6640625" style="102" customWidth="1"/>
    <col min="13063" max="13063" width="10.33203125" style="102" customWidth="1"/>
    <col min="13064" max="13064" width="9.44140625" style="102" customWidth="1"/>
    <col min="13065" max="13065" width="10.44140625" style="102" customWidth="1"/>
    <col min="13066" max="13066" width="10.109375" style="102" customWidth="1"/>
    <col min="13067" max="13067" width="10.6640625" style="102" customWidth="1"/>
    <col min="13068" max="13069" width="10.88671875" style="102" customWidth="1"/>
    <col min="13070" max="13070" width="11.109375" style="102" customWidth="1"/>
    <col min="13071" max="13071" width="12" style="102" customWidth="1"/>
    <col min="13072" max="13312" width="9.109375" style="102"/>
    <col min="13313" max="13313" width="9.109375" style="102" customWidth="1"/>
    <col min="13314" max="13314" width="46.44140625" style="102" customWidth="1"/>
    <col min="13315" max="13315" width="14.33203125" style="102" customWidth="1"/>
    <col min="13316" max="13316" width="10.6640625" style="102" customWidth="1"/>
    <col min="13317" max="13317" width="11.109375" style="102" customWidth="1"/>
    <col min="13318" max="13318" width="10.6640625" style="102" customWidth="1"/>
    <col min="13319" max="13319" width="10.33203125" style="102" customWidth="1"/>
    <col min="13320" max="13320" width="9.44140625" style="102" customWidth="1"/>
    <col min="13321" max="13321" width="10.44140625" style="102" customWidth="1"/>
    <col min="13322" max="13322" width="10.109375" style="102" customWidth="1"/>
    <col min="13323" max="13323" width="10.6640625" style="102" customWidth="1"/>
    <col min="13324" max="13325" width="10.88671875" style="102" customWidth="1"/>
    <col min="13326" max="13326" width="11.109375" style="102" customWidth="1"/>
    <col min="13327" max="13327" width="12" style="102" customWidth="1"/>
    <col min="13328" max="13568" width="9.109375" style="102"/>
    <col min="13569" max="13569" width="9.109375" style="102" customWidth="1"/>
    <col min="13570" max="13570" width="46.44140625" style="102" customWidth="1"/>
    <col min="13571" max="13571" width="14.33203125" style="102" customWidth="1"/>
    <col min="13572" max="13572" width="10.6640625" style="102" customWidth="1"/>
    <col min="13573" max="13573" width="11.109375" style="102" customWidth="1"/>
    <col min="13574" max="13574" width="10.6640625" style="102" customWidth="1"/>
    <col min="13575" max="13575" width="10.33203125" style="102" customWidth="1"/>
    <col min="13576" max="13576" width="9.44140625" style="102" customWidth="1"/>
    <col min="13577" max="13577" width="10.44140625" style="102" customWidth="1"/>
    <col min="13578" max="13578" width="10.109375" style="102" customWidth="1"/>
    <col min="13579" max="13579" width="10.6640625" style="102" customWidth="1"/>
    <col min="13580" max="13581" width="10.88671875" style="102" customWidth="1"/>
    <col min="13582" max="13582" width="11.109375" style="102" customWidth="1"/>
    <col min="13583" max="13583" width="12" style="102" customWidth="1"/>
    <col min="13584" max="13824" width="9.109375" style="102"/>
    <col min="13825" max="13825" width="9.109375" style="102" customWidth="1"/>
    <col min="13826" max="13826" width="46.44140625" style="102" customWidth="1"/>
    <col min="13827" max="13827" width="14.33203125" style="102" customWidth="1"/>
    <col min="13828" max="13828" width="10.6640625" style="102" customWidth="1"/>
    <col min="13829" max="13829" width="11.109375" style="102" customWidth="1"/>
    <col min="13830" max="13830" width="10.6640625" style="102" customWidth="1"/>
    <col min="13831" max="13831" width="10.33203125" style="102" customWidth="1"/>
    <col min="13832" max="13832" width="9.44140625" style="102" customWidth="1"/>
    <col min="13833" max="13833" width="10.44140625" style="102" customWidth="1"/>
    <col min="13834" max="13834" width="10.109375" style="102" customWidth="1"/>
    <col min="13835" max="13835" width="10.6640625" style="102" customWidth="1"/>
    <col min="13836" max="13837" width="10.88671875" style="102" customWidth="1"/>
    <col min="13838" max="13838" width="11.109375" style="102" customWidth="1"/>
    <col min="13839" max="13839" width="12" style="102" customWidth="1"/>
    <col min="13840" max="14080" width="9.109375" style="102"/>
    <col min="14081" max="14081" width="9.109375" style="102" customWidth="1"/>
    <col min="14082" max="14082" width="46.44140625" style="102" customWidth="1"/>
    <col min="14083" max="14083" width="14.33203125" style="102" customWidth="1"/>
    <col min="14084" max="14084" width="10.6640625" style="102" customWidth="1"/>
    <col min="14085" max="14085" width="11.109375" style="102" customWidth="1"/>
    <col min="14086" max="14086" width="10.6640625" style="102" customWidth="1"/>
    <col min="14087" max="14087" width="10.33203125" style="102" customWidth="1"/>
    <col min="14088" max="14088" width="9.44140625" style="102" customWidth="1"/>
    <col min="14089" max="14089" width="10.44140625" style="102" customWidth="1"/>
    <col min="14090" max="14090" width="10.109375" style="102" customWidth="1"/>
    <col min="14091" max="14091" width="10.6640625" style="102" customWidth="1"/>
    <col min="14092" max="14093" width="10.88671875" style="102" customWidth="1"/>
    <col min="14094" max="14094" width="11.109375" style="102" customWidth="1"/>
    <col min="14095" max="14095" width="12" style="102" customWidth="1"/>
    <col min="14096" max="14336" width="9.109375" style="102"/>
    <col min="14337" max="14337" width="9.109375" style="102" customWidth="1"/>
    <col min="14338" max="14338" width="46.44140625" style="102" customWidth="1"/>
    <col min="14339" max="14339" width="14.33203125" style="102" customWidth="1"/>
    <col min="14340" max="14340" width="10.6640625" style="102" customWidth="1"/>
    <col min="14341" max="14341" width="11.109375" style="102" customWidth="1"/>
    <col min="14342" max="14342" width="10.6640625" style="102" customWidth="1"/>
    <col min="14343" max="14343" width="10.33203125" style="102" customWidth="1"/>
    <col min="14344" max="14344" width="9.44140625" style="102" customWidth="1"/>
    <col min="14345" max="14345" width="10.44140625" style="102" customWidth="1"/>
    <col min="14346" max="14346" width="10.109375" style="102" customWidth="1"/>
    <col min="14347" max="14347" width="10.6640625" style="102" customWidth="1"/>
    <col min="14348" max="14349" width="10.88671875" style="102" customWidth="1"/>
    <col min="14350" max="14350" width="11.109375" style="102" customWidth="1"/>
    <col min="14351" max="14351" width="12" style="102" customWidth="1"/>
    <col min="14352" max="14592" width="9.109375" style="102"/>
    <col min="14593" max="14593" width="9.109375" style="102" customWidth="1"/>
    <col min="14594" max="14594" width="46.44140625" style="102" customWidth="1"/>
    <col min="14595" max="14595" width="14.33203125" style="102" customWidth="1"/>
    <col min="14596" max="14596" width="10.6640625" style="102" customWidth="1"/>
    <col min="14597" max="14597" width="11.109375" style="102" customWidth="1"/>
    <col min="14598" max="14598" width="10.6640625" style="102" customWidth="1"/>
    <col min="14599" max="14599" width="10.33203125" style="102" customWidth="1"/>
    <col min="14600" max="14600" width="9.44140625" style="102" customWidth="1"/>
    <col min="14601" max="14601" width="10.44140625" style="102" customWidth="1"/>
    <col min="14602" max="14602" width="10.109375" style="102" customWidth="1"/>
    <col min="14603" max="14603" width="10.6640625" style="102" customWidth="1"/>
    <col min="14604" max="14605" width="10.88671875" style="102" customWidth="1"/>
    <col min="14606" max="14606" width="11.109375" style="102" customWidth="1"/>
    <col min="14607" max="14607" width="12" style="102" customWidth="1"/>
    <col min="14608" max="14848" width="9.109375" style="102"/>
    <col min="14849" max="14849" width="9.109375" style="102" customWidth="1"/>
    <col min="14850" max="14850" width="46.44140625" style="102" customWidth="1"/>
    <col min="14851" max="14851" width="14.33203125" style="102" customWidth="1"/>
    <col min="14852" max="14852" width="10.6640625" style="102" customWidth="1"/>
    <col min="14853" max="14853" width="11.109375" style="102" customWidth="1"/>
    <col min="14854" max="14854" width="10.6640625" style="102" customWidth="1"/>
    <col min="14855" max="14855" width="10.33203125" style="102" customWidth="1"/>
    <col min="14856" max="14856" width="9.44140625" style="102" customWidth="1"/>
    <col min="14857" max="14857" width="10.44140625" style="102" customWidth="1"/>
    <col min="14858" max="14858" width="10.109375" style="102" customWidth="1"/>
    <col min="14859" max="14859" width="10.6640625" style="102" customWidth="1"/>
    <col min="14860" max="14861" width="10.88671875" style="102" customWidth="1"/>
    <col min="14862" max="14862" width="11.109375" style="102" customWidth="1"/>
    <col min="14863" max="14863" width="12" style="102" customWidth="1"/>
    <col min="14864" max="15104" width="9.109375" style="102"/>
    <col min="15105" max="15105" width="9.109375" style="102" customWidth="1"/>
    <col min="15106" max="15106" width="46.44140625" style="102" customWidth="1"/>
    <col min="15107" max="15107" width="14.33203125" style="102" customWidth="1"/>
    <col min="15108" max="15108" width="10.6640625" style="102" customWidth="1"/>
    <col min="15109" max="15109" width="11.109375" style="102" customWidth="1"/>
    <col min="15110" max="15110" width="10.6640625" style="102" customWidth="1"/>
    <col min="15111" max="15111" width="10.33203125" style="102" customWidth="1"/>
    <col min="15112" max="15112" width="9.44140625" style="102" customWidth="1"/>
    <col min="15113" max="15113" width="10.44140625" style="102" customWidth="1"/>
    <col min="15114" max="15114" width="10.109375" style="102" customWidth="1"/>
    <col min="15115" max="15115" width="10.6640625" style="102" customWidth="1"/>
    <col min="15116" max="15117" width="10.88671875" style="102" customWidth="1"/>
    <col min="15118" max="15118" width="11.109375" style="102" customWidth="1"/>
    <col min="15119" max="15119" width="12" style="102" customWidth="1"/>
    <col min="15120" max="15360" width="9.109375" style="102"/>
    <col min="15361" max="15361" width="9.109375" style="102" customWidth="1"/>
    <col min="15362" max="15362" width="46.44140625" style="102" customWidth="1"/>
    <col min="15363" max="15363" width="14.33203125" style="102" customWidth="1"/>
    <col min="15364" max="15364" width="10.6640625" style="102" customWidth="1"/>
    <col min="15365" max="15365" width="11.109375" style="102" customWidth="1"/>
    <col min="15366" max="15366" width="10.6640625" style="102" customWidth="1"/>
    <col min="15367" max="15367" width="10.33203125" style="102" customWidth="1"/>
    <col min="15368" max="15368" width="9.44140625" style="102" customWidth="1"/>
    <col min="15369" max="15369" width="10.44140625" style="102" customWidth="1"/>
    <col min="15370" max="15370" width="10.109375" style="102" customWidth="1"/>
    <col min="15371" max="15371" width="10.6640625" style="102" customWidth="1"/>
    <col min="15372" max="15373" width="10.88671875" style="102" customWidth="1"/>
    <col min="15374" max="15374" width="11.109375" style="102" customWidth="1"/>
    <col min="15375" max="15375" width="12" style="102" customWidth="1"/>
    <col min="15376" max="15616" width="9.109375" style="102"/>
    <col min="15617" max="15617" width="9.109375" style="102" customWidth="1"/>
    <col min="15618" max="15618" width="46.44140625" style="102" customWidth="1"/>
    <col min="15619" max="15619" width="14.33203125" style="102" customWidth="1"/>
    <col min="15620" max="15620" width="10.6640625" style="102" customWidth="1"/>
    <col min="15621" max="15621" width="11.109375" style="102" customWidth="1"/>
    <col min="15622" max="15622" width="10.6640625" style="102" customWidth="1"/>
    <col min="15623" max="15623" width="10.33203125" style="102" customWidth="1"/>
    <col min="15624" max="15624" width="9.44140625" style="102" customWidth="1"/>
    <col min="15625" max="15625" width="10.44140625" style="102" customWidth="1"/>
    <col min="15626" max="15626" width="10.109375" style="102" customWidth="1"/>
    <col min="15627" max="15627" width="10.6640625" style="102" customWidth="1"/>
    <col min="15628" max="15629" width="10.88671875" style="102" customWidth="1"/>
    <col min="15630" max="15630" width="11.109375" style="102" customWidth="1"/>
    <col min="15631" max="15631" width="12" style="102" customWidth="1"/>
    <col min="15632" max="15872" width="9.109375" style="102"/>
    <col min="15873" max="15873" width="9.109375" style="102" customWidth="1"/>
    <col min="15874" max="15874" width="46.44140625" style="102" customWidth="1"/>
    <col min="15875" max="15875" width="14.33203125" style="102" customWidth="1"/>
    <col min="15876" max="15876" width="10.6640625" style="102" customWidth="1"/>
    <col min="15877" max="15877" width="11.109375" style="102" customWidth="1"/>
    <col min="15878" max="15878" width="10.6640625" style="102" customWidth="1"/>
    <col min="15879" max="15879" width="10.33203125" style="102" customWidth="1"/>
    <col min="15880" max="15880" width="9.44140625" style="102" customWidth="1"/>
    <col min="15881" max="15881" width="10.44140625" style="102" customWidth="1"/>
    <col min="15882" max="15882" width="10.109375" style="102" customWidth="1"/>
    <col min="15883" max="15883" width="10.6640625" style="102" customWidth="1"/>
    <col min="15884" max="15885" width="10.88671875" style="102" customWidth="1"/>
    <col min="15886" max="15886" width="11.109375" style="102" customWidth="1"/>
    <col min="15887" max="15887" width="12" style="102" customWidth="1"/>
    <col min="15888" max="16128" width="9.109375" style="102"/>
    <col min="16129" max="16129" width="9.109375" style="102" customWidth="1"/>
    <col min="16130" max="16130" width="46.44140625" style="102" customWidth="1"/>
    <col min="16131" max="16131" width="14.33203125" style="102" customWidth="1"/>
    <col min="16132" max="16132" width="10.6640625" style="102" customWidth="1"/>
    <col min="16133" max="16133" width="11.109375" style="102" customWidth="1"/>
    <col min="16134" max="16134" width="10.6640625" style="102" customWidth="1"/>
    <col min="16135" max="16135" width="10.33203125" style="102" customWidth="1"/>
    <col min="16136" max="16136" width="9.44140625" style="102" customWidth="1"/>
    <col min="16137" max="16137" width="10.44140625" style="102" customWidth="1"/>
    <col min="16138" max="16138" width="10.109375" style="102" customWidth="1"/>
    <col min="16139" max="16139" width="10.6640625" style="102" customWidth="1"/>
    <col min="16140" max="16141" width="10.88671875" style="102" customWidth="1"/>
    <col min="16142" max="16142" width="11.109375" style="102" customWidth="1"/>
    <col min="16143" max="16143" width="12" style="102" customWidth="1"/>
    <col min="16144" max="16384" width="9.109375" style="102"/>
  </cols>
  <sheetData>
    <row r="1" spans="1:15" x14ac:dyDescent="0.2">
      <c r="O1" s="140" t="s">
        <v>138</v>
      </c>
    </row>
    <row r="2" spans="1:15" ht="15" x14ac:dyDescent="0.25">
      <c r="B2" s="353" t="s">
        <v>139</v>
      </c>
      <c r="C2" s="353"/>
    </row>
    <row r="5" spans="1:15" s="146" customFormat="1" ht="34.5" customHeight="1" x14ac:dyDescent="0.2">
      <c r="A5" s="141" t="s">
        <v>91</v>
      </c>
      <c r="B5" s="142" t="s">
        <v>140</v>
      </c>
      <c r="C5" s="143" t="s">
        <v>141</v>
      </c>
      <c r="D5" s="143" t="s">
        <v>142</v>
      </c>
      <c r="E5" s="143" t="s">
        <v>143</v>
      </c>
      <c r="F5" s="143" t="s">
        <v>144</v>
      </c>
      <c r="G5" s="143" t="s">
        <v>145</v>
      </c>
      <c r="H5" s="143" t="s">
        <v>146</v>
      </c>
      <c r="I5" s="143" t="s">
        <v>147</v>
      </c>
      <c r="J5" s="144" t="s">
        <v>148</v>
      </c>
      <c r="K5" s="145" t="s">
        <v>149</v>
      </c>
      <c r="L5" s="145" t="s">
        <v>150</v>
      </c>
      <c r="M5" s="145" t="s">
        <v>151</v>
      </c>
      <c r="N5" s="145" t="s">
        <v>152</v>
      </c>
      <c r="O5" s="145" t="s">
        <v>153</v>
      </c>
    </row>
    <row r="6" spans="1:15" ht="12" x14ac:dyDescent="0.2">
      <c r="A6" s="147" t="s">
        <v>94</v>
      </c>
      <c r="B6" s="148" t="s">
        <v>154</v>
      </c>
      <c r="C6" s="149">
        <f>C9+C12</f>
        <v>34800</v>
      </c>
      <c r="D6" s="149">
        <v>2900</v>
      </c>
      <c r="E6" s="149">
        <f t="shared" ref="E6:O6" si="0">E9+E12</f>
        <v>2900</v>
      </c>
      <c r="F6" s="149">
        <v>2900</v>
      </c>
      <c r="G6" s="149">
        <f t="shared" si="0"/>
        <v>2900</v>
      </c>
      <c r="H6" s="149">
        <f t="shared" si="0"/>
        <v>2900</v>
      </c>
      <c r="I6" s="149">
        <f t="shared" si="0"/>
        <v>2900</v>
      </c>
      <c r="J6" s="149">
        <f t="shared" si="0"/>
        <v>2900</v>
      </c>
      <c r="K6" s="149">
        <f t="shared" si="0"/>
        <v>2900</v>
      </c>
      <c r="L6" s="149">
        <f t="shared" si="0"/>
        <v>2900</v>
      </c>
      <c r="M6" s="149">
        <f t="shared" si="0"/>
        <v>2900</v>
      </c>
      <c r="N6" s="149">
        <v>2900</v>
      </c>
      <c r="O6" s="149">
        <f t="shared" si="0"/>
        <v>2900</v>
      </c>
    </row>
    <row r="7" spans="1:15" ht="12" x14ac:dyDescent="0.2">
      <c r="A7" s="150" t="s">
        <v>155</v>
      </c>
      <c r="B7" s="354" t="s">
        <v>156</v>
      </c>
      <c r="C7" s="354"/>
      <c r="D7" s="354"/>
      <c r="E7" s="354"/>
      <c r="F7" s="354"/>
      <c r="G7" s="354"/>
      <c r="H7" s="354"/>
      <c r="I7" s="354"/>
      <c r="J7" s="354"/>
      <c r="K7" s="151"/>
      <c r="L7" s="151"/>
      <c r="M7" s="151"/>
      <c r="N7" s="151"/>
      <c r="O7" s="151"/>
    </row>
    <row r="8" spans="1:15" x14ac:dyDescent="0.2">
      <c r="A8" s="152" t="s">
        <v>157</v>
      </c>
      <c r="B8" s="153" t="s">
        <v>158</v>
      </c>
      <c r="C8" s="154">
        <f>SUM(D8:O8)</f>
        <v>34800</v>
      </c>
      <c r="D8" s="155">
        <v>2900</v>
      </c>
      <c r="E8" s="155">
        <v>2900</v>
      </c>
      <c r="F8" s="155">
        <v>2900</v>
      </c>
      <c r="G8" s="155">
        <v>2900</v>
      </c>
      <c r="H8" s="155">
        <v>2900</v>
      </c>
      <c r="I8" s="155">
        <v>2900</v>
      </c>
      <c r="J8" s="155">
        <v>2900</v>
      </c>
      <c r="K8" s="155">
        <v>2900</v>
      </c>
      <c r="L8" s="155">
        <v>2900</v>
      </c>
      <c r="M8" s="155">
        <v>2900</v>
      </c>
      <c r="N8" s="155">
        <v>2900</v>
      </c>
      <c r="O8" s="155">
        <v>2900</v>
      </c>
    </row>
    <row r="9" spans="1:15" ht="20.25" customHeight="1" x14ac:dyDescent="0.25">
      <c r="A9" s="156" t="s">
        <v>155</v>
      </c>
      <c r="B9" s="157" t="s">
        <v>159</v>
      </c>
      <c r="C9" s="158">
        <f>C8</f>
        <v>34800</v>
      </c>
      <c r="D9" s="158">
        <f t="shared" ref="D9:O9" si="1">D8</f>
        <v>2900</v>
      </c>
      <c r="E9" s="158">
        <f t="shared" si="1"/>
        <v>2900</v>
      </c>
      <c r="F9" s="158">
        <f t="shared" si="1"/>
        <v>2900</v>
      </c>
      <c r="G9" s="158">
        <f t="shared" si="1"/>
        <v>2900</v>
      </c>
      <c r="H9" s="158">
        <f t="shared" si="1"/>
        <v>2900</v>
      </c>
      <c r="I9" s="158">
        <f t="shared" si="1"/>
        <v>2900</v>
      </c>
      <c r="J9" s="158">
        <f t="shared" si="1"/>
        <v>2900</v>
      </c>
      <c r="K9" s="158">
        <f t="shared" si="1"/>
        <v>2900</v>
      </c>
      <c r="L9" s="158">
        <f t="shared" si="1"/>
        <v>2900</v>
      </c>
      <c r="M9" s="158">
        <f t="shared" si="1"/>
        <v>2900</v>
      </c>
      <c r="N9" s="158">
        <f t="shared" si="1"/>
        <v>2900</v>
      </c>
      <c r="O9" s="158">
        <f t="shared" si="1"/>
        <v>2900</v>
      </c>
    </row>
    <row r="10" spans="1:15" ht="20.25" hidden="1" customHeight="1" x14ac:dyDescent="0.25">
      <c r="A10" s="159" t="s">
        <v>160</v>
      </c>
      <c r="B10" s="355" t="s">
        <v>161</v>
      </c>
      <c r="C10" s="355"/>
      <c r="D10" s="355"/>
      <c r="E10" s="355"/>
      <c r="F10" s="355"/>
      <c r="G10" s="355"/>
      <c r="H10" s="355"/>
      <c r="I10" s="355"/>
      <c r="J10" s="355"/>
      <c r="K10" s="160"/>
      <c r="L10" s="160"/>
      <c r="M10" s="160"/>
      <c r="N10" s="160"/>
      <c r="O10" s="160"/>
    </row>
    <row r="11" spans="1:15" hidden="1" x14ac:dyDescent="0.2">
      <c r="A11" s="161" t="s">
        <v>162</v>
      </c>
      <c r="B11" s="153" t="s">
        <v>163</v>
      </c>
      <c r="C11" s="154">
        <f>SUM(D11:O11)</f>
        <v>0</v>
      </c>
      <c r="D11" s="162">
        <v>0</v>
      </c>
      <c r="E11" s="162">
        <v>0</v>
      </c>
      <c r="F11" s="162">
        <v>0</v>
      </c>
      <c r="G11" s="162">
        <v>0</v>
      </c>
      <c r="H11" s="162">
        <v>0</v>
      </c>
      <c r="I11" s="162">
        <v>0</v>
      </c>
      <c r="J11" s="162">
        <v>0</v>
      </c>
      <c r="K11" s="162">
        <v>0</v>
      </c>
      <c r="L11" s="162">
        <v>0</v>
      </c>
      <c r="M11" s="162">
        <v>0</v>
      </c>
      <c r="N11" s="162">
        <v>0</v>
      </c>
      <c r="O11" s="162">
        <v>0</v>
      </c>
    </row>
    <row r="12" spans="1:15" ht="12" hidden="1" x14ac:dyDescent="0.2">
      <c r="A12" s="163" t="s">
        <v>160</v>
      </c>
      <c r="B12" s="164" t="s">
        <v>161</v>
      </c>
      <c r="C12" s="165">
        <f>C11</f>
        <v>0</v>
      </c>
      <c r="D12" s="165">
        <v>100</v>
      </c>
      <c r="E12" s="165">
        <f t="shared" ref="E12:O12" si="2">E11</f>
        <v>0</v>
      </c>
      <c r="F12" s="165">
        <v>100</v>
      </c>
      <c r="G12" s="165">
        <f t="shared" si="2"/>
        <v>0</v>
      </c>
      <c r="H12" s="165">
        <f t="shared" si="2"/>
        <v>0</v>
      </c>
      <c r="I12" s="165">
        <f t="shared" si="2"/>
        <v>0</v>
      </c>
      <c r="J12" s="165">
        <v>0</v>
      </c>
      <c r="K12" s="165">
        <f t="shared" si="2"/>
        <v>0</v>
      </c>
      <c r="L12" s="165">
        <f t="shared" si="2"/>
        <v>0</v>
      </c>
      <c r="M12" s="165">
        <f t="shared" si="2"/>
        <v>0</v>
      </c>
      <c r="N12" s="165">
        <v>100</v>
      </c>
      <c r="O12" s="165">
        <f t="shared" si="2"/>
        <v>0</v>
      </c>
    </row>
    <row r="13" spans="1:15" ht="12" x14ac:dyDescent="0.2">
      <c r="A13" s="147" t="s">
        <v>96</v>
      </c>
      <c r="B13" s="148" t="s">
        <v>164</v>
      </c>
      <c r="C13" s="166">
        <f>C19+C32</f>
        <v>228536.76</v>
      </c>
      <c r="D13" s="166">
        <f t="shared" ref="D13:O13" si="3">D19+D32</f>
        <v>18082.5</v>
      </c>
      <c r="E13" s="166">
        <f t="shared" si="3"/>
        <v>19232.5</v>
      </c>
      <c r="F13" s="166">
        <f t="shared" si="3"/>
        <v>18032.5</v>
      </c>
      <c r="G13" s="166">
        <f t="shared" si="3"/>
        <v>19382.5</v>
      </c>
      <c r="H13" s="166">
        <f t="shared" si="3"/>
        <v>18832.5</v>
      </c>
      <c r="I13" s="166">
        <f t="shared" si="3"/>
        <v>21882.5</v>
      </c>
      <c r="J13" s="166">
        <f t="shared" si="3"/>
        <v>17632.5</v>
      </c>
      <c r="K13" s="166">
        <f t="shared" si="3"/>
        <v>20201.760000000002</v>
      </c>
      <c r="L13" s="166">
        <f t="shared" si="3"/>
        <v>18982.5</v>
      </c>
      <c r="M13" s="166">
        <f t="shared" si="3"/>
        <v>19032.5</v>
      </c>
      <c r="N13" s="166">
        <f t="shared" si="3"/>
        <v>19032.5</v>
      </c>
      <c r="O13" s="166">
        <f t="shared" si="3"/>
        <v>18210</v>
      </c>
    </row>
    <row r="14" spans="1:15" ht="12" x14ac:dyDescent="0.25">
      <c r="A14" s="156" t="s">
        <v>165</v>
      </c>
      <c r="B14" s="356" t="s">
        <v>166</v>
      </c>
      <c r="C14" s="356"/>
      <c r="D14" s="356"/>
      <c r="E14" s="356"/>
      <c r="F14" s="356"/>
      <c r="G14" s="356"/>
      <c r="H14" s="356"/>
      <c r="I14" s="356"/>
      <c r="J14" s="356"/>
      <c r="K14" s="151"/>
      <c r="L14" s="151"/>
      <c r="M14" s="151"/>
      <c r="N14" s="151"/>
      <c r="O14" s="151"/>
    </row>
    <row r="15" spans="1:15" x14ac:dyDescent="0.2">
      <c r="A15" s="152" t="s">
        <v>167</v>
      </c>
      <c r="B15" s="153" t="s">
        <v>168</v>
      </c>
      <c r="C15" s="154">
        <f>SUM(D15:O15)</f>
        <v>77883.75</v>
      </c>
      <c r="D15" s="155">
        <v>6641.25</v>
      </c>
      <c r="E15" s="155">
        <v>6641.25</v>
      </c>
      <c r="F15" s="155">
        <v>6641.25</v>
      </c>
      <c r="G15" s="155">
        <v>6641.25</v>
      </c>
      <c r="H15" s="155">
        <v>6641.25</v>
      </c>
      <c r="I15" s="155">
        <v>6641.25</v>
      </c>
      <c r="J15" s="155">
        <v>6641.25</v>
      </c>
      <c r="K15" s="155">
        <v>6641.25</v>
      </c>
      <c r="L15" s="155">
        <v>6641.25</v>
      </c>
      <c r="M15" s="155">
        <v>6641.25</v>
      </c>
      <c r="N15" s="155">
        <v>6641.25</v>
      </c>
      <c r="O15" s="155">
        <v>4830</v>
      </c>
    </row>
    <row r="16" spans="1:15" x14ac:dyDescent="0.2">
      <c r="A16" s="152" t="s">
        <v>169</v>
      </c>
      <c r="B16" s="153" t="s">
        <v>170</v>
      </c>
      <c r="C16" s="154">
        <f>SUM(D16:O16)</f>
        <v>77883.75</v>
      </c>
      <c r="D16" s="155">
        <v>6641.25</v>
      </c>
      <c r="E16" s="155">
        <v>6641.25</v>
      </c>
      <c r="F16" s="155">
        <v>6641.25</v>
      </c>
      <c r="G16" s="155">
        <v>6641.25</v>
      </c>
      <c r="H16" s="155">
        <v>6641.25</v>
      </c>
      <c r="I16" s="155">
        <v>6641.25</v>
      </c>
      <c r="J16" s="155">
        <v>6641.25</v>
      </c>
      <c r="K16" s="155">
        <v>6641.25</v>
      </c>
      <c r="L16" s="155">
        <v>6641.25</v>
      </c>
      <c r="M16" s="155">
        <v>6641.25</v>
      </c>
      <c r="N16" s="155">
        <v>6641.25</v>
      </c>
      <c r="O16" s="155">
        <v>4830</v>
      </c>
    </row>
    <row r="17" spans="1:15" s="169" customFormat="1" ht="15.75" customHeight="1" x14ac:dyDescent="0.3">
      <c r="A17" s="161" t="s">
        <v>171</v>
      </c>
      <c r="B17" s="167" t="s">
        <v>172</v>
      </c>
      <c r="C17" s="168">
        <f>SUM(D17:O17)</f>
        <v>36000</v>
      </c>
      <c r="D17" s="155">
        <v>3000</v>
      </c>
      <c r="E17" s="155">
        <v>3000</v>
      </c>
      <c r="F17" s="155">
        <v>3000</v>
      </c>
      <c r="G17" s="155">
        <v>3000</v>
      </c>
      <c r="H17" s="155">
        <v>3000</v>
      </c>
      <c r="I17" s="155">
        <v>3000</v>
      </c>
      <c r="J17" s="155">
        <v>3000</v>
      </c>
      <c r="K17" s="155">
        <v>3000</v>
      </c>
      <c r="L17" s="155">
        <v>3000</v>
      </c>
      <c r="M17" s="155">
        <v>3000</v>
      </c>
      <c r="N17" s="155">
        <v>3000</v>
      </c>
      <c r="O17" s="155">
        <v>3000</v>
      </c>
    </row>
    <row r="18" spans="1:15" x14ac:dyDescent="0.2">
      <c r="A18" s="161" t="s">
        <v>173</v>
      </c>
      <c r="B18" s="170" t="s">
        <v>174</v>
      </c>
      <c r="C18" s="168">
        <f>SUM(D18:O18)</f>
        <v>10800</v>
      </c>
      <c r="D18" s="154">
        <v>0</v>
      </c>
      <c r="E18" s="154">
        <v>0</v>
      </c>
      <c r="F18" s="154">
        <v>0</v>
      </c>
      <c r="G18" s="162">
        <v>1200</v>
      </c>
      <c r="H18" s="162">
        <v>1200</v>
      </c>
      <c r="I18" s="162">
        <v>1200</v>
      </c>
      <c r="J18" s="162">
        <v>1200</v>
      </c>
      <c r="K18" s="162">
        <v>1200</v>
      </c>
      <c r="L18" s="162">
        <v>1200</v>
      </c>
      <c r="M18" s="162">
        <v>1200</v>
      </c>
      <c r="N18" s="162">
        <v>1200</v>
      </c>
      <c r="O18" s="162">
        <v>1200</v>
      </c>
    </row>
    <row r="19" spans="1:15" ht="21.75" customHeight="1" x14ac:dyDescent="0.25">
      <c r="A19" s="156" t="s">
        <v>165</v>
      </c>
      <c r="B19" s="157" t="s">
        <v>175</v>
      </c>
      <c r="C19" s="158">
        <f>SUM(C15:C18)</f>
        <v>202567.5</v>
      </c>
      <c r="D19" s="158">
        <f>SUM(D15:D18)</f>
        <v>16282.5</v>
      </c>
      <c r="E19" s="158">
        <f>SUM(E15:E18)</f>
        <v>16282.5</v>
      </c>
      <c r="F19" s="158">
        <f>SUM(F15:F18)</f>
        <v>16282.5</v>
      </c>
      <c r="G19" s="158">
        <f t="shared" ref="G19:O19" si="4">SUM(G15:G18)</f>
        <v>17482.5</v>
      </c>
      <c r="H19" s="158">
        <f t="shared" si="4"/>
        <v>17482.5</v>
      </c>
      <c r="I19" s="158">
        <f t="shared" si="4"/>
        <v>17482.5</v>
      </c>
      <c r="J19" s="158">
        <f t="shared" si="4"/>
        <v>17482.5</v>
      </c>
      <c r="K19" s="158">
        <f t="shared" si="4"/>
        <v>17482.5</v>
      </c>
      <c r="L19" s="158">
        <f t="shared" si="4"/>
        <v>17482.5</v>
      </c>
      <c r="M19" s="158">
        <f t="shared" si="4"/>
        <v>17482.5</v>
      </c>
      <c r="N19" s="158">
        <f t="shared" si="4"/>
        <v>17482.5</v>
      </c>
      <c r="O19" s="158">
        <f t="shared" si="4"/>
        <v>13860</v>
      </c>
    </row>
    <row r="20" spans="1:15" ht="12" x14ac:dyDescent="0.25">
      <c r="A20" s="159" t="s">
        <v>176</v>
      </c>
      <c r="B20" s="355" t="s">
        <v>177</v>
      </c>
      <c r="C20" s="355"/>
      <c r="D20" s="355"/>
      <c r="E20" s="355"/>
      <c r="F20" s="355"/>
      <c r="G20" s="355"/>
      <c r="H20" s="355"/>
      <c r="I20" s="355"/>
      <c r="J20" s="355"/>
      <c r="K20" s="160"/>
      <c r="L20" s="160"/>
      <c r="M20" s="160"/>
      <c r="N20" s="160"/>
      <c r="O20" s="160"/>
    </row>
    <row r="21" spans="1:15" x14ac:dyDescent="0.2">
      <c r="A21" s="161" t="s">
        <v>178</v>
      </c>
      <c r="B21" s="153" t="s">
        <v>179</v>
      </c>
      <c r="C21" s="154">
        <f>SUM(D21:O21)</f>
        <v>8200</v>
      </c>
      <c r="D21" s="154">
        <v>900</v>
      </c>
      <c r="E21" s="154">
        <v>900</v>
      </c>
      <c r="F21" s="154">
        <v>900</v>
      </c>
      <c r="G21" s="154">
        <v>900</v>
      </c>
      <c r="H21" s="154">
        <v>600</v>
      </c>
      <c r="I21" s="154">
        <v>400</v>
      </c>
      <c r="J21" s="154">
        <v>0</v>
      </c>
      <c r="K21" s="154">
        <v>400</v>
      </c>
      <c r="L21" s="154">
        <v>900</v>
      </c>
      <c r="M21" s="154">
        <v>900</v>
      </c>
      <c r="N21" s="154">
        <v>900</v>
      </c>
      <c r="O21" s="154">
        <v>500</v>
      </c>
    </row>
    <row r="22" spans="1:15" ht="39.75" customHeight="1" x14ac:dyDescent="0.2">
      <c r="A22" s="152" t="s">
        <v>180</v>
      </c>
      <c r="B22" s="171" t="s">
        <v>181</v>
      </c>
      <c r="C22" s="154">
        <f>SUM(D22:O22)</f>
        <v>2169.2600000000002</v>
      </c>
      <c r="D22" s="154">
        <v>500</v>
      </c>
      <c r="E22" s="154">
        <v>0</v>
      </c>
      <c r="F22" s="154">
        <v>0</v>
      </c>
      <c r="G22" s="154">
        <v>0</v>
      </c>
      <c r="H22" s="154">
        <v>0</v>
      </c>
      <c r="I22" s="154">
        <v>0</v>
      </c>
      <c r="J22" s="154">
        <v>0</v>
      </c>
      <c r="K22" s="154">
        <v>1669.26</v>
      </c>
      <c r="L22" s="154">
        <v>0</v>
      </c>
      <c r="M22" s="154">
        <v>0</v>
      </c>
      <c r="N22" s="154">
        <v>0</v>
      </c>
      <c r="O22" s="154">
        <v>0</v>
      </c>
    </row>
    <row r="23" spans="1:15" hidden="1" x14ac:dyDescent="0.2">
      <c r="A23" s="152"/>
      <c r="B23" s="153" t="s">
        <v>182</v>
      </c>
      <c r="C23" s="154"/>
      <c r="D23" s="154"/>
      <c r="E23" s="154"/>
      <c r="F23" s="154"/>
      <c r="G23" s="154"/>
      <c r="H23" s="154"/>
      <c r="I23" s="154"/>
      <c r="J23" s="154"/>
      <c r="K23" s="172"/>
      <c r="L23" s="172"/>
      <c r="M23" s="172"/>
      <c r="N23" s="172"/>
      <c r="O23" s="172"/>
    </row>
    <row r="24" spans="1:15" hidden="1" x14ac:dyDescent="0.2">
      <c r="A24" s="152"/>
      <c r="B24" s="153" t="s">
        <v>183</v>
      </c>
      <c r="C24" s="154"/>
      <c r="D24" s="154"/>
      <c r="E24" s="154"/>
      <c r="F24" s="154"/>
      <c r="G24" s="154"/>
      <c r="H24" s="154"/>
      <c r="I24" s="154"/>
      <c r="J24" s="154"/>
      <c r="K24" s="172"/>
      <c r="L24" s="172"/>
      <c r="M24" s="172"/>
      <c r="N24" s="172"/>
      <c r="O24" s="172"/>
    </row>
    <row r="25" spans="1:15" ht="19.5" customHeight="1" x14ac:dyDescent="0.2">
      <c r="A25" s="161" t="s">
        <v>184</v>
      </c>
      <c r="B25" s="171" t="s">
        <v>185</v>
      </c>
      <c r="C25" s="154">
        <f t="shared" ref="C25:C31" si="5">SUM(D25:O25)</f>
        <v>2100</v>
      </c>
      <c r="D25" s="154">
        <v>0</v>
      </c>
      <c r="E25" s="154">
        <v>1400</v>
      </c>
      <c r="F25" s="154">
        <v>0</v>
      </c>
      <c r="G25" s="154">
        <v>350</v>
      </c>
      <c r="H25" s="154">
        <v>0</v>
      </c>
      <c r="I25" s="154">
        <v>350</v>
      </c>
      <c r="J25" s="154">
        <v>0</v>
      </c>
      <c r="K25" s="154">
        <v>0</v>
      </c>
      <c r="L25" s="154">
        <v>0</v>
      </c>
      <c r="M25" s="154">
        <v>0</v>
      </c>
      <c r="N25" s="154">
        <v>0</v>
      </c>
      <c r="O25" s="154">
        <v>0</v>
      </c>
    </row>
    <row r="26" spans="1:15" x14ac:dyDescent="0.2">
      <c r="A26" s="161" t="s">
        <v>186</v>
      </c>
      <c r="B26" s="153" t="s">
        <v>187</v>
      </c>
      <c r="C26" s="154">
        <f t="shared" si="5"/>
        <v>0</v>
      </c>
      <c r="D26" s="154">
        <v>0</v>
      </c>
      <c r="E26" s="154">
        <v>0</v>
      </c>
      <c r="F26" s="154">
        <v>0</v>
      </c>
      <c r="G26" s="154">
        <v>0</v>
      </c>
      <c r="H26" s="154">
        <v>0</v>
      </c>
      <c r="I26" s="154">
        <v>0</v>
      </c>
      <c r="J26" s="154">
        <v>0</v>
      </c>
      <c r="K26" s="154">
        <v>0</v>
      </c>
      <c r="L26" s="154">
        <v>0</v>
      </c>
      <c r="M26" s="154">
        <v>0</v>
      </c>
      <c r="N26" s="154">
        <v>0</v>
      </c>
      <c r="O26" s="154">
        <v>0</v>
      </c>
    </row>
    <row r="27" spans="1:15" ht="22.8" x14ac:dyDescent="0.2">
      <c r="A27" s="161" t="s">
        <v>188</v>
      </c>
      <c r="B27" s="173" t="s">
        <v>189</v>
      </c>
      <c r="C27" s="154">
        <f t="shared" si="5"/>
        <v>6000</v>
      </c>
      <c r="D27" s="154">
        <v>0</v>
      </c>
      <c r="E27" s="154">
        <v>0</v>
      </c>
      <c r="F27" s="154">
        <v>0</v>
      </c>
      <c r="G27" s="154">
        <v>0</v>
      </c>
      <c r="H27" s="154">
        <v>0</v>
      </c>
      <c r="I27" s="154">
        <v>3000</v>
      </c>
      <c r="J27" s="154">
        <v>0</v>
      </c>
      <c r="K27" s="154">
        <v>0</v>
      </c>
      <c r="L27" s="154">
        <v>0</v>
      </c>
      <c r="M27" s="154">
        <v>0</v>
      </c>
      <c r="N27" s="154">
        <v>0</v>
      </c>
      <c r="O27" s="154">
        <v>3000</v>
      </c>
    </row>
    <row r="28" spans="1:15" x14ac:dyDescent="0.2">
      <c r="A28" s="161" t="s">
        <v>190</v>
      </c>
      <c r="B28" s="171" t="s">
        <v>191</v>
      </c>
      <c r="C28" s="154">
        <f t="shared" si="5"/>
        <v>1000</v>
      </c>
      <c r="D28" s="154">
        <v>0</v>
      </c>
      <c r="E28" s="154">
        <v>0</v>
      </c>
      <c r="F28" s="154">
        <v>200</v>
      </c>
      <c r="G28" s="154">
        <v>0</v>
      </c>
      <c r="H28" s="154">
        <v>0</v>
      </c>
      <c r="I28" s="154">
        <v>0</v>
      </c>
      <c r="J28" s="154">
        <v>0</v>
      </c>
      <c r="K28" s="154">
        <v>400</v>
      </c>
      <c r="L28" s="154">
        <v>200</v>
      </c>
      <c r="M28" s="154">
        <v>0</v>
      </c>
      <c r="N28" s="154">
        <v>0</v>
      </c>
      <c r="O28" s="154">
        <v>200</v>
      </c>
    </row>
    <row r="29" spans="1:15" s="169" customFormat="1" ht="34.200000000000003" x14ac:dyDescent="0.3">
      <c r="A29" s="152" t="s">
        <v>192</v>
      </c>
      <c r="B29" s="171" t="s">
        <v>193</v>
      </c>
      <c r="C29" s="154">
        <f t="shared" si="5"/>
        <v>4500</v>
      </c>
      <c r="D29" s="154">
        <v>250</v>
      </c>
      <c r="E29" s="154">
        <v>500</v>
      </c>
      <c r="F29" s="154">
        <v>500</v>
      </c>
      <c r="G29" s="154">
        <v>500</v>
      </c>
      <c r="H29" s="154">
        <v>500</v>
      </c>
      <c r="I29" s="154">
        <v>500</v>
      </c>
      <c r="J29" s="154">
        <v>0</v>
      </c>
      <c r="K29" s="154">
        <v>0</v>
      </c>
      <c r="L29" s="154">
        <v>250</v>
      </c>
      <c r="M29" s="154">
        <v>500</v>
      </c>
      <c r="N29" s="154">
        <v>500</v>
      </c>
      <c r="O29" s="154">
        <v>500</v>
      </c>
    </row>
    <row r="30" spans="1:15" s="169" customFormat="1" x14ac:dyDescent="0.2">
      <c r="A30" s="161" t="s">
        <v>162</v>
      </c>
      <c r="B30" s="153" t="s">
        <v>163</v>
      </c>
      <c r="C30" s="154">
        <f>SUM(D30:O30)</f>
        <v>2000</v>
      </c>
      <c r="D30" s="162">
        <v>150</v>
      </c>
      <c r="E30" s="162">
        <v>150</v>
      </c>
      <c r="F30" s="162">
        <v>150</v>
      </c>
      <c r="G30" s="162">
        <v>150</v>
      </c>
      <c r="H30" s="162">
        <v>250</v>
      </c>
      <c r="I30" s="162">
        <v>150</v>
      </c>
      <c r="J30" s="162">
        <v>150</v>
      </c>
      <c r="K30" s="162">
        <v>250</v>
      </c>
      <c r="L30" s="162">
        <v>150</v>
      </c>
      <c r="M30" s="162">
        <v>150</v>
      </c>
      <c r="N30" s="162">
        <v>150</v>
      </c>
      <c r="O30" s="162">
        <v>150</v>
      </c>
    </row>
    <row r="31" spans="1:15" s="174" customFormat="1" ht="22.8" x14ac:dyDescent="0.2">
      <c r="A31" s="161" t="s">
        <v>194</v>
      </c>
      <c r="B31" s="170" t="s">
        <v>195</v>
      </c>
      <c r="C31" s="168">
        <f t="shared" si="5"/>
        <v>0</v>
      </c>
      <c r="D31" s="162">
        <v>0</v>
      </c>
      <c r="E31" s="162">
        <v>0</v>
      </c>
      <c r="F31" s="162">
        <v>0</v>
      </c>
      <c r="G31" s="162">
        <v>0</v>
      </c>
      <c r="H31" s="168">
        <v>0</v>
      </c>
      <c r="I31" s="168">
        <v>0</v>
      </c>
      <c r="J31" s="168">
        <v>0</v>
      </c>
      <c r="K31" s="168">
        <v>0</v>
      </c>
      <c r="L31" s="168">
        <v>0</v>
      </c>
      <c r="M31" s="168">
        <v>0</v>
      </c>
      <c r="N31" s="168">
        <v>0</v>
      </c>
      <c r="O31" s="168">
        <v>0</v>
      </c>
    </row>
    <row r="32" spans="1:15" ht="12" x14ac:dyDescent="0.25">
      <c r="A32" s="163" t="s">
        <v>176</v>
      </c>
      <c r="B32" s="175" t="s">
        <v>196</v>
      </c>
      <c r="C32" s="165">
        <f t="shared" ref="C32:O32" si="6">SUM(C21:C31)</f>
        <v>25969.260000000002</v>
      </c>
      <c r="D32" s="165">
        <f t="shared" si="6"/>
        <v>1800</v>
      </c>
      <c r="E32" s="165">
        <f t="shared" si="6"/>
        <v>2950</v>
      </c>
      <c r="F32" s="165">
        <f t="shared" si="6"/>
        <v>1750</v>
      </c>
      <c r="G32" s="165">
        <f t="shared" si="6"/>
        <v>1900</v>
      </c>
      <c r="H32" s="165">
        <f t="shared" si="6"/>
        <v>1350</v>
      </c>
      <c r="I32" s="165">
        <f t="shared" si="6"/>
        <v>4400</v>
      </c>
      <c r="J32" s="165">
        <f t="shared" si="6"/>
        <v>150</v>
      </c>
      <c r="K32" s="165">
        <f t="shared" si="6"/>
        <v>2719.26</v>
      </c>
      <c r="L32" s="165">
        <f t="shared" si="6"/>
        <v>1500</v>
      </c>
      <c r="M32" s="165">
        <f t="shared" si="6"/>
        <v>1550</v>
      </c>
      <c r="N32" s="165">
        <f t="shared" si="6"/>
        <v>1550</v>
      </c>
      <c r="O32" s="165">
        <f t="shared" si="6"/>
        <v>4350</v>
      </c>
    </row>
    <row r="33" spans="1:15" s="177" customFormat="1" ht="12" x14ac:dyDescent="0.25">
      <c r="A33" s="147" t="s">
        <v>98</v>
      </c>
      <c r="B33" s="176" t="s">
        <v>197</v>
      </c>
      <c r="C33" s="166">
        <f>C36+C40</f>
        <v>0</v>
      </c>
      <c r="D33" s="166">
        <f t="shared" ref="D33:O33" si="7">D36+D40</f>
        <v>0</v>
      </c>
      <c r="E33" s="166">
        <f t="shared" si="7"/>
        <v>0</v>
      </c>
      <c r="F33" s="166">
        <f t="shared" si="7"/>
        <v>0</v>
      </c>
      <c r="G33" s="166">
        <f t="shared" si="7"/>
        <v>0</v>
      </c>
      <c r="H33" s="166">
        <f t="shared" si="7"/>
        <v>0</v>
      </c>
      <c r="I33" s="166">
        <f t="shared" si="7"/>
        <v>0</v>
      </c>
      <c r="J33" s="166">
        <f t="shared" si="7"/>
        <v>0</v>
      </c>
      <c r="K33" s="166">
        <f t="shared" si="7"/>
        <v>0</v>
      </c>
      <c r="L33" s="166">
        <f t="shared" si="7"/>
        <v>0</v>
      </c>
      <c r="M33" s="166">
        <f t="shared" si="7"/>
        <v>0</v>
      </c>
      <c r="N33" s="166">
        <f t="shared" si="7"/>
        <v>0</v>
      </c>
      <c r="O33" s="166">
        <f t="shared" si="7"/>
        <v>0</v>
      </c>
    </row>
    <row r="34" spans="1:15" s="177" customFormat="1" ht="12" x14ac:dyDescent="0.25">
      <c r="A34" s="178" t="s">
        <v>198</v>
      </c>
      <c r="B34" s="357" t="s">
        <v>199</v>
      </c>
      <c r="C34" s="357"/>
      <c r="D34" s="357"/>
      <c r="E34" s="357"/>
      <c r="F34" s="357"/>
      <c r="G34" s="357"/>
      <c r="H34" s="357"/>
      <c r="I34" s="357"/>
      <c r="J34" s="357"/>
      <c r="K34" s="179"/>
      <c r="L34" s="179"/>
      <c r="M34" s="179"/>
      <c r="N34" s="179"/>
      <c r="O34" s="179"/>
    </row>
    <row r="35" spans="1:15" s="177" customFormat="1" x14ac:dyDescent="0.2">
      <c r="A35" s="180" t="s">
        <v>200</v>
      </c>
      <c r="B35" s="181" t="s">
        <v>201</v>
      </c>
      <c r="C35" s="154">
        <f>SUM(D35:O35)</f>
        <v>0</v>
      </c>
      <c r="D35" s="154">
        <f>SUM(E35:O35)</f>
        <v>0</v>
      </c>
      <c r="E35" s="154">
        <f t="shared" ref="E35:O35" si="8">SUM(F35:O35)</f>
        <v>0</v>
      </c>
      <c r="F35" s="154">
        <f t="shared" si="8"/>
        <v>0</v>
      </c>
      <c r="G35" s="154">
        <f t="shared" si="8"/>
        <v>0</v>
      </c>
      <c r="H35" s="154">
        <f t="shared" si="8"/>
        <v>0</v>
      </c>
      <c r="I35" s="154">
        <f t="shared" si="8"/>
        <v>0</v>
      </c>
      <c r="J35" s="154">
        <f t="shared" si="8"/>
        <v>0</v>
      </c>
      <c r="K35" s="154">
        <f t="shared" si="8"/>
        <v>0</v>
      </c>
      <c r="L35" s="154">
        <f t="shared" si="8"/>
        <v>0</v>
      </c>
      <c r="M35" s="154">
        <f t="shared" si="8"/>
        <v>0</v>
      </c>
      <c r="N35" s="154">
        <f t="shared" si="8"/>
        <v>0</v>
      </c>
      <c r="O35" s="154">
        <f t="shared" si="8"/>
        <v>0</v>
      </c>
    </row>
    <row r="36" spans="1:15" s="177" customFormat="1" ht="12" x14ac:dyDescent="0.25">
      <c r="A36" s="182" t="s">
        <v>198</v>
      </c>
      <c r="B36" s="183" t="s">
        <v>202</v>
      </c>
      <c r="C36" s="184">
        <f>C35</f>
        <v>0</v>
      </c>
      <c r="D36" s="184"/>
      <c r="E36" s="184"/>
      <c r="F36" s="184"/>
      <c r="G36" s="184"/>
      <c r="H36" s="184"/>
      <c r="I36" s="184"/>
      <c r="J36" s="184"/>
      <c r="K36" s="179"/>
      <c r="L36" s="179"/>
      <c r="M36" s="179"/>
      <c r="N36" s="179"/>
      <c r="O36" s="179"/>
    </row>
    <row r="37" spans="1:15" s="177" customFormat="1" ht="12" x14ac:dyDescent="0.25">
      <c r="A37" s="185" t="s">
        <v>203</v>
      </c>
      <c r="B37" s="186" t="s">
        <v>204</v>
      </c>
      <c r="C37" s="187"/>
      <c r="D37" s="187"/>
      <c r="E37" s="187"/>
      <c r="F37" s="187"/>
      <c r="G37" s="187"/>
      <c r="H37" s="187"/>
      <c r="I37" s="187"/>
      <c r="J37" s="187"/>
      <c r="K37" s="188"/>
      <c r="L37" s="188"/>
      <c r="M37" s="188"/>
      <c r="N37" s="188"/>
      <c r="O37" s="188"/>
    </row>
    <row r="38" spans="1:15" x14ac:dyDescent="0.2">
      <c r="A38" s="152" t="s">
        <v>205</v>
      </c>
      <c r="B38" s="153" t="s">
        <v>206</v>
      </c>
      <c r="C38" s="154">
        <f>SUM(D38:O38)</f>
        <v>0</v>
      </c>
      <c r="D38" s="154">
        <f>SUM(E38:O38)</f>
        <v>0</v>
      </c>
      <c r="E38" s="154">
        <f t="shared" ref="E38:O38" si="9">SUM(F38:O38)</f>
        <v>0</v>
      </c>
      <c r="F38" s="154">
        <f t="shared" si="9"/>
        <v>0</v>
      </c>
      <c r="G38" s="154">
        <f t="shared" si="9"/>
        <v>0</v>
      </c>
      <c r="H38" s="154">
        <f t="shared" si="9"/>
        <v>0</v>
      </c>
      <c r="I38" s="154">
        <f t="shared" si="9"/>
        <v>0</v>
      </c>
      <c r="J38" s="154">
        <f t="shared" si="9"/>
        <v>0</v>
      </c>
      <c r="K38" s="154">
        <f t="shared" si="9"/>
        <v>0</v>
      </c>
      <c r="L38" s="154">
        <f t="shared" si="9"/>
        <v>0</v>
      </c>
      <c r="M38" s="154">
        <f t="shared" si="9"/>
        <v>0</v>
      </c>
      <c r="N38" s="154">
        <f t="shared" si="9"/>
        <v>0</v>
      </c>
      <c r="O38" s="154">
        <f t="shared" si="9"/>
        <v>0</v>
      </c>
    </row>
    <row r="39" spans="1:15" x14ac:dyDescent="0.2">
      <c r="A39" s="152" t="s">
        <v>207</v>
      </c>
      <c r="B39" s="153" t="s">
        <v>208</v>
      </c>
      <c r="C39" s="154">
        <f>SUM(D39:O39)</f>
        <v>0</v>
      </c>
      <c r="D39" s="155">
        <v>0</v>
      </c>
      <c r="E39" s="155">
        <v>0</v>
      </c>
      <c r="F39" s="155">
        <v>0</v>
      </c>
      <c r="G39" s="155">
        <v>0</v>
      </c>
      <c r="H39" s="155">
        <v>0</v>
      </c>
      <c r="I39" s="155">
        <v>0</v>
      </c>
      <c r="J39" s="155">
        <v>0</v>
      </c>
      <c r="K39" s="155">
        <v>0</v>
      </c>
      <c r="L39" s="155">
        <v>0</v>
      </c>
      <c r="M39" s="155">
        <v>0</v>
      </c>
      <c r="N39" s="155">
        <v>0</v>
      </c>
      <c r="O39" s="155">
        <v>0</v>
      </c>
    </row>
    <row r="40" spans="1:15" ht="12" x14ac:dyDescent="0.25">
      <c r="A40" s="163" t="s">
        <v>203</v>
      </c>
      <c r="B40" s="175" t="s">
        <v>209</v>
      </c>
      <c r="C40" s="165">
        <f>SUM(C38:C39)</f>
        <v>0</v>
      </c>
      <c r="D40" s="165">
        <f t="shared" ref="D40:O40" si="10">SUM(D38:D39)</f>
        <v>0</v>
      </c>
      <c r="E40" s="165">
        <f t="shared" si="10"/>
        <v>0</v>
      </c>
      <c r="F40" s="165">
        <f t="shared" si="10"/>
        <v>0</v>
      </c>
      <c r="G40" s="165">
        <f t="shared" si="10"/>
        <v>0</v>
      </c>
      <c r="H40" s="165">
        <f t="shared" si="10"/>
        <v>0</v>
      </c>
      <c r="I40" s="165">
        <f t="shared" si="10"/>
        <v>0</v>
      </c>
      <c r="J40" s="165">
        <f t="shared" si="10"/>
        <v>0</v>
      </c>
      <c r="K40" s="165">
        <f t="shared" si="10"/>
        <v>0</v>
      </c>
      <c r="L40" s="165">
        <f t="shared" si="10"/>
        <v>0</v>
      </c>
      <c r="M40" s="165">
        <f t="shared" si="10"/>
        <v>0</v>
      </c>
      <c r="N40" s="165">
        <f t="shared" si="10"/>
        <v>0</v>
      </c>
      <c r="O40" s="165">
        <f t="shared" si="10"/>
        <v>0</v>
      </c>
    </row>
    <row r="41" spans="1:15" ht="12" x14ac:dyDescent="0.25">
      <c r="A41" s="189" t="s">
        <v>210</v>
      </c>
      <c r="B41" s="190" t="s">
        <v>211</v>
      </c>
      <c r="C41" s="191">
        <f>C9+C19+C36</f>
        <v>237367.5</v>
      </c>
      <c r="D41" s="191">
        <f t="shared" ref="D41:O41" si="11">D9+D19+D36</f>
        <v>19182.5</v>
      </c>
      <c r="E41" s="191">
        <f t="shared" si="11"/>
        <v>19182.5</v>
      </c>
      <c r="F41" s="191">
        <f t="shared" si="11"/>
        <v>19182.5</v>
      </c>
      <c r="G41" s="191">
        <f t="shared" si="11"/>
        <v>20382.5</v>
      </c>
      <c r="H41" s="191">
        <f t="shared" si="11"/>
        <v>20382.5</v>
      </c>
      <c r="I41" s="191">
        <f t="shared" si="11"/>
        <v>20382.5</v>
      </c>
      <c r="J41" s="191">
        <f t="shared" si="11"/>
        <v>20382.5</v>
      </c>
      <c r="K41" s="191">
        <f t="shared" si="11"/>
        <v>20382.5</v>
      </c>
      <c r="L41" s="191">
        <f t="shared" si="11"/>
        <v>20382.5</v>
      </c>
      <c r="M41" s="191">
        <f t="shared" si="11"/>
        <v>20382.5</v>
      </c>
      <c r="N41" s="191">
        <f t="shared" si="11"/>
        <v>20382.5</v>
      </c>
      <c r="O41" s="191">
        <f t="shared" si="11"/>
        <v>16760</v>
      </c>
    </row>
    <row r="42" spans="1:15" ht="12" hidden="1" x14ac:dyDescent="0.25">
      <c r="A42" s="192"/>
      <c r="B42" s="193"/>
      <c r="C42" s="194"/>
      <c r="D42" s="194"/>
      <c r="E42" s="194"/>
      <c r="F42" s="194"/>
      <c r="G42" s="194"/>
      <c r="H42" s="194"/>
      <c r="I42" s="194"/>
      <c r="J42" s="195"/>
      <c r="K42" s="196"/>
      <c r="L42" s="172"/>
      <c r="M42" s="172"/>
      <c r="N42" s="172"/>
      <c r="O42" s="172"/>
    </row>
    <row r="43" spans="1:15" ht="12" hidden="1" x14ac:dyDescent="0.25">
      <c r="A43" s="192"/>
      <c r="B43" s="193"/>
      <c r="C43" s="184"/>
      <c r="D43" s="184"/>
      <c r="E43" s="184"/>
      <c r="F43" s="184"/>
      <c r="G43" s="184"/>
      <c r="H43" s="184"/>
      <c r="I43" s="184"/>
      <c r="J43" s="195"/>
      <c r="K43" s="196"/>
      <c r="L43" s="172"/>
      <c r="M43" s="172"/>
      <c r="N43" s="172"/>
      <c r="O43" s="172"/>
    </row>
    <row r="44" spans="1:15" ht="12" hidden="1" x14ac:dyDescent="0.25">
      <c r="A44" s="192"/>
      <c r="B44" s="193"/>
      <c r="C44" s="184"/>
      <c r="D44" s="184"/>
      <c r="E44" s="184"/>
      <c r="F44" s="184"/>
      <c r="G44" s="184"/>
      <c r="H44" s="184"/>
      <c r="I44" s="184"/>
      <c r="J44" s="195"/>
      <c r="K44" s="196"/>
      <c r="L44" s="172"/>
      <c r="M44" s="172"/>
      <c r="N44" s="172"/>
      <c r="O44" s="172"/>
    </row>
    <row r="45" spans="1:15" ht="12" hidden="1" x14ac:dyDescent="0.25">
      <c r="A45" s="192"/>
      <c r="B45" s="193"/>
      <c r="C45" s="184"/>
      <c r="D45" s="184"/>
      <c r="E45" s="184"/>
      <c r="F45" s="184"/>
      <c r="G45" s="184"/>
      <c r="H45" s="184"/>
      <c r="I45" s="184"/>
      <c r="J45" s="195"/>
      <c r="K45" s="196"/>
      <c r="L45" s="172"/>
      <c r="M45" s="172"/>
      <c r="N45" s="172"/>
      <c r="O45" s="172"/>
    </row>
    <row r="46" spans="1:15" ht="12" hidden="1" x14ac:dyDescent="0.25">
      <c r="A46" s="192"/>
      <c r="B46" s="193"/>
      <c r="C46" s="184"/>
      <c r="D46" s="184"/>
      <c r="E46" s="184"/>
      <c r="F46" s="184"/>
      <c r="G46" s="184"/>
      <c r="H46" s="184"/>
      <c r="I46" s="184"/>
      <c r="J46" s="195"/>
      <c r="K46" s="196"/>
      <c r="L46" s="172"/>
      <c r="M46" s="172"/>
      <c r="N46" s="172"/>
      <c r="O46" s="172"/>
    </row>
    <row r="47" spans="1:15" ht="12" x14ac:dyDescent="0.25">
      <c r="A47" s="147" t="s">
        <v>212</v>
      </c>
      <c r="B47" s="176" t="s">
        <v>213</v>
      </c>
      <c r="C47" s="149">
        <f>15*C41/100</f>
        <v>35605.125</v>
      </c>
      <c r="D47" s="149">
        <f t="shared" ref="D47:O47" si="12">15*D41/100</f>
        <v>2877.375</v>
      </c>
      <c r="E47" s="149">
        <f t="shared" si="12"/>
        <v>2877.375</v>
      </c>
      <c r="F47" s="149">
        <f t="shared" si="12"/>
        <v>2877.375</v>
      </c>
      <c r="G47" s="149">
        <f t="shared" si="12"/>
        <v>3057.375</v>
      </c>
      <c r="H47" s="149">
        <f t="shared" si="12"/>
        <v>3057.375</v>
      </c>
      <c r="I47" s="149">
        <f t="shared" si="12"/>
        <v>3057.375</v>
      </c>
      <c r="J47" s="149">
        <f t="shared" si="12"/>
        <v>3057.375</v>
      </c>
      <c r="K47" s="149">
        <f t="shared" si="12"/>
        <v>3057.375</v>
      </c>
      <c r="L47" s="149">
        <f t="shared" si="12"/>
        <v>3057.375</v>
      </c>
      <c r="M47" s="149">
        <f t="shared" si="12"/>
        <v>3057.375</v>
      </c>
      <c r="N47" s="149">
        <f t="shared" si="12"/>
        <v>3057.375</v>
      </c>
      <c r="O47" s="149">
        <f t="shared" si="12"/>
        <v>2514</v>
      </c>
    </row>
    <row r="48" spans="1:15" x14ac:dyDescent="0.2">
      <c r="A48" s="152" t="s">
        <v>214</v>
      </c>
      <c r="B48" s="197" t="s">
        <v>215</v>
      </c>
      <c r="C48" s="154">
        <f t="shared" ref="C48:C53" si="13">SUM(D48:O48)</f>
        <v>3600</v>
      </c>
      <c r="D48" s="154">
        <v>300</v>
      </c>
      <c r="E48" s="154">
        <v>300</v>
      </c>
      <c r="F48" s="154">
        <v>300</v>
      </c>
      <c r="G48" s="154">
        <v>300</v>
      </c>
      <c r="H48" s="154">
        <v>300</v>
      </c>
      <c r="I48" s="154">
        <v>300</v>
      </c>
      <c r="J48" s="154">
        <v>300</v>
      </c>
      <c r="K48" s="154">
        <v>300</v>
      </c>
      <c r="L48" s="154">
        <v>300</v>
      </c>
      <c r="M48" s="154">
        <v>300</v>
      </c>
      <c r="N48" s="154">
        <v>300</v>
      </c>
      <c r="O48" s="154">
        <v>300</v>
      </c>
    </row>
    <row r="49" spans="1:15" x14ac:dyDescent="0.2">
      <c r="A49" s="152" t="s">
        <v>216</v>
      </c>
      <c r="B49" s="197" t="s">
        <v>217</v>
      </c>
      <c r="C49" s="154">
        <f t="shared" si="13"/>
        <v>480</v>
      </c>
      <c r="D49" s="155">
        <v>40</v>
      </c>
      <c r="E49" s="155">
        <v>40</v>
      </c>
      <c r="F49" s="155">
        <v>40</v>
      </c>
      <c r="G49" s="155">
        <v>40</v>
      </c>
      <c r="H49" s="155">
        <v>40</v>
      </c>
      <c r="I49" s="155">
        <v>40</v>
      </c>
      <c r="J49" s="155">
        <v>40</v>
      </c>
      <c r="K49" s="155">
        <v>40</v>
      </c>
      <c r="L49" s="155">
        <v>40</v>
      </c>
      <c r="M49" s="155">
        <v>40</v>
      </c>
      <c r="N49" s="155">
        <v>40</v>
      </c>
      <c r="O49" s="155">
        <v>40</v>
      </c>
    </row>
    <row r="50" spans="1:15" x14ac:dyDescent="0.2">
      <c r="A50" s="152" t="s">
        <v>218</v>
      </c>
      <c r="B50" s="197" t="s">
        <v>219</v>
      </c>
      <c r="C50" s="154">
        <f t="shared" si="13"/>
        <v>5000</v>
      </c>
      <c r="D50" s="155">
        <v>400</v>
      </c>
      <c r="E50" s="155">
        <v>500</v>
      </c>
      <c r="F50" s="155">
        <v>400</v>
      </c>
      <c r="G50" s="155">
        <v>400</v>
      </c>
      <c r="H50" s="155">
        <v>400</v>
      </c>
      <c r="I50" s="155">
        <v>400</v>
      </c>
      <c r="J50" s="155">
        <v>400</v>
      </c>
      <c r="K50" s="155">
        <v>400</v>
      </c>
      <c r="L50" s="155">
        <v>500</v>
      </c>
      <c r="M50" s="155">
        <v>400</v>
      </c>
      <c r="N50" s="155">
        <v>400</v>
      </c>
      <c r="O50" s="155">
        <v>400</v>
      </c>
    </row>
    <row r="51" spans="1:15" x14ac:dyDescent="0.2">
      <c r="A51" s="152" t="s">
        <v>220</v>
      </c>
      <c r="B51" s="197" t="s">
        <v>221</v>
      </c>
      <c r="C51" s="154">
        <f t="shared" si="13"/>
        <v>4000</v>
      </c>
      <c r="D51" s="155">
        <v>0</v>
      </c>
      <c r="E51" s="155">
        <v>0</v>
      </c>
      <c r="F51" s="155">
        <v>2000</v>
      </c>
      <c r="G51" s="155">
        <v>0</v>
      </c>
      <c r="H51" s="155">
        <v>0</v>
      </c>
      <c r="I51" s="155">
        <v>0</v>
      </c>
      <c r="J51" s="155">
        <v>1000</v>
      </c>
      <c r="K51" s="155">
        <v>0</v>
      </c>
      <c r="L51" s="155">
        <v>0</v>
      </c>
      <c r="M51" s="155">
        <v>0</v>
      </c>
      <c r="N51" s="155">
        <v>0</v>
      </c>
      <c r="O51" s="155">
        <v>1000</v>
      </c>
    </row>
    <row r="52" spans="1:15" x14ac:dyDescent="0.2">
      <c r="A52" s="152" t="s">
        <v>222</v>
      </c>
      <c r="B52" s="197" t="s">
        <v>223</v>
      </c>
      <c r="C52" s="154">
        <f t="shared" si="13"/>
        <v>60</v>
      </c>
      <c r="D52" s="155">
        <v>5</v>
      </c>
      <c r="E52" s="155">
        <v>5</v>
      </c>
      <c r="F52" s="155">
        <v>5</v>
      </c>
      <c r="G52" s="155">
        <v>5</v>
      </c>
      <c r="H52" s="155">
        <v>5</v>
      </c>
      <c r="I52" s="155">
        <v>5</v>
      </c>
      <c r="J52" s="155">
        <v>5</v>
      </c>
      <c r="K52" s="155">
        <v>5</v>
      </c>
      <c r="L52" s="155">
        <v>5</v>
      </c>
      <c r="M52" s="155">
        <v>5</v>
      </c>
      <c r="N52" s="155">
        <v>5</v>
      </c>
      <c r="O52" s="155">
        <v>5</v>
      </c>
    </row>
    <row r="53" spans="1:15" x14ac:dyDescent="0.2">
      <c r="A53" s="152" t="s">
        <v>224</v>
      </c>
      <c r="B53" s="197" t="s">
        <v>225</v>
      </c>
      <c r="C53" s="154">
        <f t="shared" si="13"/>
        <v>16800</v>
      </c>
      <c r="D53" s="155">
        <v>1400</v>
      </c>
      <c r="E53" s="155">
        <v>1400</v>
      </c>
      <c r="F53" s="155">
        <v>1400</v>
      </c>
      <c r="G53" s="155">
        <v>1400</v>
      </c>
      <c r="H53" s="155">
        <v>1400</v>
      </c>
      <c r="I53" s="155">
        <v>1400</v>
      </c>
      <c r="J53" s="155">
        <v>1400</v>
      </c>
      <c r="K53" s="155">
        <v>1400</v>
      </c>
      <c r="L53" s="155">
        <v>1400</v>
      </c>
      <c r="M53" s="155">
        <v>1400</v>
      </c>
      <c r="N53" s="155">
        <v>1400</v>
      </c>
      <c r="O53" s="155">
        <v>1400</v>
      </c>
    </row>
    <row r="54" spans="1:15" ht="13.5" customHeight="1" x14ac:dyDescent="0.2">
      <c r="A54" s="198" t="s">
        <v>226</v>
      </c>
      <c r="B54" s="199" t="s">
        <v>227</v>
      </c>
      <c r="C54" s="154">
        <v>5665</v>
      </c>
      <c r="D54" s="154">
        <v>0</v>
      </c>
      <c r="E54" s="154">
        <v>0</v>
      </c>
      <c r="F54" s="154">
        <v>0</v>
      </c>
      <c r="G54" s="154">
        <v>0</v>
      </c>
      <c r="H54" s="154">
        <v>0</v>
      </c>
      <c r="I54" s="154">
        <v>0</v>
      </c>
      <c r="J54" s="154">
        <v>0</v>
      </c>
      <c r="K54" s="154">
        <v>0</v>
      </c>
      <c r="L54" s="154">
        <v>0</v>
      </c>
      <c r="M54" s="154">
        <v>0</v>
      </c>
      <c r="N54" s="154">
        <v>0</v>
      </c>
      <c r="O54" s="154">
        <v>0</v>
      </c>
    </row>
    <row r="55" spans="1:15" ht="12" x14ac:dyDescent="0.25">
      <c r="A55" s="349" t="s">
        <v>228</v>
      </c>
      <c r="B55" s="350"/>
      <c r="C55" s="165">
        <f>SUM(C48:C54)</f>
        <v>35605</v>
      </c>
      <c r="D55" s="165">
        <f t="shared" ref="D55:O55" si="14">SUM(D48:D54)</f>
        <v>2145</v>
      </c>
      <c r="E55" s="165">
        <f t="shared" si="14"/>
        <v>2245</v>
      </c>
      <c r="F55" s="165">
        <f t="shared" si="14"/>
        <v>4145</v>
      </c>
      <c r="G55" s="165">
        <f t="shared" si="14"/>
        <v>2145</v>
      </c>
      <c r="H55" s="165">
        <f t="shared" si="14"/>
        <v>2145</v>
      </c>
      <c r="I55" s="165">
        <f>SUM(I48:I54)</f>
        <v>2145</v>
      </c>
      <c r="J55" s="165">
        <f t="shared" si="14"/>
        <v>3145</v>
      </c>
      <c r="K55" s="165">
        <f t="shared" si="14"/>
        <v>2145</v>
      </c>
      <c r="L55" s="165">
        <f t="shared" si="14"/>
        <v>2245</v>
      </c>
      <c r="M55" s="165">
        <f t="shared" si="14"/>
        <v>2145</v>
      </c>
      <c r="N55" s="165">
        <f t="shared" si="14"/>
        <v>2145</v>
      </c>
      <c r="O55" s="165">
        <f t="shared" si="14"/>
        <v>3145</v>
      </c>
    </row>
    <row r="56" spans="1:15" ht="12" x14ac:dyDescent="0.25">
      <c r="A56" s="152"/>
      <c r="B56" s="200" t="s">
        <v>229</v>
      </c>
      <c r="C56" s="201">
        <f>C6+C13+C33+C47</f>
        <v>298941.88500000001</v>
      </c>
      <c r="D56" s="201">
        <f t="shared" ref="D56:O56" si="15">D6+D13+D33+D47</f>
        <v>23859.875</v>
      </c>
      <c r="E56" s="201">
        <f t="shared" si="15"/>
        <v>25009.875</v>
      </c>
      <c r="F56" s="201">
        <f t="shared" si="15"/>
        <v>23809.875</v>
      </c>
      <c r="G56" s="201">
        <f t="shared" si="15"/>
        <v>25339.875</v>
      </c>
      <c r="H56" s="201">
        <f t="shared" si="15"/>
        <v>24789.875</v>
      </c>
      <c r="I56" s="201">
        <f t="shared" si="15"/>
        <v>27839.875</v>
      </c>
      <c r="J56" s="201">
        <f t="shared" si="15"/>
        <v>23589.875</v>
      </c>
      <c r="K56" s="201">
        <f t="shared" si="15"/>
        <v>26159.135000000002</v>
      </c>
      <c r="L56" s="201">
        <f t="shared" si="15"/>
        <v>24939.875</v>
      </c>
      <c r="M56" s="201">
        <f t="shared" si="15"/>
        <v>24989.875</v>
      </c>
      <c r="N56" s="201">
        <f t="shared" si="15"/>
        <v>24989.875</v>
      </c>
      <c r="O56" s="201">
        <f t="shared" si="15"/>
        <v>23624</v>
      </c>
    </row>
    <row r="57" spans="1:15" ht="12" x14ac:dyDescent="0.25">
      <c r="A57" s="351"/>
      <c r="B57" s="352"/>
      <c r="C57" s="202"/>
      <c r="D57" s="202"/>
      <c r="E57" s="202"/>
      <c r="F57" s="202"/>
      <c r="G57" s="202"/>
      <c r="H57" s="202"/>
      <c r="I57" s="202"/>
      <c r="J57" s="203"/>
    </row>
    <row r="60" spans="1:15" x14ac:dyDescent="0.2">
      <c r="D60" s="138">
        <f>D56+E56+F56</f>
        <v>72679.625</v>
      </c>
      <c r="G60" s="138">
        <f>G56+H56+I56</f>
        <v>77969.625</v>
      </c>
      <c r="J60" s="139">
        <f>J56+K56+L56</f>
        <v>74688.885000000009</v>
      </c>
      <c r="M60" s="140">
        <f>M56+N56+O56</f>
        <v>73603.75</v>
      </c>
    </row>
    <row r="63" spans="1:15" x14ac:dyDescent="0.2">
      <c r="H63" s="139">
        <v>298941.88500000001</v>
      </c>
    </row>
    <row r="72" spans="10:10" ht="12" x14ac:dyDescent="0.2">
      <c r="J72" s="204"/>
    </row>
  </sheetData>
  <mergeCells count="8">
    <mergeCell ref="A55:B55"/>
    <mergeCell ref="A57:B57"/>
    <mergeCell ref="B2:C2"/>
    <mergeCell ref="B7:J7"/>
    <mergeCell ref="B10:J10"/>
    <mergeCell ref="B14:J14"/>
    <mergeCell ref="B20:J20"/>
    <mergeCell ref="B34:J3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R60"/>
  <sheetViews>
    <sheetView topLeftCell="A18" workbookViewId="0">
      <selection activeCell="G59" sqref="G59"/>
    </sheetView>
  </sheetViews>
  <sheetFormatPr defaultRowHeight="11.4" x14ac:dyDescent="0.2"/>
  <cols>
    <col min="1" max="1" width="9.109375" style="215" customWidth="1"/>
    <col min="2" max="2" width="46.44140625" style="216" customWidth="1"/>
    <col min="3" max="3" width="8.5546875" style="217" customWidth="1"/>
    <col min="4" max="4" width="14.44140625" style="217" customWidth="1"/>
    <col min="5" max="5" width="11.44140625" style="217" customWidth="1"/>
    <col min="6" max="6" width="16.88671875" style="217" customWidth="1"/>
    <col min="7" max="7" width="10.6640625" style="217" customWidth="1"/>
    <col min="8" max="8" width="11.109375" style="217" customWidth="1"/>
    <col min="9" max="9" width="10.6640625" style="217" customWidth="1"/>
    <col min="10" max="14" width="10.33203125" style="217" customWidth="1"/>
    <col min="15" max="15" width="10.88671875" style="217" customWidth="1"/>
    <col min="16" max="17" width="10.33203125" style="217" customWidth="1"/>
    <col min="18" max="18" width="10.6640625" style="217" customWidth="1"/>
    <col min="19" max="256" width="9.109375" style="218"/>
    <col min="257" max="257" width="9.109375" style="218" customWidth="1"/>
    <col min="258" max="258" width="46.44140625" style="218" customWidth="1"/>
    <col min="259" max="259" width="8.5546875" style="218" customWidth="1"/>
    <col min="260" max="260" width="14.44140625" style="218" customWidth="1"/>
    <col min="261" max="261" width="11.44140625" style="218" customWidth="1"/>
    <col min="262" max="262" width="16.88671875" style="218" customWidth="1"/>
    <col min="263" max="263" width="10.6640625" style="218" customWidth="1"/>
    <col min="264" max="264" width="11.109375" style="218" customWidth="1"/>
    <col min="265" max="265" width="10.6640625" style="218" customWidth="1"/>
    <col min="266" max="270" width="10.33203125" style="218" customWidth="1"/>
    <col min="271" max="271" width="10.88671875" style="218" customWidth="1"/>
    <col min="272" max="273" width="10.33203125" style="218" customWidth="1"/>
    <col min="274" max="274" width="10.6640625" style="218" customWidth="1"/>
    <col min="275" max="512" width="9.109375" style="218"/>
    <col min="513" max="513" width="9.109375" style="218" customWidth="1"/>
    <col min="514" max="514" width="46.44140625" style="218" customWidth="1"/>
    <col min="515" max="515" width="8.5546875" style="218" customWidth="1"/>
    <col min="516" max="516" width="14.44140625" style="218" customWidth="1"/>
    <col min="517" max="517" width="11.44140625" style="218" customWidth="1"/>
    <col min="518" max="518" width="16.88671875" style="218" customWidth="1"/>
    <col min="519" max="519" width="10.6640625" style="218" customWidth="1"/>
    <col min="520" max="520" width="11.109375" style="218" customWidth="1"/>
    <col min="521" max="521" width="10.6640625" style="218" customWidth="1"/>
    <col min="522" max="526" width="10.33203125" style="218" customWidth="1"/>
    <col min="527" max="527" width="10.88671875" style="218" customWidth="1"/>
    <col min="528" max="529" width="10.33203125" style="218" customWidth="1"/>
    <col min="530" max="530" width="10.6640625" style="218" customWidth="1"/>
    <col min="531" max="768" width="9.109375" style="218"/>
    <col min="769" max="769" width="9.109375" style="218" customWidth="1"/>
    <col min="770" max="770" width="46.44140625" style="218" customWidth="1"/>
    <col min="771" max="771" width="8.5546875" style="218" customWidth="1"/>
    <col min="772" max="772" width="14.44140625" style="218" customWidth="1"/>
    <col min="773" max="773" width="11.44140625" style="218" customWidth="1"/>
    <col min="774" max="774" width="16.88671875" style="218" customWidth="1"/>
    <col min="775" max="775" width="10.6640625" style="218" customWidth="1"/>
    <col min="776" max="776" width="11.109375" style="218" customWidth="1"/>
    <col min="777" max="777" width="10.6640625" style="218" customWidth="1"/>
    <col min="778" max="782" width="10.33203125" style="218" customWidth="1"/>
    <col min="783" max="783" width="10.88671875" style="218" customWidth="1"/>
    <col min="784" max="785" width="10.33203125" style="218" customWidth="1"/>
    <col min="786" max="786" width="10.6640625" style="218" customWidth="1"/>
    <col min="787" max="1024" width="9.109375" style="218"/>
    <col min="1025" max="1025" width="9.109375" style="218" customWidth="1"/>
    <col min="1026" max="1026" width="46.44140625" style="218" customWidth="1"/>
    <col min="1027" max="1027" width="8.5546875" style="218" customWidth="1"/>
    <col min="1028" max="1028" width="14.44140625" style="218" customWidth="1"/>
    <col min="1029" max="1029" width="11.44140625" style="218" customWidth="1"/>
    <col min="1030" max="1030" width="16.88671875" style="218" customWidth="1"/>
    <col min="1031" max="1031" width="10.6640625" style="218" customWidth="1"/>
    <col min="1032" max="1032" width="11.109375" style="218" customWidth="1"/>
    <col min="1033" max="1033" width="10.6640625" style="218" customWidth="1"/>
    <col min="1034" max="1038" width="10.33203125" style="218" customWidth="1"/>
    <col min="1039" max="1039" width="10.88671875" style="218" customWidth="1"/>
    <col min="1040" max="1041" width="10.33203125" style="218" customWidth="1"/>
    <col min="1042" max="1042" width="10.6640625" style="218" customWidth="1"/>
    <col min="1043" max="1280" width="9.109375" style="218"/>
    <col min="1281" max="1281" width="9.109375" style="218" customWidth="1"/>
    <col min="1282" max="1282" width="46.44140625" style="218" customWidth="1"/>
    <col min="1283" max="1283" width="8.5546875" style="218" customWidth="1"/>
    <col min="1284" max="1284" width="14.44140625" style="218" customWidth="1"/>
    <col min="1285" max="1285" width="11.44140625" style="218" customWidth="1"/>
    <col min="1286" max="1286" width="16.88671875" style="218" customWidth="1"/>
    <col min="1287" max="1287" width="10.6640625" style="218" customWidth="1"/>
    <col min="1288" max="1288" width="11.109375" style="218" customWidth="1"/>
    <col min="1289" max="1289" width="10.6640625" style="218" customWidth="1"/>
    <col min="1290" max="1294" width="10.33203125" style="218" customWidth="1"/>
    <col min="1295" max="1295" width="10.88671875" style="218" customWidth="1"/>
    <col min="1296" max="1297" width="10.33203125" style="218" customWidth="1"/>
    <col min="1298" max="1298" width="10.6640625" style="218" customWidth="1"/>
    <col min="1299" max="1536" width="9.109375" style="218"/>
    <col min="1537" max="1537" width="9.109375" style="218" customWidth="1"/>
    <col min="1538" max="1538" width="46.44140625" style="218" customWidth="1"/>
    <col min="1539" max="1539" width="8.5546875" style="218" customWidth="1"/>
    <col min="1540" max="1540" width="14.44140625" style="218" customWidth="1"/>
    <col min="1541" max="1541" width="11.44140625" style="218" customWidth="1"/>
    <col min="1542" max="1542" width="16.88671875" style="218" customWidth="1"/>
    <col min="1543" max="1543" width="10.6640625" style="218" customWidth="1"/>
    <col min="1544" max="1544" width="11.109375" style="218" customWidth="1"/>
    <col min="1545" max="1545" width="10.6640625" style="218" customWidth="1"/>
    <col min="1546" max="1550" width="10.33203125" style="218" customWidth="1"/>
    <col min="1551" max="1551" width="10.88671875" style="218" customWidth="1"/>
    <col min="1552" max="1553" width="10.33203125" style="218" customWidth="1"/>
    <col min="1554" max="1554" width="10.6640625" style="218" customWidth="1"/>
    <col min="1555" max="1792" width="9.109375" style="218"/>
    <col min="1793" max="1793" width="9.109375" style="218" customWidth="1"/>
    <col min="1794" max="1794" width="46.44140625" style="218" customWidth="1"/>
    <col min="1795" max="1795" width="8.5546875" style="218" customWidth="1"/>
    <col min="1796" max="1796" width="14.44140625" style="218" customWidth="1"/>
    <col min="1797" max="1797" width="11.44140625" style="218" customWidth="1"/>
    <col min="1798" max="1798" width="16.88671875" style="218" customWidth="1"/>
    <col min="1799" max="1799" width="10.6640625" style="218" customWidth="1"/>
    <col min="1800" max="1800" width="11.109375" style="218" customWidth="1"/>
    <col min="1801" max="1801" width="10.6640625" style="218" customWidth="1"/>
    <col min="1802" max="1806" width="10.33203125" style="218" customWidth="1"/>
    <col min="1807" max="1807" width="10.88671875" style="218" customWidth="1"/>
    <col min="1808" max="1809" width="10.33203125" style="218" customWidth="1"/>
    <col min="1810" max="1810" width="10.6640625" style="218" customWidth="1"/>
    <col min="1811" max="2048" width="9.109375" style="218"/>
    <col min="2049" max="2049" width="9.109375" style="218" customWidth="1"/>
    <col min="2050" max="2050" width="46.44140625" style="218" customWidth="1"/>
    <col min="2051" max="2051" width="8.5546875" style="218" customWidth="1"/>
    <col min="2052" max="2052" width="14.44140625" style="218" customWidth="1"/>
    <col min="2053" max="2053" width="11.44140625" style="218" customWidth="1"/>
    <col min="2054" max="2054" width="16.88671875" style="218" customWidth="1"/>
    <col min="2055" max="2055" width="10.6640625" style="218" customWidth="1"/>
    <col min="2056" max="2056" width="11.109375" style="218" customWidth="1"/>
    <col min="2057" max="2057" width="10.6640625" style="218" customWidth="1"/>
    <col min="2058" max="2062" width="10.33203125" style="218" customWidth="1"/>
    <col min="2063" max="2063" width="10.88671875" style="218" customWidth="1"/>
    <col min="2064" max="2065" width="10.33203125" style="218" customWidth="1"/>
    <col min="2066" max="2066" width="10.6640625" style="218" customWidth="1"/>
    <col min="2067" max="2304" width="9.109375" style="218"/>
    <col min="2305" max="2305" width="9.109375" style="218" customWidth="1"/>
    <col min="2306" max="2306" width="46.44140625" style="218" customWidth="1"/>
    <col min="2307" max="2307" width="8.5546875" style="218" customWidth="1"/>
    <col min="2308" max="2308" width="14.44140625" style="218" customWidth="1"/>
    <col min="2309" max="2309" width="11.44140625" style="218" customWidth="1"/>
    <col min="2310" max="2310" width="16.88671875" style="218" customWidth="1"/>
    <col min="2311" max="2311" width="10.6640625" style="218" customWidth="1"/>
    <col min="2312" max="2312" width="11.109375" style="218" customWidth="1"/>
    <col min="2313" max="2313" width="10.6640625" style="218" customWidth="1"/>
    <col min="2314" max="2318" width="10.33203125" style="218" customWidth="1"/>
    <col min="2319" max="2319" width="10.88671875" style="218" customWidth="1"/>
    <col min="2320" max="2321" width="10.33203125" style="218" customWidth="1"/>
    <col min="2322" max="2322" width="10.6640625" style="218" customWidth="1"/>
    <col min="2323" max="2560" width="9.109375" style="218"/>
    <col min="2561" max="2561" width="9.109375" style="218" customWidth="1"/>
    <col min="2562" max="2562" width="46.44140625" style="218" customWidth="1"/>
    <col min="2563" max="2563" width="8.5546875" style="218" customWidth="1"/>
    <col min="2564" max="2564" width="14.44140625" style="218" customWidth="1"/>
    <col min="2565" max="2565" width="11.44140625" style="218" customWidth="1"/>
    <col min="2566" max="2566" width="16.88671875" style="218" customWidth="1"/>
    <col min="2567" max="2567" width="10.6640625" style="218" customWidth="1"/>
    <col min="2568" max="2568" width="11.109375" style="218" customWidth="1"/>
    <col min="2569" max="2569" width="10.6640625" style="218" customWidth="1"/>
    <col min="2570" max="2574" width="10.33203125" style="218" customWidth="1"/>
    <col min="2575" max="2575" width="10.88671875" style="218" customWidth="1"/>
    <col min="2576" max="2577" width="10.33203125" style="218" customWidth="1"/>
    <col min="2578" max="2578" width="10.6640625" style="218" customWidth="1"/>
    <col min="2579" max="2816" width="9.109375" style="218"/>
    <col min="2817" max="2817" width="9.109375" style="218" customWidth="1"/>
    <col min="2818" max="2818" width="46.44140625" style="218" customWidth="1"/>
    <col min="2819" max="2819" width="8.5546875" style="218" customWidth="1"/>
    <col min="2820" max="2820" width="14.44140625" style="218" customWidth="1"/>
    <col min="2821" max="2821" width="11.44140625" style="218" customWidth="1"/>
    <col min="2822" max="2822" width="16.88671875" style="218" customWidth="1"/>
    <col min="2823" max="2823" width="10.6640625" style="218" customWidth="1"/>
    <col min="2824" max="2824" width="11.109375" style="218" customWidth="1"/>
    <col min="2825" max="2825" width="10.6640625" style="218" customWidth="1"/>
    <col min="2826" max="2830" width="10.33203125" style="218" customWidth="1"/>
    <col min="2831" max="2831" width="10.88671875" style="218" customWidth="1"/>
    <col min="2832" max="2833" width="10.33203125" style="218" customWidth="1"/>
    <col min="2834" max="2834" width="10.6640625" style="218" customWidth="1"/>
    <col min="2835" max="3072" width="9.109375" style="218"/>
    <col min="3073" max="3073" width="9.109375" style="218" customWidth="1"/>
    <col min="3074" max="3074" width="46.44140625" style="218" customWidth="1"/>
    <col min="3075" max="3075" width="8.5546875" style="218" customWidth="1"/>
    <col min="3076" max="3076" width="14.44140625" style="218" customWidth="1"/>
    <col min="3077" max="3077" width="11.44140625" style="218" customWidth="1"/>
    <col min="3078" max="3078" width="16.88671875" style="218" customWidth="1"/>
    <col min="3079" max="3079" width="10.6640625" style="218" customWidth="1"/>
    <col min="3080" max="3080" width="11.109375" style="218" customWidth="1"/>
    <col min="3081" max="3081" width="10.6640625" style="218" customWidth="1"/>
    <col min="3082" max="3086" width="10.33203125" style="218" customWidth="1"/>
    <col min="3087" max="3087" width="10.88671875" style="218" customWidth="1"/>
    <col min="3088" max="3089" width="10.33203125" style="218" customWidth="1"/>
    <col min="3090" max="3090" width="10.6640625" style="218" customWidth="1"/>
    <col min="3091" max="3328" width="9.109375" style="218"/>
    <col min="3329" max="3329" width="9.109375" style="218" customWidth="1"/>
    <col min="3330" max="3330" width="46.44140625" style="218" customWidth="1"/>
    <col min="3331" max="3331" width="8.5546875" style="218" customWidth="1"/>
    <col min="3332" max="3332" width="14.44140625" style="218" customWidth="1"/>
    <col min="3333" max="3333" width="11.44140625" style="218" customWidth="1"/>
    <col min="3334" max="3334" width="16.88671875" style="218" customWidth="1"/>
    <col min="3335" max="3335" width="10.6640625" style="218" customWidth="1"/>
    <col min="3336" max="3336" width="11.109375" style="218" customWidth="1"/>
    <col min="3337" max="3337" width="10.6640625" style="218" customWidth="1"/>
    <col min="3338" max="3342" width="10.33203125" style="218" customWidth="1"/>
    <col min="3343" max="3343" width="10.88671875" style="218" customWidth="1"/>
    <col min="3344" max="3345" width="10.33203125" style="218" customWidth="1"/>
    <col min="3346" max="3346" width="10.6640625" style="218" customWidth="1"/>
    <col min="3347" max="3584" width="9.109375" style="218"/>
    <col min="3585" max="3585" width="9.109375" style="218" customWidth="1"/>
    <col min="3586" max="3586" width="46.44140625" style="218" customWidth="1"/>
    <col min="3587" max="3587" width="8.5546875" style="218" customWidth="1"/>
    <col min="3588" max="3588" width="14.44140625" style="218" customWidth="1"/>
    <col min="3589" max="3589" width="11.44140625" style="218" customWidth="1"/>
    <col min="3590" max="3590" width="16.88671875" style="218" customWidth="1"/>
    <col min="3591" max="3591" width="10.6640625" style="218" customWidth="1"/>
    <col min="3592" max="3592" width="11.109375" style="218" customWidth="1"/>
    <col min="3593" max="3593" width="10.6640625" style="218" customWidth="1"/>
    <col min="3594" max="3598" width="10.33203125" style="218" customWidth="1"/>
    <col min="3599" max="3599" width="10.88671875" style="218" customWidth="1"/>
    <col min="3600" max="3601" width="10.33203125" style="218" customWidth="1"/>
    <col min="3602" max="3602" width="10.6640625" style="218" customWidth="1"/>
    <col min="3603" max="3840" width="9.109375" style="218"/>
    <col min="3841" max="3841" width="9.109375" style="218" customWidth="1"/>
    <col min="3842" max="3842" width="46.44140625" style="218" customWidth="1"/>
    <col min="3843" max="3843" width="8.5546875" style="218" customWidth="1"/>
    <col min="3844" max="3844" width="14.44140625" style="218" customWidth="1"/>
    <col min="3845" max="3845" width="11.44140625" style="218" customWidth="1"/>
    <col min="3846" max="3846" width="16.88671875" style="218" customWidth="1"/>
    <col min="3847" max="3847" width="10.6640625" style="218" customWidth="1"/>
    <col min="3848" max="3848" width="11.109375" style="218" customWidth="1"/>
    <col min="3849" max="3849" width="10.6640625" style="218" customWidth="1"/>
    <col min="3850" max="3854" width="10.33203125" style="218" customWidth="1"/>
    <col min="3855" max="3855" width="10.88671875" style="218" customWidth="1"/>
    <col min="3856" max="3857" width="10.33203125" style="218" customWidth="1"/>
    <col min="3858" max="3858" width="10.6640625" style="218" customWidth="1"/>
    <col min="3859" max="4096" width="9.109375" style="218"/>
    <col min="4097" max="4097" width="9.109375" style="218" customWidth="1"/>
    <col min="4098" max="4098" width="46.44140625" style="218" customWidth="1"/>
    <col min="4099" max="4099" width="8.5546875" style="218" customWidth="1"/>
    <col min="4100" max="4100" width="14.44140625" style="218" customWidth="1"/>
    <col min="4101" max="4101" width="11.44140625" style="218" customWidth="1"/>
    <col min="4102" max="4102" width="16.88671875" style="218" customWidth="1"/>
    <col min="4103" max="4103" width="10.6640625" style="218" customWidth="1"/>
    <col min="4104" max="4104" width="11.109375" style="218" customWidth="1"/>
    <col min="4105" max="4105" width="10.6640625" style="218" customWidth="1"/>
    <col min="4106" max="4110" width="10.33203125" style="218" customWidth="1"/>
    <col min="4111" max="4111" width="10.88671875" style="218" customWidth="1"/>
    <col min="4112" max="4113" width="10.33203125" style="218" customWidth="1"/>
    <col min="4114" max="4114" width="10.6640625" style="218" customWidth="1"/>
    <col min="4115" max="4352" width="9.109375" style="218"/>
    <col min="4353" max="4353" width="9.109375" style="218" customWidth="1"/>
    <col min="4354" max="4354" width="46.44140625" style="218" customWidth="1"/>
    <col min="4355" max="4355" width="8.5546875" style="218" customWidth="1"/>
    <col min="4356" max="4356" width="14.44140625" style="218" customWidth="1"/>
    <col min="4357" max="4357" width="11.44140625" style="218" customWidth="1"/>
    <col min="4358" max="4358" width="16.88671875" style="218" customWidth="1"/>
    <col min="4359" max="4359" width="10.6640625" style="218" customWidth="1"/>
    <col min="4360" max="4360" width="11.109375" style="218" customWidth="1"/>
    <col min="4361" max="4361" width="10.6640625" style="218" customWidth="1"/>
    <col min="4362" max="4366" width="10.33203125" style="218" customWidth="1"/>
    <col min="4367" max="4367" width="10.88671875" style="218" customWidth="1"/>
    <col min="4368" max="4369" width="10.33203125" style="218" customWidth="1"/>
    <col min="4370" max="4370" width="10.6640625" style="218" customWidth="1"/>
    <col min="4371" max="4608" width="9.109375" style="218"/>
    <col min="4609" max="4609" width="9.109375" style="218" customWidth="1"/>
    <col min="4610" max="4610" width="46.44140625" style="218" customWidth="1"/>
    <col min="4611" max="4611" width="8.5546875" style="218" customWidth="1"/>
    <col min="4612" max="4612" width="14.44140625" style="218" customWidth="1"/>
    <col min="4613" max="4613" width="11.44140625" style="218" customWidth="1"/>
    <col min="4614" max="4614" width="16.88671875" style="218" customWidth="1"/>
    <col min="4615" max="4615" width="10.6640625" style="218" customWidth="1"/>
    <col min="4616" max="4616" width="11.109375" style="218" customWidth="1"/>
    <col min="4617" max="4617" width="10.6640625" style="218" customWidth="1"/>
    <col min="4618" max="4622" width="10.33203125" style="218" customWidth="1"/>
    <col min="4623" max="4623" width="10.88671875" style="218" customWidth="1"/>
    <col min="4624" max="4625" width="10.33203125" style="218" customWidth="1"/>
    <col min="4626" max="4626" width="10.6640625" style="218" customWidth="1"/>
    <col min="4627" max="4864" width="9.109375" style="218"/>
    <col min="4865" max="4865" width="9.109375" style="218" customWidth="1"/>
    <col min="4866" max="4866" width="46.44140625" style="218" customWidth="1"/>
    <col min="4867" max="4867" width="8.5546875" style="218" customWidth="1"/>
    <col min="4868" max="4868" width="14.44140625" style="218" customWidth="1"/>
    <col min="4869" max="4869" width="11.44140625" style="218" customWidth="1"/>
    <col min="4870" max="4870" width="16.88671875" style="218" customWidth="1"/>
    <col min="4871" max="4871" width="10.6640625" style="218" customWidth="1"/>
    <col min="4872" max="4872" width="11.109375" style="218" customWidth="1"/>
    <col min="4873" max="4873" width="10.6640625" style="218" customWidth="1"/>
    <col min="4874" max="4878" width="10.33203125" style="218" customWidth="1"/>
    <col min="4879" max="4879" width="10.88671875" style="218" customWidth="1"/>
    <col min="4880" max="4881" width="10.33203125" style="218" customWidth="1"/>
    <col min="4882" max="4882" width="10.6640625" style="218" customWidth="1"/>
    <col min="4883" max="5120" width="9.109375" style="218"/>
    <col min="5121" max="5121" width="9.109375" style="218" customWidth="1"/>
    <col min="5122" max="5122" width="46.44140625" style="218" customWidth="1"/>
    <col min="5123" max="5123" width="8.5546875" style="218" customWidth="1"/>
    <col min="5124" max="5124" width="14.44140625" style="218" customWidth="1"/>
    <col min="5125" max="5125" width="11.44140625" style="218" customWidth="1"/>
    <col min="5126" max="5126" width="16.88671875" style="218" customWidth="1"/>
    <col min="5127" max="5127" width="10.6640625" style="218" customWidth="1"/>
    <col min="5128" max="5128" width="11.109375" style="218" customWidth="1"/>
    <col min="5129" max="5129" width="10.6640625" style="218" customWidth="1"/>
    <col min="5130" max="5134" width="10.33203125" style="218" customWidth="1"/>
    <col min="5135" max="5135" width="10.88671875" style="218" customWidth="1"/>
    <col min="5136" max="5137" width="10.33203125" style="218" customWidth="1"/>
    <col min="5138" max="5138" width="10.6640625" style="218" customWidth="1"/>
    <col min="5139" max="5376" width="9.109375" style="218"/>
    <col min="5377" max="5377" width="9.109375" style="218" customWidth="1"/>
    <col min="5378" max="5378" width="46.44140625" style="218" customWidth="1"/>
    <col min="5379" max="5379" width="8.5546875" style="218" customWidth="1"/>
    <col min="5380" max="5380" width="14.44140625" style="218" customWidth="1"/>
    <col min="5381" max="5381" width="11.44140625" style="218" customWidth="1"/>
    <col min="5382" max="5382" width="16.88671875" style="218" customWidth="1"/>
    <col min="5383" max="5383" width="10.6640625" style="218" customWidth="1"/>
    <col min="5384" max="5384" width="11.109375" style="218" customWidth="1"/>
    <col min="5385" max="5385" width="10.6640625" style="218" customWidth="1"/>
    <col min="5386" max="5390" width="10.33203125" style="218" customWidth="1"/>
    <col min="5391" max="5391" width="10.88671875" style="218" customWidth="1"/>
    <col min="5392" max="5393" width="10.33203125" style="218" customWidth="1"/>
    <col min="5394" max="5394" width="10.6640625" style="218" customWidth="1"/>
    <col min="5395" max="5632" width="9.109375" style="218"/>
    <col min="5633" max="5633" width="9.109375" style="218" customWidth="1"/>
    <col min="5634" max="5634" width="46.44140625" style="218" customWidth="1"/>
    <col min="5635" max="5635" width="8.5546875" style="218" customWidth="1"/>
    <col min="5636" max="5636" width="14.44140625" style="218" customWidth="1"/>
    <col min="5637" max="5637" width="11.44140625" style="218" customWidth="1"/>
    <col min="5638" max="5638" width="16.88671875" style="218" customWidth="1"/>
    <col min="5639" max="5639" width="10.6640625" style="218" customWidth="1"/>
    <col min="5640" max="5640" width="11.109375" style="218" customWidth="1"/>
    <col min="5641" max="5641" width="10.6640625" style="218" customWidth="1"/>
    <col min="5642" max="5646" width="10.33203125" style="218" customWidth="1"/>
    <col min="5647" max="5647" width="10.88671875" style="218" customWidth="1"/>
    <col min="5648" max="5649" width="10.33203125" style="218" customWidth="1"/>
    <col min="5650" max="5650" width="10.6640625" style="218" customWidth="1"/>
    <col min="5651" max="5888" width="9.109375" style="218"/>
    <col min="5889" max="5889" width="9.109375" style="218" customWidth="1"/>
    <col min="5890" max="5890" width="46.44140625" style="218" customWidth="1"/>
    <col min="5891" max="5891" width="8.5546875" style="218" customWidth="1"/>
    <col min="5892" max="5892" width="14.44140625" style="218" customWidth="1"/>
    <col min="5893" max="5893" width="11.44140625" style="218" customWidth="1"/>
    <col min="5894" max="5894" width="16.88671875" style="218" customWidth="1"/>
    <col min="5895" max="5895" width="10.6640625" style="218" customWidth="1"/>
    <col min="5896" max="5896" width="11.109375" style="218" customWidth="1"/>
    <col min="5897" max="5897" width="10.6640625" style="218" customWidth="1"/>
    <col min="5898" max="5902" width="10.33203125" style="218" customWidth="1"/>
    <col min="5903" max="5903" width="10.88671875" style="218" customWidth="1"/>
    <col min="5904" max="5905" width="10.33203125" style="218" customWidth="1"/>
    <col min="5906" max="5906" width="10.6640625" style="218" customWidth="1"/>
    <col min="5907" max="6144" width="9.109375" style="218"/>
    <col min="6145" max="6145" width="9.109375" style="218" customWidth="1"/>
    <col min="6146" max="6146" width="46.44140625" style="218" customWidth="1"/>
    <col min="6147" max="6147" width="8.5546875" style="218" customWidth="1"/>
    <col min="6148" max="6148" width="14.44140625" style="218" customWidth="1"/>
    <col min="6149" max="6149" width="11.44140625" style="218" customWidth="1"/>
    <col min="6150" max="6150" width="16.88671875" style="218" customWidth="1"/>
    <col min="6151" max="6151" width="10.6640625" style="218" customWidth="1"/>
    <col min="6152" max="6152" width="11.109375" style="218" customWidth="1"/>
    <col min="6153" max="6153" width="10.6640625" style="218" customWidth="1"/>
    <col min="6154" max="6158" width="10.33203125" style="218" customWidth="1"/>
    <col min="6159" max="6159" width="10.88671875" style="218" customWidth="1"/>
    <col min="6160" max="6161" width="10.33203125" style="218" customWidth="1"/>
    <col min="6162" max="6162" width="10.6640625" style="218" customWidth="1"/>
    <col min="6163" max="6400" width="9.109375" style="218"/>
    <col min="6401" max="6401" width="9.109375" style="218" customWidth="1"/>
    <col min="6402" max="6402" width="46.44140625" style="218" customWidth="1"/>
    <col min="6403" max="6403" width="8.5546875" style="218" customWidth="1"/>
    <col min="6404" max="6404" width="14.44140625" style="218" customWidth="1"/>
    <col min="6405" max="6405" width="11.44140625" style="218" customWidth="1"/>
    <col min="6406" max="6406" width="16.88671875" style="218" customWidth="1"/>
    <col min="6407" max="6407" width="10.6640625" style="218" customWidth="1"/>
    <col min="6408" max="6408" width="11.109375" style="218" customWidth="1"/>
    <col min="6409" max="6409" width="10.6640625" style="218" customWidth="1"/>
    <col min="6410" max="6414" width="10.33203125" style="218" customWidth="1"/>
    <col min="6415" max="6415" width="10.88671875" style="218" customWidth="1"/>
    <col min="6416" max="6417" width="10.33203125" style="218" customWidth="1"/>
    <col min="6418" max="6418" width="10.6640625" style="218" customWidth="1"/>
    <col min="6419" max="6656" width="9.109375" style="218"/>
    <col min="6657" max="6657" width="9.109375" style="218" customWidth="1"/>
    <col min="6658" max="6658" width="46.44140625" style="218" customWidth="1"/>
    <col min="6659" max="6659" width="8.5546875" style="218" customWidth="1"/>
    <col min="6660" max="6660" width="14.44140625" style="218" customWidth="1"/>
    <col min="6661" max="6661" width="11.44140625" style="218" customWidth="1"/>
    <col min="6662" max="6662" width="16.88671875" style="218" customWidth="1"/>
    <col min="6663" max="6663" width="10.6640625" style="218" customWidth="1"/>
    <col min="6664" max="6664" width="11.109375" style="218" customWidth="1"/>
    <col min="6665" max="6665" width="10.6640625" style="218" customWidth="1"/>
    <col min="6666" max="6670" width="10.33203125" style="218" customWidth="1"/>
    <col min="6671" max="6671" width="10.88671875" style="218" customWidth="1"/>
    <col min="6672" max="6673" width="10.33203125" style="218" customWidth="1"/>
    <col min="6674" max="6674" width="10.6640625" style="218" customWidth="1"/>
    <col min="6675" max="6912" width="9.109375" style="218"/>
    <col min="6913" max="6913" width="9.109375" style="218" customWidth="1"/>
    <col min="6914" max="6914" width="46.44140625" style="218" customWidth="1"/>
    <col min="6915" max="6915" width="8.5546875" style="218" customWidth="1"/>
    <col min="6916" max="6916" width="14.44140625" style="218" customWidth="1"/>
    <col min="6917" max="6917" width="11.44140625" style="218" customWidth="1"/>
    <col min="6918" max="6918" width="16.88671875" style="218" customWidth="1"/>
    <col min="6919" max="6919" width="10.6640625" style="218" customWidth="1"/>
    <col min="6920" max="6920" width="11.109375" style="218" customWidth="1"/>
    <col min="6921" max="6921" width="10.6640625" style="218" customWidth="1"/>
    <col min="6922" max="6926" width="10.33203125" style="218" customWidth="1"/>
    <col min="6927" max="6927" width="10.88671875" style="218" customWidth="1"/>
    <col min="6928" max="6929" width="10.33203125" style="218" customWidth="1"/>
    <col min="6930" max="6930" width="10.6640625" style="218" customWidth="1"/>
    <col min="6931" max="7168" width="9.109375" style="218"/>
    <col min="7169" max="7169" width="9.109375" style="218" customWidth="1"/>
    <col min="7170" max="7170" width="46.44140625" style="218" customWidth="1"/>
    <col min="7171" max="7171" width="8.5546875" style="218" customWidth="1"/>
    <col min="7172" max="7172" width="14.44140625" style="218" customWidth="1"/>
    <col min="7173" max="7173" width="11.44140625" style="218" customWidth="1"/>
    <col min="7174" max="7174" width="16.88671875" style="218" customWidth="1"/>
    <col min="7175" max="7175" width="10.6640625" style="218" customWidth="1"/>
    <col min="7176" max="7176" width="11.109375" style="218" customWidth="1"/>
    <col min="7177" max="7177" width="10.6640625" style="218" customWidth="1"/>
    <col min="7178" max="7182" width="10.33203125" style="218" customWidth="1"/>
    <col min="7183" max="7183" width="10.88671875" style="218" customWidth="1"/>
    <col min="7184" max="7185" width="10.33203125" style="218" customWidth="1"/>
    <col min="7186" max="7186" width="10.6640625" style="218" customWidth="1"/>
    <col min="7187" max="7424" width="9.109375" style="218"/>
    <col min="7425" max="7425" width="9.109375" style="218" customWidth="1"/>
    <col min="7426" max="7426" width="46.44140625" style="218" customWidth="1"/>
    <col min="7427" max="7427" width="8.5546875" style="218" customWidth="1"/>
    <col min="7428" max="7428" width="14.44140625" style="218" customWidth="1"/>
    <col min="7429" max="7429" width="11.44140625" style="218" customWidth="1"/>
    <col min="7430" max="7430" width="16.88671875" style="218" customWidth="1"/>
    <col min="7431" max="7431" width="10.6640625" style="218" customWidth="1"/>
    <col min="7432" max="7432" width="11.109375" style="218" customWidth="1"/>
    <col min="7433" max="7433" width="10.6640625" style="218" customWidth="1"/>
    <col min="7434" max="7438" width="10.33203125" style="218" customWidth="1"/>
    <col min="7439" max="7439" width="10.88671875" style="218" customWidth="1"/>
    <col min="7440" max="7441" width="10.33203125" style="218" customWidth="1"/>
    <col min="7442" max="7442" width="10.6640625" style="218" customWidth="1"/>
    <col min="7443" max="7680" width="9.109375" style="218"/>
    <col min="7681" max="7681" width="9.109375" style="218" customWidth="1"/>
    <col min="7682" max="7682" width="46.44140625" style="218" customWidth="1"/>
    <col min="7683" max="7683" width="8.5546875" style="218" customWidth="1"/>
    <col min="7684" max="7684" width="14.44140625" style="218" customWidth="1"/>
    <col min="7685" max="7685" width="11.44140625" style="218" customWidth="1"/>
    <col min="7686" max="7686" width="16.88671875" style="218" customWidth="1"/>
    <col min="7687" max="7687" width="10.6640625" style="218" customWidth="1"/>
    <col min="7688" max="7688" width="11.109375" style="218" customWidth="1"/>
    <col min="7689" max="7689" width="10.6640625" style="218" customWidth="1"/>
    <col min="7690" max="7694" width="10.33203125" style="218" customWidth="1"/>
    <col min="7695" max="7695" width="10.88671875" style="218" customWidth="1"/>
    <col min="7696" max="7697" width="10.33203125" style="218" customWidth="1"/>
    <col min="7698" max="7698" width="10.6640625" style="218" customWidth="1"/>
    <col min="7699" max="7936" width="9.109375" style="218"/>
    <col min="7937" max="7937" width="9.109375" style="218" customWidth="1"/>
    <col min="7938" max="7938" width="46.44140625" style="218" customWidth="1"/>
    <col min="7939" max="7939" width="8.5546875" style="218" customWidth="1"/>
    <col min="7940" max="7940" width="14.44140625" style="218" customWidth="1"/>
    <col min="7941" max="7941" width="11.44140625" style="218" customWidth="1"/>
    <col min="7942" max="7942" width="16.88671875" style="218" customWidth="1"/>
    <col min="7943" max="7943" width="10.6640625" style="218" customWidth="1"/>
    <col min="7944" max="7944" width="11.109375" style="218" customWidth="1"/>
    <col min="7945" max="7945" width="10.6640625" style="218" customWidth="1"/>
    <col min="7946" max="7950" width="10.33203125" style="218" customWidth="1"/>
    <col min="7951" max="7951" width="10.88671875" style="218" customWidth="1"/>
    <col min="7952" max="7953" width="10.33203125" style="218" customWidth="1"/>
    <col min="7954" max="7954" width="10.6640625" style="218" customWidth="1"/>
    <col min="7955" max="8192" width="9.109375" style="218"/>
    <col min="8193" max="8193" width="9.109375" style="218" customWidth="1"/>
    <col min="8194" max="8194" width="46.44140625" style="218" customWidth="1"/>
    <col min="8195" max="8195" width="8.5546875" style="218" customWidth="1"/>
    <col min="8196" max="8196" width="14.44140625" style="218" customWidth="1"/>
    <col min="8197" max="8197" width="11.44140625" style="218" customWidth="1"/>
    <col min="8198" max="8198" width="16.88671875" style="218" customWidth="1"/>
    <col min="8199" max="8199" width="10.6640625" style="218" customWidth="1"/>
    <col min="8200" max="8200" width="11.109375" style="218" customWidth="1"/>
    <col min="8201" max="8201" width="10.6640625" style="218" customWidth="1"/>
    <col min="8202" max="8206" width="10.33203125" style="218" customWidth="1"/>
    <col min="8207" max="8207" width="10.88671875" style="218" customWidth="1"/>
    <col min="8208" max="8209" width="10.33203125" style="218" customWidth="1"/>
    <col min="8210" max="8210" width="10.6640625" style="218" customWidth="1"/>
    <col min="8211" max="8448" width="9.109375" style="218"/>
    <col min="8449" max="8449" width="9.109375" style="218" customWidth="1"/>
    <col min="8450" max="8450" width="46.44140625" style="218" customWidth="1"/>
    <col min="8451" max="8451" width="8.5546875" style="218" customWidth="1"/>
    <col min="8452" max="8452" width="14.44140625" style="218" customWidth="1"/>
    <col min="8453" max="8453" width="11.44140625" style="218" customWidth="1"/>
    <col min="8454" max="8454" width="16.88671875" style="218" customWidth="1"/>
    <col min="8455" max="8455" width="10.6640625" style="218" customWidth="1"/>
    <col min="8456" max="8456" width="11.109375" style="218" customWidth="1"/>
    <col min="8457" max="8457" width="10.6640625" style="218" customWidth="1"/>
    <col min="8458" max="8462" width="10.33203125" style="218" customWidth="1"/>
    <col min="8463" max="8463" width="10.88671875" style="218" customWidth="1"/>
    <col min="8464" max="8465" width="10.33203125" style="218" customWidth="1"/>
    <col min="8466" max="8466" width="10.6640625" style="218" customWidth="1"/>
    <col min="8467" max="8704" width="9.109375" style="218"/>
    <col min="8705" max="8705" width="9.109375" style="218" customWidth="1"/>
    <col min="8706" max="8706" width="46.44140625" style="218" customWidth="1"/>
    <col min="8707" max="8707" width="8.5546875" style="218" customWidth="1"/>
    <col min="8708" max="8708" width="14.44140625" style="218" customWidth="1"/>
    <col min="8709" max="8709" width="11.44140625" style="218" customWidth="1"/>
    <col min="8710" max="8710" width="16.88671875" style="218" customWidth="1"/>
    <col min="8711" max="8711" width="10.6640625" style="218" customWidth="1"/>
    <col min="8712" max="8712" width="11.109375" style="218" customWidth="1"/>
    <col min="8713" max="8713" width="10.6640625" style="218" customWidth="1"/>
    <col min="8714" max="8718" width="10.33203125" style="218" customWidth="1"/>
    <col min="8719" max="8719" width="10.88671875" style="218" customWidth="1"/>
    <col min="8720" max="8721" width="10.33203125" style="218" customWidth="1"/>
    <col min="8722" max="8722" width="10.6640625" style="218" customWidth="1"/>
    <col min="8723" max="8960" width="9.109375" style="218"/>
    <col min="8961" max="8961" width="9.109375" style="218" customWidth="1"/>
    <col min="8962" max="8962" width="46.44140625" style="218" customWidth="1"/>
    <col min="8963" max="8963" width="8.5546875" style="218" customWidth="1"/>
    <col min="8964" max="8964" width="14.44140625" style="218" customWidth="1"/>
    <col min="8965" max="8965" width="11.44140625" style="218" customWidth="1"/>
    <col min="8966" max="8966" width="16.88671875" style="218" customWidth="1"/>
    <col min="8967" max="8967" width="10.6640625" style="218" customWidth="1"/>
    <col min="8968" max="8968" width="11.109375" style="218" customWidth="1"/>
    <col min="8969" max="8969" width="10.6640625" style="218" customWidth="1"/>
    <col min="8970" max="8974" width="10.33203125" style="218" customWidth="1"/>
    <col min="8975" max="8975" width="10.88671875" style="218" customWidth="1"/>
    <col min="8976" max="8977" width="10.33203125" style="218" customWidth="1"/>
    <col min="8978" max="8978" width="10.6640625" style="218" customWidth="1"/>
    <col min="8979" max="9216" width="9.109375" style="218"/>
    <col min="9217" max="9217" width="9.109375" style="218" customWidth="1"/>
    <col min="9218" max="9218" width="46.44140625" style="218" customWidth="1"/>
    <col min="9219" max="9219" width="8.5546875" style="218" customWidth="1"/>
    <col min="9220" max="9220" width="14.44140625" style="218" customWidth="1"/>
    <col min="9221" max="9221" width="11.44140625" style="218" customWidth="1"/>
    <col min="9222" max="9222" width="16.88671875" style="218" customWidth="1"/>
    <col min="9223" max="9223" width="10.6640625" style="218" customWidth="1"/>
    <col min="9224" max="9224" width="11.109375" style="218" customWidth="1"/>
    <col min="9225" max="9225" width="10.6640625" style="218" customWidth="1"/>
    <col min="9226" max="9230" width="10.33203125" style="218" customWidth="1"/>
    <col min="9231" max="9231" width="10.88671875" style="218" customWidth="1"/>
    <col min="9232" max="9233" width="10.33203125" style="218" customWidth="1"/>
    <col min="9234" max="9234" width="10.6640625" style="218" customWidth="1"/>
    <col min="9235" max="9472" width="9.109375" style="218"/>
    <col min="9473" max="9473" width="9.109375" style="218" customWidth="1"/>
    <col min="9474" max="9474" width="46.44140625" style="218" customWidth="1"/>
    <col min="9475" max="9475" width="8.5546875" style="218" customWidth="1"/>
    <col min="9476" max="9476" width="14.44140625" style="218" customWidth="1"/>
    <col min="9477" max="9477" width="11.44140625" style="218" customWidth="1"/>
    <col min="9478" max="9478" width="16.88671875" style="218" customWidth="1"/>
    <col min="9479" max="9479" width="10.6640625" style="218" customWidth="1"/>
    <col min="9480" max="9480" width="11.109375" style="218" customWidth="1"/>
    <col min="9481" max="9481" width="10.6640625" style="218" customWidth="1"/>
    <col min="9482" max="9486" width="10.33203125" style="218" customWidth="1"/>
    <col min="9487" max="9487" width="10.88671875" style="218" customWidth="1"/>
    <col min="9488" max="9489" width="10.33203125" style="218" customWidth="1"/>
    <col min="9490" max="9490" width="10.6640625" style="218" customWidth="1"/>
    <col min="9491" max="9728" width="9.109375" style="218"/>
    <col min="9729" max="9729" width="9.109375" style="218" customWidth="1"/>
    <col min="9730" max="9730" width="46.44140625" style="218" customWidth="1"/>
    <col min="9731" max="9731" width="8.5546875" style="218" customWidth="1"/>
    <col min="9732" max="9732" width="14.44140625" style="218" customWidth="1"/>
    <col min="9733" max="9733" width="11.44140625" style="218" customWidth="1"/>
    <col min="9734" max="9734" width="16.88671875" style="218" customWidth="1"/>
    <col min="9735" max="9735" width="10.6640625" style="218" customWidth="1"/>
    <col min="9736" max="9736" width="11.109375" style="218" customWidth="1"/>
    <col min="9737" max="9737" width="10.6640625" style="218" customWidth="1"/>
    <col min="9738" max="9742" width="10.33203125" style="218" customWidth="1"/>
    <col min="9743" max="9743" width="10.88671875" style="218" customWidth="1"/>
    <col min="9744" max="9745" width="10.33203125" style="218" customWidth="1"/>
    <col min="9746" max="9746" width="10.6640625" style="218" customWidth="1"/>
    <col min="9747" max="9984" width="9.109375" style="218"/>
    <col min="9985" max="9985" width="9.109375" style="218" customWidth="1"/>
    <col min="9986" max="9986" width="46.44140625" style="218" customWidth="1"/>
    <col min="9987" max="9987" width="8.5546875" style="218" customWidth="1"/>
    <col min="9988" max="9988" width="14.44140625" style="218" customWidth="1"/>
    <col min="9989" max="9989" width="11.44140625" style="218" customWidth="1"/>
    <col min="9990" max="9990" width="16.88671875" style="218" customWidth="1"/>
    <col min="9991" max="9991" width="10.6640625" style="218" customWidth="1"/>
    <col min="9992" max="9992" width="11.109375" style="218" customWidth="1"/>
    <col min="9993" max="9993" width="10.6640625" style="218" customWidth="1"/>
    <col min="9994" max="9998" width="10.33203125" style="218" customWidth="1"/>
    <col min="9999" max="9999" width="10.88671875" style="218" customWidth="1"/>
    <col min="10000" max="10001" width="10.33203125" style="218" customWidth="1"/>
    <col min="10002" max="10002" width="10.6640625" style="218" customWidth="1"/>
    <col min="10003" max="10240" width="9.109375" style="218"/>
    <col min="10241" max="10241" width="9.109375" style="218" customWidth="1"/>
    <col min="10242" max="10242" width="46.44140625" style="218" customWidth="1"/>
    <col min="10243" max="10243" width="8.5546875" style="218" customWidth="1"/>
    <col min="10244" max="10244" width="14.44140625" style="218" customWidth="1"/>
    <col min="10245" max="10245" width="11.44140625" style="218" customWidth="1"/>
    <col min="10246" max="10246" width="16.88671875" style="218" customWidth="1"/>
    <col min="10247" max="10247" width="10.6640625" style="218" customWidth="1"/>
    <col min="10248" max="10248" width="11.109375" style="218" customWidth="1"/>
    <col min="10249" max="10249" width="10.6640625" style="218" customWidth="1"/>
    <col min="10250" max="10254" width="10.33203125" style="218" customWidth="1"/>
    <col min="10255" max="10255" width="10.88671875" style="218" customWidth="1"/>
    <col min="10256" max="10257" width="10.33203125" style="218" customWidth="1"/>
    <col min="10258" max="10258" width="10.6640625" style="218" customWidth="1"/>
    <col min="10259" max="10496" width="9.109375" style="218"/>
    <col min="10497" max="10497" width="9.109375" style="218" customWidth="1"/>
    <col min="10498" max="10498" width="46.44140625" style="218" customWidth="1"/>
    <col min="10499" max="10499" width="8.5546875" style="218" customWidth="1"/>
    <col min="10500" max="10500" width="14.44140625" style="218" customWidth="1"/>
    <col min="10501" max="10501" width="11.44140625" style="218" customWidth="1"/>
    <col min="10502" max="10502" width="16.88671875" style="218" customWidth="1"/>
    <col min="10503" max="10503" width="10.6640625" style="218" customWidth="1"/>
    <col min="10504" max="10504" width="11.109375" style="218" customWidth="1"/>
    <col min="10505" max="10505" width="10.6640625" style="218" customWidth="1"/>
    <col min="10506" max="10510" width="10.33203125" style="218" customWidth="1"/>
    <col min="10511" max="10511" width="10.88671875" style="218" customWidth="1"/>
    <col min="10512" max="10513" width="10.33203125" style="218" customWidth="1"/>
    <col min="10514" max="10514" width="10.6640625" style="218" customWidth="1"/>
    <col min="10515" max="10752" width="9.109375" style="218"/>
    <col min="10753" max="10753" width="9.109375" style="218" customWidth="1"/>
    <col min="10754" max="10754" width="46.44140625" style="218" customWidth="1"/>
    <col min="10755" max="10755" width="8.5546875" style="218" customWidth="1"/>
    <col min="10756" max="10756" width="14.44140625" style="218" customWidth="1"/>
    <col min="10757" max="10757" width="11.44140625" style="218" customWidth="1"/>
    <col min="10758" max="10758" width="16.88671875" style="218" customWidth="1"/>
    <col min="10759" max="10759" width="10.6640625" style="218" customWidth="1"/>
    <col min="10760" max="10760" width="11.109375" style="218" customWidth="1"/>
    <col min="10761" max="10761" width="10.6640625" style="218" customWidth="1"/>
    <col min="10762" max="10766" width="10.33203125" style="218" customWidth="1"/>
    <col min="10767" max="10767" width="10.88671875" style="218" customWidth="1"/>
    <col min="10768" max="10769" width="10.33203125" style="218" customWidth="1"/>
    <col min="10770" max="10770" width="10.6640625" style="218" customWidth="1"/>
    <col min="10771" max="11008" width="9.109375" style="218"/>
    <col min="11009" max="11009" width="9.109375" style="218" customWidth="1"/>
    <col min="11010" max="11010" width="46.44140625" style="218" customWidth="1"/>
    <col min="11011" max="11011" width="8.5546875" style="218" customWidth="1"/>
    <col min="11012" max="11012" width="14.44140625" style="218" customWidth="1"/>
    <col min="11013" max="11013" width="11.44140625" style="218" customWidth="1"/>
    <col min="11014" max="11014" width="16.88671875" style="218" customWidth="1"/>
    <col min="11015" max="11015" width="10.6640625" style="218" customWidth="1"/>
    <col min="11016" max="11016" width="11.109375" style="218" customWidth="1"/>
    <col min="11017" max="11017" width="10.6640625" style="218" customWidth="1"/>
    <col min="11018" max="11022" width="10.33203125" style="218" customWidth="1"/>
    <col min="11023" max="11023" width="10.88671875" style="218" customWidth="1"/>
    <col min="11024" max="11025" width="10.33203125" style="218" customWidth="1"/>
    <col min="11026" max="11026" width="10.6640625" style="218" customWidth="1"/>
    <col min="11027" max="11264" width="9.109375" style="218"/>
    <col min="11265" max="11265" width="9.109375" style="218" customWidth="1"/>
    <col min="11266" max="11266" width="46.44140625" style="218" customWidth="1"/>
    <col min="11267" max="11267" width="8.5546875" style="218" customWidth="1"/>
    <col min="11268" max="11268" width="14.44140625" style="218" customWidth="1"/>
    <col min="11269" max="11269" width="11.44140625" style="218" customWidth="1"/>
    <col min="11270" max="11270" width="16.88671875" style="218" customWidth="1"/>
    <col min="11271" max="11271" width="10.6640625" style="218" customWidth="1"/>
    <col min="11272" max="11272" width="11.109375" style="218" customWidth="1"/>
    <col min="11273" max="11273" width="10.6640625" style="218" customWidth="1"/>
    <col min="11274" max="11278" width="10.33203125" style="218" customWidth="1"/>
    <col min="11279" max="11279" width="10.88671875" style="218" customWidth="1"/>
    <col min="11280" max="11281" width="10.33203125" style="218" customWidth="1"/>
    <col min="11282" max="11282" width="10.6640625" style="218" customWidth="1"/>
    <col min="11283" max="11520" width="9.109375" style="218"/>
    <col min="11521" max="11521" width="9.109375" style="218" customWidth="1"/>
    <col min="11522" max="11522" width="46.44140625" style="218" customWidth="1"/>
    <col min="11523" max="11523" width="8.5546875" style="218" customWidth="1"/>
    <col min="11524" max="11524" width="14.44140625" style="218" customWidth="1"/>
    <col min="11525" max="11525" width="11.44140625" style="218" customWidth="1"/>
    <col min="11526" max="11526" width="16.88671875" style="218" customWidth="1"/>
    <col min="11527" max="11527" width="10.6640625" style="218" customWidth="1"/>
    <col min="11528" max="11528" width="11.109375" style="218" customWidth="1"/>
    <col min="11529" max="11529" width="10.6640625" style="218" customWidth="1"/>
    <col min="11530" max="11534" width="10.33203125" style="218" customWidth="1"/>
    <col min="11535" max="11535" width="10.88671875" style="218" customWidth="1"/>
    <col min="11536" max="11537" width="10.33203125" style="218" customWidth="1"/>
    <col min="11538" max="11538" width="10.6640625" style="218" customWidth="1"/>
    <col min="11539" max="11776" width="9.109375" style="218"/>
    <col min="11777" max="11777" width="9.109375" style="218" customWidth="1"/>
    <col min="11778" max="11778" width="46.44140625" style="218" customWidth="1"/>
    <col min="11779" max="11779" width="8.5546875" style="218" customWidth="1"/>
    <col min="11780" max="11780" width="14.44140625" style="218" customWidth="1"/>
    <col min="11781" max="11781" width="11.44140625" style="218" customWidth="1"/>
    <col min="11782" max="11782" width="16.88671875" style="218" customWidth="1"/>
    <col min="11783" max="11783" width="10.6640625" style="218" customWidth="1"/>
    <col min="11784" max="11784" width="11.109375" style="218" customWidth="1"/>
    <col min="11785" max="11785" width="10.6640625" style="218" customWidth="1"/>
    <col min="11786" max="11790" width="10.33203125" style="218" customWidth="1"/>
    <col min="11791" max="11791" width="10.88671875" style="218" customWidth="1"/>
    <col min="11792" max="11793" width="10.33203125" style="218" customWidth="1"/>
    <col min="11794" max="11794" width="10.6640625" style="218" customWidth="1"/>
    <col min="11795" max="12032" width="9.109375" style="218"/>
    <col min="12033" max="12033" width="9.109375" style="218" customWidth="1"/>
    <col min="12034" max="12034" width="46.44140625" style="218" customWidth="1"/>
    <col min="12035" max="12035" width="8.5546875" style="218" customWidth="1"/>
    <col min="12036" max="12036" width="14.44140625" style="218" customWidth="1"/>
    <col min="12037" max="12037" width="11.44140625" style="218" customWidth="1"/>
    <col min="12038" max="12038" width="16.88671875" style="218" customWidth="1"/>
    <col min="12039" max="12039" width="10.6640625" style="218" customWidth="1"/>
    <col min="12040" max="12040" width="11.109375" style="218" customWidth="1"/>
    <col min="12041" max="12041" width="10.6640625" style="218" customWidth="1"/>
    <col min="12042" max="12046" width="10.33203125" style="218" customWidth="1"/>
    <col min="12047" max="12047" width="10.88671875" style="218" customWidth="1"/>
    <col min="12048" max="12049" width="10.33203125" style="218" customWidth="1"/>
    <col min="12050" max="12050" width="10.6640625" style="218" customWidth="1"/>
    <col min="12051" max="12288" width="9.109375" style="218"/>
    <col min="12289" max="12289" width="9.109375" style="218" customWidth="1"/>
    <col min="12290" max="12290" width="46.44140625" style="218" customWidth="1"/>
    <col min="12291" max="12291" width="8.5546875" style="218" customWidth="1"/>
    <col min="12292" max="12292" width="14.44140625" style="218" customWidth="1"/>
    <col min="12293" max="12293" width="11.44140625" style="218" customWidth="1"/>
    <col min="12294" max="12294" width="16.88671875" style="218" customWidth="1"/>
    <col min="12295" max="12295" width="10.6640625" style="218" customWidth="1"/>
    <col min="12296" max="12296" width="11.109375" style="218" customWidth="1"/>
    <col min="12297" max="12297" width="10.6640625" style="218" customWidth="1"/>
    <col min="12298" max="12302" width="10.33203125" style="218" customWidth="1"/>
    <col min="12303" max="12303" width="10.88671875" style="218" customWidth="1"/>
    <col min="12304" max="12305" width="10.33203125" style="218" customWidth="1"/>
    <col min="12306" max="12306" width="10.6640625" style="218" customWidth="1"/>
    <col min="12307" max="12544" width="9.109375" style="218"/>
    <col min="12545" max="12545" width="9.109375" style="218" customWidth="1"/>
    <col min="12546" max="12546" width="46.44140625" style="218" customWidth="1"/>
    <col min="12547" max="12547" width="8.5546875" style="218" customWidth="1"/>
    <col min="12548" max="12548" width="14.44140625" style="218" customWidth="1"/>
    <col min="12549" max="12549" width="11.44140625" style="218" customWidth="1"/>
    <col min="12550" max="12550" width="16.88671875" style="218" customWidth="1"/>
    <col min="12551" max="12551" width="10.6640625" style="218" customWidth="1"/>
    <col min="12552" max="12552" width="11.109375" style="218" customWidth="1"/>
    <col min="12553" max="12553" width="10.6640625" style="218" customWidth="1"/>
    <col min="12554" max="12558" width="10.33203125" style="218" customWidth="1"/>
    <col min="12559" max="12559" width="10.88671875" style="218" customWidth="1"/>
    <col min="12560" max="12561" width="10.33203125" style="218" customWidth="1"/>
    <col min="12562" max="12562" width="10.6640625" style="218" customWidth="1"/>
    <col min="12563" max="12800" width="9.109375" style="218"/>
    <col min="12801" max="12801" width="9.109375" style="218" customWidth="1"/>
    <col min="12802" max="12802" width="46.44140625" style="218" customWidth="1"/>
    <col min="12803" max="12803" width="8.5546875" style="218" customWidth="1"/>
    <col min="12804" max="12804" width="14.44140625" style="218" customWidth="1"/>
    <col min="12805" max="12805" width="11.44140625" style="218" customWidth="1"/>
    <col min="12806" max="12806" width="16.88671875" style="218" customWidth="1"/>
    <col min="12807" max="12807" width="10.6640625" style="218" customWidth="1"/>
    <col min="12808" max="12808" width="11.109375" style="218" customWidth="1"/>
    <col min="12809" max="12809" width="10.6640625" style="218" customWidth="1"/>
    <col min="12810" max="12814" width="10.33203125" style="218" customWidth="1"/>
    <col min="12815" max="12815" width="10.88671875" style="218" customWidth="1"/>
    <col min="12816" max="12817" width="10.33203125" style="218" customWidth="1"/>
    <col min="12818" max="12818" width="10.6640625" style="218" customWidth="1"/>
    <col min="12819" max="13056" width="9.109375" style="218"/>
    <col min="13057" max="13057" width="9.109375" style="218" customWidth="1"/>
    <col min="13058" max="13058" width="46.44140625" style="218" customWidth="1"/>
    <col min="13059" max="13059" width="8.5546875" style="218" customWidth="1"/>
    <col min="13060" max="13060" width="14.44140625" style="218" customWidth="1"/>
    <col min="13061" max="13061" width="11.44140625" style="218" customWidth="1"/>
    <col min="13062" max="13062" width="16.88671875" style="218" customWidth="1"/>
    <col min="13063" max="13063" width="10.6640625" style="218" customWidth="1"/>
    <col min="13064" max="13064" width="11.109375" style="218" customWidth="1"/>
    <col min="13065" max="13065" width="10.6640625" style="218" customWidth="1"/>
    <col min="13066" max="13070" width="10.33203125" style="218" customWidth="1"/>
    <col min="13071" max="13071" width="10.88671875" style="218" customWidth="1"/>
    <col min="13072" max="13073" width="10.33203125" style="218" customWidth="1"/>
    <col min="13074" max="13074" width="10.6640625" style="218" customWidth="1"/>
    <col min="13075" max="13312" width="9.109375" style="218"/>
    <col min="13313" max="13313" width="9.109375" style="218" customWidth="1"/>
    <col min="13314" max="13314" width="46.44140625" style="218" customWidth="1"/>
    <col min="13315" max="13315" width="8.5546875" style="218" customWidth="1"/>
    <col min="13316" max="13316" width="14.44140625" style="218" customWidth="1"/>
    <col min="13317" max="13317" width="11.44140625" style="218" customWidth="1"/>
    <col min="13318" max="13318" width="16.88671875" style="218" customWidth="1"/>
    <col min="13319" max="13319" width="10.6640625" style="218" customWidth="1"/>
    <col min="13320" max="13320" width="11.109375" style="218" customWidth="1"/>
    <col min="13321" max="13321" width="10.6640625" style="218" customWidth="1"/>
    <col min="13322" max="13326" width="10.33203125" style="218" customWidth="1"/>
    <col min="13327" max="13327" width="10.88671875" style="218" customWidth="1"/>
    <col min="13328" max="13329" width="10.33203125" style="218" customWidth="1"/>
    <col min="13330" max="13330" width="10.6640625" style="218" customWidth="1"/>
    <col min="13331" max="13568" width="9.109375" style="218"/>
    <col min="13569" max="13569" width="9.109375" style="218" customWidth="1"/>
    <col min="13570" max="13570" width="46.44140625" style="218" customWidth="1"/>
    <col min="13571" max="13571" width="8.5546875" style="218" customWidth="1"/>
    <col min="13572" max="13572" width="14.44140625" style="218" customWidth="1"/>
    <col min="13573" max="13573" width="11.44140625" style="218" customWidth="1"/>
    <col min="13574" max="13574" width="16.88671875" style="218" customWidth="1"/>
    <col min="13575" max="13575" width="10.6640625" style="218" customWidth="1"/>
    <col min="13576" max="13576" width="11.109375" style="218" customWidth="1"/>
    <col min="13577" max="13577" width="10.6640625" style="218" customWidth="1"/>
    <col min="13578" max="13582" width="10.33203125" style="218" customWidth="1"/>
    <col min="13583" max="13583" width="10.88671875" style="218" customWidth="1"/>
    <col min="13584" max="13585" width="10.33203125" style="218" customWidth="1"/>
    <col min="13586" max="13586" width="10.6640625" style="218" customWidth="1"/>
    <col min="13587" max="13824" width="9.109375" style="218"/>
    <col min="13825" max="13825" width="9.109375" style="218" customWidth="1"/>
    <col min="13826" max="13826" width="46.44140625" style="218" customWidth="1"/>
    <col min="13827" max="13827" width="8.5546875" style="218" customWidth="1"/>
    <col min="13828" max="13828" width="14.44140625" style="218" customWidth="1"/>
    <col min="13829" max="13829" width="11.44140625" style="218" customWidth="1"/>
    <col min="13830" max="13830" width="16.88671875" style="218" customWidth="1"/>
    <col min="13831" max="13831" width="10.6640625" style="218" customWidth="1"/>
    <col min="13832" max="13832" width="11.109375" style="218" customWidth="1"/>
    <col min="13833" max="13833" width="10.6640625" style="218" customWidth="1"/>
    <col min="13834" max="13838" width="10.33203125" style="218" customWidth="1"/>
    <col min="13839" max="13839" width="10.88671875" style="218" customWidth="1"/>
    <col min="13840" max="13841" width="10.33203125" style="218" customWidth="1"/>
    <col min="13842" max="13842" width="10.6640625" style="218" customWidth="1"/>
    <col min="13843" max="14080" width="9.109375" style="218"/>
    <col min="14081" max="14081" width="9.109375" style="218" customWidth="1"/>
    <col min="14082" max="14082" width="46.44140625" style="218" customWidth="1"/>
    <col min="14083" max="14083" width="8.5546875" style="218" customWidth="1"/>
    <col min="14084" max="14084" width="14.44140625" style="218" customWidth="1"/>
    <col min="14085" max="14085" width="11.44140625" style="218" customWidth="1"/>
    <col min="14086" max="14086" width="16.88671875" style="218" customWidth="1"/>
    <col min="14087" max="14087" width="10.6640625" style="218" customWidth="1"/>
    <col min="14088" max="14088" width="11.109375" style="218" customWidth="1"/>
    <col min="14089" max="14089" width="10.6640625" style="218" customWidth="1"/>
    <col min="14090" max="14094" width="10.33203125" style="218" customWidth="1"/>
    <col min="14095" max="14095" width="10.88671875" style="218" customWidth="1"/>
    <col min="14096" max="14097" width="10.33203125" style="218" customWidth="1"/>
    <col min="14098" max="14098" width="10.6640625" style="218" customWidth="1"/>
    <col min="14099" max="14336" width="9.109375" style="218"/>
    <col min="14337" max="14337" width="9.109375" style="218" customWidth="1"/>
    <col min="14338" max="14338" width="46.44140625" style="218" customWidth="1"/>
    <col min="14339" max="14339" width="8.5546875" style="218" customWidth="1"/>
    <col min="14340" max="14340" width="14.44140625" style="218" customWidth="1"/>
    <col min="14341" max="14341" width="11.44140625" style="218" customWidth="1"/>
    <col min="14342" max="14342" width="16.88671875" style="218" customWidth="1"/>
    <col min="14343" max="14343" width="10.6640625" style="218" customWidth="1"/>
    <col min="14344" max="14344" width="11.109375" style="218" customWidth="1"/>
    <col min="14345" max="14345" width="10.6640625" style="218" customWidth="1"/>
    <col min="14346" max="14350" width="10.33203125" style="218" customWidth="1"/>
    <col min="14351" max="14351" width="10.88671875" style="218" customWidth="1"/>
    <col min="14352" max="14353" width="10.33203125" style="218" customWidth="1"/>
    <col min="14354" max="14354" width="10.6640625" style="218" customWidth="1"/>
    <col min="14355" max="14592" width="9.109375" style="218"/>
    <col min="14593" max="14593" width="9.109375" style="218" customWidth="1"/>
    <col min="14594" max="14594" width="46.44140625" style="218" customWidth="1"/>
    <col min="14595" max="14595" width="8.5546875" style="218" customWidth="1"/>
    <col min="14596" max="14596" width="14.44140625" style="218" customWidth="1"/>
    <col min="14597" max="14597" width="11.44140625" style="218" customWidth="1"/>
    <col min="14598" max="14598" width="16.88671875" style="218" customWidth="1"/>
    <col min="14599" max="14599" width="10.6640625" style="218" customWidth="1"/>
    <col min="14600" max="14600" width="11.109375" style="218" customWidth="1"/>
    <col min="14601" max="14601" width="10.6640625" style="218" customWidth="1"/>
    <col min="14602" max="14606" width="10.33203125" style="218" customWidth="1"/>
    <col min="14607" max="14607" width="10.88671875" style="218" customWidth="1"/>
    <col min="14608" max="14609" width="10.33203125" style="218" customWidth="1"/>
    <col min="14610" max="14610" width="10.6640625" style="218" customWidth="1"/>
    <col min="14611" max="14848" width="9.109375" style="218"/>
    <col min="14849" max="14849" width="9.109375" style="218" customWidth="1"/>
    <col min="14850" max="14850" width="46.44140625" style="218" customWidth="1"/>
    <col min="14851" max="14851" width="8.5546875" style="218" customWidth="1"/>
    <col min="14852" max="14852" width="14.44140625" style="218" customWidth="1"/>
    <col min="14853" max="14853" width="11.44140625" style="218" customWidth="1"/>
    <col min="14854" max="14854" width="16.88671875" style="218" customWidth="1"/>
    <col min="14855" max="14855" width="10.6640625" style="218" customWidth="1"/>
    <col min="14856" max="14856" width="11.109375" style="218" customWidth="1"/>
    <col min="14857" max="14857" width="10.6640625" style="218" customWidth="1"/>
    <col min="14858" max="14862" width="10.33203125" style="218" customWidth="1"/>
    <col min="14863" max="14863" width="10.88671875" style="218" customWidth="1"/>
    <col min="14864" max="14865" width="10.33203125" style="218" customWidth="1"/>
    <col min="14866" max="14866" width="10.6640625" style="218" customWidth="1"/>
    <col min="14867" max="15104" width="9.109375" style="218"/>
    <col min="15105" max="15105" width="9.109375" style="218" customWidth="1"/>
    <col min="15106" max="15106" width="46.44140625" style="218" customWidth="1"/>
    <col min="15107" max="15107" width="8.5546875" style="218" customWidth="1"/>
    <col min="15108" max="15108" width="14.44140625" style="218" customWidth="1"/>
    <col min="15109" max="15109" width="11.44140625" style="218" customWidth="1"/>
    <col min="15110" max="15110" width="16.88671875" style="218" customWidth="1"/>
    <col min="15111" max="15111" width="10.6640625" style="218" customWidth="1"/>
    <col min="15112" max="15112" width="11.109375" style="218" customWidth="1"/>
    <col min="15113" max="15113" width="10.6640625" style="218" customWidth="1"/>
    <col min="15114" max="15118" width="10.33203125" style="218" customWidth="1"/>
    <col min="15119" max="15119" width="10.88671875" style="218" customWidth="1"/>
    <col min="15120" max="15121" width="10.33203125" style="218" customWidth="1"/>
    <col min="15122" max="15122" width="10.6640625" style="218" customWidth="1"/>
    <col min="15123" max="15360" width="9.109375" style="218"/>
    <col min="15361" max="15361" width="9.109375" style="218" customWidth="1"/>
    <col min="15362" max="15362" width="46.44140625" style="218" customWidth="1"/>
    <col min="15363" max="15363" width="8.5546875" style="218" customWidth="1"/>
    <col min="15364" max="15364" width="14.44140625" style="218" customWidth="1"/>
    <col min="15365" max="15365" width="11.44140625" style="218" customWidth="1"/>
    <col min="15366" max="15366" width="16.88671875" style="218" customWidth="1"/>
    <col min="15367" max="15367" width="10.6640625" style="218" customWidth="1"/>
    <col min="15368" max="15368" width="11.109375" style="218" customWidth="1"/>
    <col min="15369" max="15369" width="10.6640625" style="218" customWidth="1"/>
    <col min="15370" max="15374" width="10.33203125" style="218" customWidth="1"/>
    <col min="15375" max="15375" width="10.88671875" style="218" customWidth="1"/>
    <col min="15376" max="15377" width="10.33203125" style="218" customWidth="1"/>
    <col min="15378" max="15378" width="10.6640625" style="218" customWidth="1"/>
    <col min="15379" max="15616" width="9.109375" style="218"/>
    <col min="15617" max="15617" width="9.109375" style="218" customWidth="1"/>
    <col min="15618" max="15618" width="46.44140625" style="218" customWidth="1"/>
    <col min="15619" max="15619" width="8.5546875" style="218" customWidth="1"/>
    <col min="15620" max="15620" width="14.44140625" style="218" customWidth="1"/>
    <col min="15621" max="15621" width="11.44140625" style="218" customWidth="1"/>
    <col min="15622" max="15622" width="16.88671875" style="218" customWidth="1"/>
    <col min="15623" max="15623" width="10.6640625" style="218" customWidth="1"/>
    <col min="15624" max="15624" width="11.109375" style="218" customWidth="1"/>
    <col min="15625" max="15625" width="10.6640625" style="218" customWidth="1"/>
    <col min="15626" max="15630" width="10.33203125" style="218" customWidth="1"/>
    <col min="15631" max="15631" width="10.88671875" style="218" customWidth="1"/>
    <col min="15632" max="15633" width="10.33203125" style="218" customWidth="1"/>
    <col min="15634" max="15634" width="10.6640625" style="218" customWidth="1"/>
    <col min="15635" max="15872" width="9.109375" style="218"/>
    <col min="15873" max="15873" width="9.109375" style="218" customWidth="1"/>
    <col min="15874" max="15874" width="46.44140625" style="218" customWidth="1"/>
    <col min="15875" max="15875" width="8.5546875" style="218" customWidth="1"/>
    <col min="15876" max="15876" width="14.44140625" style="218" customWidth="1"/>
    <col min="15877" max="15877" width="11.44140625" style="218" customWidth="1"/>
    <col min="15878" max="15878" width="16.88671875" style="218" customWidth="1"/>
    <col min="15879" max="15879" width="10.6640625" style="218" customWidth="1"/>
    <col min="15880" max="15880" width="11.109375" style="218" customWidth="1"/>
    <col min="15881" max="15881" width="10.6640625" style="218" customWidth="1"/>
    <col min="15882" max="15886" width="10.33203125" style="218" customWidth="1"/>
    <col min="15887" max="15887" width="10.88671875" style="218" customWidth="1"/>
    <col min="15888" max="15889" width="10.33203125" style="218" customWidth="1"/>
    <col min="15890" max="15890" width="10.6640625" style="218" customWidth="1"/>
    <col min="15891" max="16128" width="9.109375" style="218"/>
    <col min="16129" max="16129" width="9.109375" style="218" customWidth="1"/>
    <col min="16130" max="16130" width="46.44140625" style="218" customWidth="1"/>
    <col min="16131" max="16131" width="8.5546875" style="218" customWidth="1"/>
    <col min="16132" max="16132" width="14.44140625" style="218" customWidth="1"/>
    <col min="16133" max="16133" width="11.44140625" style="218" customWidth="1"/>
    <col min="16134" max="16134" width="16.88671875" style="218" customWidth="1"/>
    <col min="16135" max="16135" width="10.6640625" style="218" customWidth="1"/>
    <col min="16136" max="16136" width="11.109375" style="218" customWidth="1"/>
    <col min="16137" max="16137" width="10.6640625" style="218" customWidth="1"/>
    <col min="16138" max="16142" width="10.33203125" style="218" customWidth="1"/>
    <col min="16143" max="16143" width="10.88671875" style="218" customWidth="1"/>
    <col min="16144" max="16145" width="10.33203125" style="218" customWidth="1"/>
    <col min="16146" max="16146" width="10.6640625" style="218" customWidth="1"/>
    <col min="16147" max="16384" width="9.109375" style="218"/>
  </cols>
  <sheetData>
    <row r="2" spans="1:44" x14ac:dyDescent="0.2">
      <c r="O2" s="217" t="s">
        <v>233</v>
      </c>
    </row>
    <row r="3" spans="1:44" x14ac:dyDescent="0.2">
      <c r="B3" s="216" t="s">
        <v>234</v>
      </c>
    </row>
    <row r="8" spans="1:44" s="224" customFormat="1" ht="34.5" customHeight="1" x14ac:dyDescent="0.2">
      <c r="A8" s="219" t="s">
        <v>91</v>
      </c>
      <c r="B8" s="220" t="s">
        <v>140</v>
      </c>
      <c r="C8" s="221" t="s">
        <v>235</v>
      </c>
      <c r="D8" s="221" t="s">
        <v>236</v>
      </c>
      <c r="E8" s="221" t="s">
        <v>237</v>
      </c>
      <c r="F8" s="222" t="s">
        <v>238</v>
      </c>
      <c r="G8" s="222" t="s">
        <v>142</v>
      </c>
      <c r="H8" s="222" t="s">
        <v>143</v>
      </c>
      <c r="I8" s="222" t="s">
        <v>144</v>
      </c>
      <c r="J8" s="222" t="s">
        <v>145</v>
      </c>
      <c r="K8" s="222" t="s">
        <v>239</v>
      </c>
      <c r="L8" s="222" t="s">
        <v>147</v>
      </c>
      <c r="M8" s="222" t="s">
        <v>148</v>
      </c>
      <c r="N8" s="222" t="s">
        <v>149</v>
      </c>
      <c r="O8" s="222" t="s">
        <v>150</v>
      </c>
      <c r="P8" s="222" t="s">
        <v>151</v>
      </c>
      <c r="Q8" s="222" t="s">
        <v>152</v>
      </c>
      <c r="R8" s="222" t="s">
        <v>153</v>
      </c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3"/>
      <c r="AP8" s="223"/>
      <c r="AQ8" s="223"/>
      <c r="AR8" s="223"/>
    </row>
    <row r="9" spans="1:44" s="224" customFormat="1" ht="13.2" customHeight="1" x14ac:dyDescent="0.2">
      <c r="A9" s="225" t="s">
        <v>94</v>
      </c>
      <c r="B9" s="226" t="s">
        <v>154</v>
      </c>
      <c r="C9" s="227"/>
      <c r="D9" s="227"/>
      <c r="E9" s="227"/>
      <c r="F9" s="227">
        <f>F11</f>
        <v>36000</v>
      </c>
      <c r="G9" s="227">
        <f>G11</f>
        <v>3000</v>
      </c>
      <c r="H9" s="227">
        <f t="shared" ref="H9:R9" si="0">H11</f>
        <v>3000</v>
      </c>
      <c r="I9" s="227">
        <f t="shared" si="0"/>
        <v>3000</v>
      </c>
      <c r="J9" s="227">
        <f t="shared" si="0"/>
        <v>3000</v>
      </c>
      <c r="K9" s="227">
        <f t="shared" si="0"/>
        <v>3000</v>
      </c>
      <c r="L9" s="227">
        <f t="shared" si="0"/>
        <v>3000</v>
      </c>
      <c r="M9" s="227">
        <f t="shared" si="0"/>
        <v>3000</v>
      </c>
      <c r="N9" s="227">
        <f t="shared" si="0"/>
        <v>3000</v>
      </c>
      <c r="O9" s="227">
        <f t="shared" si="0"/>
        <v>3000</v>
      </c>
      <c r="P9" s="227">
        <f t="shared" si="0"/>
        <v>3000</v>
      </c>
      <c r="Q9" s="227">
        <f t="shared" si="0"/>
        <v>3000</v>
      </c>
      <c r="R9" s="227">
        <f t="shared" si="0"/>
        <v>3000</v>
      </c>
      <c r="S9" s="223"/>
      <c r="T9" s="223"/>
      <c r="U9" s="223"/>
      <c r="V9" s="223"/>
      <c r="W9" s="223"/>
      <c r="X9" s="223"/>
      <c r="Y9" s="223"/>
      <c r="Z9" s="223"/>
      <c r="AA9" s="223"/>
      <c r="AB9" s="223"/>
      <c r="AC9" s="223"/>
      <c r="AD9" s="223"/>
      <c r="AE9" s="223"/>
      <c r="AF9" s="223"/>
      <c r="AG9" s="223"/>
      <c r="AH9" s="223"/>
      <c r="AI9" s="223"/>
      <c r="AJ9" s="223"/>
      <c r="AK9" s="223"/>
      <c r="AL9" s="223"/>
      <c r="AM9" s="223"/>
      <c r="AN9" s="223"/>
      <c r="AO9" s="223"/>
      <c r="AP9" s="223"/>
      <c r="AQ9" s="223"/>
      <c r="AR9" s="223"/>
    </row>
    <row r="10" spans="1:44" s="224" customFormat="1" ht="12" x14ac:dyDescent="0.2">
      <c r="A10" s="228" t="s">
        <v>155</v>
      </c>
      <c r="B10" s="343" t="s">
        <v>156</v>
      </c>
      <c r="C10" s="343"/>
      <c r="D10" s="343"/>
      <c r="E10" s="343"/>
      <c r="F10" s="343"/>
      <c r="G10" s="343"/>
      <c r="H10" s="343"/>
      <c r="I10" s="343"/>
      <c r="J10" s="343"/>
      <c r="K10" s="229"/>
      <c r="L10" s="229"/>
      <c r="M10" s="229"/>
      <c r="N10" s="229"/>
      <c r="O10" s="229"/>
      <c r="P10" s="229"/>
      <c r="Q10" s="229"/>
      <c r="R10" s="229"/>
      <c r="S10" s="223"/>
      <c r="T10" s="223"/>
      <c r="U10" s="223"/>
      <c r="V10" s="223"/>
      <c r="W10" s="223"/>
      <c r="X10" s="223"/>
      <c r="Y10" s="223"/>
      <c r="Z10" s="223"/>
      <c r="AA10" s="223"/>
      <c r="AB10" s="223"/>
      <c r="AC10" s="223"/>
      <c r="AD10" s="223"/>
      <c r="AE10" s="223"/>
      <c r="AF10" s="223"/>
      <c r="AG10" s="223"/>
      <c r="AH10" s="223"/>
      <c r="AI10" s="223"/>
      <c r="AJ10" s="223"/>
      <c r="AK10" s="223"/>
      <c r="AL10" s="223"/>
      <c r="AM10" s="223"/>
      <c r="AN10" s="223"/>
      <c r="AO10" s="223"/>
      <c r="AP10" s="223"/>
      <c r="AQ10" s="223"/>
      <c r="AR10" s="223"/>
    </row>
    <row r="11" spans="1:44" s="224" customFormat="1" ht="14.25" customHeight="1" x14ac:dyDescent="0.2">
      <c r="A11" s="230" t="s">
        <v>157</v>
      </c>
      <c r="B11" s="231" t="s">
        <v>158</v>
      </c>
      <c r="C11" s="232" t="s">
        <v>240</v>
      </c>
      <c r="D11" s="232">
        <v>1</v>
      </c>
      <c r="E11" s="232">
        <v>3000</v>
      </c>
      <c r="F11" s="232">
        <f>SUM(G11:R11)</f>
        <v>36000</v>
      </c>
      <c r="G11" s="232">
        <f>E11*D11</f>
        <v>3000</v>
      </c>
      <c r="H11" s="232">
        <f>E11*D11</f>
        <v>3000</v>
      </c>
      <c r="I11" s="232">
        <f>E11*D11</f>
        <v>3000</v>
      </c>
      <c r="J11" s="232">
        <f>E11*D11</f>
        <v>3000</v>
      </c>
      <c r="K11" s="232">
        <f>E11*D11</f>
        <v>3000</v>
      </c>
      <c r="L11" s="232">
        <f>E11*D11</f>
        <v>3000</v>
      </c>
      <c r="M11" s="232">
        <f>E11*D11</f>
        <v>3000</v>
      </c>
      <c r="N11" s="232">
        <f>E11*D11</f>
        <v>3000</v>
      </c>
      <c r="O11" s="232">
        <f>E11*D11</f>
        <v>3000</v>
      </c>
      <c r="P11" s="232">
        <f>E11*D11</f>
        <v>3000</v>
      </c>
      <c r="Q11" s="232">
        <f>E11*D11</f>
        <v>3000</v>
      </c>
      <c r="R11" s="232">
        <f>E11*D11</f>
        <v>3000</v>
      </c>
      <c r="S11" s="223"/>
      <c r="T11" s="223"/>
      <c r="U11" s="223"/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23"/>
      <c r="AG11" s="223"/>
      <c r="AH11" s="223"/>
      <c r="AI11" s="223"/>
      <c r="AJ11" s="223"/>
      <c r="AK11" s="223"/>
      <c r="AL11" s="223"/>
      <c r="AM11" s="223"/>
      <c r="AN11" s="223"/>
      <c r="AO11" s="223"/>
      <c r="AP11" s="223"/>
      <c r="AQ11" s="223"/>
      <c r="AR11" s="223"/>
    </row>
    <row r="12" spans="1:44" s="224" customFormat="1" ht="13.95" customHeight="1" x14ac:dyDescent="0.2">
      <c r="A12" s="225" t="s">
        <v>96</v>
      </c>
      <c r="B12" s="226" t="s">
        <v>164</v>
      </c>
      <c r="C12" s="233"/>
      <c r="D12" s="233"/>
      <c r="E12" s="233"/>
      <c r="F12" s="233">
        <f>F19+F34</f>
        <v>399095</v>
      </c>
      <c r="G12" s="233">
        <f>G19+G34</f>
        <v>30112.5</v>
      </c>
      <c r="H12" s="233">
        <f>H19+H34</f>
        <v>30862.5</v>
      </c>
      <c r="I12" s="233">
        <f>I19+I34</f>
        <v>29512.5</v>
      </c>
      <c r="J12" s="233">
        <f>J19+J34</f>
        <v>30862.5</v>
      </c>
      <c r="K12" s="233">
        <f t="shared" ref="K12:R12" si="1">K19+K34</f>
        <v>28012.5</v>
      </c>
      <c r="L12" s="233">
        <f t="shared" si="1"/>
        <v>37512.5</v>
      </c>
      <c r="M12" s="233">
        <f t="shared" si="1"/>
        <v>30922.5</v>
      </c>
      <c r="N12" s="233">
        <f t="shared" si="1"/>
        <v>42437.5</v>
      </c>
      <c r="O12" s="233">
        <f t="shared" si="1"/>
        <v>34597.5</v>
      </c>
      <c r="P12" s="233">
        <f t="shared" si="1"/>
        <v>37447.5</v>
      </c>
      <c r="Q12" s="233">
        <f t="shared" si="1"/>
        <v>30597.5</v>
      </c>
      <c r="R12" s="233">
        <f t="shared" si="1"/>
        <v>36217.5</v>
      </c>
      <c r="S12" s="223"/>
      <c r="T12" s="223"/>
      <c r="U12" s="223"/>
      <c r="V12" s="223"/>
      <c r="W12" s="223"/>
      <c r="X12" s="223"/>
      <c r="Y12" s="223"/>
      <c r="Z12" s="223"/>
      <c r="AA12" s="223"/>
      <c r="AB12" s="223"/>
      <c r="AC12" s="223"/>
      <c r="AD12" s="223"/>
      <c r="AE12" s="223"/>
      <c r="AF12" s="223"/>
      <c r="AG12" s="223"/>
      <c r="AH12" s="223"/>
      <c r="AI12" s="223"/>
      <c r="AJ12" s="223"/>
      <c r="AK12" s="223"/>
      <c r="AL12" s="223"/>
      <c r="AM12" s="223"/>
      <c r="AN12" s="223"/>
      <c r="AO12" s="223"/>
      <c r="AP12" s="223"/>
      <c r="AQ12" s="223"/>
      <c r="AR12" s="223"/>
    </row>
    <row r="13" spans="1:44" s="224" customFormat="1" ht="12" x14ac:dyDescent="0.25">
      <c r="A13" s="234" t="s">
        <v>165</v>
      </c>
      <c r="B13" s="344" t="s">
        <v>166</v>
      </c>
      <c r="C13" s="344"/>
      <c r="D13" s="344"/>
      <c r="E13" s="344"/>
      <c r="F13" s="344"/>
      <c r="G13" s="344"/>
      <c r="H13" s="344"/>
      <c r="I13" s="344"/>
      <c r="J13" s="344"/>
      <c r="K13" s="235"/>
      <c r="L13" s="235"/>
      <c r="M13" s="235"/>
      <c r="N13" s="235"/>
      <c r="O13" s="235"/>
      <c r="P13" s="235"/>
      <c r="Q13" s="235"/>
      <c r="R13" s="235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/>
      <c r="AG13" s="223"/>
      <c r="AH13" s="223"/>
      <c r="AI13" s="223"/>
      <c r="AJ13" s="223"/>
      <c r="AK13" s="223"/>
      <c r="AL13" s="223"/>
      <c r="AM13" s="223"/>
      <c r="AN13" s="223"/>
      <c r="AO13" s="223"/>
      <c r="AP13" s="223"/>
      <c r="AQ13" s="223"/>
      <c r="AR13" s="223"/>
    </row>
    <row r="14" spans="1:44" s="224" customFormat="1" ht="12.75" customHeight="1" x14ac:dyDescent="0.2">
      <c r="A14" s="230" t="s">
        <v>167</v>
      </c>
      <c r="B14" s="236" t="s">
        <v>168</v>
      </c>
      <c r="C14" s="232" t="s">
        <v>241</v>
      </c>
      <c r="D14" s="232">
        <v>13</v>
      </c>
      <c r="E14" s="232">
        <v>603.75</v>
      </c>
      <c r="F14" s="155">
        <f>SUM(G14:R14)</f>
        <v>100222.5</v>
      </c>
      <c r="G14" s="155">
        <f>E14*D14</f>
        <v>7848.75</v>
      </c>
      <c r="H14" s="155">
        <f>E14*D14</f>
        <v>7848.75</v>
      </c>
      <c r="I14" s="155">
        <f>E14*D14</f>
        <v>7848.75</v>
      </c>
      <c r="J14" s="155">
        <f>E14*D14</f>
        <v>7848.75</v>
      </c>
      <c r="K14" s="155">
        <f>E14*D14</f>
        <v>7848.75</v>
      </c>
      <c r="L14" s="155">
        <f>E14*D14</f>
        <v>7848.75</v>
      </c>
      <c r="M14" s="155">
        <f>E14*D14</f>
        <v>7848.75</v>
      </c>
      <c r="N14" s="155">
        <f>E14*D14+2*E14</f>
        <v>9056.25</v>
      </c>
      <c r="O14" s="155">
        <f>E14*D14+2*E14</f>
        <v>9056.25</v>
      </c>
      <c r="P14" s="155">
        <f>E14*D14+2*E14</f>
        <v>9056.25</v>
      </c>
      <c r="Q14" s="155">
        <f>E14*D14+2*E14</f>
        <v>9056.25</v>
      </c>
      <c r="R14" s="155">
        <f>E14*D14+2*E14</f>
        <v>9056.25</v>
      </c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223"/>
      <c r="AJ14" s="223"/>
      <c r="AK14" s="223"/>
      <c r="AL14" s="223"/>
      <c r="AM14" s="223"/>
      <c r="AN14" s="223"/>
      <c r="AO14" s="223"/>
      <c r="AP14" s="223"/>
      <c r="AQ14" s="223"/>
      <c r="AR14" s="223"/>
    </row>
    <row r="15" spans="1:44" s="224" customFormat="1" ht="12.75" customHeight="1" x14ac:dyDescent="0.2">
      <c r="A15" s="230" t="s">
        <v>169</v>
      </c>
      <c r="B15" s="236" t="s">
        <v>242</v>
      </c>
      <c r="C15" s="232" t="s">
        <v>241</v>
      </c>
      <c r="D15" s="232">
        <v>13</v>
      </c>
      <c r="E15" s="232">
        <v>603.75</v>
      </c>
      <c r="F15" s="155">
        <f>SUM(G15:R15)</f>
        <v>100222.5</v>
      </c>
      <c r="G15" s="155">
        <f>E15*D15</f>
        <v>7848.75</v>
      </c>
      <c r="H15" s="155">
        <f>E15*D15</f>
        <v>7848.75</v>
      </c>
      <c r="I15" s="155">
        <f>E15*D15</f>
        <v>7848.75</v>
      </c>
      <c r="J15" s="155">
        <f>E15*D15</f>
        <v>7848.75</v>
      </c>
      <c r="K15" s="155">
        <f>E15*D15</f>
        <v>7848.75</v>
      </c>
      <c r="L15" s="155">
        <f>E15*D15</f>
        <v>7848.75</v>
      </c>
      <c r="M15" s="155">
        <f>E15*D15</f>
        <v>7848.75</v>
      </c>
      <c r="N15" s="155">
        <f>E15*D15+2*E15</f>
        <v>9056.25</v>
      </c>
      <c r="O15" s="155">
        <f>E15*D15+2*E15</f>
        <v>9056.25</v>
      </c>
      <c r="P15" s="155">
        <f>E15*D15+2*E15</f>
        <v>9056.25</v>
      </c>
      <c r="Q15" s="155">
        <f>E15*D15+2*E15</f>
        <v>9056.25</v>
      </c>
      <c r="R15" s="155">
        <f>E15*D15+2*E15</f>
        <v>9056.25</v>
      </c>
      <c r="S15" s="223"/>
      <c r="T15" s="223"/>
      <c r="U15" s="223"/>
      <c r="V15" s="223"/>
      <c r="W15" s="223"/>
      <c r="X15" s="223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3"/>
      <c r="AK15" s="223"/>
      <c r="AL15" s="223"/>
      <c r="AM15" s="223"/>
      <c r="AN15" s="223"/>
      <c r="AO15" s="223"/>
      <c r="AP15" s="223"/>
      <c r="AQ15" s="223"/>
      <c r="AR15" s="223"/>
    </row>
    <row r="16" spans="1:44" s="224" customFormat="1" ht="12.75" customHeight="1" x14ac:dyDescent="0.25">
      <c r="A16" s="230" t="s">
        <v>171</v>
      </c>
      <c r="B16" s="236" t="s">
        <v>243</v>
      </c>
      <c r="C16" s="232" t="s">
        <v>240</v>
      </c>
      <c r="D16" s="232">
        <v>3</v>
      </c>
      <c r="E16" s="232">
        <v>1875</v>
      </c>
      <c r="F16" s="155">
        <f>SUM(G16:R16)</f>
        <v>67500</v>
      </c>
      <c r="G16" s="155">
        <f>E16*D16</f>
        <v>5625</v>
      </c>
      <c r="H16" s="155">
        <f>E16*D16</f>
        <v>5625</v>
      </c>
      <c r="I16" s="155">
        <f>E16*D16</f>
        <v>5625</v>
      </c>
      <c r="J16" s="155">
        <f>E16*D16</f>
        <v>5625</v>
      </c>
      <c r="K16" s="155">
        <f>E16*D16</f>
        <v>5625</v>
      </c>
      <c r="L16" s="155">
        <f>E16*D16</f>
        <v>5625</v>
      </c>
      <c r="M16" s="155">
        <f>E16*D16</f>
        <v>5625</v>
      </c>
      <c r="N16" s="155">
        <f>E16*D16</f>
        <v>5625</v>
      </c>
      <c r="O16" s="155">
        <f>E16*D16</f>
        <v>5625</v>
      </c>
      <c r="P16" s="155">
        <f>E16*D16</f>
        <v>5625</v>
      </c>
      <c r="Q16" s="155">
        <f>E16*D16</f>
        <v>5625</v>
      </c>
      <c r="R16" s="155">
        <f>E16*D16</f>
        <v>5625</v>
      </c>
      <c r="S16" s="223"/>
      <c r="T16" s="223"/>
      <c r="U16" s="237"/>
      <c r="V16" s="237"/>
      <c r="W16" s="237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  <c r="AJ16" s="223"/>
      <c r="AK16" s="223"/>
      <c r="AL16" s="223"/>
      <c r="AM16" s="223"/>
      <c r="AN16" s="223"/>
      <c r="AO16" s="223"/>
      <c r="AP16" s="223"/>
      <c r="AQ16" s="223"/>
      <c r="AR16" s="223"/>
    </row>
    <row r="17" spans="1:44" s="224" customFormat="1" ht="12.75" customHeight="1" x14ac:dyDescent="0.2">
      <c r="A17" s="230" t="s">
        <v>173</v>
      </c>
      <c r="B17" s="236" t="s">
        <v>244</v>
      </c>
      <c r="C17" s="232" t="s">
        <v>240</v>
      </c>
      <c r="D17" s="232">
        <v>1</v>
      </c>
      <c r="E17" s="232">
        <v>1500</v>
      </c>
      <c r="F17" s="155">
        <f>SUM(G17:R17)</f>
        <v>18000</v>
      </c>
      <c r="G17" s="155">
        <f>E17*D17</f>
        <v>1500</v>
      </c>
      <c r="H17" s="155">
        <f>E17*D17</f>
        <v>1500</v>
      </c>
      <c r="I17" s="155">
        <f>E17*D17</f>
        <v>1500</v>
      </c>
      <c r="J17" s="155">
        <f>E17*D17</f>
        <v>1500</v>
      </c>
      <c r="K17" s="155">
        <f>E17*D17</f>
        <v>1500</v>
      </c>
      <c r="L17" s="155">
        <f>E17*D17</f>
        <v>1500</v>
      </c>
      <c r="M17" s="155">
        <f>E17*D17</f>
        <v>1500</v>
      </c>
      <c r="N17" s="155">
        <f>E17*D17</f>
        <v>1500</v>
      </c>
      <c r="O17" s="155">
        <f>E17*D17</f>
        <v>1500</v>
      </c>
      <c r="P17" s="155">
        <f>E17*D17</f>
        <v>1500</v>
      </c>
      <c r="Q17" s="155">
        <f>E17*D17</f>
        <v>1500</v>
      </c>
      <c r="R17" s="155">
        <f>E17*D17</f>
        <v>1500</v>
      </c>
      <c r="S17" s="223"/>
      <c r="T17" s="223"/>
      <c r="U17" s="223"/>
      <c r="V17" s="223"/>
      <c r="W17" s="223"/>
      <c r="X17" s="223"/>
      <c r="Y17" s="223"/>
      <c r="Z17" s="223"/>
      <c r="AA17" s="223"/>
      <c r="AB17" s="223"/>
      <c r="AC17" s="223"/>
      <c r="AD17" s="223"/>
      <c r="AE17" s="223"/>
      <c r="AF17" s="223"/>
      <c r="AG17" s="223"/>
      <c r="AH17" s="223"/>
      <c r="AI17" s="223"/>
      <c r="AJ17" s="223"/>
      <c r="AK17" s="223"/>
      <c r="AL17" s="223"/>
      <c r="AM17" s="223"/>
      <c r="AN17" s="223"/>
      <c r="AO17" s="223"/>
      <c r="AP17" s="223"/>
      <c r="AQ17" s="223"/>
      <c r="AR17" s="223"/>
    </row>
    <row r="18" spans="1:44" s="224" customFormat="1" ht="12.75" customHeight="1" x14ac:dyDescent="0.2">
      <c r="A18" s="238" t="s">
        <v>245</v>
      </c>
      <c r="B18" s="239" t="s">
        <v>246</v>
      </c>
      <c r="C18" s="232" t="s">
        <v>247</v>
      </c>
      <c r="D18" s="232">
        <v>12</v>
      </c>
      <c r="E18" s="240">
        <v>1300</v>
      </c>
      <c r="F18" s="155">
        <f>SUM(G18:R18)</f>
        <v>31200</v>
      </c>
      <c r="G18" s="155">
        <f>E18*D18/12*2</f>
        <v>2600</v>
      </c>
      <c r="H18" s="155">
        <f>E18*D18/12*2</f>
        <v>2600</v>
      </c>
      <c r="I18" s="155">
        <f>E18*D18/12*2</f>
        <v>2600</v>
      </c>
      <c r="J18" s="155">
        <f>E18*D18/12*2</f>
        <v>2600</v>
      </c>
      <c r="K18" s="155">
        <f>E18*D18/12*2</f>
        <v>2600</v>
      </c>
      <c r="L18" s="155">
        <f>E18*D18/12*2</f>
        <v>2600</v>
      </c>
      <c r="M18" s="155">
        <f>E18*D18/12*2</f>
        <v>2600</v>
      </c>
      <c r="N18" s="155">
        <f>E18*D18/12*2</f>
        <v>2600</v>
      </c>
      <c r="O18" s="155">
        <f>E18*D18/12*2</f>
        <v>2600</v>
      </c>
      <c r="P18" s="155">
        <f>E18*D18/12*2</f>
        <v>2600</v>
      </c>
      <c r="Q18" s="155">
        <f>E18*D18/12*2</f>
        <v>2600</v>
      </c>
      <c r="R18" s="155">
        <f>E18*D18/12*2</f>
        <v>2600</v>
      </c>
      <c r="S18" s="223"/>
      <c r="T18" s="223"/>
      <c r="U18" s="223"/>
      <c r="V18" s="223"/>
      <c r="W18" s="223"/>
      <c r="X18" s="223"/>
      <c r="Y18" s="223"/>
      <c r="Z18" s="223"/>
      <c r="AA18" s="223"/>
      <c r="AB18" s="223"/>
      <c r="AC18" s="223"/>
      <c r="AD18" s="223"/>
      <c r="AE18" s="223"/>
      <c r="AF18" s="223"/>
      <c r="AG18" s="223"/>
      <c r="AH18" s="223"/>
      <c r="AI18" s="223"/>
      <c r="AJ18" s="223"/>
      <c r="AK18" s="223"/>
      <c r="AL18" s="223"/>
      <c r="AM18" s="223"/>
      <c r="AN18" s="223"/>
      <c r="AO18" s="223"/>
      <c r="AP18" s="223"/>
      <c r="AQ18" s="223"/>
      <c r="AR18" s="223"/>
    </row>
    <row r="19" spans="1:44" s="246" customFormat="1" ht="21.75" customHeight="1" x14ac:dyDescent="0.3">
      <c r="A19" s="241" t="s">
        <v>165</v>
      </c>
      <c r="B19" s="242" t="s">
        <v>175</v>
      </c>
      <c r="C19" s="243"/>
      <c r="D19" s="243"/>
      <c r="E19" s="243"/>
      <c r="F19" s="243">
        <f>F14+F15+F16+F17+F18</f>
        <v>317145</v>
      </c>
      <c r="G19" s="243">
        <f>G14+G15+G16+G17+G18</f>
        <v>25422.5</v>
      </c>
      <c r="H19" s="243">
        <f>H14+H15+H16+H17+H18</f>
        <v>25422.5</v>
      </c>
      <c r="I19" s="243">
        <f>I14+I15+I16+I17+I18</f>
        <v>25422.5</v>
      </c>
      <c r="J19" s="243">
        <f>J14+J15+J16+J17+J18</f>
        <v>25422.5</v>
      </c>
      <c r="K19" s="243">
        <f t="shared" ref="K19:R19" si="2">K14+K15+K16+K17+K18</f>
        <v>25422.5</v>
      </c>
      <c r="L19" s="243">
        <f t="shared" si="2"/>
        <v>25422.5</v>
      </c>
      <c r="M19" s="243">
        <f t="shared" si="2"/>
        <v>25422.5</v>
      </c>
      <c r="N19" s="243">
        <f t="shared" si="2"/>
        <v>27837.5</v>
      </c>
      <c r="O19" s="243">
        <f t="shared" si="2"/>
        <v>27837.5</v>
      </c>
      <c r="P19" s="243">
        <f t="shared" si="2"/>
        <v>27837.5</v>
      </c>
      <c r="Q19" s="243">
        <f t="shared" si="2"/>
        <v>27837.5</v>
      </c>
      <c r="R19" s="243">
        <f t="shared" si="2"/>
        <v>27837.5</v>
      </c>
      <c r="S19" s="244"/>
      <c r="T19" s="244"/>
      <c r="U19" s="244"/>
      <c r="V19" s="245"/>
      <c r="W19" s="245"/>
      <c r="X19" s="245"/>
      <c r="Y19" s="245"/>
      <c r="Z19" s="245"/>
      <c r="AA19" s="245"/>
      <c r="AB19" s="245"/>
      <c r="AC19" s="245"/>
      <c r="AD19" s="245"/>
      <c r="AE19" s="245"/>
      <c r="AF19" s="245"/>
      <c r="AG19" s="245"/>
      <c r="AH19" s="245"/>
      <c r="AI19" s="245"/>
      <c r="AJ19" s="245"/>
      <c r="AK19" s="245"/>
      <c r="AL19" s="245"/>
      <c r="AM19" s="245"/>
      <c r="AN19" s="245"/>
      <c r="AO19" s="245"/>
      <c r="AP19" s="245"/>
      <c r="AQ19" s="245"/>
      <c r="AR19" s="245"/>
    </row>
    <row r="20" spans="1:44" s="224" customFormat="1" ht="12" x14ac:dyDescent="0.25">
      <c r="A20" s="247" t="s">
        <v>176</v>
      </c>
      <c r="B20" s="345" t="s">
        <v>177</v>
      </c>
      <c r="C20" s="345"/>
      <c r="D20" s="345"/>
      <c r="E20" s="345"/>
      <c r="F20" s="345"/>
      <c r="G20" s="345"/>
      <c r="H20" s="345"/>
      <c r="I20" s="345"/>
      <c r="J20" s="345"/>
      <c r="K20" s="248"/>
      <c r="L20" s="248"/>
      <c r="M20" s="248"/>
      <c r="N20" s="248"/>
      <c r="O20" s="248"/>
      <c r="P20" s="248"/>
      <c r="Q20" s="248"/>
      <c r="R20" s="248"/>
      <c r="S20" s="223"/>
      <c r="T20" s="223"/>
      <c r="U20" s="223"/>
      <c r="V20" s="223"/>
      <c r="W20" s="223"/>
      <c r="X20" s="223"/>
      <c r="Y20" s="223"/>
      <c r="Z20" s="223"/>
      <c r="AA20" s="223"/>
      <c r="AB20" s="223"/>
      <c r="AC20" s="223"/>
      <c r="AD20" s="223"/>
      <c r="AE20" s="223"/>
      <c r="AF20" s="223"/>
      <c r="AG20" s="223"/>
      <c r="AH20" s="223"/>
      <c r="AI20" s="223"/>
      <c r="AJ20" s="223"/>
      <c r="AK20" s="223"/>
      <c r="AL20" s="223"/>
      <c r="AM20" s="223"/>
      <c r="AN20" s="223"/>
      <c r="AO20" s="223"/>
      <c r="AP20" s="223"/>
      <c r="AQ20" s="223"/>
      <c r="AR20" s="223"/>
    </row>
    <row r="21" spans="1:44" s="252" customFormat="1" ht="19.5" customHeight="1" x14ac:dyDescent="0.3">
      <c r="A21" s="249" t="s">
        <v>178</v>
      </c>
      <c r="B21" s="250" t="s">
        <v>179</v>
      </c>
      <c r="C21" s="232" t="s">
        <v>247</v>
      </c>
      <c r="D21" s="232">
        <v>12</v>
      </c>
      <c r="E21" s="232">
        <v>1250</v>
      </c>
      <c r="F21" s="232">
        <f>SUM(G21:R21)</f>
        <v>15000</v>
      </c>
      <c r="G21" s="232">
        <f>E21*D21/12</f>
        <v>1250</v>
      </c>
      <c r="H21" s="232">
        <f>E21*D21/12</f>
        <v>1250</v>
      </c>
      <c r="I21" s="232">
        <f>E21*D21/12</f>
        <v>1250</v>
      </c>
      <c r="J21" s="232">
        <f>E21*D21/12</f>
        <v>1250</v>
      </c>
      <c r="K21" s="232">
        <f>E21*D21/12</f>
        <v>1250</v>
      </c>
      <c r="L21" s="232">
        <f>E21*D21/12</f>
        <v>1250</v>
      </c>
      <c r="M21" s="232">
        <f>E21*D21/12</f>
        <v>1250</v>
      </c>
      <c r="N21" s="232">
        <f>E21*D21/12</f>
        <v>1250</v>
      </c>
      <c r="O21" s="232">
        <f>E21*D21/12</f>
        <v>1250</v>
      </c>
      <c r="P21" s="232">
        <f>E21*D21/12</f>
        <v>1250</v>
      </c>
      <c r="Q21" s="232">
        <f>E21*D21/12</f>
        <v>1250</v>
      </c>
      <c r="R21" s="232">
        <f>E21*D21/12</f>
        <v>1250</v>
      </c>
      <c r="S21" s="251"/>
      <c r="T21" s="251"/>
      <c r="U21" s="251"/>
      <c r="V21" s="251"/>
      <c r="W21" s="251"/>
      <c r="X21" s="251"/>
      <c r="Y21" s="251"/>
      <c r="Z21" s="251"/>
      <c r="AA21" s="251"/>
      <c r="AB21" s="251"/>
      <c r="AC21" s="251"/>
      <c r="AD21" s="251"/>
      <c r="AE21" s="251"/>
      <c r="AF21" s="251"/>
      <c r="AG21" s="251"/>
      <c r="AH21" s="251"/>
      <c r="AI21" s="251"/>
      <c r="AJ21" s="251"/>
      <c r="AK21" s="251"/>
      <c r="AL21" s="251"/>
      <c r="AM21" s="251"/>
      <c r="AN21" s="251"/>
      <c r="AO21" s="251"/>
      <c r="AP21" s="251"/>
      <c r="AQ21" s="251"/>
      <c r="AR21" s="251"/>
    </row>
    <row r="22" spans="1:44" s="252" customFormat="1" ht="37.200000000000003" customHeight="1" x14ac:dyDescent="0.3">
      <c r="A22" s="249" t="s">
        <v>180</v>
      </c>
      <c r="B22" s="250" t="s">
        <v>248</v>
      </c>
      <c r="C22" s="232" t="s">
        <v>249</v>
      </c>
      <c r="D22" s="232" t="s">
        <v>250</v>
      </c>
      <c r="E22" s="232" t="s">
        <v>251</v>
      </c>
      <c r="F22" s="240">
        <f>SUM(G22:R22)</f>
        <v>5900</v>
      </c>
      <c r="G22" s="240">
        <f>1000+800</f>
        <v>1800</v>
      </c>
      <c r="H22" s="240">
        <v>0</v>
      </c>
      <c r="I22" s="240">
        <v>1000</v>
      </c>
      <c r="J22" s="240">
        <v>0</v>
      </c>
      <c r="K22" s="240">
        <v>0</v>
      </c>
      <c r="L22" s="240">
        <v>0</v>
      </c>
      <c r="M22" s="240">
        <v>0</v>
      </c>
      <c r="N22" s="240">
        <f>1500+2*800</f>
        <v>3100</v>
      </c>
      <c r="O22" s="240">
        <v>0</v>
      </c>
      <c r="P22" s="240">
        <v>0</v>
      </c>
      <c r="Q22" s="240">
        <v>0</v>
      </c>
      <c r="R22" s="240">
        <v>0</v>
      </c>
      <c r="S22" s="251"/>
      <c r="T22" s="251"/>
      <c r="U22" s="251"/>
      <c r="V22" s="251"/>
      <c r="W22" s="251"/>
      <c r="X22" s="251"/>
      <c r="Y22" s="251"/>
      <c r="Z22" s="251"/>
      <c r="AA22" s="251"/>
      <c r="AB22" s="251"/>
      <c r="AC22" s="251"/>
      <c r="AD22" s="251"/>
      <c r="AE22" s="251"/>
      <c r="AF22" s="251"/>
      <c r="AG22" s="251"/>
      <c r="AH22" s="251"/>
      <c r="AI22" s="251"/>
      <c r="AJ22" s="251"/>
      <c r="AK22" s="251"/>
      <c r="AL22" s="251"/>
      <c r="AM22" s="251"/>
      <c r="AN22" s="251"/>
      <c r="AO22" s="251"/>
      <c r="AP22" s="251"/>
      <c r="AQ22" s="251"/>
      <c r="AR22" s="251"/>
    </row>
    <row r="23" spans="1:44" s="252" customFormat="1" hidden="1" x14ac:dyDescent="0.3">
      <c r="A23" s="249"/>
      <c r="B23" s="250" t="s">
        <v>182</v>
      </c>
      <c r="C23" s="232"/>
      <c r="D23" s="232"/>
      <c r="E23" s="232"/>
      <c r="F23" s="240">
        <f>SUM(G23:J23)</f>
        <v>0</v>
      </c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  <c r="AM23" s="251"/>
      <c r="AN23" s="251"/>
      <c r="AO23" s="251"/>
      <c r="AP23" s="251"/>
      <c r="AQ23" s="251"/>
      <c r="AR23" s="251"/>
    </row>
    <row r="24" spans="1:44" s="252" customFormat="1" hidden="1" x14ac:dyDescent="0.3">
      <c r="A24" s="249"/>
      <c r="B24" s="250" t="s">
        <v>183</v>
      </c>
      <c r="C24" s="232"/>
      <c r="D24" s="232"/>
      <c r="E24" s="232"/>
      <c r="F24" s="240">
        <f>SUM(G24:J24)</f>
        <v>0</v>
      </c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  <c r="R24" s="240"/>
      <c r="S24" s="251"/>
      <c r="T24" s="251"/>
      <c r="U24" s="251"/>
      <c r="V24" s="251"/>
      <c r="W24" s="251"/>
      <c r="X24" s="251"/>
      <c r="Y24" s="251"/>
      <c r="Z24" s="251"/>
      <c r="AA24" s="251"/>
      <c r="AB24" s="251"/>
      <c r="AC24" s="251"/>
      <c r="AD24" s="251"/>
      <c r="AE24" s="251"/>
      <c r="AF24" s="251"/>
      <c r="AG24" s="251"/>
      <c r="AH24" s="251"/>
      <c r="AI24" s="251"/>
      <c r="AJ24" s="251"/>
      <c r="AK24" s="251"/>
      <c r="AL24" s="251"/>
      <c r="AM24" s="251"/>
      <c r="AN24" s="251"/>
      <c r="AO24" s="251"/>
      <c r="AP24" s="251"/>
      <c r="AQ24" s="251"/>
      <c r="AR24" s="251"/>
    </row>
    <row r="25" spans="1:44" s="252" customFormat="1" ht="27.6" customHeight="1" x14ac:dyDescent="0.3">
      <c r="A25" s="249" t="s">
        <v>184</v>
      </c>
      <c r="B25" s="250" t="s">
        <v>252</v>
      </c>
      <c r="C25" s="232" t="s">
        <v>249</v>
      </c>
      <c r="D25" s="240">
        <v>3</v>
      </c>
      <c r="E25" s="232">
        <v>950</v>
      </c>
      <c r="F25" s="240">
        <f t="shared" ref="F25:F34" si="3">SUM(G25:R25)</f>
        <v>8550</v>
      </c>
      <c r="G25" s="240">
        <v>0</v>
      </c>
      <c r="H25" s="240">
        <f>D25*E25</f>
        <v>2850</v>
      </c>
      <c r="I25" s="240">
        <v>0</v>
      </c>
      <c r="J25" s="240">
        <f>D25*E25</f>
        <v>2850</v>
      </c>
      <c r="K25" s="240">
        <v>0</v>
      </c>
      <c r="L25" s="240">
        <v>0</v>
      </c>
      <c r="M25" s="240">
        <v>0</v>
      </c>
      <c r="N25" s="240">
        <v>0</v>
      </c>
      <c r="O25" s="240">
        <v>0</v>
      </c>
      <c r="P25" s="240">
        <f>D25*E25</f>
        <v>2850</v>
      </c>
      <c r="Q25" s="240">
        <v>0</v>
      </c>
      <c r="R25" s="240">
        <v>0</v>
      </c>
      <c r="S25" s="251"/>
      <c r="T25" s="251"/>
      <c r="U25" s="251"/>
      <c r="V25" s="251"/>
      <c r="W25" s="251"/>
      <c r="X25" s="251"/>
      <c r="Y25" s="251"/>
      <c r="Z25" s="251"/>
      <c r="AA25" s="251"/>
      <c r="AB25" s="251"/>
      <c r="AC25" s="251"/>
      <c r="AD25" s="251"/>
      <c r="AE25" s="251"/>
      <c r="AF25" s="251"/>
      <c r="AG25" s="251"/>
      <c r="AH25" s="251"/>
      <c r="AI25" s="251"/>
      <c r="AJ25" s="251"/>
      <c r="AK25" s="251"/>
      <c r="AL25" s="251"/>
      <c r="AM25" s="251"/>
      <c r="AN25" s="251"/>
      <c r="AO25" s="251"/>
      <c r="AP25" s="251"/>
      <c r="AQ25" s="251"/>
      <c r="AR25" s="251"/>
    </row>
    <row r="26" spans="1:44" s="252" customFormat="1" ht="18" customHeight="1" x14ac:dyDescent="0.3">
      <c r="A26" s="249" t="s">
        <v>186</v>
      </c>
      <c r="B26" s="250" t="s">
        <v>187</v>
      </c>
      <c r="C26" s="232"/>
      <c r="D26" s="240"/>
      <c r="E26" s="232"/>
      <c r="F26" s="240">
        <f t="shared" si="3"/>
        <v>0</v>
      </c>
      <c r="G26" s="240">
        <v>0</v>
      </c>
      <c r="H26" s="240">
        <v>0</v>
      </c>
      <c r="I26" s="240">
        <v>0</v>
      </c>
      <c r="J26" s="240">
        <v>0</v>
      </c>
      <c r="K26" s="240">
        <v>0</v>
      </c>
      <c r="L26" s="240">
        <v>0</v>
      </c>
      <c r="M26" s="240">
        <v>0</v>
      </c>
      <c r="N26" s="240">
        <v>0</v>
      </c>
      <c r="O26" s="240">
        <v>0</v>
      </c>
      <c r="P26" s="240">
        <v>0</v>
      </c>
      <c r="Q26" s="240">
        <v>0</v>
      </c>
      <c r="R26" s="240">
        <v>0</v>
      </c>
      <c r="S26" s="251"/>
      <c r="T26" s="251"/>
      <c r="U26" s="251"/>
      <c r="V26" s="251"/>
      <c r="W26" s="251"/>
      <c r="X26" s="251"/>
      <c r="Y26" s="251"/>
      <c r="Z26" s="251"/>
      <c r="AA26" s="251"/>
      <c r="AB26" s="251"/>
      <c r="AC26" s="251"/>
      <c r="AD26" s="251"/>
      <c r="AE26" s="251"/>
      <c r="AF26" s="251"/>
      <c r="AG26" s="251"/>
      <c r="AH26" s="251"/>
      <c r="AI26" s="251"/>
      <c r="AJ26" s="251"/>
      <c r="AK26" s="251"/>
      <c r="AL26" s="251"/>
      <c r="AM26" s="251"/>
      <c r="AN26" s="251"/>
      <c r="AO26" s="251"/>
      <c r="AP26" s="251"/>
      <c r="AQ26" s="251"/>
      <c r="AR26" s="251"/>
    </row>
    <row r="27" spans="1:44" s="252" customFormat="1" ht="31.5" customHeight="1" x14ac:dyDescent="0.3">
      <c r="A27" s="249" t="s">
        <v>188</v>
      </c>
      <c r="B27" s="250" t="s">
        <v>253</v>
      </c>
      <c r="C27" s="232" t="s">
        <v>249</v>
      </c>
      <c r="D27" s="240">
        <v>2</v>
      </c>
      <c r="E27" s="232">
        <v>5500</v>
      </c>
      <c r="F27" s="240">
        <f t="shared" si="3"/>
        <v>11000</v>
      </c>
      <c r="G27" s="240">
        <v>0</v>
      </c>
      <c r="H27" s="240">
        <v>0</v>
      </c>
      <c r="I27" s="240">
        <v>0</v>
      </c>
      <c r="J27" s="240">
        <v>0</v>
      </c>
      <c r="K27" s="240">
        <v>0</v>
      </c>
      <c r="L27" s="240">
        <f>E27*D27/2</f>
        <v>5500</v>
      </c>
      <c r="M27" s="240">
        <v>0</v>
      </c>
      <c r="N27" s="240">
        <v>0</v>
      </c>
      <c r="O27" s="240">
        <v>0</v>
      </c>
      <c r="P27" s="240">
        <v>0</v>
      </c>
      <c r="Q27" s="240">
        <v>0</v>
      </c>
      <c r="R27" s="240">
        <f>E27*D27/2</f>
        <v>5500</v>
      </c>
      <c r="S27" s="251"/>
      <c r="T27" s="251"/>
      <c r="U27" s="251"/>
      <c r="V27" s="251"/>
      <c r="W27" s="251"/>
      <c r="X27" s="251"/>
      <c r="Y27" s="251"/>
      <c r="Z27" s="251"/>
      <c r="AA27" s="251"/>
      <c r="AB27" s="251"/>
      <c r="AC27" s="251"/>
      <c r="AD27" s="251"/>
      <c r="AE27" s="251"/>
      <c r="AF27" s="251"/>
      <c r="AG27" s="251"/>
      <c r="AH27" s="251"/>
      <c r="AI27" s="251"/>
      <c r="AJ27" s="251"/>
      <c r="AK27" s="251"/>
      <c r="AL27" s="251"/>
      <c r="AM27" s="251"/>
      <c r="AN27" s="251"/>
      <c r="AO27" s="251"/>
      <c r="AP27" s="251"/>
      <c r="AQ27" s="251"/>
      <c r="AR27" s="251"/>
    </row>
    <row r="28" spans="1:44" s="252" customFormat="1" ht="30" customHeight="1" x14ac:dyDescent="0.3">
      <c r="A28" s="249" t="s">
        <v>190</v>
      </c>
      <c r="B28" s="250" t="s">
        <v>254</v>
      </c>
      <c r="C28" s="232" t="s">
        <v>255</v>
      </c>
      <c r="D28" s="240">
        <v>1</v>
      </c>
      <c r="E28" s="232" t="s">
        <v>251</v>
      </c>
      <c r="F28" s="240">
        <f t="shared" si="3"/>
        <v>2000</v>
      </c>
      <c r="G28" s="240">
        <v>300</v>
      </c>
      <c r="H28" s="240">
        <v>0</v>
      </c>
      <c r="I28" s="240">
        <v>500</v>
      </c>
      <c r="J28" s="240">
        <v>0</v>
      </c>
      <c r="K28" s="240">
        <v>0</v>
      </c>
      <c r="L28" s="240">
        <v>0</v>
      </c>
      <c r="M28" s="240">
        <v>0</v>
      </c>
      <c r="N28" s="240">
        <v>1200</v>
      </c>
      <c r="O28" s="240">
        <v>0</v>
      </c>
      <c r="P28" s="240">
        <v>0</v>
      </c>
      <c r="Q28" s="240">
        <v>0</v>
      </c>
      <c r="R28" s="240">
        <v>0</v>
      </c>
      <c r="S28" s="251"/>
      <c r="T28" s="251"/>
      <c r="U28" s="251"/>
      <c r="V28" s="251"/>
      <c r="W28" s="251"/>
      <c r="X28" s="251"/>
      <c r="Y28" s="251"/>
      <c r="Z28" s="251"/>
      <c r="AA28" s="251"/>
      <c r="AB28" s="251"/>
      <c r="AC28" s="251"/>
      <c r="AD28" s="251"/>
      <c r="AE28" s="251"/>
      <c r="AF28" s="251"/>
      <c r="AG28" s="251"/>
      <c r="AH28" s="251"/>
      <c r="AI28" s="251"/>
      <c r="AJ28" s="251"/>
      <c r="AK28" s="251"/>
      <c r="AL28" s="251"/>
      <c r="AM28" s="251"/>
      <c r="AN28" s="251"/>
      <c r="AO28" s="251"/>
      <c r="AP28" s="251"/>
      <c r="AQ28" s="251"/>
      <c r="AR28" s="251"/>
    </row>
    <row r="29" spans="1:44" s="252" customFormat="1" ht="27" customHeight="1" x14ac:dyDescent="0.3">
      <c r="A29" s="249" t="s">
        <v>192</v>
      </c>
      <c r="B29" s="250" t="s">
        <v>256</v>
      </c>
      <c r="C29" s="232" t="s">
        <v>241</v>
      </c>
      <c r="D29" s="232">
        <v>12</v>
      </c>
      <c r="E29" s="232">
        <v>840</v>
      </c>
      <c r="F29" s="240">
        <f t="shared" si="3"/>
        <v>9000</v>
      </c>
      <c r="G29" s="240">
        <f>E29*12/12</f>
        <v>840</v>
      </c>
      <c r="H29" s="253">
        <f>E29*12/12</f>
        <v>840</v>
      </c>
      <c r="I29" s="240">
        <f>E29*12/12</f>
        <v>840</v>
      </c>
      <c r="J29" s="240">
        <f>E29*12/12</f>
        <v>840</v>
      </c>
      <c r="K29" s="240">
        <f>E29*12/12</f>
        <v>840</v>
      </c>
      <c r="L29" s="240">
        <f>E29*12/12</f>
        <v>840</v>
      </c>
      <c r="M29" s="240">
        <v>0</v>
      </c>
      <c r="N29" s="240">
        <v>0</v>
      </c>
      <c r="O29" s="240">
        <f>E29*12/12+120</f>
        <v>960</v>
      </c>
      <c r="P29" s="240">
        <f>E29*12/12+120</f>
        <v>960</v>
      </c>
      <c r="Q29" s="240">
        <f>E29*12/12+120</f>
        <v>960</v>
      </c>
      <c r="R29" s="240">
        <f>E29*12/12+240</f>
        <v>1080</v>
      </c>
      <c r="S29" s="251"/>
      <c r="T29" s="251"/>
      <c r="U29" s="251"/>
      <c r="V29" s="251"/>
      <c r="W29" s="251"/>
      <c r="X29" s="251"/>
      <c r="Y29" s="251"/>
      <c r="Z29" s="251"/>
      <c r="AA29" s="251"/>
      <c r="AB29" s="251"/>
      <c r="AC29" s="251"/>
      <c r="AD29" s="251"/>
      <c r="AE29" s="251"/>
      <c r="AF29" s="251"/>
      <c r="AG29" s="251"/>
      <c r="AH29" s="251"/>
      <c r="AI29" s="251"/>
      <c r="AJ29" s="251"/>
      <c r="AK29" s="251"/>
      <c r="AL29" s="251"/>
      <c r="AM29" s="251"/>
      <c r="AN29" s="251"/>
      <c r="AO29" s="251"/>
      <c r="AP29" s="251"/>
      <c r="AQ29" s="251"/>
      <c r="AR29" s="251"/>
    </row>
    <row r="30" spans="1:44" s="252" customFormat="1" ht="19.5" customHeight="1" x14ac:dyDescent="0.3">
      <c r="A30" s="249" t="s">
        <v>257</v>
      </c>
      <c r="B30" s="254" t="s">
        <v>258</v>
      </c>
      <c r="C30" s="232" t="s">
        <v>249</v>
      </c>
      <c r="D30" s="232">
        <v>1</v>
      </c>
      <c r="E30" s="232">
        <v>4500</v>
      </c>
      <c r="F30" s="240">
        <f t="shared" si="3"/>
        <v>4500</v>
      </c>
      <c r="G30" s="240">
        <v>0</v>
      </c>
      <c r="H30" s="240">
        <v>0</v>
      </c>
      <c r="I30" s="240">
        <v>0</v>
      </c>
      <c r="J30" s="240">
        <v>0</v>
      </c>
      <c r="K30" s="240">
        <v>0</v>
      </c>
      <c r="L30" s="240">
        <v>0</v>
      </c>
      <c r="M30" s="240">
        <v>0</v>
      </c>
      <c r="N30" s="240">
        <f>4500</f>
        <v>4500</v>
      </c>
      <c r="O30" s="240">
        <v>0</v>
      </c>
      <c r="P30" s="240">
        <v>0</v>
      </c>
      <c r="Q30" s="240">
        <v>0</v>
      </c>
      <c r="R30" s="240">
        <v>0</v>
      </c>
      <c r="S30" s="251"/>
      <c r="T30" s="251"/>
      <c r="U30" s="251"/>
      <c r="V30" s="251"/>
      <c r="W30" s="251"/>
      <c r="X30" s="251"/>
      <c r="Y30" s="251"/>
      <c r="Z30" s="251"/>
      <c r="AA30" s="251"/>
      <c r="AB30" s="251"/>
      <c r="AC30" s="251"/>
      <c r="AD30" s="251"/>
      <c r="AE30" s="251"/>
      <c r="AF30" s="251"/>
      <c r="AG30" s="251"/>
      <c r="AH30" s="251"/>
      <c r="AI30" s="251"/>
      <c r="AJ30" s="251"/>
      <c r="AK30" s="251"/>
      <c r="AL30" s="251"/>
      <c r="AM30" s="251"/>
      <c r="AN30" s="251"/>
      <c r="AO30" s="251"/>
      <c r="AP30" s="251"/>
      <c r="AQ30" s="251"/>
      <c r="AR30" s="251"/>
    </row>
    <row r="31" spans="1:44" s="252" customFormat="1" ht="34.5" customHeight="1" x14ac:dyDescent="0.3">
      <c r="A31" s="249" t="s">
        <v>259</v>
      </c>
      <c r="B31" s="250" t="s">
        <v>260</v>
      </c>
      <c r="C31" s="232" t="s">
        <v>247</v>
      </c>
      <c r="D31" s="155">
        <v>1</v>
      </c>
      <c r="E31" s="232">
        <v>500</v>
      </c>
      <c r="F31" s="240">
        <f t="shared" si="3"/>
        <v>6000</v>
      </c>
      <c r="G31" s="240">
        <f>E31*D31</f>
        <v>500</v>
      </c>
      <c r="H31" s="240">
        <f>E31*D31</f>
        <v>500</v>
      </c>
      <c r="I31" s="240">
        <f>E31*D31</f>
        <v>500</v>
      </c>
      <c r="J31" s="240">
        <f>E31*D31</f>
        <v>500</v>
      </c>
      <c r="K31" s="240">
        <f>E31*D31</f>
        <v>500</v>
      </c>
      <c r="L31" s="240">
        <f>E31*D31</f>
        <v>500</v>
      </c>
      <c r="M31" s="240">
        <f>E31*D31/2</f>
        <v>250</v>
      </c>
      <c r="N31" s="240">
        <f>E31*D31+50</f>
        <v>550</v>
      </c>
      <c r="O31" s="240">
        <f>E31*D31+50</f>
        <v>550</v>
      </c>
      <c r="P31" s="240">
        <f>E31*D31+50</f>
        <v>550</v>
      </c>
      <c r="Q31" s="240">
        <f>E31*D31+50</f>
        <v>550</v>
      </c>
      <c r="R31" s="240">
        <f>E31*D31+50</f>
        <v>550</v>
      </c>
      <c r="S31" s="251"/>
      <c r="T31" s="251"/>
      <c r="U31" s="251"/>
      <c r="V31" s="251"/>
      <c r="W31" s="251"/>
      <c r="X31" s="251"/>
      <c r="Y31" s="251"/>
      <c r="Z31" s="251"/>
      <c r="AA31" s="251"/>
      <c r="AB31" s="251"/>
      <c r="AC31" s="251"/>
      <c r="AD31" s="251"/>
      <c r="AE31" s="251"/>
      <c r="AF31" s="251"/>
      <c r="AG31" s="251"/>
      <c r="AH31" s="251"/>
      <c r="AI31" s="251"/>
      <c r="AJ31" s="251"/>
      <c r="AK31" s="251"/>
      <c r="AL31" s="251"/>
      <c r="AM31" s="251"/>
      <c r="AN31" s="251"/>
      <c r="AO31" s="251"/>
      <c r="AP31" s="251"/>
      <c r="AQ31" s="251"/>
      <c r="AR31" s="251"/>
    </row>
    <row r="32" spans="1:44" s="252" customFormat="1" ht="26.25" customHeight="1" x14ac:dyDescent="0.3">
      <c r="A32" s="249" t="s">
        <v>261</v>
      </c>
      <c r="B32" s="255" t="s">
        <v>262</v>
      </c>
      <c r="C32" s="232" t="s">
        <v>247</v>
      </c>
      <c r="D32" s="232">
        <v>1</v>
      </c>
      <c r="E32" s="232">
        <v>4000</v>
      </c>
      <c r="F32" s="240">
        <f t="shared" si="3"/>
        <v>20000</v>
      </c>
      <c r="G32" s="240">
        <v>0</v>
      </c>
      <c r="H32" s="240">
        <v>0</v>
      </c>
      <c r="I32" s="240">
        <v>0</v>
      </c>
      <c r="J32" s="240">
        <v>0</v>
      </c>
      <c r="K32" s="240">
        <v>0</v>
      </c>
      <c r="L32" s="240">
        <f>E32*D32</f>
        <v>4000</v>
      </c>
      <c r="M32" s="240">
        <f>E32*D32</f>
        <v>4000</v>
      </c>
      <c r="N32" s="240">
        <f>E32*D32</f>
        <v>4000</v>
      </c>
      <c r="O32" s="240">
        <f>E32*D32</f>
        <v>4000</v>
      </c>
      <c r="P32" s="240">
        <f>E32*D32</f>
        <v>4000</v>
      </c>
      <c r="Q32" s="240">
        <v>0</v>
      </c>
      <c r="R32" s="240">
        <v>0</v>
      </c>
      <c r="S32" s="251"/>
      <c r="T32" s="251"/>
      <c r="U32" s="251"/>
      <c r="V32" s="251"/>
      <c r="W32" s="251"/>
      <c r="X32" s="251"/>
      <c r="Y32" s="251"/>
      <c r="Z32" s="251"/>
      <c r="AA32" s="251"/>
      <c r="AB32" s="251"/>
      <c r="AC32" s="251"/>
      <c r="AD32" s="251"/>
      <c r="AE32" s="251"/>
      <c r="AF32" s="251"/>
      <c r="AG32" s="251"/>
      <c r="AH32" s="251"/>
      <c r="AI32" s="251"/>
      <c r="AJ32" s="251"/>
      <c r="AK32" s="251"/>
      <c r="AL32" s="251"/>
      <c r="AM32" s="251"/>
      <c r="AN32" s="251"/>
      <c r="AO32" s="251"/>
      <c r="AP32" s="251"/>
      <c r="AQ32" s="251"/>
      <c r="AR32" s="251"/>
    </row>
    <row r="33" spans="1:44" s="252" customFormat="1" ht="29.25" customHeight="1" x14ac:dyDescent="0.3">
      <c r="A33" s="249" t="s">
        <v>263</v>
      </c>
      <c r="B33" s="250" t="s">
        <v>264</v>
      </c>
      <c r="C33" s="232" t="s">
        <v>247</v>
      </c>
      <c r="D33" s="232" t="s">
        <v>265</v>
      </c>
      <c r="E33" s="232" t="s">
        <v>251</v>
      </c>
      <c r="F33" s="240">
        <f t="shared" si="3"/>
        <v>0</v>
      </c>
      <c r="G33" s="240">
        <v>0</v>
      </c>
      <c r="H33" s="240">
        <v>0</v>
      </c>
      <c r="I33" s="240">
        <v>0</v>
      </c>
      <c r="J33" s="240">
        <v>0</v>
      </c>
      <c r="K33" s="240">
        <v>0</v>
      </c>
      <c r="L33" s="240">
        <v>0</v>
      </c>
      <c r="M33" s="240">
        <v>0</v>
      </c>
      <c r="N33" s="240">
        <v>0</v>
      </c>
      <c r="O33" s="240">
        <v>0</v>
      </c>
      <c r="P33" s="240">
        <v>0</v>
      </c>
      <c r="Q33" s="240">
        <v>0</v>
      </c>
      <c r="R33" s="240">
        <v>0</v>
      </c>
      <c r="S33" s="251"/>
      <c r="T33" s="251"/>
      <c r="U33" s="251"/>
      <c r="V33" s="251"/>
      <c r="W33" s="251"/>
      <c r="X33" s="251"/>
      <c r="Y33" s="251"/>
      <c r="Z33" s="251"/>
      <c r="AA33" s="251"/>
      <c r="AB33" s="251"/>
      <c r="AC33" s="251"/>
      <c r="AD33" s="251"/>
      <c r="AE33" s="251"/>
      <c r="AF33" s="251"/>
      <c r="AG33" s="251"/>
      <c r="AH33" s="251"/>
      <c r="AI33" s="251"/>
      <c r="AJ33" s="251"/>
      <c r="AK33" s="251"/>
      <c r="AL33" s="251"/>
      <c r="AM33" s="251"/>
      <c r="AN33" s="251"/>
      <c r="AO33" s="251"/>
      <c r="AP33" s="251"/>
      <c r="AQ33" s="251"/>
      <c r="AR33" s="251"/>
    </row>
    <row r="34" spans="1:44" s="252" customFormat="1" ht="12" x14ac:dyDescent="0.3">
      <c r="A34" s="256" t="s">
        <v>176</v>
      </c>
      <c r="B34" s="257" t="s">
        <v>196</v>
      </c>
      <c r="C34" s="258"/>
      <c r="D34" s="258"/>
      <c r="E34" s="258"/>
      <c r="F34" s="259">
        <f t="shared" si="3"/>
        <v>81950</v>
      </c>
      <c r="G34" s="259">
        <f>SUM(G21:G33)</f>
        <v>4690</v>
      </c>
      <c r="H34" s="259">
        <f>SUM(H21:H33)</f>
        <v>5440</v>
      </c>
      <c r="I34" s="259">
        <f>SUM(I21:I33)</f>
        <v>4090</v>
      </c>
      <c r="J34" s="259">
        <f>SUM(J21:J33)</f>
        <v>5440</v>
      </c>
      <c r="K34" s="259">
        <f t="shared" ref="K34:R34" si="4">SUM(K21:K33)</f>
        <v>2590</v>
      </c>
      <c r="L34" s="259">
        <f t="shared" si="4"/>
        <v>12090</v>
      </c>
      <c r="M34" s="259">
        <f t="shared" si="4"/>
        <v>5500</v>
      </c>
      <c r="N34" s="259">
        <f t="shared" si="4"/>
        <v>14600</v>
      </c>
      <c r="O34" s="259">
        <f t="shared" si="4"/>
        <v>6760</v>
      </c>
      <c r="P34" s="259">
        <f t="shared" si="4"/>
        <v>9610</v>
      </c>
      <c r="Q34" s="259">
        <f t="shared" si="4"/>
        <v>2760</v>
      </c>
      <c r="R34" s="259">
        <f t="shared" si="4"/>
        <v>8380</v>
      </c>
      <c r="S34" s="251"/>
      <c r="T34" s="251"/>
      <c r="U34" s="251"/>
      <c r="V34" s="251"/>
      <c r="W34" s="251"/>
      <c r="X34" s="251"/>
      <c r="Y34" s="251"/>
      <c r="Z34" s="251"/>
      <c r="AA34" s="251"/>
      <c r="AB34" s="251"/>
      <c r="AC34" s="251"/>
      <c r="AD34" s="251"/>
      <c r="AE34" s="251"/>
      <c r="AF34" s="251"/>
      <c r="AG34" s="251"/>
      <c r="AH34" s="251"/>
      <c r="AI34" s="251"/>
      <c r="AJ34" s="251"/>
      <c r="AK34" s="251"/>
      <c r="AL34" s="251"/>
      <c r="AM34" s="251"/>
      <c r="AN34" s="251"/>
      <c r="AO34" s="251"/>
      <c r="AP34" s="251"/>
      <c r="AQ34" s="251"/>
      <c r="AR34" s="251"/>
    </row>
    <row r="35" spans="1:44" s="263" customFormat="1" ht="12" x14ac:dyDescent="0.3">
      <c r="A35" s="260" t="s">
        <v>98</v>
      </c>
      <c r="B35" s="261" t="s">
        <v>197</v>
      </c>
      <c r="C35" s="233"/>
      <c r="D35" s="233"/>
      <c r="E35" s="233"/>
      <c r="F35" s="233">
        <f>F37+F44</f>
        <v>12982.5</v>
      </c>
      <c r="G35" s="233">
        <f>G37+G44</f>
        <v>1000</v>
      </c>
      <c r="H35" s="233">
        <f>H37+H44</f>
        <v>1000</v>
      </c>
      <c r="I35" s="233">
        <f>I37+I44</f>
        <v>1000</v>
      </c>
      <c r="J35" s="233">
        <f>J37+J44</f>
        <v>1000</v>
      </c>
      <c r="K35" s="233">
        <f t="shared" ref="K35:R35" si="5">K37+K44</f>
        <v>1000</v>
      </c>
      <c r="L35" s="233">
        <f t="shared" si="5"/>
        <v>3482.5</v>
      </c>
      <c r="M35" s="233">
        <f t="shared" si="5"/>
        <v>4500</v>
      </c>
      <c r="N35" s="233">
        <f t="shared" si="5"/>
        <v>0</v>
      </c>
      <c r="O35" s="233">
        <f t="shared" si="5"/>
        <v>0</v>
      </c>
      <c r="P35" s="233">
        <f t="shared" si="5"/>
        <v>0</v>
      </c>
      <c r="Q35" s="233">
        <f t="shared" si="5"/>
        <v>0</v>
      </c>
      <c r="R35" s="233">
        <f t="shared" si="5"/>
        <v>0</v>
      </c>
      <c r="S35" s="262"/>
      <c r="T35" s="262"/>
      <c r="U35" s="262"/>
      <c r="V35" s="262"/>
      <c r="W35" s="262"/>
      <c r="X35" s="262"/>
      <c r="Y35" s="262"/>
      <c r="Z35" s="262"/>
      <c r="AA35" s="262"/>
      <c r="AB35" s="262"/>
      <c r="AC35" s="262"/>
      <c r="AD35" s="262"/>
      <c r="AE35" s="262"/>
      <c r="AF35" s="262"/>
      <c r="AG35" s="262"/>
      <c r="AH35" s="262"/>
      <c r="AI35" s="262"/>
      <c r="AJ35" s="262"/>
      <c r="AK35" s="262"/>
      <c r="AL35" s="262"/>
      <c r="AM35" s="262"/>
      <c r="AN35" s="262"/>
      <c r="AO35" s="262"/>
      <c r="AP35" s="262"/>
      <c r="AQ35" s="262"/>
      <c r="AR35" s="262"/>
    </row>
    <row r="36" spans="1:44" s="263" customFormat="1" ht="12" x14ac:dyDescent="0.3">
      <c r="A36" s="264" t="s">
        <v>198</v>
      </c>
      <c r="B36" s="346" t="s">
        <v>199</v>
      </c>
      <c r="C36" s="346"/>
      <c r="D36" s="346"/>
      <c r="E36" s="346"/>
      <c r="F36" s="346"/>
      <c r="G36" s="346"/>
      <c r="H36" s="346"/>
      <c r="I36" s="346"/>
      <c r="J36" s="346"/>
      <c r="K36" s="265"/>
      <c r="L36" s="265"/>
      <c r="M36" s="265"/>
      <c r="N36" s="265"/>
      <c r="O36" s="265"/>
      <c r="P36" s="265"/>
      <c r="Q36" s="265"/>
      <c r="R36" s="265"/>
      <c r="S36" s="262"/>
      <c r="T36" s="262"/>
      <c r="U36" s="262"/>
      <c r="V36" s="262"/>
      <c r="W36" s="262"/>
      <c r="X36" s="262"/>
      <c r="Y36" s="262"/>
      <c r="Z36" s="262"/>
      <c r="AA36" s="262"/>
      <c r="AB36" s="262"/>
      <c r="AC36" s="262"/>
      <c r="AD36" s="262"/>
      <c r="AE36" s="262"/>
      <c r="AF36" s="262"/>
      <c r="AG36" s="262"/>
      <c r="AH36" s="262"/>
      <c r="AI36" s="262"/>
      <c r="AJ36" s="262"/>
      <c r="AK36" s="262"/>
      <c r="AL36" s="262"/>
      <c r="AM36" s="262"/>
      <c r="AN36" s="262"/>
      <c r="AO36" s="262"/>
      <c r="AP36" s="262"/>
      <c r="AQ36" s="262"/>
      <c r="AR36" s="262"/>
    </row>
    <row r="37" spans="1:44" s="263" customFormat="1" x14ac:dyDescent="0.3">
      <c r="A37" s="266" t="s">
        <v>200</v>
      </c>
      <c r="B37" s="267" t="s">
        <v>266</v>
      </c>
      <c r="C37" s="268"/>
      <c r="D37" s="268"/>
      <c r="E37" s="268"/>
      <c r="F37" s="268">
        <f>SUM(G37:R37)</f>
        <v>0</v>
      </c>
      <c r="G37" s="268">
        <v>0</v>
      </c>
      <c r="H37" s="268">
        <v>0</v>
      </c>
      <c r="I37" s="268">
        <v>0</v>
      </c>
      <c r="J37" s="268">
        <v>0</v>
      </c>
      <c r="K37" s="268">
        <v>0</v>
      </c>
      <c r="L37" s="268">
        <v>0</v>
      </c>
      <c r="M37" s="268">
        <v>0</v>
      </c>
      <c r="N37" s="268">
        <v>0</v>
      </c>
      <c r="O37" s="268">
        <v>0</v>
      </c>
      <c r="P37" s="268">
        <v>0</v>
      </c>
      <c r="Q37" s="268">
        <v>0</v>
      </c>
      <c r="R37" s="268">
        <v>0</v>
      </c>
      <c r="S37" s="262"/>
      <c r="T37" s="262"/>
      <c r="U37" s="262"/>
      <c r="V37" s="262"/>
      <c r="W37" s="262"/>
      <c r="X37" s="262"/>
      <c r="Y37" s="262"/>
      <c r="Z37" s="262"/>
      <c r="AA37" s="262"/>
      <c r="AB37" s="262"/>
      <c r="AC37" s="262"/>
      <c r="AD37" s="262"/>
      <c r="AE37" s="262"/>
      <c r="AF37" s="262"/>
      <c r="AG37" s="262"/>
      <c r="AH37" s="262"/>
      <c r="AI37" s="262"/>
      <c r="AJ37" s="262"/>
      <c r="AK37" s="262"/>
      <c r="AL37" s="262"/>
      <c r="AM37" s="262"/>
      <c r="AN37" s="262"/>
      <c r="AO37" s="262"/>
      <c r="AP37" s="262"/>
      <c r="AQ37" s="262"/>
      <c r="AR37" s="262"/>
    </row>
    <row r="38" spans="1:44" s="263" customFormat="1" ht="12" x14ac:dyDescent="0.3">
      <c r="A38" s="269" t="s">
        <v>198</v>
      </c>
      <c r="B38" s="270" t="s">
        <v>202</v>
      </c>
      <c r="C38" s="271"/>
      <c r="D38" s="271"/>
      <c r="E38" s="271"/>
      <c r="F38" s="271"/>
      <c r="G38" s="271"/>
      <c r="H38" s="271"/>
      <c r="I38" s="271"/>
      <c r="J38" s="271"/>
      <c r="K38" s="271"/>
      <c r="L38" s="271"/>
      <c r="M38" s="271"/>
      <c r="N38" s="271"/>
      <c r="O38" s="271"/>
      <c r="P38" s="271"/>
      <c r="Q38" s="271"/>
      <c r="R38" s="271"/>
      <c r="S38" s="262"/>
      <c r="T38" s="262"/>
      <c r="U38" s="262"/>
      <c r="V38" s="262"/>
      <c r="W38" s="262"/>
      <c r="X38" s="262"/>
      <c r="Y38" s="262"/>
      <c r="Z38" s="262"/>
      <c r="AA38" s="262"/>
      <c r="AB38" s="262"/>
      <c r="AC38" s="262"/>
      <c r="AD38" s="262"/>
      <c r="AE38" s="262"/>
      <c r="AF38" s="262"/>
      <c r="AG38" s="262"/>
      <c r="AH38" s="262"/>
      <c r="AI38" s="262"/>
      <c r="AJ38" s="262"/>
      <c r="AK38" s="262"/>
      <c r="AL38" s="262"/>
      <c r="AM38" s="262"/>
      <c r="AN38" s="262"/>
      <c r="AO38" s="262"/>
      <c r="AP38" s="262"/>
      <c r="AQ38" s="262"/>
      <c r="AR38" s="262"/>
    </row>
    <row r="39" spans="1:44" s="263" customFormat="1" ht="12" x14ac:dyDescent="0.3">
      <c r="A39" s="272" t="s">
        <v>203</v>
      </c>
      <c r="B39" s="273" t="s">
        <v>204</v>
      </c>
      <c r="C39" s="274"/>
      <c r="D39" s="274"/>
      <c r="E39" s="274"/>
      <c r="F39" s="274"/>
      <c r="G39" s="274"/>
      <c r="H39" s="274"/>
      <c r="I39" s="274"/>
      <c r="J39" s="274"/>
      <c r="K39" s="274"/>
      <c r="L39" s="274"/>
      <c r="M39" s="274"/>
      <c r="N39" s="274"/>
      <c r="O39" s="274"/>
      <c r="P39" s="274"/>
      <c r="Q39" s="274"/>
      <c r="R39" s="274"/>
      <c r="S39" s="262"/>
      <c r="T39" s="262"/>
      <c r="U39" s="262"/>
      <c r="V39" s="262"/>
      <c r="W39" s="262"/>
      <c r="X39" s="262"/>
      <c r="Y39" s="262"/>
      <c r="Z39" s="262"/>
      <c r="AA39" s="262"/>
      <c r="AB39" s="262"/>
      <c r="AC39" s="262"/>
      <c r="AD39" s="262"/>
      <c r="AE39" s="262"/>
      <c r="AF39" s="262"/>
      <c r="AG39" s="262"/>
      <c r="AH39" s="262"/>
      <c r="AI39" s="262"/>
      <c r="AJ39" s="262"/>
      <c r="AK39" s="262"/>
      <c r="AL39" s="262"/>
      <c r="AM39" s="262"/>
      <c r="AN39" s="262"/>
      <c r="AO39" s="262"/>
      <c r="AP39" s="262"/>
      <c r="AQ39" s="262"/>
      <c r="AR39" s="262"/>
    </row>
    <row r="40" spans="1:44" s="263" customFormat="1" ht="22.8" x14ac:dyDescent="0.3">
      <c r="A40" s="249" t="s">
        <v>205</v>
      </c>
      <c r="B40" s="275" t="s">
        <v>206</v>
      </c>
      <c r="C40" s="276" t="s">
        <v>249</v>
      </c>
      <c r="D40" s="276" t="s">
        <v>267</v>
      </c>
      <c r="E40" s="276" t="s">
        <v>251</v>
      </c>
      <c r="F40" s="276">
        <f>SUM(G40:R40)</f>
        <v>0</v>
      </c>
      <c r="G40" s="276">
        <v>0</v>
      </c>
      <c r="H40" s="276">
        <v>0</v>
      </c>
      <c r="I40" s="276">
        <v>0</v>
      </c>
      <c r="J40" s="276">
        <v>0</v>
      </c>
      <c r="K40" s="276">
        <v>0</v>
      </c>
      <c r="L40" s="276">
        <v>0</v>
      </c>
      <c r="M40" s="276">
        <v>0</v>
      </c>
      <c r="N40" s="276">
        <v>0</v>
      </c>
      <c r="O40" s="276">
        <v>0</v>
      </c>
      <c r="P40" s="276">
        <v>0</v>
      </c>
      <c r="Q40" s="276">
        <v>0</v>
      </c>
      <c r="R40" s="276">
        <v>0</v>
      </c>
      <c r="S40" s="262"/>
      <c r="T40" s="262"/>
      <c r="U40" s="262"/>
      <c r="V40" s="262"/>
      <c r="W40" s="262"/>
      <c r="X40" s="262"/>
      <c r="Y40" s="262"/>
      <c r="Z40" s="262"/>
      <c r="AA40" s="262"/>
      <c r="AB40" s="262"/>
      <c r="AC40" s="262"/>
      <c r="AD40" s="262"/>
      <c r="AE40" s="262"/>
      <c r="AF40" s="262"/>
      <c r="AG40" s="262"/>
      <c r="AH40" s="262"/>
      <c r="AI40" s="262"/>
      <c r="AJ40" s="262"/>
      <c r="AK40" s="262"/>
      <c r="AL40" s="262"/>
      <c r="AM40" s="262"/>
      <c r="AN40" s="262"/>
      <c r="AO40" s="262"/>
      <c r="AP40" s="262"/>
      <c r="AQ40" s="262"/>
      <c r="AR40" s="262"/>
    </row>
    <row r="41" spans="1:44" s="263" customFormat="1" ht="20.25" customHeight="1" x14ac:dyDescent="0.3">
      <c r="A41" s="249" t="s">
        <v>207</v>
      </c>
      <c r="B41" s="250" t="s">
        <v>208</v>
      </c>
      <c r="C41" s="276" t="s">
        <v>249</v>
      </c>
      <c r="D41" s="276">
        <v>1</v>
      </c>
      <c r="E41" s="276">
        <v>4500</v>
      </c>
      <c r="F41" s="276">
        <f>SUM(G41:R41)</f>
        <v>4500</v>
      </c>
      <c r="G41" s="276">
        <v>0</v>
      </c>
      <c r="H41" s="276">
        <v>0</v>
      </c>
      <c r="I41" s="276">
        <v>0</v>
      </c>
      <c r="J41" s="276">
        <v>0</v>
      </c>
      <c r="K41" s="276">
        <v>0</v>
      </c>
      <c r="L41" s="276">
        <v>0</v>
      </c>
      <c r="M41" s="276">
        <f>D41*E41</f>
        <v>4500</v>
      </c>
      <c r="N41" s="276">
        <v>0</v>
      </c>
      <c r="O41" s="276">
        <v>0</v>
      </c>
      <c r="P41" s="276">
        <v>0</v>
      </c>
      <c r="Q41" s="276">
        <v>0</v>
      </c>
      <c r="R41" s="276">
        <v>0</v>
      </c>
      <c r="S41" s="262"/>
      <c r="T41" s="262"/>
      <c r="U41" s="262"/>
      <c r="V41" s="262"/>
      <c r="W41" s="262"/>
      <c r="X41" s="262"/>
      <c r="Y41" s="262"/>
      <c r="Z41" s="262"/>
      <c r="AA41" s="262"/>
      <c r="AB41" s="262"/>
      <c r="AC41" s="262"/>
      <c r="AD41" s="262"/>
      <c r="AE41" s="262"/>
      <c r="AF41" s="262"/>
      <c r="AG41" s="262"/>
      <c r="AH41" s="262"/>
      <c r="AI41" s="262"/>
      <c r="AJ41" s="262"/>
      <c r="AK41" s="262"/>
      <c r="AL41" s="262"/>
      <c r="AM41" s="262"/>
      <c r="AN41" s="262"/>
      <c r="AO41" s="262"/>
      <c r="AP41" s="262"/>
      <c r="AQ41" s="262"/>
      <c r="AR41" s="262"/>
    </row>
    <row r="42" spans="1:44" s="263" customFormat="1" ht="21" customHeight="1" x14ac:dyDescent="0.3">
      <c r="A42" s="277" t="s">
        <v>268</v>
      </c>
      <c r="B42" s="278" t="s">
        <v>269</v>
      </c>
      <c r="C42" s="276" t="s">
        <v>249</v>
      </c>
      <c r="D42" s="276">
        <v>1</v>
      </c>
      <c r="E42" s="276">
        <v>0</v>
      </c>
      <c r="F42" s="276">
        <f>SUM(G42:R42)</f>
        <v>0</v>
      </c>
      <c r="G42" s="276">
        <v>0</v>
      </c>
      <c r="H42" s="276">
        <v>0</v>
      </c>
      <c r="I42" s="276">
        <v>0</v>
      </c>
      <c r="J42" s="276">
        <v>0</v>
      </c>
      <c r="K42" s="276">
        <v>0</v>
      </c>
      <c r="L42" s="276">
        <v>0</v>
      </c>
      <c r="M42" s="276">
        <v>0</v>
      </c>
      <c r="N42" s="276">
        <v>0</v>
      </c>
      <c r="O42" s="276">
        <v>0</v>
      </c>
      <c r="P42" s="276">
        <v>0</v>
      </c>
      <c r="Q42" s="276">
        <v>0</v>
      </c>
      <c r="R42" s="276">
        <v>0</v>
      </c>
      <c r="S42" s="262"/>
      <c r="T42" s="262"/>
      <c r="U42" s="262"/>
      <c r="V42" s="262"/>
      <c r="W42" s="262"/>
      <c r="X42" s="262"/>
      <c r="Y42" s="262"/>
      <c r="Z42" s="262"/>
      <c r="AA42" s="262"/>
      <c r="AB42" s="262"/>
      <c r="AC42" s="262"/>
      <c r="AD42" s="262"/>
      <c r="AE42" s="262"/>
      <c r="AF42" s="262"/>
      <c r="AG42" s="262"/>
      <c r="AH42" s="262"/>
      <c r="AI42" s="262"/>
      <c r="AJ42" s="262"/>
      <c r="AK42" s="262"/>
      <c r="AL42" s="262"/>
      <c r="AM42" s="262"/>
      <c r="AN42" s="262"/>
      <c r="AO42" s="262"/>
      <c r="AP42" s="262"/>
      <c r="AQ42" s="262"/>
      <c r="AR42" s="262"/>
    </row>
    <row r="43" spans="1:44" s="263" customFormat="1" ht="39" customHeight="1" x14ac:dyDescent="0.3">
      <c r="A43" s="277" t="s">
        <v>270</v>
      </c>
      <c r="B43" s="278" t="s">
        <v>271</v>
      </c>
      <c r="C43" s="276" t="s">
        <v>247</v>
      </c>
      <c r="D43" s="276" t="s">
        <v>272</v>
      </c>
      <c r="E43" s="276" t="s">
        <v>251</v>
      </c>
      <c r="F43" s="276">
        <f>SUM(G43:R43)</f>
        <v>8482.5</v>
      </c>
      <c r="G43" s="276">
        <v>1000</v>
      </c>
      <c r="H43" s="276">
        <v>1000</v>
      </c>
      <c r="I43" s="276">
        <v>1000</v>
      </c>
      <c r="J43" s="276">
        <v>1000</v>
      </c>
      <c r="K43" s="276">
        <v>1000</v>
      </c>
      <c r="L43" s="276">
        <v>3482.5</v>
      </c>
      <c r="M43" s="276">
        <v>0</v>
      </c>
      <c r="N43" s="276">
        <v>0</v>
      </c>
      <c r="O43" s="276">
        <v>0</v>
      </c>
      <c r="P43" s="276">
        <v>0</v>
      </c>
      <c r="Q43" s="276">
        <v>0</v>
      </c>
      <c r="R43" s="276">
        <v>0</v>
      </c>
      <c r="S43" s="262"/>
      <c r="T43" s="262"/>
      <c r="U43" s="262"/>
      <c r="V43" s="262"/>
      <c r="W43" s="262"/>
      <c r="X43" s="262"/>
      <c r="Y43" s="262"/>
      <c r="Z43" s="262"/>
      <c r="AA43" s="262"/>
      <c r="AB43" s="262"/>
      <c r="AC43" s="262"/>
      <c r="AD43" s="262"/>
      <c r="AE43" s="262"/>
      <c r="AF43" s="262"/>
      <c r="AG43" s="262"/>
      <c r="AH43" s="262"/>
      <c r="AI43" s="262"/>
      <c r="AJ43" s="262"/>
      <c r="AK43" s="262"/>
      <c r="AL43" s="262"/>
      <c r="AM43" s="262"/>
      <c r="AN43" s="262"/>
      <c r="AO43" s="262"/>
      <c r="AP43" s="262"/>
      <c r="AQ43" s="262"/>
      <c r="AR43" s="262"/>
    </row>
    <row r="44" spans="1:44" s="252" customFormat="1" ht="12" x14ac:dyDescent="0.3">
      <c r="A44" s="256" t="s">
        <v>203</v>
      </c>
      <c r="B44" s="257" t="s">
        <v>209</v>
      </c>
      <c r="C44" s="258"/>
      <c r="D44" s="258"/>
      <c r="E44" s="258"/>
      <c r="F44" s="279">
        <f>SUM(G44:R44)</f>
        <v>12982.5</v>
      </c>
      <c r="G44" s="279">
        <f>G40+G41+G42+G43</f>
        <v>1000</v>
      </c>
      <c r="H44" s="279">
        <f>H40+H41+H42+H43</f>
        <v>1000</v>
      </c>
      <c r="I44" s="279">
        <f>I40+I41+I42+I43</f>
        <v>1000</v>
      </c>
      <c r="J44" s="279">
        <f>J40+J41+J42+J43</f>
        <v>1000</v>
      </c>
      <c r="K44" s="279">
        <f t="shared" ref="K44:R44" si="6">K40+K41+K42+K43</f>
        <v>1000</v>
      </c>
      <c r="L44" s="279">
        <f t="shared" si="6"/>
        <v>3482.5</v>
      </c>
      <c r="M44" s="279">
        <f t="shared" si="6"/>
        <v>4500</v>
      </c>
      <c r="N44" s="279">
        <f t="shared" si="6"/>
        <v>0</v>
      </c>
      <c r="O44" s="279">
        <f t="shared" si="6"/>
        <v>0</v>
      </c>
      <c r="P44" s="279">
        <f t="shared" si="6"/>
        <v>0</v>
      </c>
      <c r="Q44" s="279">
        <f t="shared" si="6"/>
        <v>0</v>
      </c>
      <c r="R44" s="279">
        <f t="shared" si="6"/>
        <v>0</v>
      </c>
      <c r="S44" s="262"/>
      <c r="T44" s="262"/>
      <c r="U44" s="262"/>
      <c r="V44" s="251"/>
      <c r="W44" s="251"/>
      <c r="X44" s="251"/>
      <c r="Y44" s="251"/>
      <c r="Z44" s="251"/>
      <c r="AA44" s="251"/>
      <c r="AB44" s="251"/>
      <c r="AC44" s="251"/>
      <c r="AD44" s="251"/>
      <c r="AE44" s="251"/>
      <c r="AF44" s="251"/>
      <c r="AG44" s="251"/>
      <c r="AH44" s="251"/>
      <c r="AI44" s="251"/>
      <c r="AJ44" s="251"/>
      <c r="AK44" s="251"/>
      <c r="AL44" s="251"/>
      <c r="AM44" s="251"/>
      <c r="AN44" s="251"/>
      <c r="AO44" s="251"/>
      <c r="AP44" s="251"/>
      <c r="AQ44" s="251"/>
      <c r="AR44" s="251"/>
    </row>
    <row r="45" spans="1:44" s="252" customFormat="1" ht="12" x14ac:dyDescent="0.3">
      <c r="A45" s="280" t="s">
        <v>210</v>
      </c>
      <c r="B45" s="281" t="s">
        <v>211</v>
      </c>
      <c r="C45" s="282"/>
      <c r="D45" s="282"/>
      <c r="E45" s="282"/>
      <c r="F45" s="283">
        <f>F9+F19</f>
        <v>353145</v>
      </c>
      <c r="G45" s="283">
        <f>G9+G19</f>
        <v>28422.5</v>
      </c>
      <c r="H45" s="283">
        <f>H9+H19</f>
        <v>28422.5</v>
      </c>
      <c r="I45" s="283">
        <f>I9+I19</f>
        <v>28422.5</v>
      </c>
      <c r="J45" s="283">
        <f>J9+J19</f>
        <v>28422.5</v>
      </c>
      <c r="K45" s="283">
        <f t="shared" ref="K45:R45" si="7">K9+K19</f>
        <v>28422.5</v>
      </c>
      <c r="L45" s="283">
        <f t="shared" si="7"/>
        <v>28422.5</v>
      </c>
      <c r="M45" s="283">
        <f t="shared" si="7"/>
        <v>28422.5</v>
      </c>
      <c r="N45" s="283">
        <f t="shared" si="7"/>
        <v>30837.5</v>
      </c>
      <c r="O45" s="283">
        <f t="shared" si="7"/>
        <v>30837.5</v>
      </c>
      <c r="P45" s="283">
        <f t="shared" si="7"/>
        <v>30837.5</v>
      </c>
      <c r="Q45" s="283">
        <f t="shared" si="7"/>
        <v>30837.5</v>
      </c>
      <c r="R45" s="283">
        <f t="shared" si="7"/>
        <v>30837.5</v>
      </c>
      <c r="S45" s="262"/>
      <c r="T45" s="262"/>
      <c r="U45" s="262"/>
      <c r="V45" s="251"/>
      <c r="W45" s="251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251"/>
      <c r="AI45" s="251"/>
      <c r="AJ45" s="251"/>
      <c r="AK45" s="251"/>
      <c r="AL45" s="251"/>
      <c r="AM45" s="251"/>
      <c r="AN45" s="251"/>
      <c r="AO45" s="251"/>
      <c r="AP45" s="251"/>
      <c r="AQ45" s="251"/>
      <c r="AR45" s="251"/>
    </row>
    <row r="46" spans="1:44" s="252" customFormat="1" ht="12" hidden="1" x14ac:dyDescent="0.3">
      <c r="A46" s="284"/>
      <c r="B46" s="285"/>
      <c r="C46" s="286"/>
      <c r="D46" s="286"/>
      <c r="E46" s="286" t="e">
        <f>SUM(#REF!)</f>
        <v>#REF!</v>
      </c>
      <c r="F46" s="286"/>
      <c r="G46" s="286"/>
      <c r="H46" s="286"/>
      <c r="I46" s="286"/>
      <c r="J46" s="286"/>
      <c r="K46" s="286"/>
      <c r="L46" s="286"/>
      <c r="M46" s="286"/>
      <c r="N46" s="286"/>
      <c r="O46" s="286"/>
      <c r="P46" s="286"/>
      <c r="Q46" s="286"/>
      <c r="R46" s="286"/>
      <c r="S46" s="262"/>
      <c r="T46" s="262"/>
      <c r="U46" s="262"/>
      <c r="V46" s="251"/>
      <c r="W46" s="251"/>
      <c r="X46" s="251"/>
      <c r="Y46" s="251"/>
      <c r="Z46" s="251"/>
      <c r="AA46" s="251"/>
      <c r="AB46" s="251"/>
      <c r="AC46" s="251"/>
      <c r="AD46" s="251"/>
      <c r="AE46" s="251"/>
      <c r="AF46" s="251"/>
      <c r="AG46" s="251"/>
      <c r="AH46" s="251"/>
      <c r="AI46" s="251"/>
      <c r="AJ46" s="251"/>
      <c r="AK46" s="251"/>
      <c r="AL46" s="251"/>
      <c r="AM46" s="251"/>
      <c r="AN46" s="251"/>
      <c r="AO46" s="251"/>
      <c r="AP46" s="251"/>
      <c r="AQ46" s="251"/>
      <c r="AR46" s="251"/>
    </row>
    <row r="47" spans="1:44" s="252" customFormat="1" ht="12" hidden="1" x14ac:dyDescent="0.3">
      <c r="A47" s="284"/>
      <c r="B47" s="285"/>
      <c r="C47" s="286"/>
      <c r="D47" s="286"/>
      <c r="E47" s="286"/>
      <c r="F47" s="271"/>
      <c r="G47" s="271"/>
      <c r="H47" s="271"/>
      <c r="I47" s="271"/>
      <c r="J47" s="271"/>
      <c r="K47" s="271"/>
      <c r="L47" s="271"/>
      <c r="M47" s="271"/>
      <c r="N47" s="271"/>
      <c r="O47" s="271"/>
      <c r="P47" s="271"/>
      <c r="Q47" s="271"/>
      <c r="R47" s="271"/>
      <c r="S47" s="262"/>
      <c r="T47" s="262"/>
      <c r="U47" s="262"/>
      <c r="V47" s="251"/>
      <c r="W47" s="251"/>
      <c r="X47" s="251"/>
      <c r="Y47" s="251"/>
      <c r="Z47" s="251"/>
      <c r="AA47" s="251"/>
      <c r="AB47" s="251"/>
      <c r="AC47" s="251"/>
      <c r="AD47" s="251"/>
      <c r="AE47" s="251"/>
      <c r="AF47" s="251"/>
      <c r="AG47" s="251"/>
      <c r="AH47" s="251"/>
      <c r="AI47" s="251"/>
      <c r="AJ47" s="251"/>
      <c r="AK47" s="251"/>
      <c r="AL47" s="251"/>
      <c r="AM47" s="251"/>
      <c r="AN47" s="251"/>
      <c r="AO47" s="251"/>
      <c r="AP47" s="251"/>
      <c r="AQ47" s="251"/>
      <c r="AR47" s="251"/>
    </row>
    <row r="48" spans="1:44" s="252" customFormat="1" ht="12" hidden="1" x14ac:dyDescent="0.3">
      <c r="A48" s="284"/>
      <c r="B48" s="285"/>
      <c r="C48" s="286"/>
      <c r="D48" s="286"/>
      <c r="E48" s="286"/>
      <c r="F48" s="271"/>
      <c r="G48" s="271"/>
      <c r="H48" s="271"/>
      <c r="I48" s="271"/>
      <c r="J48" s="271"/>
      <c r="K48" s="271"/>
      <c r="L48" s="271"/>
      <c r="M48" s="271"/>
      <c r="N48" s="271"/>
      <c r="O48" s="271"/>
      <c r="P48" s="271"/>
      <c r="Q48" s="271"/>
      <c r="R48" s="271"/>
      <c r="S48" s="262"/>
      <c r="T48" s="262"/>
      <c r="U48" s="262"/>
      <c r="V48" s="251"/>
      <c r="W48" s="251"/>
      <c r="X48" s="251"/>
      <c r="Y48" s="251"/>
      <c r="Z48" s="251"/>
      <c r="AA48" s="251"/>
      <c r="AB48" s="251"/>
      <c r="AC48" s="251"/>
      <c r="AD48" s="251"/>
      <c r="AE48" s="251"/>
      <c r="AF48" s="251"/>
      <c r="AG48" s="251"/>
      <c r="AH48" s="251"/>
      <c r="AI48" s="251"/>
      <c r="AJ48" s="251"/>
      <c r="AK48" s="251"/>
      <c r="AL48" s="251"/>
      <c r="AM48" s="251"/>
      <c r="AN48" s="251"/>
      <c r="AO48" s="251"/>
      <c r="AP48" s="251"/>
      <c r="AQ48" s="251"/>
      <c r="AR48" s="251"/>
    </row>
    <row r="49" spans="1:44" s="252" customFormat="1" ht="12" hidden="1" x14ac:dyDescent="0.3">
      <c r="A49" s="284"/>
      <c r="B49" s="285"/>
      <c r="C49" s="286"/>
      <c r="D49" s="286"/>
      <c r="E49" s="286"/>
      <c r="F49" s="271"/>
      <c r="G49" s="271"/>
      <c r="H49" s="271"/>
      <c r="I49" s="271"/>
      <c r="J49" s="271"/>
      <c r="K49" s="271"/>
      <c r="L49" s="271"/>
      <c r="M49" s="271"/>
      <c r="N49" s="271"/>
      <c r="O49" s="271"/>
      <c r="P49" s="271"/>
      <c r="Q49" s="271"/>
      <c r="R49" s="271"/>
      <c r="S49" s="262"/>
      <c r="T49" s="262"/>
      <c r="U49" s="262"/>
      <c r="V49" s="251"/>
      <c r="W49" s="251"/>
      <c r="X49" s="251"/>
      <c r="Y49" s="251"/>
      <c r="Z49" s="251"/>
      <c r="AA49" s="251"/>
      <c r="AB49" s="251"/>
      <c r="AC49" s="251"/>
      <c r="AD49" s="251"/>
      <c r="AE49" s="251"/>
      <c r="AF49" s="251"/>
      <c r="AG49" s="251"/>
      <c r="AH49" s="251"/>
      <c r="AI49" s="251"/>
      <c r="AJ49" s="251"/>
      <c r="AK49" s="251"/>
      <c r="AL49" s="251"/>
      <c r="AM49" s="251"/>
      <c r="AN49" s="251"/>
      <c r="AO49" s="251"/>
      <c r="AP49" s="251"/>
      <c r="AQ49" s="251"/>
      <c r="AR49" s="251"/>
    </row>
    <row r="50" spans="1:44" s="252" customFormat="1" ht="12" hidden="1" x14ac:dyDescent="0.3">
      <c r="A50" s="284"/>
      <c r="B50" s="285"/>
      <c r="C50" s="286"/>
      <c r="D50" s="286"/>
      <c r="E50" s="286"/>
      <c r="F50" s="271"/>
      <c r="G50" s="271"/>
      <c r="H50" s="271"/>
      <c r="I50" s="271"/>
      <c r="J50" s="271"/>
      <c r="K50" s="271"/>
      <c r="L50" s="271"/>
      <c r="M50" s="271"/>
      <c r="N50" s="271"/>
      <c r="O50" s="271"/>
      <c r="P50" s="271"/>
      <c r="Q50" s="271"/>
      <c r="R50" s="271"/>
      <c r="S50" s="262"/>
      <c r="T50" s="262"/>
      <c r="U50" s="262"/>
      <c r="V50" s="251"/>
      <c r="W50" s="251"/>
      <c r="X50" s="251"/>
      <c r="Y50" s="251"/>
      <c r="Z50" s="251"/>
      <c r="AA50" s="251"/>
      <c r="AB50" s="251"/>
      <c r="AC50" s="251"/>
      <c r="AD50" s="251"/>
      <c r="AE50" s="251"/>
      <c r="AF50" s="251"/>
      <c r="AG50" s="251"/>
      <c r="AH50" s="251"/>
      <c r="AI50" s="251"/>
      <c r="AJ50" s="251"/>
      <c r="AK50" s="251"/>
      <c r="AL50" s="251"/>
      <c r="AM50" s="251"/>
      <c r="AN50" s="251"/>
      <c r="AO50" s="251"/>
      <c r="AP50" s="251"/>
      <c r="AQ50" s="251"/>
      <c r="AR50" s="251"/>
    </row>
    <row r="51" spans="1:44" s="252" customFormat="1" ht="12" x14ac:dyDescent="0.3">
      <c r="A51" s="260" t="s">
        <v>212</v>
      </c>
      <c r="B51" s="261" t="s">
        <v>213</v>
      </c>
      <c r="C51" s="233"/>
      <c r="D51" s="233"/>
      <c r="E51" s="227"/>
      <c r="F51" s="233">
        <f>15*F45/100</f>
        <v>52971.75</v>
      </c>
      <c r="G51" s="233">
        <f>15*G45/100</f>
        <v>4263.375</v>
      </c>
      <c r="H51" s="233">
        <f>15*H45/100</f>
        <v>4263.375</v>
      </c>
      <c r="I51" s="233">
        <f>15*I45/100</f>
        <v>4263.375</v>
      </c>
      <c r="J51" s="233">
        <f>15*J45/100</f>
        <v>4263.375</v>
      </c>
      <c r="K51" s="233">
        <f t="shared" ref="K51:R51" si="8">15*K45/100</f>
        <v>4263.375</v>
      </c>
      <c r="L51" s="233">
        <f t="shared" si="8"/>
        <v>4263.375</v>
      </c>
      <c r="M51" s="233">
        <f t="shared" si="8"/>
        <v>4263.375</v>
      </c>
      <c r="N51" s="233">
        <f t="shared" si="8"/>
        <v>4625.625</v>
      </c>
      <c r="O51" s="233">
        <f t="shared" si="8"/>
        <v>4625.625</v>
      </c>
      <c r="P51" s="233">
        <f t="shared" si="8"/>
        <v>4625.625</v>
      </c>
      <c r="Q51" s="233">
        <f t="shared" si="8"/>
        <v>4625.625</v>
      </c>
      <c r="R51" s="233">
        <f t="shared" si="8"/>
        <v>4625.625</v>
      </c>
      <c r="S51" s="251"/>
      <c r="T51" s="251"/>
      <c r="U51" s="251"/>
      <c r="V51" s="251"/>
      <c r="W51" s="251"/>
      <c r="X51" s="251"/>
      <c r="Y51" s="251"/>
      <c r="Z51" s="251"/>
      <c r="AA51" s="251"/>
      <c r="AB51" s="251"/>
      <c r="AC51" s="251"/>
      <c r="AD51" s="251"/>
      <c r="AE51" s="251"/>
      <c r="AF51" s="251"/>
      <c r="AG51" s="251"/>
      <c r="AH51" s="251"/>
      <c r="AI51" s="251"/>
      <c r="AJ51" s="251"/>
      <c r="AK51" s="251"/>
      <c r="AL51" s="251"/>
      <c r="AM51" s="251"/>
      <c r="AN51" s="251"/>
      <c r="AO51" s="251"/>
      <c r="AP51" s="251"/>
      <c r="AQ51" s="251"/>
      <c r="AR51" s="251"/>
    </row>
    <row r="52" spans="1:44" s="287" customFormat="1" ht="12" x14ac:dyDescent="0.3">
      <c r="A52" s="347" t="s">
        <v>228</v>
      </c>
      <c r="B52" s="348"/>
      <c r="C52" s="259"/>
      <c r="D52" s="259"/>
      <c r="E52" s="259"/>
      <c r="F52" s="259">
        <f>SUM(G52:R52)</f>
        <v>52971.75</v>
      </c>
      <c r="G52" s="259">
        <f>G51</f>
        <v>4263.375</v>
      </c>
      <c r="H52" s="259">
        <f>H51</f>
        <v>4263.375</v>
      </c>
      <c r="I52" s="259">
        <f>I51</f>
        <v>4263.375</v>
      </c>
      <c r="J52" s="259">
        <f>J51</f>
        <v>4263.375</v>
      </c>
      <c r="K52" s="259">
        <f>K51</f>
        <v>4263.375</v>
      </c>
      <c r="L52" s="259">
        <f t="shared" ref="L52:R52" si="9">L51</f>
        <v>4263.375</v>
      </c>
      <c r="M52" s="259">
        <f t="shared" si="9"/>
        <v>4263.375</v>
      </c>
      <c r="N52" s="259">
        <f t="shared" si="9"/>
        <v>4625.625</v>
      </c>
      <c r="O52" s="259">
        <f t="shared" si="9"/>
        <v>4625.625</v>
      </c>
      <c r="P52" s="259">
        <f t="shared" si="9"/>
        <v>4625.625</v>
      </c>
      <c r="Q52" s="259">
        <f t="shared" si="9"/>
        <v>4625.625</v>
      </c>
      <c r="R52" s="259">
        <f t="shared" si="9"/>
        <v>4625.625</v>
      </c>
    </row>
    <row r="53" spans="1:44" s="287" customFormat="1" ht="12" x14ac:dyDescent="0.3">
      <c r="A53" s="249"/>
      <c r="B53" s="220" t="s">
        <v>229</v>
      </c>
      <c r="C53" s="232"/>
      <c r="D53" s="232"/>
      <c r="E53" s="232"/>
      <c r="F53" s="288">
        <f>F9+F12+F35+F51</f>
        <v>501049.25</v>
      </c>
      <c r="G53" s="288">
        <f>G9+G12+G35+G51</f>
        <v>38375.875</v>
      </c>
      <c r="H53" s="288">
        <f>H9+H12+H35+H51</f>
        <v>39125.875</v>
      </c>
      <c r="I53" s="288">
        <f>I9+I12+I35+I51</f>
        <v>37775.875</v>
      </c>
      <c r="J53" s="288">
        <f>J9+J12+J35+J51</f>
        <v>39125.875</v>
      </c>
      <c r="K53" s="288">
        <f t="shared" ref="K53:R53" si="10">K9+K12+K35+K51</f>
        <v>36275.875</v>
      </c>
      <c r="L53" s="288">
        <f t="shared" si="10"/>
        <v>48258.375</v>
      </c>
      <c r="M53" s="288">
        <f t="shared" si="10"/>
        <v>42685.875</v>
      </c>
      <c r="N53" s="288">
        <f t="shared" si="10"/>
        <v>50063.125</v>
      </c>
      <c r="O53" s="288">
        <f t="shared" si="10"/>
        <v>42223.125</v>
      </c>
      <c r="P53" s="288">
        <f t="shared" si="10"/>
        <v>45073.125</v>
      </c>
      <c r="Q53" s="288">
        <f t="shared" si="10"/>
        <v>38223.125</v>
      </c>
      <c r="R53" s="288">
        <f t="shared" si="10"/>
        <v>43843.125</v>
      </c>
    </row>
    <row r="54" spans="1:44" ht="12" x14ac:dyDescent="0.25">
      <c r="A54" s="341"/>
      <c r="B54" s="342"/>
      <c r="C54" s="289"/>
      <c r="D54" s="289"/>
      <c r="E54" s="289"/>
      <c r="F54" s="289"/>
      <c r="G54" s="289"/>
      <c r="H54" s="289"/>
      <c r="I54" s="289"/>
      <c r="J54" s="289"/>
      <c r="K54" s="289"/>
      <c r="L54" s="289"/>
      <c r="M54" s="289"/>
      <c r="N54" s="289"/>
      <c r="O54" s="289"/>
      <c r="P54" s="289"/>
      <c r="Q54" s="289"/>
      <c r="R54" s="289"/>
    </row>
    <row r="60" spans="1:44" x14ac:dyDescent="0.2">
      <c r="I60" s="290">
        <f>G53+H53+I53</f>
        <v>115277.625</v>
      </c>
      <c r="J60" s="290"/>
      <c r="K60" s="290"/>
      <c r="L60" s="290">
        <f>J53+K53+L53</f>
        <v>123660.125</v>
      </c>
      <c r="M60" s="290"/>
      <c r="N60" s="290"/>
      <c r="O60" s="290">
        <f>M53+N53+O53</f>
        <v>134972.125</v>
      </c>
      <c r="P60" s="290"/>
      <c r="Q60" s="290"/>
      <c r="R60" s="290">
        <f>P53+Q53+R53</f>
        <v>127139.375</v>
      </c>
    </row>
  </sheetData>
  <mergeCells count="6">
    <mergeCell ref="A54:B54"/>
    <mergeCell ref="B10:J10"/>
    <mergeCell ref="B13:J13"/>
    <mergeCell ref="B20:J20"/>
    <mergeCell ref="B36:J36"/>
    <mergeCell ref="A52:B5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72480-5317-45D9-8C07-617747CBC988}">
  <dimension ref="A2:W79"/>
  <sheetViews>
    <sheetView topLeftCell="A30" workbookViewId="0">
      <selection activeCell="G56" sqref="G56"/>
    </sheetView>
  </sheetViews>
  <sheetFormatPr defaultColWidth="9.109375" defaultRowHeight="11.4" x14ac:dyDescent="0.2"/>
  <cols>
    <col min="1" max="1" width="9.109375" style="215"/>
    <col min="2" max="2" width="46.44140625" style="216" customWidth="1"/>
    <col min="3" max="3" width="8.5546875" style="217" customWidth="1"/>
    <col min="4" max="4" width="14.44140625" style="217" customWidth="1"/>
    <col min="5" max="5" width="11.44140625" style="217" customWidth="1"/>
    <col min="6" max="6" width="16.88671875" style="217" customWidth="1"/>
    <col min="7" max="7" width="10.5546875" style="217" customWidth="1"/>
    <col min="8" max="8" width="11.109375" style="217" customWidth="1"/>
    <col min="9" max="9" width="10.5546875" style="217" customWidth="1"/>
    <col min="10" max="14" width="10.44140625" style="217" customWidth="1"/>
    <col min="15" max="15" width="10.88671875" style="217" customWidth="1"/>
    <col min="16" max="17" width="10.44140625" style="217" customWidth="1"/>
    <col min="18" max="18" width="10.5546875" style="217" customWidth="1"/>
    <col min="19" max="257" width="9.109375" style="218"/>
    <col min="258" max="258" width="46.44140625" style="218" customWidth="1"/>
    <col min="259" max="259" width="8.5546875" style="218" customWidth="1"/>
    <col min="260" max="260" width="14.44140625" style="218" customWidth="1"/>
    <col min="261" max="261" width="11.44140625" style="218" customWidth="1"/>
    <col min="262" max="262" width="16.88671875" style="218" customWidth="1"/>
    <col min="263" max="263" width="10.5546875" style="218" customWidth="1"/>
    <col min="264" max="264" width="11.109375" style="218" customWidth="1"/>
    <col min="265" max="265" width="10.5546875" style="218" customWidth="1"/>
    <col min="266" max="270" width="10.44140625" style="218" customWidth="1"/>
    <col min="271" max="271" width="10.88671875" style="218" customWidth="1"/>
    <col min="272" max="273" width="10.44140625" style="218" customWidth="1"/>
    <col min="274" max="274" width="10.5546875" style="218" customWidth="1"/>
    <col min="275" max="513" width="9.109375" style="218"/>
    <col min="514" max="514" width="46.44140625" style="218" customWidth="1"/>
    <col min="515" max="515" width="8.5546875" style="218" customWidth="1"/>
    <col min="516" max="516" width="14.44140625" style="218" customWidth="1"/>
    <col min="517" max="517" width="11.44140625" style="218" customWidth="1"/>
    <col min="518" max="518" width="16.88671875" style="218" customWidth="1"/>
    <col min="519" max="519" width="10.5546875" style="218" customWidth="1"/>
    <col min="520" max="520" width="11.109375" style="218" customWidth="1"/>
    <col min="521" max="521" width="10.5546875" style="218" customWidth="1"/>
    <col min="522" max="526" width="10.44140625" style="218" customWidth="1"/>
    <col min="527" max="527" width="10.88671875" style="218" customWidth="1"/>
    <col min="528" max="529" width="10.44140625" style="218" customWidth="1"/>
    <col min="530" max="530" width="10.5546875" style="218" customWidth="1"/>
    <col min="531" max="769" width="9.109375" style="218"/>
    <col min="770" max="770" width="46.44140625" style="218" customWidth="1"/>
    <col min="771" max="771" width="8.5546875" style="218" customWidth="1"/>
    <col min="772" max="772" width="14.44140625" style="218" customWidth="1"/>
    <col min="773" max="773" width="11.44140625" style="218" customWidth="1"/>
    <col min="774" max="774" width="16.88671875" style="218" customWidth="1"/>
    <col min="775" max="775" width="10.5546875" style="218" customWidth="1"/>
    <col min="776" max="776" width="11.109375" style="218" customWidth="1"/>
    <col min="777" max="777" width="10.5546875" style="218" customWidth="1"/>
    <col min="778" max="782" width="10.44140625" style="218" customWidth="1"/>
    <col min="783" max="783" width="10.88671875" style="218" customWidth="1"/>
    <col min="784" max="785" width="10.44140625" style="218" customWidth="1"/>
    <col min="786" max="786" width="10.5546875" style="218" customWidth="1"/>
    <col min="787" max="1025" width="9.109375" style="218"/>
    <col min="1026" max="1026" width="46.44140625" style="218" customWidth="1"/>
    <col min="1027" max="1027" width="8.5546875" style="218" customWidth="1"/>
    <col min="1028" max="1028" width="14.44140625" style="218" customWidth="1"/>
    <col min="1029" max="1029" width="11.44140625" style="218" customWidth="1"/>
    <col min="1030" max="1030" width="16.88671875" style="218" customWidth="1"/>
    <col min="1031" max="1031" width="10.5546875" style="218" customWidth="1"/>
    <col min="1032" max="1032" width="11.109375" style="218" customWidth="1"/>
    <col min="1033" max="1033" width="10.5546875" style="218" customWidth="1"/>
    <col min="1034" max="1038" width="10.44140625" style="218" customWidth="1"/>
    <col min="1039" max="1039" width="10.88671875" style="218" customWidth="1"/>
    <col min="1040" max="1041" width="10.44140625" style="218" customWidth="1"/>
    <col min="1042" max="1042" width="10.5546875" style="218" customWidth="1"/>
    <col min="1043" max="1281" width="9.109375" style="218"/>
    <col min="1282" max="1282" width="46.44140625" style="218" customWidth="1"/>
    <col min="1283" max="1283" width="8.5546875" style="218" customWidth="1"/>
    <col min="1284" max="1284" width="14.44140625" style="218" customWidth="1"/>
    <col min="1285" max="1285" width="11.44140625" style="218" customWidth="1"/>
    <col min="1286" max="1286" width="16.88671875" style="218" customWidth="1"/>
    <col min="1287" max="1287" width="10.5546875" style="218" customWidth="1"/>
    <col min="1288" max="1288" width="11.109375" style="218" customWidth="1"/>
    <col min="1289" max="1289" width="10.5546875" style="218" customWidth="1"/>
    <col min="1290" max="1294" width="10.44140625" style="218" customWidth="1"/>
    <col min="1295" max="1295" width="10.88671875" style="218" customWidth="1"/>
    <col min="1296" max="1297" width="10.44140625" style="218" customWidth="1"/>
    <col min="1298" max="1298" width="10.5546875" style="218" customWidth="1"/>
    <col min="1299" max="1537" width="9.109375" style="218"/>
    <col min="1538" max="1538" width="46.44140625" style="218" customWidth="1"/>
    <col min="1539" max="1539" width="8.5546875" style="218" customWidth="1"/>
    <col min="1540" max="1540" width="14.44140625" style="218" customWidth="1"/>
    <col min="1541" max="1541" width="11.44140625" style="218" customWidth="1"/>
    <col min="1542" max="1542" width="16.88671875" style="218" customWidth="1"/>
    <col min="1543" max="1543" width="10.5546875" style="218" customWidth="1"/>
    <col min="1544" max="1544" width="11.109375" style="218" customWidth="1"/>
    <col min="1545" max="1545" width="10.5546875" style="218" customWidth="1"/>
    <col min="1546" max="1550" width="10.44140625" style="218" customWidth="1"/>
    <col min="1551" max="1551" width="10.88671875" style="218" customWidth="1"/>
    <col min="1552" max="1553" width="10.44140625" style="218" customWidth="1"/>
    <col min="1554" max="1554" width="10.5546875" style="218" customWidth="1"/>
    <col min="1555" max="1793" width="9.109375" style="218"/>
    <col min="1794" max="1794" width="46.44140625" style="218" customWidth="1"/>
    <col min="1795" max="1795" width="8.5546875" style="218" customWidth="1"/>
    <col min="1796" max="1796" width="14.44140625" style="218" customWidth="1"/>
    <col min="1797" max="1797" width="11.44140625" style="218" customWidth="1"/>
    <col min="1798" max="1798" width="16.88671875" style="218" customWidth="1"/>
    <col min="1799" max="1799" width="10.5546875" style="218" customWidth="1"/>
    <col min="1800" max="1800" width="11.109375" style="218" customWidth="1"/>
    <col min="1801" max="1801" width="10.5546875" style="218" customWidth="1"/>
    <col min="1802" max="1806" width="10.44140625" style="218" customWidth="1"/>
    <col min="1807" max="1807" width="10.88671875" style="218" customWidth="1"/>
    <col min="1808" max="1809" width="10.44140625" style="218" customWidth="1"/>
    <col min="1810" max="1810" width="10.5546875" style="218" customWidth="1"/>
    <col min="1811" max="2049" width="9.109375" style="218"/>
    <col min="2050" max="2050" width="46.44140625" style="218" customWidth="1"/>
    <col min="2051" max="2051" width="8.5546875" style="218" customWidth="1"/>
    <col min="2052" max="2052" width="14.44140625" style="218" customWidth="1"/>
    <col min="2053" max="2053" width="11.44140625" style="218" customWidth="1"/>
    <col min="2054" max="2054" width="16.88671875" style="218" customWidth="1"/>
    <col min="2055" max="2055" width="10.5546875" style="218" customWidth="1"/>
    <col min="2056" max="2056" width="11.109375" style="218" customWidth="1"/>
    <col min="2057" max="2057" width="10.5546875" style="218" customWidth="1"/>
    <col min="2058" max="2062" width="10.44140625" style="218" customWidth="1"/>
    <col min="2063" max="2063" width="10.88671875" style="218" customWidth="1"/>
    <col min="2064" max="2065" width="10.44140625" style="218" customWidth="1"/>
    <col min="2066" max="2066" width="10.5546875" style="218" customWidth="1"/>
    <col min="2067" max="2305" width="9.109375" style="218"/>
    <col min="2306" max="2306" width="46.44140625" style="218" customWidth="1"/>
    <col min="2307" max="2307" width="8.5546875" style="218" customWidth="1"/>
    <col min="2308" max="2308" width="14.44140625" style="218" customWidth="1"/>
    <col min="2309" max="2309" width="11.44140625" style="218" customWidth="1"/>
    <col min="2310" max="2310" width="16.88671875" style="218" customWidth="1"/>
    <col min="2311" max="2311" width="10.5546875" style="218" customWidth="1"/>
    <col min="2312" max="2312" width="11.109375" style="218" customWidth="1"/>
    <col min="2313" max="2313" width="10.5546875" style="218" customWidth="1"/>
    <col min="2314" max="2318" width="10.44140625" style="218" customWidth="1"/>
    <col min="2319" max="2319" width="10.88671875" style="218" customWidth="1"/>
    <col min="2320" max="2321" width="10.44140625" style="218" customWidth="1"/>
    <col min="2322" max="2322" width="10.5546875" style="218" customWidth="1"/>
    <col min="2323" max="2561" width="9.109375" style="218"/>
    <col min="2562" max="2562" width="46.44140625" style="218" customWidth="1"/>
    <col min="2563" max="2563" width="8.5546875" style="218" customWidth="1"/>
    <col min="2564" max="2564" width="14.44140625" style="218" customWidth="1"/>
    <col min="2565" max="2565" width="11.44140625" style="218" customWidth="1"/>
    <col min="2566" max="2566" width="16.88671875" style="218" customWidth="1"/>
    <col min="2567" max="2567" width="10.5546875" style="218" customWidth="1"/>
    <col min="2568" max="2568" width="11.109375" style="218" customWidth="1"/>
    <col min="2569" max="2569" width="10.5546875" style="218" customWidth="1"/>
    <col min="2570" max="2574" width="10.44140625" style="218" customWidth="1"/>
    <col min="2575" max="2575" width="10.88671875" style="218" customWidth="1"/>
    <col min="2576" max="2577" width="10.44140625" style="218" customWidth="1"/>
    <col min="2578" max="2578" width="10.5546875" style="218" customWidth="1"/>
    <col min="2579" max="2817" width="9.109375" style="218"/>
    <col min="2818" max="2818" width="46.44140625" style="218" customWidth="1"/>
    <col min="2819" max="2819" width="8.5546875" style="218" customWidth="1"/>
    <col min="2820" max="2820" width="14.44140625" style="218" customWidth="1"/>
    <col min="2821" max="2821" width="11.44140625" style="218" customWidth="1"/>
    <col min="2822" max="2822" width="16.88671875" style="218" customWidth="1"/>
    <col min="2823" max="2823" width="10.5546875" style="218" customWidth="1"/>
    <col min="2824" max="2824" width="11.109375" style="218" customWidth="1"/>
    <col min="2825" max="2825" width="10.5546875" style="218" customWidth="1"/>
    <col min="2826" max="2830" width="10.44140625" style="218" customWidth="1"/>
    <col min="2831" max="2831" width="10.88671875" style="218" customWidth="1"/>
    <col min="2832" max="2833" width="10.44140625" style="218" customWidth="1"/>
    <col min="2834" max="2834" width="10.5546875" style="218" customWidth="1"/>
    <col min="2835" max="3073" width="9.109375" style="218"/>
    <col min="3074" max="3074" width="46.44140625" style="218" customWidth="1"/>
    <col min="3075" max="3075" width="8.5546875" style="218" customWidth="1"/>
    <col min="3076" max="3076" width="14.44140625" style="218" customWidth="1"/>
    <col min="3077" max="3077" width="11.44140625" style="218" customWidth="1"/>
    <col min="3078" max="3078" width="16.88671875" style="218" customWidth="1"/>
    <col min="3079" max="3079" width="10.5546875" style="218" customWidth="1"/>
    <col min="3080" max="3080" width="11.109375" style="218" customWidth="1"/>
    <col min="3081" max="3081" width="10.5546875" style="218" customWidth="1"/>
    <col min="3082" max="3086" width="10.44140625" style="218" customWidth="1"/>
    <col min="3087" max="3087" width="10.88671875" style="218" customWidth="1"/>
    <col min="3088" max="3089" width="10.44140625" style="218" customWidth="1"/>
    <col min="3090" max="3090" width="10.5546875" style="218" customWidth="1"/>
    <col min="3091" max="3329" width="9.109375" style="218"/>
    <col min="3330" max="3330" width="46.44140625" style="218" customWidth="1"/>
    <col min="3331" max="3331" width="8.5546875" style="218" customWidth="1"/>
    <col min="3332" max="3332" width="14.44140625" style="218" customWidth="1"/>
    <col min="3333" max="3333" width="11.44140625" style="218" customWidth="1"/>
    <col min="3334" max="3334" width="16.88671875" style="218" customWidth="1"/>
    <col min="3335" max="3335" width="10.5546875" style="218" customWidth="1"/>
    <col min="3336" max="3336" width="11.109375" style="218" customWidth="1"/>
    <col min="3337" max="3337" width="10.5546875" style="218" customWidth="1"/>
    <col min="3338" max="3342" width="10.44140625" style="218" customWidth="1"/>
    <col min="3343" max="3343" width="10.88671875" style="218" customWidth="1"/>
    <col min="3344" max="3345" width="10.44140625" style="218" customWidth="1"/>
    <col min="3346" max="3346" width="10.5546875" style="218" customWidth="1"/>
    <col min="3347" max="3585" width="9.109375" style="218"/>
    <col min="3586" max="3586" width="46.44140625" style="218" customWidth="1"/>
    <col min="3587" max="3587" width="8.5546875" style="218" customWidth="1"/>
    <col min="3588" max="3588" width="14.44140625" style="218" customWidth="1"/>
    <col min="3589" max="3589" width="11.44140625" style="218" customWidth="1"/>
    <col min="3590" max="3590" width="16.88671875" style="218" customWidth="1"/>
    <col min="3591" max="3591" width="10.5546875" style="218" customWidth="1"/>
    <col min="3592" max="3592" width="11.109375" style="218" customWidth="1"/>
    <col min="3593" max="3593" width="10.5546875" style="218" customWidth="1"/>
    <col min="3594" max="3598" width="10.44140625" style="218" customWidth="1"/>
    <col min="3599" max="3599" width="10.88671875" style="218" customWidth="1"/>
    <col min="3600" max="3601" width="10.44140625" style="218" customWidth="1"/>
    <col min="3602" max="3602" width="10.5546875" style="218" customWidth="1"/>
    <col min="3603" max="3841" width="9.109375" style="218"/>
    <col min="3842" max="3842" width="46.44140625" style="218" customWidth="1"/>
    <col min="3843" max="3843" width="8.5546875" style="218" customWidth="1"/>
    <col min="3844" max="3844" width="14.44140625" style="218" customWidth="1"/>
    <col min="3845" max="3845" width="11.44140625" style="218" customWidth="1"/>
    <col min="3846" max="3846" width="16.88671875" style="218" customWidth="1"/>
    <col min="3847" max="3847" width="10.5546875" style="218" customWidth="1"/>
    <col min="3848" max="3848" width="11.109375" style="218" customWidth="1"/>
    <col min="3849" max="3849" width="10.5546875" style="218" customWidth="1"/>
    <col min="3850" max="3854" width="10.44140625" style="218" customWidth="1"/>
    <col min="3855" max="3855" width="10.88671875" style="218" customWidth="1"/>
    <col min="3856" max="3857" width="10.44140625" style="218" customWidth="1"/>
    <col min="3858" max="3858" width="10.5546875" style="218" customWidth="1"/>
    <col min="3859" max="4097" width="9.109375" style="218"/>
    <col min="4098" max="4098" width="46.44140625" style="218" customWidth="1"/>
    <col min="4099" max="4099" width="8.5546875" style="218" customWidth="1"/>
    <col min="4100" max="4100" width="14.44140625" style="218" customWidth="1"/>
    <col min="4101" max="4101" width="11.44140625" style="218" customWidth="1"/>
    <col min="4102" max="4102" width="16.88671875" style="218" customWidth="1"/>
    <col min="4103" max="4103" width="10.5546875" style="218" customWidth="1"/>
    <col min="4104" max="4104" width="11.109375" style="218" customWidth="1"/>
    <col min="4105" max="4105" width="10.5546875" style="218" customWidth="1"/>
    <col min="4106" max="4110" width="10.44140625" style="218" customWidth="1"/>
    <col min="4111" max="4111" width="10.88671875" style="218" customWidth="1"/>
    <col min="4112" max="4113" width="10.44140625" style="218" customWidth="1"/>
    <col min="4114" max="4114" width="10.5546875" style="218" customWidth="1"/>
    <col min="4115" max="4353" width="9.109375" style="218"/>
    <col min="4354" max="4354" width="46.44140625" style="218" customWidth="1"/>
    <col min="4355" max="4355" width="8.5546875" style="218" customWidth="1"/>
    <col min="4356" max="4356" width="14.44140625" style="218" customWidth="1"/>
    <col min="4357" max="4357" width="11.44140625" style="218" customWidth="1"/>
    <col min="4358" max="4358" width="16.88671875" style="218" customWidth="1"/>
    <col min="4359" max="4359" width="10.5546875" style="218" customWidth="1"/>
    <col min="4360" max="4360" width="11.109375" style="218" customWidth="1"/>
    <col min="4361" max="4361" width="10.5546875" style="218" customWidth="1"/>
    <col min="4362" max="4366" width="10.44140625" style="218" customWidth="1"/>
    <col min="4367" max="4367" width="10.88671875" style="218" customWidth="1"/>
    <col min="4368" max="4369" width="10.44140625" style="218" customWidth="1"/>
    <col min="4370" max="4370" width="10.5546875" style="218" customWidth="1"/>
    <col min="4371" max="4609" width="9.109375" style="218"/>
    <col min="4610" max="4610" width="46.44140625" style="218" customWidth="1"/>
    <col min="4611" max="4611" width="8.5546875" style="218" customWidth="1"/>
    <col min="4612" max="4612" width="14.44140625" style="218" customWidth="1"/>
    <col min="4613" max="4613" width="11.44140625" style="218" customWidth="1"/>
    <col min="4614" max="4614" width="16.88671875" style="218" customWidth="1"/>
    <col min="4615" max="4615" width="10.5546875" style="218" customWidth="1"/>
    <col min="4616" max="4616" width="11.109375" style="218" customWidth="1"/>
    <col min="4617" max="4617" width="10.5546875" style="218" customWidth="1"/>
    <col min="4618" max="4622" width="10.44140625" style="218" customWidth="1"/>
    <col min="4623" max="4623" width="10.88671875" style="218" customWidth="1"/>
    <col min="4624" max="4625" width="10.44140625" style="218" customWidth="1"/>
    <col min="4626" max="4626" width="10.5546875" style="218" customWidth="1"/>
    <col min="4627" max="4865" width="9.109375" style="218"/>
    <col min="4866" max="4866" width="46.44140625" style="218" customWidth="1"/>
    <col min="4867" max="4867" width="8.5546875" style="218" customWidth="1"/>
    <col min="4868" max="4868" width="14.44140625" style="218" customWidth="1"/>
    <col min="4869" max="4869" width="11.44140625" style="218" customWidth="1"/>
    <col min="4870" max="4870" width="16.88671875" style="218" customWidth="1"/>
    <col min="4871" max="4871" width="10.5546875" style="218" customWidth="1"/>
    <col min="4872" max="4872" width="11.109375" style="218" customWidth="1"/>
    <col min="4873" max="4873" width="10.5546875" style="218" customWidth="1"/>
    <col min="4874" max="4878" width="10.44140625" style="218" customWidth="1"/>
    <col min="4879" max="4879" width="10.88671875" style="218" customWidth="1"/>
    <col min="4880" max="4881" width="10.44140625" style="218" customWidth="1"/>
    <col min="4882" max="4882" width="10.5546875" style="218" customWidth="1"/>
    <col min="4883" max="5121" width="9.109375" style="218"/>
    <col min="5122" max="5122" width="46.44140625" style="218" customWidth="1"/>
    <col min="5123" max="5123" width="8.5546875" style="218" customWidth="1"/>
    <col min="5124" max="5124" width="14.44140625" style="218" customWidth="1"/>
    <col min="5125" max="5125" width="11.44140625" style="218" customWidth="1"/>
    <col min="5126" max="5126" width="16.88671875" style="218" customWidth="1"/>
    <col min="5127" max="5127" width="10.5546875" style="218" customWidth="1"/>
    <col min="5128" max="5128" width="11.109375" style="218" customWidth="1"/>
    <col min="5129" max="5129" width="10.5546875" style="218" customWidth="1"/>
    <col min="5130" max="5134" width="10.44140625" style="218" customWidth="1"/>
    <col min="5135" max="5135" width="10.88671875" style="218" customWidth="1"/>
    <col min="5136" max="5137" width="10.44140625" style="218" customWidth="1"/>
    <col min="5138" max="5138" width="10.5546875" style="218" customWidth="1"/>
    <col min="5139" max="5377" width="9.109375" style="218"/>
    <col min="5378" max="5378" width="46.44140625" style="218" customWidth="1"/>
    <col min="5379" max="5379" width="8.5546875" style="218" customWidth="1"/>
    <col min="5380" max="5380" width="14.44140625" style="218" customWidth="1"/>
    <col min="5381" max="5381" width="11.44140625" style="218" customWidth="1"/>
    <col min="5382" max="5382" width="16.88671875" style="218" customWidth="1"/>
    <col min="5383" max="5383" width="10.5546875" style="218" customWidth="1"/>
    <col min="5384" max="5384" width="11.109375" style="218" customWidth="1"/>
    <col min="5385" max="5385" width="10.5546875" style="218" customWidth="1"/>
    <col min="5386" max="5390" width="10.44140625" style="218" customWidth="1"/>
    <col min="5391" max="5391" width="10.88671875" style="218" customWidth="1"/>
    <col min="5392" max="5393" width="10.44140625" style="218" customWidth="1"/>
    <col min="5394" max="5394" width="10.5546875" style="218" customWidth="1"/>
    <col min="5395" max="5633" width="9.109375" style="218"/>
    <col min="5634" max="5634" width="46.44140625" style="218" customWidth="1"/>
    <col min="5635" max="5635" width="8.5546875" style="218" customWidth="1"/>
    <col min="5636" max="5636" width="14.44140625" style="218" customWidth="1"/>
    <col min="5637" max="5637" width="11.44140625" style="218" customWidth="1"/>
    <col min="5638" max="5638" width="16.88671875" style="218" customWidth="1"/>
    <col min="5639" max="5639" width="10.5546875" style="218" customWidth="1"/>
    <col min="5640" max="5640" width="11.109375" style="218" customWidth="1"/>
    <col min="5641" max="5641" width="10.5546875" style="218" customWidth="1"/>
    <col min="5642" max="5646" width="10.44140625" style="218" customWidth="1"/>
    <col min="5647" max="5647" width="10.88671875" style="218" customWidth="1"/>
    <col min="5648" max="5649" width="10.44140625" style="218" customWidth="1"/>
    <col min="5650" max="5650" width="10.5546875" style="218" customWidth="1"/>
    <col min="5651" max="5889" width="9.109375" style="218"/>
    <col min="5890" max="5890" width="46.44140625" style="218" customWidth="1"/>
    <col min="5891" max="5891" width="8.5546875" style="218" customWidth="1"/>
    <col min="5892" max="5892" width="14.44140625" style="218" customWidth="1"/>
    <col min="5893" max="5893" width="11.44140625" style="218" customWidth="1"/>
    <col min="5894" max="5894" width="16.88671875" style="218" customWidth="1"/>
    <col min="5895" max="5895" width="10.5546875" style="218" customWidth="1"/>
    <col min="5896" max="5896" width="11.109375" style="218" customWidth="1"/>
    <col min="5897" max="5897" width="10.5546875" style="218" customWidth="1"/>
    <col min="5898" max="5902" width="10.44140625" style="218" customWidth="1"/>
    <col min="5903" max="5903" width="10.88671875" style="218" customWidth="1"/>
    <col min="5904" max="5905" width="10.44140625" style="218" customWidth="1"/>
    <col min="5906" max="5906" width="10.5546875" style="218" customWidth="1"/>
    <col min="5907" max="6145" width="9.109375" style="218"/>
    <col min="6146" max="6146" width="46.44140625" style="218" customWidth="1"/>
    <col min="6147" max="6147" width="8.5546875" style="218" customWidth="1"/>
    <col min="6148" max="6148" width="14.44140625" style="218" customWidth="1"/>
    <col min="6149" max="6149" width="11.44140625" style="218" customWidth="1"/>
    <col min="6150" max="6150" width="16.88671875" style="218" customWidth="1"/>
    <col min="6151" max="6151" width="10.5546875" style="218" customWidth="1"/>
    <col min="6152" max="6152" width="11.109375" style="218" customWidth="1"/>
    <col min="6153" max="6153" width="10.5546875" style="218" customWidth="1"/>
    <col min="6154" max="6158" width="10.44140625" style="218" customWidth="1"/>
    <col min="6159" max="6159" width="10.88671875" style="218" customWidth="1"/>
    <col min="6160" max="6161" width="10.44140625" style="218" customWidth="1"/>
    <col min="6162" max="6162" width="10.5546875" style="218" customWidth="1"/>
    <col min="6163" max="6401" width="9.109375" style="218"/>
    <col min="6402" max="6402" width="46.44140625" style="218" customWidth="1"/>
    <col min="6403" max="6403" width="8.5546875" style="218" customWidth="1"/>
    <col min="6404" max="6404" width="14.44140625" style="218" customWidth="1"/>
    <col min="6405" max="6405" width="11.44140625" style="218" customWidth="1"/>
    <col min="6406" max="6406" width="16.88671875" style="218" customWidth="1"/>
    <col min="6407" max="6407" width="10.5546875" style="218" customWidth="1"/>
    <col min="6408" max="6408" width="11.109375" style="218" customWidth="1"/>
    <col min="6409" max="6409" width="10.5546875" style="218" customWidth="1"/>
    <col min="6410" max="6414" width="10.44140625" style="218" customWidth="1"/>
    <col min="6415" max="6415" width="10.88671875" style="218" customWidth="1"/>
    <col min="6416" max="6417" width="10.44140625" style="218" customWidth="1"/>
    <col min="6418" max="6418" width="10.5546875" style="218" customWidth="1"/>
    <col min="6419" max="6657" width="9.109375" style="218"/>
    <col min="6658" max="6658" width="46.44140625" style="218" customWidth="1"/>
    <col min="6659" max="6659" width="8.5546875" style="218" customWidth="1"/>
    <col min="6660" max="6660" width="14.44140625" style="218" customWidth="1"/>
    <col min="6661" max="6661" width="11.44140625" style="218" customWidth="1"/>
    <col min="6662" max="6662" width="16.88671875" style="218" customWidth="1"/>
    <col min="6663" max="6663" width="10.5546875" style="218" customWidth="1"/>
    <col min="6664" max="6664" width="11.109375" style="218" customWidth="1"/>
    <col min="6665" max="6665" width="10.5546875" style="218" customWidth="1"/>
    <col min="6666" max="6670" width="10.44140625" style="218" customWidth="1"/>
    <col min="6671" max="6671" width="10.88671875" style="218" customWidth="1"/>
    <col min="6672" max="6673" width="10.44140625" style="218" customWidth="1"/>
    <col min="6674" max="6674" width="10.5546875" style="218" customWidth="1"/>
    <col min="6675" max="6913" width="9.109375" style="218"/>
    <col min="6914" max="6914" width="46.44140625" style="218" customWidth="1"/>
    <col min="6915" max="6915" width="8.5546875" style="218" customWidth="1"/>
    <col min="6916" max="6916" width="14.44140625" style="218" customWidth="1"/>
    <col min="6917" max="6917" width="11.44140625" style="218" customWidth="1"/>
    <col min="6918" max="6918" width="16.88671875" style="218" customWidth="1"/>
    <col min="6919" max="6919" width="10.5546875" style="218" customWidth="1"/>
    <col min="6920" max="6920" width="11.109375" style="218" customWidth="1"/>
    <col min="6921" max="6921" width="10.5546875" style="218" customWidth="1"/>
    <col min="6922" max="6926" width="10.44140625" style="218" customWidth="1"/>
    <col min="6927" max="6927" width="10.88671875" style="218" customWidth="1"/>
    <col min="6928" max="6929" width="10.44140625" style="218" customWidth="1"/>
    <col min="6930" max="6930" width="10.5546875" style="218" customWidth="1"/>
    <col min="6931" max="7169" width="9.109375" style="218"/>
    <col min="7170" max="7170" width="46.44140625" style="218" customWidth="1"/>
    <col min="7171" max="7171" width="8.5546875" style="218" customWidth="1"/>
    <col min="7172" max="7172" width="14.44140625" style="218" customWidth="1"/>
    <col min="7173" max="7173" width="11.44140625" style="218" customWidth="1"/>
    <col min="7174" max="7174" width="16.88671875" style="218" customWidth="1"/>
    <col min="7175" max="7175" width="10.5546875" style="218" customWidth="1"/>
    <col min="7176" max="7176" width="11.109375" style="218" customWidth="1"/>
    <col min="7177" max="7177" width="10.5546875" style="218" customWidth="1"/>
    <col min="7178" max="7182" width="10.44140625" style="218" customWidth="1"/>
    <col min="7183" max="7183" width="10.88671875" style="218" customWidth="1"/>
    <col min="7184" max="7185" width="10.44140625" style="218" customWidth="1"/>
    <col min="7186" max="7186" width="10.5546875" style="218" customWidth="1"/>
    <col min="7187" max="7425" width="9.109375" style="218"/>
    <col min="7426" max="7426" width="46.44140625" style="218" customWidth="1"/>
    <col min="7427" max="7427" width="8.5546875" style="218" customWidth="1"/>
    <col min="7428" max="7428" width="14.44140625" style="218" customWidth="1"/>
    <col min="7429" max="7429" width="11.44140625" style="218" customWidth="1"/>
    <col min="7430" max="7430" width="16.88671875" style="218" customWidth="1"/>
    <col min="7431" max="7431" width="10.5546875" style="218" customWidth="1"/>
    <col min="7432" max="7432" width="11.109375" style="218" customWidth="1"/>
    <col min="7433" max="7433" width="10.5546875" style="218" customWidth="1"/>
    <col min="7434" max="7438" width="10.44140625" style="218" customWidth="1"/>
    <col min="7439" max="7439" width="10.88671875" style="218" customWidth="1"/>
    <col min="7440" max="7441" width="10.44140625" style="218" customWidth="1"/>
    <col min="7442" max="7442" width="10.5546875" style="218" customWidth="1"/>
    <col min="7443" max="7681" width="9.109375" style="218"/>
    <col min="7682" max="7682" width="46.44140625" style="218" customWidth="1"/>
    <col min="7683" max="7683" width="8.5546875" style="218" customWidth="1"/>
    <col min="7684" max="7684" width="14.44140625" style="218" customWidth="1"/>
    <col min="7685" max="7685" width="11.44140625" style="218" customWidth="1"/>
    <col min="7686" max="7686" width="16.88671875" style="218" customWidth="1"/>
    <col min="7687" max="7687" width="10.5546875" style="218" customWidth="1"/>
    <col min="7688" max="7688" width="11.109375" style="218" customWidth="1"/>
    <col min="7689" max="7689" width="10.5546875" style="218" customWidth="1"/>
    <col min="7690" max="7694" width="10.44140625" style="218" customWidth="1"/>
    <col min="7695" max="7695" width="10.88671875" style="218" customWidth="1"/>
    <col min="7696" max="7697" width="10.44140625" style="218" customWidth="1"/>
    <col min="7698" max="7698" width="10.5546875" style="218" customWidth="1"/>
    <col min="7699" max="7937" width="9.109375" style="218"/>
    <col min="7938" max="7938" width="46.44140625" style="218" customWidth="1"/>
    <col min="7939" max="7939" width="8.5546875" style="218" customWidth="1"/>
    <col min="7940" max="7940" width="14.44140625" style="218" customWidth="1"/>
    <col min="7941" max="7941" width="11.44140625" style="218" customWidth="1"/>
    <col min="7942" max="7942" width="16.88671875" style="218" customWidth="1"/>
    <col min="7943" max="7943" width="10.5546875" style="218" customWidth="1"/>
    <col min="7944" max="7944" width="11.109375" style="218" customWidth="1"/>
    <col min="7945" max="7945" width="10.5546875" style="218" customWidth="1"/>
    <col min="7946" max="7950" width="10.44140625" style="218" customWidth="1"/>
    <col min="7951" max="7951" width="10.88671875" style="218" customWidth="1"/>
    <col min="7952" max="7953" width="10.44140625" style="218" customWidth="1"/>
    <col min="7954" max="7954" width="10.5546875" style="218" customWidth="1"/>
    <col min="7955" max="8193" width="9.109375" style="218"/>
    <col min="8194" max="8194" width="46.44140625" style="218" customWidth="1"/>
    <col min="8195" max="8195" width="8.5546875" style="218" customWidth="1"/>
    <col min="8196" max="8196" width="14.44140625" style="218" customWidth="1"/>
    <col min="8197" max="8197" width="11.44140625" style="218" customWidth="1"/>
    <col min="8198" max="8198" width="16.88671875" style="218" customWidth="1"/>
    <col min="8199" max="8199" width="10.5546875" style="218" customWidth="1"/>
    <col min="8200" max="8200" width="11.109375" style="218" customWidth="1"/>
    <col min="8201" max="8201" width="10.5546875" style="218" customWidth="1"/>
    <col min="8202" max="8206" width="10.44140625" style="218" customWidth="1"/>
    <col min="8207" max="8207" width="10.88671875" style="218" customWidth="1"/>
    <col min="8208" max="8209" width="10.44140625" style="218" customWidth="1"/>
    <col min="8210" max="8210" width="10.5546875" style="218" customWidth="1"/>
    <col min="8211" max="8449" width="9.109375" style="218"/>
    <col min="8450" max="8450" width="46.44140625" style="218" customWidth="1"/>
    <col min="8451" max="8451" width="8.5546875" style="218" customWidth="1"/>
    <col min="8452" max="8452" width="14.44140625" style="218" customWidth="1"/>
    <col min="8453" max="8453" width="11.44140625" style="218" customWidth="1"/>
    <col min="8454" max="8454" width="16.88671875" style="218" customWidth="1"/>
    <col min="8455" max="8455" width="10.5546875" style="218" customWidth="1"/>
    <col min="8456" max="8456" width="11.109375" style="218" customWidth="1"/>
    <col min="8457" max="8457" width="10.5546875" style="218" customWidth="1"/>
    <col min="8458" max="8462" width="10.44140625" style="218" customWidth="1"/>
    <col min="8463" max="8463" width="10.88671875" style="218" customWidth="1"/>
    <col min="8464" max="8465" width="10.44140625" style="218" customWidth="1"/>
    <col min="8466" max="8466" width="10.5546875" style="218" customWidth="1"/>
    <col min="8467" max="8705" width="9.109375" style="218"/>
    <col min="8706" max="8706" width="46.44140625" style="218" customWidth="1"/>
    <col min="8707" max="8707" width="8.5546875" style="218" customWidth="1"/>
    <col min="8708" max="8708" width="14.44140625" style="218" customWidth="1"/>
    <col min="8709" max="8709" width="11.44140625" style="218" customWidth="1"/>
    <col min="8710" max="8710" width="16.88671875" style="218" customWidth="1"/>
    <col min="8711" max="8711" width="10.5546875" style="218" customWidth="1"/>
    <col min="8712" max="8712" width="11.109375" style="218" customWidth="1"/>
    <col min="8713" max="8713" width="10.5546875" style="218" customWidth="1"/>
    <col min="8714" max="8718" width="10.44140625" style="218" customWidth="1"/>
    <col min="8719" max="8719" width="10.88671875" style="218" customWidth="1"/>
    <col min="8720" max="8721" width="10.44140625" style="218" customWidth="1"/>
    <col min="8722" max="8722" width="10.5546875" style="218" customWidth="1"/>
    <col min="8723" max="8961" width="9.109375" style="218"/>
    <col min="8962" max="8962" width="46.44140625" style="218" customWidth="1"/>
    <col min="8963" max="8963" width="8.5546875" style="218" customWidth="1"/>
    <col min="8964" max="8964" width="14.44140625" style="218" customWidth="1"/>
    <col min="8965" max="8965" width="11.44140625" style="218" customWidth="1"/>
    <col min="8966" max="8966" width="16.88671875" style="218" customWidth="1"/>
    <col min="8967" max="8967" width="10.5546875" style="218" customWidth="1"/>
    <col min="8968" max="8968" width="11.109375" style="218" customWidth="1"/>
    <col min="8969" max="8969" width="10.5546875" style="218" customWidth="1"/>
    <col min="8970" max="8974" width="10.44140625" style="218" customWidth="1"/>
    <col min="8975" max="8975" width="10.88671875" style="218" customWidth="1"/>
    <col min="8976" max="8977" width="10.44140625" style="218" customWidth="1"/>
    <col min="8978" max="8978" width="10.5546875" style="218" customWidth="1"/>
    <col min="8979" max="9217" width="9.109375" style="218"/>
    <col min="9218" max="9218" width="46.44140625" style="218" customWidth="1"/>
    <col min="9219" max="9219" width="8.5546875" style="218" customWidth="1"/>
    <col min="9220" max="9220" width="14.44140625" style="218" customWidth="1"/>
    <col min="9221" max="9221" width="11.44140625" style="218" customWidth="1"/>
    <col min="9222" max="9222" width="16.88671875" style="218" customWidth="1"/>
    <col min="9223" max="9223" width="10.5546875" style="218" customWidth="1"/>
    <col min="9224" max="9224" width="11.109375" style="218" customWidth="1"/>
    <col min="9225" max="9225" width="10.5546875" style="218" customWidth="1"/>
    <col min="9226" max="9230" width="10.44140625" style="218" customWidth="1"/>
    <col min="9231" max="9231" width="10.88671875" style="218" customWidth="1"/>
    <col min="9232" max="9233" width="10.44140625" style="218" customWidth="1"/>
    <col min="9234" max="9234" width="10.5546875" style="218" customWidth="1"/>
    <col min="9235" max="9473" width="9.109375" style="218"/>
    <col min="9474" max="9474" width="46.44140625" style="218" customWidth="1"/>
    <col min="9475" max="9475" width="8.5546875" style="218" customWidth="1"/>
    <col min="9476" max="9476" width="14.44140625" style="218" customWidth="1"/>
    <col min="9477" max="9477" width="11.44140625" style="218" customWidth="1"/>
    <col min="9478" max="9478" width="16.88671875" style="218" customWidth="1"/>
    <col min="9479" max="9479" width="10.5546875" style="218" customWidth="1"/>
    <col min="9480" max="9480" width="11.109375" style="218" customWidth="1"/>
    <col min="9481" max="9481" width="10.5546875" style="218" customWidth="1"/>
    <col min="9482" max="9486" width="10.44140625" style="218" customWidth="1"/>
    <col min="9487" max="9487" width="10.88671875" style="218" customWidth="1"/>
    <col min="9488" max="9489" width="10.44140625" style="218" customWidth="1"/>
    <col min="9490" max="9490" width="10.5546875" style="218" customWidth="1"/>
    <col min="9491" max="9729" width="9.109375" style="218"/>
    <col min="9730" max="9730" width="46.44140625" style="218" customWidth="1"/>
    <col min="9731" max="9731" width="8.5546875" style="218" customWidth="1"/>
    <col min="9732" max="9732" width="14.44140625" style="218" customWidth="1"/>
    <col min="9733" max="9733" width="11.44140625" style="218" customWidth="1"/>
    <col min="9734" max="9734" width="16.88671875" style="218" customWidth="1"/>
    <col min="9735" max="9735" width="10.5546875" style="218" customWidth="1"/>
    <col min="9736" max="9736" width="11.109375" style="218" customWidth="1"/>
    <col min="9737" max="9737" width="10.5546875" style="218" customWidth="1"/>
    <col min="9738" max="9742" width="10.44140625" style="218" customWidth="1"/>
    <col min="9743" max="9743" width="10.88671875" style="218" customWidth="1"/>
    <col min="9744" max="9745" width="10.44140625" style="218" customWidth="1"/>
    <col min="9746" max="9746" width="10.5546875" style="218" customWidth="1"/>
    <col min="9747" max="9985" width="9.109375" style="218"/>
    <col min="9986" max="9986" width="46.44140625" style="218" customWidth="1"/>
    <col min="9987" max="9987" width="8.5546875" style="218" customWidth="1"/>
    <col min="9988" max="9988" width="14.44140625" style="218" customWidth="1"/>
    <col min="9989" max="9989" width="11.44140625" style="218" customWidth="1"/>
    <col min="9990" max="9990" width="16.88671875" style="218" customWidth="1"/>
    <col min="9991" max="9991" width="10.5546875" style="218" customWidth="1"/>
    <col min="9992" max="9992" width="11.109375" style="218" customWidth="1"/>
    <col min="9993" max="9993" width="10.5546875" style="218" customWidth="1"/>
    <col min="9994" max="9998" width="10.44140625" style="218" customWidth="1"/>
    <col min="9999" max="9999" width="10.88671875" style="218" customWidth="1"/>
    <col min="10000" max="10001" width="10.44140625" style="218" customWidth="1"/>
    <col min="10002" max="10002" width="10.5546875" style="218" customWidth="1"/>
    <col min="10003" max="10241" width="9.109375" style="218"/>
    <col min="10242" max="10242" width="46.44140625" style="218" customWidth="1"/>
    <col min="10243" max="10243" width="8.5546875" style="218" customWidth="1"/>
    <col min="10244" max="10244" width="14.44140625" style="218" customWidth="1"/>
    <col min="10245" max="10245" width="11.44140625" style="218" customWidth="1"/>
    <col min="10246" max="10246" width="16.88671875" style="218" customWidth="1"/>
    <col min="10247" max="10247" width="10.5546875" style="218" customWidth="1"/>
    <col min="10248" max="10248" width="11.109375" style="218" customWidth="1"/>
    <col min="10249" max="10249" width="10.5546875" style="218" customWidth="1"/>
    <col min="10250" max="10254" width="10.44140625" style="218" customWidth="1"/>
    <col min="10255" max="10255" width="10.88671875" style="218" customWidth="1"/>
    <col min="10256" max="10257" width="10.44140625" style="218" customWidth="1"/>
    <col min="10258" max="10258" width="10.5546875" style="218" customWidth="1"/>
    <col min="10259" max="10497" width="9.109375" style="218"/>
    <col min="10498" max="10498" width="46.44140625" style="218" customWidth="1"/>
    <col min="10499" max="10499" width="8.5546875" style="218" customWidth="1"/>
    <col min="10500" max="10500" width="14.44140625" style="218" customWidth="1"/>
    <col min="10501" max="10501" width="11.44140625" style="218" customWidth="1"/>
    <col min="10502" max="10502" width="16.88671875" style="218" customWidth="1"/>
    <col min="10503" max="10503" width="10.5546875" style="218" customWidth="1"/>
    <col min="10504" max="10504" width="11.109375" style="218" customWidth="1"/>
    <col min="10505" max="10505" width="10.5546875" style="218" customWidth="1"/>
    <col min="10506" max="10510" width="10.44140625" style="218" customWidth="1"/>
    <col min="10511" max="10511" width="10.88671875" style="218" customWidth="1"/>
    <col min="10512" max="10513" width="10.44140625" style="218" customWidth="1"/>
    <col min="10514" max="10514" width="10.5546875" style="218" customWidth="1"/>
    <col min="10515" max="10753" width="9.109375" style="218"/>
    <col min="10754" max="10754" width="46.44140625" style="218" customWidth="1"/>
    <col min="10755" max="10755" width="8.5546875" style="218" customWidth="1"/>
    <col min="10756" max="10756" width="14.44140625" style="218" customWidth="1"/>
    <col min="10757" max="10757" width="11.44140625" style="218" customWidth="1"/>
    <col min="10758" max="10758" width="16.88671875" style="218" customWidth="1"/>
    <col min="10759" max="10759" width="10.5546875" style="218" customWidth="1"/>
    <col min="10760" max="10760" width="11.109375" style="218" customWidth="1"/>
    <col min="10761" max="10761" width="10.5546875" style="218" customWidth="1"/>
    <col min="10762" max="10766" width="10.44140625" style="218" customWidth="1"/>
    <col min="10767" max="10767" width="10.88671875" style="218" customWidth="1"/>
    <col min="10768" max="10769" width="10.44140625" style="218" customWidth="1"/>
    <col min="10770" max="10770" width="10.5546875" style="218" customWidth="1"/>
    <col min="10771" max="11009" width="9.109375" style="218"/>
    <col min="11010" max="11010" width="46.44140625" style="218" customWidth="1"/>
    <col min="11011" max="11011" width="8.5546875" style="218" customWidth="1"/>
    <col min="11012" max="11012" width="14.44140625" style="218" customWidth="1"/>
    <col min="11013" max="11013" width="11.44140625" style="218" customWidth="1"/>
    <col min="11014" max="11014" width="16.88671875" style="218" customWidth="1"/>
    <col min="11015" max="11015" width="10.5546875" style="218" customWidth="1"/>
    <col min="11016" max="11016" width="11.109375" style="218" customWidth="1"/>
    <col min="11017" max="11017" width="10.5546875" style="218" customWidth="1"/>
    <col min="11018" max="11022" width="10.44140625" style="218" customWidth="1"/>
    <col min="11023" max="11023" width="10.88671875" style="218" customWidth="1"/>
    <col min="11024" max="11025" width="10.44140625" style="218" customWidth="1"/>
    <col min="11026" max="11026" width="10.5546875" style="218" customWidth="1"/>
    <col min="11027" max="11265" width="9.109375" style="218"/>
    <col min="11266" max="11266" width="46.44140625" style="218" customWidth="1"/>
    <col min="11267" max="11267" width="8.5546875" style="218" customWidth="1"/>
    <col min="11268" max="11268" width="14.44140625" style="218" customWidth="1"/>
    <col min="11269" max="11269" width="11.44140625" style="218" customWidth="1"/>
    <col min="11270" max="11270" width="16.88671875" style="218" customWidth="1"/>
    <col min="11271" max="11271" width="10.5546875" style="218" customWidth="1"/>
    <col min="11272" max="11272" width="11.109375" style="218" customWidth="1"/>
    <col min="11273" max="11273" width="10.5546875" style="218" customWidth="1"/>
    <col min="11274" max="11278" width="10.44140625" style="218" customWidth="1"/>
    <col min="11279" max="11279" width="10.88671875" style="218" customWidth="1"/>
    <col min="11280" max="11281" width="10.44140625" style="218" customWidth="1"/>
    <col min="11282" max="11282" width="10.5546875" style="218" customWidth="1"/>
    <col min="11283" max="11521" width="9.109375" style="218"/>
    <col min="11522" max="11522" width="46.44140625" style="218" customWidth="1"/>
    <col min="11523" max="11523" width="8.5546875" style="218" customWidth="1"/>
    <col min="11524" max="11524" width="14.44140625" style="218" customWidth="1"/>
    <col min="11525" max="11525" width="11.44140625" style="218" customWidth="1"/>
    <col min="11526" max="11526" width="16.88671875" style="218" customWidth="1"/>
    <col min="11527" max="11527" width="10.5546875" style="218" customWidth="1"/>
    <col min="11528" max="11528" width="11.109375" style="218" customWidth="1"/>
    <col min="11529" max="11529" width="10.5546875" style="218" customWidth="1"/>
    <col min="11530" max="11534" width="10.44140625" style="218" customWidth="1"/>
    <col min="11535" max="11535" width="10.88671875" style="218" customWidth="1"/>
    <col min="11536" max="11537" width="10.44140625" style="218" customWidth="1"/>
    <col min="11538" max="11538" width="10.5546875" style="218" customWidth="1"/>
    <col min="11539" max="11777" width="9.109375" style="218"/>
    <col min="11778" max="11778" width="46.44140625" style="218" customWidth="1"/>
    <col min="11779" max="11779" width="8.5546875" style="218" customWidth="1"/>
    <col min="11780" max="11780" width="14.44140625" style="218" customWidth="1"/>
    <col min="11781" max="11781" width="11.44140625" style="218" customWidth="1"/>
    <col min="11782" max="11782" width="16.88671875" style="218" customWidth="1"/>
    <col min="11783" max="11783" width="10.5546875" style="218" customWidth="1"/>
    <col min="11784" max="11784" width="11.109375" style="218" customWidth="1"/>
    <col min="11785" max="11785" width="10.5546875" style="218" customWidth="1"/>
    <col min="11786" max="11790" width="10.44140625" style="218" customWidth="1"/>
    <col min="11791" max="11791" width="10.88671875" style="218" customWidth="1"/>
    <col min="11792" max="11793" width="10.44140625" style="218" customWidth="1"/>
    <col min="11794" max="11794" width="10.5546875" style="218" customWidth="1"/>
    <col min="11795" max="12033" width="9.109375" style="218"/>
    <col min="12034" max="12034" width="46.44140625" style="218" customWidth="1"/>
    <col min="12035" max="12035" width="8.5546875" style="218" customWidth="1"/>
    <col min="12036" max="12036" width="14.44140625" style="218" customWidth="1"/>
    <col min="12037" max="12037" width="11.44140625" style="218" customWidth="1"/>
    <col min="12038" max="12038" width="16.88671875" style="218" customWidth="1"/>
    <col min="12039" max="12039" width="10.5546875" style="218" customWidth="1"/>
    <col min="12040" max="12040" width="11.109375" style="218" customWidth="1"/>
    <col min="12041" max="12041" width="10.5546875" style="218" customWidth="1"/>
    <col min="12042" max="12046" width="10.44140625" style="218" customWidth="1"/>
    <col min="12047" max="12047" width="10.88671875" style="218" customWidth="1"/>
    <col min="12048" max="12049" width="10.44140625" style="218" customWidth="1"/>
    <col min="12050" max="12050" width="10.5546875" style="218" customWidth="1"/>
    <col min="12051" max="12289" width="9.109375" style="218"/>
    <col min="12290" max="12290" width="46.44140625" style="218" customWidth="1"/>
    <col min="12291" max="12291" width="8.5546875" style="218" customWidth="1"/>
    <col min="12292" max="12292" width="14.44140625" style="218" customWidth="1"/>
    <col min="12293" max="12293" width="11.44140625" style="218" customWidth="1"/>
    <col min="12294" max="12294" width="16.88671875" style="218" customWidth="1"/>
    <col min="12295" max="12295" width="10.5546875" style="218" customWidth="1"/>
    <col min="12296" max="12296" width="11.109375" style="218" customWidth="1"/>
    <col min="12297" max="12297" width="10.5546875" style="218" customWidth="1"/>
    <col min="12298" max="12302" width="10.44140625" style="218" customWidth="1"/>
    <col min="12303" max="12303" width="10.88671875" style="218" customWidth="1"/>
    <col min="12304" max="12305" width="10.44140625" style="218" customWidth="1"/>
    <col min="12306" max="12306" width="10.5546875" style="218" customWidth="1"/>
    <col min="12307" max="12545" width="9.109375" style="218"/>
    <col min="12546" max="12546" width="46.44140625" style="218" customWidth="1"/>
    <col min="12547" max="12547" width="8.5546875" style="218" customWidth="1"/>
    <col min="12548" max="12548" width="14.44140625" style="218" customWidth="1"/>
    <col min="12549" max="12549" width="11.44140625" style="218" customWidth="1"/>
    <col min="12550" max="12550" width="16.88671875" style="218" customWidth="1"/>
    <col min="12551" max="12551" width="10.5546875" style="218" customWidth="1"/>
    <col min="12552" max="12552" width="11.109375" style="218" customWidth="1"/>
    <col min="12553" max="12553" width="10.5546875" style="218" customWidth="1"/>
    <col min="12554" max="12558" width="10.44140625" style="218" customWidth="1"/>
    <col min="12559" max="12559" width="10.88671875" style="218" customWidth="1"/>
    <col min="12560" max="12561" width="10.44140625" style="218" customWidth="1"/>
    <col min="12562" max="12562" width="10.5546875" style="218" customWidth="1"/>
    <col min="12563" max="12801" width="9.109375" style="218"/>
    <col min="12802" max="12802" width="46.44140625" style="218" customWidth="1"/>
    <col min="12803" max="12803" width="8.5546875" style="218" customWidth="1"/>
    <col min="12804" max="12804" width="14.44140625" style="218" customWidth="1"/>
    <col min="12805" max="12805" width="11.44140625" style="218" customWidth="1"/>
    <col min="12806" max="12806" width="16.88671875" style="218" customWidth="1"/>
    <col min="12807" max="12807" width="10.5546875" style="218" customWidth="1"/>
    <col min="12808" max="12808" width="11.109375" style="218" customWidth="1"/>
    <col min="12809" max="12809" width="10.5546875" style="218" customWidth="1"/>
    <col min="12810" max="12814" width="10.44140625" style="218" customWidth="1"/>
    <col min="12815" max="12815" width="10.88671875" style="218" customWidth="1"/>
    <col min="12816" max="12817" width="10.44140625" style="218" customWidth="1"/>
    <col min="12818" max="12818" width="10.5546875" style="218" customWidth="1"/>
    <col min="12819" max="13057" width="9.109375" style="218"/>
    <col min="13058" max="13058" width="46.44140625" style="218" customWidth="1"/>
    <col min="13059" max="13059" width="8.5546875" style="218" customWidth="1"/>
    <col min="13060" max="13060" width="14.44140625" style="218" customWidth="1"/>
    <col min="13061" max="13061" width="11.44140625" style="218" customWidth="1"/>
    <col min="13062" max="13062" width="16.88671875" style="218" customWidth="1"/>
    <col min="13063" max="13063" width="10.5546875" style="218" customWidth="1"/>
    <col min="13064" max="13064" width="11.109375" style="218" customWidth="1"/>
    <col min="13065" max="13065" width="10.5546875" style="218" customWidth="1"/>
    <col min="13066" max="13070" width="10.44140625" style="218" customWidth="1"/>
    <col min="13071" max="13071" width="10.88671875" style="218" customWidth="1"/>
    <col min="13072" max="13073" width="10.44140625" style="218" customWidth="1"/>
    <col min="13074" max="13074" width="10.5546875" style="218" customWidth="1"/>
    <col min="13075" max="13313" width="9.109375" style="218"/>
    <col min="13314" max="13314" width="46.44140625" style="218" customWidth="1"/>
    <col min="13315" max="13315" width="8.5546875" style="218" customWidth="1"/>
    <col min="13316" max="13316" width="14.44140625" style="218" customWidth="1"/>
    <col min="13317" max="13317" width="11.44140625" style="218" customWidth="1"/>
    <col min="13318" max="13318" width="16.88671875" style="218" customWidth="1"/>
    <col min="13319" max="13319" width="10.5546875" style="218" customWidth="1"/>
    <col min="13320" max="13320" width="11.109375" style="218" customWidth="1"/>
    <col min="13321" max="13321" width="10.5546875" style="218" customWidth="1"/>
    <col min="13322" max="13326" width="10.44140625" style="218" customWidth="1"/>
    <col min="13327" max="13327" width="10.88671875" style="218" customWidth="1"/>
    <col min="13328" max="13329" width="10.44140625" style="218" customWidth="1"/>
    <col min="13330" max="13330" width="10.5546875" style="218" customWidth="1"/>
    <col min="13331" max="13569" width="9.109375" style="218"/>
    <col min="13570" max="13570" width="46.44140625" style="218" customWidth="1"/>
    <col min="13571" max="13571" width="8.5546875" style="218" customWidth="1"/>
    <col min="13572" max="13572" width="14.44140625" style="218" customWidth="1"/>
    <col min="13573" max="13573" width="11.44140625" style="218" customWidth="1"/>
    <col min="13574" max="13574" width="16.88671875" style="218" customWidth="1"/>
    <col min="13575" max="13575" width="10.5546875" style="218" customWidth="1"/>
    <col min="13576" max="13576" width="11.109375" style="218" customWidth="1"/>
    <col min="13577" max="13577" width="10.5546875" style="218" customWidth="1"/>
    <col min="13578" max="13582" width="10.44140625" style="218" customWidth="1"/>
    <col min="13583" max="13583" width="10.88671875" style="218" customWidth="1"/>
    <col min="13584" max="13585" width="10.44140625" style="218" customWidth="1"/>
    <col min="13586" max="13586" width="10.5546875" style="218" customWidth="1"/>
    <col min="13587" max="13825" width="9.109375" style="218"/>
    <col min="13826" max="13826" width="46.44140625" style="218" customWidth="1"/>
    <col min="13827" max="13827" width="8.5546875" style="218" customWidth="1"/>
    <col min="13828" max="13828" width="14.44140625" style="218" customWidth="1"/>
    <col min="13829" max="13829" width="11.44140625" style="218" customWidth="1"/>
    <col min="13830" max="13830" width="16.88671875" style="218" customWidth="1"/>
    <col min="13831" max="13831" width="10.5546875" style="218" customWidth="1"/>
    <col min="13832" max="13832" width="11.109375" style="218" customWidth="1"/>
    <col min="13833" max="13833" width="10.5546875" style="218" customWidth="1"/>
    <col min="13834" max="13838" width="10.44140625" style="218" customWidth="1"/>
    <col min="13839" max="13839" width="10.88671875" style="218" customWidth="1"/>
    <col min="13840" max="13841" width="10.44140625" style="218" customWidth="1"/>
    <col min="13842" max="13842" width="10.5546875" style="218" customWidth="1"/>
    <col min="13843" max="14081" width="9.109375" style="218"/>
    <col min="14082" max="14082" width="46.44140625" style="218" customWidth="1"/>
    <col min="14083" max="14083" width="8.5546875" style="218" customWidth="1"/>
    <col min="14084" max="14084" width="14.44140625" style="218" customWidth="1"/>
    <col min="14085" max="14085" width="11.44140625" style="218" customWidth="1"/>
    <col min="14086" max="14086" width="16.88671875" style="218" customWidth="1"/>
    <col min="14087" max="14087" width="10.5546875" style="218" customWidth="1"/>
    <col min="14088" max="14088" width="11.109375" style="218" customWidth="1"/>
    <col min="14089" max="14089" width="10.5546875" style="218" customWidth="1"/>
    <col min="14090" max="14094" width="10.44140625" style="218" customWidth="1"/>
    <col min="14095" max="14095" width="10.88671875" style="218" customWidth="1"/>
    <col min="14096" max="14097" width="10.44140625" style="218" customWidth="1"/>
    <col min="14098" max="14098" width="10.5546875" style="218" customWidth="1"/>
    <col min="14099" max="14337" width="9.109375" style="218"/>
    <col min="14338" max="14338" width="46.44140625" style="218" customWidth="1"/>
    <col min="14339" max="14339" width="8.5546875" style="218" customWidth="1"/>
    <col min="14340" max="14340" width="14.44140625" style="218" customWidth="1"/>
    <col min="14341" max="14341" width="11.44140625" style="218" customWidth="1"/>
    <col min="14342" max="14342" width="16.88671875" style="218" customWidth="1"/>
    <col min="14343" max="14343" width="10.5546875" style="218" customWidth="1"/>
    <col min="14344" max="14344" width="11.109375" style="218" customWidth="1"/>
    <col min="14345" max="14345" width="10.5546875" style="218" customWidth="1"/>
    <col min="14346" max="14350" width="10.44140625" style="218" customWidth="1"/>
    <col min="14351" max="14351" width="10.88671875" style="218" customWidth="1"/>
    <col min="14352" max="14353" width="10.44140625" style="218" customWidth="1"/>
    <col min="14354" max="14354" width="10.5546875" style="218" customWidth="1"/>
    <col min="14355" max="14593" width="9.109375" style="218"/>
    <col min="14594" max="14594" width="46.44140625" style="218" customWidth="1"/>
    <col min="14595" max="14595" width="8.5546875" style="218" customWidth="1"/>
    <col min="14596" max="14596" width="14.44140625" style="218" customWidth="1"/>
    <col min="14597" max="14597" width="11.44140625" style="218" customWidth="1"/>
    <col min="14598" max="14598" width="16.88671875" style="218" customWidth="1"/>
    <col min="14599" max="14599" width="10.5546875" style="218" customWidth="1"/>
    <col min="14600" max="14600" width="11.109375" style="218" customWidth="1"/>
    <col min="14601" max="14601" width="10.5546875" style="218" customWidth="1"/>
    <col min="14602" max="14606" width="10.44140625" style="218" customWidth="1"/>
    <col min="14607" max="14607" width="10.88671875" style="218" customWidth="1"/>
    <col min="14608" max="14609" width="10.44140625" style="218" customWidth="1"/>
    <col min="14610" max="14610" width="10.5546875" style="218" customWidth="1"/>
    <col min="14611" max="14849" width="9.109375" style="218"/>
    <col min="14850" max="14850" width="46.44140625" style="218" customWidth="1"/>
    <col min="14851" max="14851" width="8.5546875" style="218" customWidth="1"/>
    <col min="14852" max="14852" width="14.44140625" style="218" customWidth="1"/>
    <col min="14853" max="14853" width="11.44140625" style="218" customWidth="1"/>
    <col min="14854" max="14854" width="16.88671875" style="218" customWidth="1"/>
    <col min="14855" max="14855" width="10.5546875" style="218" customWidth="1"/>
    <col min="14856" max="14856" width="11.109375" style="218" customWidth="1"/>
    <col min="14857" max="14857" width="10.5546875" style="218" customWidth="1"/>
    <col min="14858" max="14862" width="10.44140625" style="218" customWidth="1"/>
    <col min="14863" max="14863" width="10.88671875" style="218" customWidth="1"/>
    <col min="14864" max="14865" width="10.44140625" style="218" customWidth="1"/>
    <col min="14866" max="14866" width="10.5546875" style="218" customWidth="1"/>
    <col min="14867" max="15105" width="9.109375" style="218"/>
    <col min="15106" max="15106" width="46.44140625" style="218" customWidth="1"/>
    <col min="15107" max="15107" width="8.5546875" style="218" customWidth="1"/>
    <col min="15108" max="15108" width="14.44140625" style="218" customWidth="1"/>
    <col min="15109" max="15109" width="11.44140625" style="218" customWidth="1"/>
    <col min="15110" max="15110" width="16.88671875" style="218" customWidth="1"/>
    <col min="15111" max="15111" width="10.5546875" style="218" customWidth="1"/>
    <col min="15112" max="15112" width="11.109375" style="218" customWidth="1"/>
    <col min="15113" max="15113" width="10.5546875" style="218" customWidth="1"/>
    <col min="15114" max="15118" width="10.44140625" style="218" customWidth="1"/>
    <col min="15119" max="15119" width="10.88671875" style="218" customWidth="1"/>
    <col min="15120" max="15121" width="10.44140625" style="218" customWidth="1"/>
    <col min="15122" max="15122" width="10.5546875" style="218" customWidth="1"/>
    <col min="15123" max="15361" width="9.109375" style="218"/>
    <col min="15362" max="15362" width="46.44140625" style="218" customWidth="1"/>
    <col min="15363" max="15363" width="8.5546875" style="218" customWidth="1"/>
    <col min="15364" max="15364" width="14.44140625" style="218" customWidth="1"/>
    <col min="15365" max="15365" width="11.44140625" style="218" customWidth="1"/>
    <col min="15366" max="15366" width="16.88671875" style="218" customWidth="1"/>
    <col min="15367" max="15367" width="10.5546875" style="218" customWidth="1"/>
    <col min="15368" max="15368" width="11.109375" style="218" customWidth="1"/>
    <col min="15369" max="15369" width="10.5546875" style="218" customWidth="1"/>
    <col min="15370" max="15374" width="10.44140625" style="218" customWidth="1"/>
    <col min="15375" max="15375" width="10.88671875" style="218" customWidth="1"/>
    <col min="15376" max="15377" width="10.44140625" style="218" customWidth="1"/>
    <col min="15378" max="15378" width="10.5546875" style="218" customWidth="1"/>
    <col min="15379" max="15617" width="9.109375" style="218"/>
    <col min="15618" max="15618" width="46.44140625" style="218" customWidth="1"/>
    <col min="15619" max="15619" width="8.5546875" style="218" customWidth="1"/>
    <col min="15620" max="15620" width="14.44140625" style="218" customWidth="1"/>
    <col min="15621" max="15621" width="11.44140625" style="218" customWidth="1"/>
    <col min="15622" max="15622" width="16.88671875" style="218" customWidth="1"/>
    <col min="15623" max="15623" width="10.5546875" style="218" customWidth="1"/>
    <col min="15624" max="15624" width="11.109375" style="218" customWidth="1"/>
    <col min="15625" max="15625" width="10.5546875" style="218" customWidth="1"/>
    <col min="15626" max="15630" width="10.44140625" style="218" customWidth="1"/>
    <col min="15631" max="15631" width="10.88671875" style="218" customWidth="1"/>
    <col min="15632" max="15633" width="10.44140625" style="218" customWidth="1"/>
    <col min="15634" max="15634" width="10.5546875" style="218" customWidth="1"/>
    <col min="15635" max="15873" width="9.109375" style="218"/>
    <col min="15874" max="15874" width="46.44140625" style="218" customWidth="1"/>
    <col min="15875" max="15875" width="8.5546875" style="218" customWidth="1"/>
    <col min="15876" max="15876" width="14.44140625" style="218" customWidth="1"/>
    <col min="15877" max="15877" width="11.44140625" style="218" customWidth="1"/>
    <col min="15878" max="15878" width="16.88671875" style="218" customWidth="1"/>
    <col min="15879" max="15879" width="10.5546875" style="218" customWidth="1"/>
    <col min="15880" max="15880" width="11.109375" style="218" customWidth="1"/>
    <col min="15881" max="15881" width="10.5546875" style="218" customWidth="1"/>
    <col min="15882" max="15886" width="10.44140625" style="218" customWidth="1"/>
    <col min="15887" max="15887" width="10.88671875" style="218" customWidth="1"/>
    <col min="15888" max="15889" width="10.44140625" style="218" customWidth="1"/>
    <col min="15890" max="15890" width="10.5546875" style="218" customWidth="1"/>
    <col min="15891" max="16129" width="9.109375" style="218"/>
    <col min="16130" max="16130" width="46.44140625" style="218" customWidth="1"/>
    <col min="16131" max="16131" width="8.5546875" style="218" customWidth="1"/>
    <col min="16132" max="16132" width="14.44140625" style="218" customWidth="1"/>
    <col min="16133" max="16133" width="11.44140625" style="218" customWidth="1"/>
    <col min="16134" max="16134" width="16.88671875" style="218" customWidth="1"/>
    <col min="16135" max="16135" width="10.5546875" style="218" customWidth="1"/>
    <col min="16136" max="16136" width="11.109375" style="218" customWidth="1"/>
    <col min="16137" max="16137" width="10.5546875" style="218" customWidth="1"/>
    <col min="16138" max="16142" width="10.44140625" style="218" customWidth="1"/>
    <col min="16143" max="16143" width="10.88671875" style="218" customWidth="1"/>
    <col min="16144" max="16145" width="10.44140625" style="218" customWidth="1"/>
    <col min="16146" max="16146" width="10.5546875" style="218" customWidth="1"/>
    <col min="16147" max="16384" width="9.109375" style="218"/>
  </cols>
  <sheetData>
    <row r="2" spans="1:23" x14ac:dyDescent="0.2">
      <c r="O2" s="217" t="s">
        <v>278</v>
      </c>
    </row>
    <row r="3" spans="1:23" s="298" customFormat="1" ht="38.1" customHeight="1" x14ac:dyDescent="0.3">
      <c r="A3" s="217"/>
      <c r="B3" s="217" t="s">
        <v>295</v>
      </c>
      <c r="C3" s="217"/>
      <c r="D3" s="217"/>
      <c r="E3" s="217"/>
      <c r="F3" s="217"/>
      <c r="G3" s="358"/>
      <c r="H3" s="217"/>
      <c r="I3" s="217"/>
      <c r="J3" s="217"/>
      <c r="K3" s="217"/>
      <c r="L3" s="217"/>
      <c r="M3" s="217"/>
      <c r="N3" s="217"/>
      <c r="O3" s="217" t="s">
        <v>280</v>
      </c>
      <c r="P3" s="217"/>
      <c r="Q3" s="217"/>
      <c r="R3" s="217"/>
    </row>
    <row r="6" spans="1:23" s="224" customFormat="1" ht="34.5" customHeight="1" x14ac:dyDescent="0.2">
      <c r="A6" s="219" t="s">
        <v>91</v>
      </c>
      <c r="B6" s="220" t="s">
        <v>140</v>
      </c>
      <c r="C6" s="221" t="s">
        <v>235</v>
      </c>
      <c r="D6" s="221" t="s">
        <v>236</v>
      </c>
      <c r="E6" s="221" t="s">
        <v>237</v>
      </c>
      <c r="F6" s="222" t="s">
        <v>290</v>
      </c>
      <c r="G6" s="222" t="s">
        <v>142</v>
      </c>
      <c r="H6" s="222" t="s">
        <v>143</v>
      </c>
      <c r="I6" s="222" t="s">
        <v>144</v>
      </c>
      <c r="J6" s="222" t="s">
        <v>145</v>
      </c>
      <c r="K6" s="222" t="s">
        <v>239</v>
      </c>
      <c r="L6" s="222" t="s">
        <v>147</v>
      </c>
      <c r="M6" s="222" t="s">
        <v>148</v>
      </c>
      <c r="N6" s="222" t="s">
        <v>149</v>
      </c>
      <c r="O6" s="222" t="s">
        <v>150</v>
      </c>
      <c r="P6" s="222" t="s">
        <v>151</v>
      </c>
      <c r="Q6" s="222" t="s">
        <v>152</v>
      </c>
      <c r="R6" s="222" t="s">
        <v>153</v>
      </c>
    </row>
    <row r="7" spans="1:23" s="224" customFormat="1" ht="13.35" customHeight="1" x14ac:dyDescent="0.2">
      <c r="A7" s="225" t="s">
        <v>94</v>
      </c>
      <c r="B7" s="226" t="s">
        <v>154</v>
      </c>
      <c r="C7" s="227"/>
      <c r="D7" s="227"/>
      <c r="E7" s="227"/>
      <c r="F7" s="227">
        <f>F9</f>
        <v>43200</v>
      </c>
      <c r="G7" s="227">
        <f>G9</f>
        <v>3600</v>
      </c>
      <c r="H7" s="227">
        <f t="shared" ref="H7:R7" si="0">H9</f>
        <v>3600</v>
      </c>
      <c r="I7" s="227">
        <f t="shared" si="0"/>
        <v>3600</v>
      </c>
      <c r="J7" s="227">
        <f t="shared" si="0"/>
        <v>3600</v>
      </c>
      <c r="K7" s="227">
        <f t="shared" si="0"/>
        <v>3600</v>
      </c>
      <c r="L7" s="227">
        <f t="shared" si="0"/>
        <v>3600</v>
      </c>
      <c r="M7" s="227">
        <f t="shared" si="0"/>
        <v>3600</v>
      </c>
      <c r="N7" s="227">
        <f t="shared" si="0"/>
        <v>3600</v>
      </c>
      <c r="O7" s="227">
        <f t="shared" si="0"/>
        <v>3600</v>
      </c>
      <c r="P7" s="227">
        <f t="shared" si="0"/>
        <v>3600</v>
      </c>
      <c r="Q7" s="227">
        <f t="shared" si="0"/>
        <v>3600</v>
      </c>
      <c r="R7" s="227">
        <f t="shared" si="0"/>
        <v>3600</v>
      </c>
    </row>
    <row r="8" spans="1:23" s="224" customFormat="1" ht="12" x14ac:dyDescent="0.2">
      <c r="A8" s="228" t="s">
        <v>155</v>
      </c>
      <c r="B8" s="343" t="s">
        <v>156</v>
      </c>
      <c r="C8" s="343"/>
      <c r="D8" s="343"/>
      <c r="E8" s="343"/>
      <c r="F8" s="343"/>
      <c r="G8" s="343"/>
      <c r="H8" s="343"/>
      <c r="I8" s="343"/>
      <c r="J8" s="343"/>
      <c r="K8" s="229"/>
      <c r="L8" s="229"/>
      <c r="M8" s="229"/>
      <c r="N8" s="229"/>
      <c r="O8" s="229"/>
      <c r="P8" s="229"/>
      <c r="Q8" s="229"/>
      <c r="R8" s="229"/>
    </row>
    <row r="9" spans="1:23" s="224" customFormat="1" ht="14.25" customHeight="1" x14ac:dyDescent="0.2">
      <c r="A9" s="230" t="s">
        <v>157</v>
      </c>
      <c r="B9" s="231" t="s">
        <v>158</v>
      </c>
      <c r="C9" s="232" t="s">
        <v>240</v>
      </c>
      <c r="D9" s="232">
        <v>1</v>
      </c>
      <c r="E9" s="290">
        <v>3600</v>
      </c>
      <c r="F9" s="232">
        <f>SUM(G9:R9)</f>
        <v>43200</v>
      </c>
      <c r="G9" s="232">
        <v>3600</v>
      </c>
      <c r="H9" s="232">
        <v>3600</v>
      </c>
      <c r="I9" s="232">
        <v>3600</v>
      </c>
      <c r="J9" s="232">
        <v>3600</v>
      </c>
      <c r="K9" s="232">
        <v>3600</v>
      </c>
      <c r="L9" s="232">
        <v>3600</v>
      </c>
      <c r="M9" s="232">
        <v>3600</v>
      </c>
      <c r="N9" s="232">
        <v>3600</v>
      </c>
      <c r="O9" s="232">
        <v>3600</v>
      </c>
      <c r="P9" s="232">
        <v>3600</v>
      </c>
      <c r="Q9" s="232">
        <v>3600</v>
      </c>
      <c r="R9" s="232">
        <v>3600</v>
      </c>
    </row>
    <row r="10" spans="1:23" s="224" customFormat="1" ht="14.1" customHeight="1" x14ac:dyDescent="0.2">
      <c r="A10" s="225" t="s">
        <v>96</v>
      </c>
      <c r="B10" s="226" t="s">
        <v>164</v>
      </c>
      <c r="C10" s="233"/>
      <c r="D10" s="233"/>
      <c r="E10" s="233"/>
      <c r="F10" s="233">
        <f>F18+F34</f>
        <v>829148</v>
      </c>
      <c r="G10" s="359">
        <f>G18+G34</f>
        <v>67046.5</v>
      </c>
      <c r="H10" s="359">
        <f>H18+H34</f>
        <v>67046.5</v>
      </c>
      <c r="I10" s="359">
        <f>I18+I34</f>
        <v>65696.5</v>
      </c>
      <c r="J10" s="359">
        <f>J18+J34</f>
        <v>67046.5</v>
      </c>
      <c r="K10" s="359">
        <f t="shared" ref="K10:R10" si="1">K18+K34</f>
        <v>64196.5</v>
      </c>
      <c r="L10" s="359">
        <f t="shared" si="1"/>
        <v>97596.5</v>
      </c>
      <c r="M10" s="233">
        <f t="shared" si="1"/>
        <v>53766.5</v>
      </c>
      <c r="N10" s="233">
        <f t="shared" si="1"/>
        <v>100516.5</v>
      </c>
      <c r="O10" s="233">
        <f t="shared" si="1"/>
        <v>55746.5</v>
      </c>
      <c r="P10" s="233">
        <f t="shared" si="1"/>
        <v>62596.5</v>
      </c>
      <c r="Q10" s="233">
        <f t="shared" si="1"/>
        <v>60746.5</v>
      </c>
      <c r="R10" s="233">
        <f t="shared" si="1"/>
        <v>67146.5</v>
      </c>
    </row>
    <row r="11" spans="1:23" s="224" customFormat="1" ht="12" x14ac:dyDescent="0.25">
      <c r="A11" s="234" t="s">
        <v>165</v>
      </c>
      <c r="B11" s="344" t="s">
        <v>166</v>
      </c>
      <c r="C11" s="344"/>
      <c r="D11" s="344"/>
      <c r="E11" s="344"/>
      <c r="F11" s="344"/>
      <c r="G11" s="344"/>
      <c r="H11" s="344"/>
      <c r="I11" s="344"/>
      <c r="J11" s="344"/>
      <c r="K11" s="299"/>
      <c r="L11" s="299"/>
      <c r="M11" s="299"/>
      <c r="N11" s="299"/>
      <c r="O11" s="299"/>
      <c r="P11" s="299"/>
      <c r="Q11" s="299"/>
      <c r="R11" s="299"/>
    </row>
    <row r="12" spans="1:23" s="246" customFormat="1" ht="24" customHeight="1" x14ac:dyDescent="0.3">
      <c r="A12" s="249" t="s">
        <v>167</v>
      </c>
      <c r="B12" s="300" t="s">
        <v>291</v>
      </c>
      <c r="C12" s="232" t="s">
        <v>241</v>
      </c>
      <c r="D12" s="301">
        <v>21</v>
      </c>
      <c r="E12" s="302">
        <v>750</v>
      </c>
      <c r="F12" s="301">
        <f t="shared" ref="F12:F17" si="2">SUM(G12:R12)</f>
        <v>188250</v>
      </c>
      <c r="G12" s="301">
        <f>20*E12</f>
        <v>15000</v>
      </c>
      <c r="H12" s="301">
        <f>E12*D12</f>
        <v>15750</v>
      </c>
      <c r="I12" s="301">
        <f>E12*D12</f>
        <v>15750</v>
      </c>
      <c r="J12" s="301">
        <f>E12*D12</f>
        <v>15750</v>
      </c>
      <c r="K12" s="301">
        <f>E12*D12</f>
        <v>15750</v>
      </c>
      <c r="L12" s="301">
        <f>E12*D12</f>
        <v>15750</v>
      </c>
      <c r="M12" s="301">
        <f>E12*D12</f>
        <v>15750</v>
      </c>
      <c r="N12" s="301">
        <f>D12*E12</f>
        <v>15750</v>
      </c>
      <c r="O12" s="301">
        <f>D12*E12</f>
        <v>15750</v>
      </c>
      <c r="P12" s="301">
        <f>D12*E12</f>
        <v>15750</v>
      </c>
      <c r="Q12" s="301">
        <f>D12*E12</f>
        <v>15750</v>
      </c>
      <c r="R12" s="301">
        <f>D12*E12</f>
        <v>15750</v>
      </c>
    </row>
    <row r="13" spans="1:23" s="246" customFormat="1" ht="25.35" customHeight="1" x14ac:dyDescent="0.3">
      <c r="A13" s="249" t="s">
        <v>169</v>
      </c>
      <c r="B13" s="300" t="s">
        <v>292</v>
      </c>
      <c r="C13" s="232" t="s">
        <v>241</v>
      </c>
      <c r="D13" s="301">
        <v>21</v>
      </c>
      <c r="E13" s="302">
        <v>750</v>
      </c>
      <c r="F13" s="301">
        <f t="shared" si="2"/>
        <v>189000</v>
      </c>
      <c r="G13" s="301">
        <f>E13*D13</f>
        <v>15750</v>
      </c>
      <c r="H13" s="301">
        <f>E13*D13</f>
        <v>15750</v>
      </c>
      <c r="I13" s="301">
        <f>E13*D13</f>
        <v>15750</v>
      </c>
      <c r="J13" s="301">
        <f>E13*D13</f>
        <v>15750</v>
      </c>
      <c r="K13" s="301">
        <f>E13*D13</f>
        <v>15750</v>
      </c>
      <c r="L13" s="301">
        <f>E13*D13</f>
        <v>15750</v>
      </c>
      <c r="M13" s="301">
        <f>E13*D13</f>
        <v>15750</v>
      </c>
      <c r="N13" s="301">
        <f>D13*E13</f>
        <v>15750</v>
      </c>
      <c r="O13" s="301">
        <f>D13*E13</f>
        <v>15750</v>
      </c>
      <c r="P13" s="301">
        <f>D13*E13</f>
        <v>15750</v>
      </c>
      <c r="Q13" s="301">
        <f>D13*E13</f>
        <v>15750</v>
      </c>
      <c r="R13" s="301">
        <f>D13*E13</f>
        <v>15750</v>
      </c>
    </row>
    <row r="14" spans="1:23" s="246" customFormat="1" ht="15" customHeight="1" x14ac:dyDescent="0.3">
      <c r="A14" s="249" t="s">
        <v>171</v>
      </c>
      <c r="B14" s="300" t="s">
        <v>243</v>
      </c>
      <c r="C14" s="232" t="s">
        <v>240</v>
      </c>
      <c r="D14" s="301">
        <v>4</v>
      </c>
      <c r="E14" s="290">
        <f>1875*1.25</f>
        <v>2343.75</v>
      </c>
      <c r="F14" s="301">
        <f t="shared" si="2"/>
        <v>112500</v>
      </c>
      <c r="G14" s="301">
        <f>E14*D14</f>
        <v>9375</v>
      </c>
      <c r="H14" s="301">
        <f>E14*D14</f>
        <v>9375</v>
      </c>
      <c r="I14" s="301">
        <f>E14*D14</f>
        <v>9375</v>
      </c>
      <c r="J14" s="301">
        <f>E14*D14</f>
        <v>9375</v>
      </c>
      <c r="K14" s="301">
        <f>E14*D14</f>
        <v>9375</v>
      </c>
      <c r="L14" s="301">
        <f>E14*D14</f>
        <v>9375</v>
      </c>
      <c r="M14" s="301">
        <f>E14*D14</f>
        <v>9375</v>
      </c>
      <c r="N14" s="301">
        <f>E14*D14</f>
        <v>9375</v>
      </c>
      <c r="O14" s="301">
        <f>E14*D14</f>
        <v>9375</v>
      </c>
      <c r="P14" s="301">
        <f>E14*D14</f>
        <v>9375</v>
      </c>
      <c r="Q14" s="301">
        <f>E14*D14</f>
        <v>9375</v>
      </c>
      <c r="R14" s="301">
        <f>E14*D14</f>
        <v>9375</v>
      </c>
      <c r="U14" s="303"/>
      <c r="V14" s="303"/>
      <c r="W14" s="303"/>
    </row>
    <row r="15" spans="1:23" s="246" customFormat="1" ht="12.75" customHeight="1" x14ac:dyDescent="0.3">
      <c r="A15" s="249" t="s">
        <v>173</v>
      </c>
      <c r="B15" s="250" t="s">
        <v>244</v>
      </c>
      <c r="C15" s="232" t="s">
        <v>240</v>
      </c>
      <c r="D15" s="232">
        <v>1</v>
      </c>
      <c r="E15" s="290">
        <f>1965</f>
        <v>1965</v>
      </c>
      <c r="F15" s="232">
        <f t="shared" si="2"/>
        <v>23580</v>
      </c>
      <c r="G15" s="232">
        <f>E15*D15</f>
        <v>1965</v>
      </c>
      <c r="H15" s="232">
        <f>E15*D15</f>
        <v>1965</v>
      </c>
      <c r="I15" s="232">
        <f>E15*D15</f>
        <v>1965</v>
      </c>
      <c r="J15" s="232">
        <f>E15*D15</f>
        <v>1965</v>
      </c>
      <c r="K15" s="232">
        <f>E15*D15</f>
        <v>1965</v>
      </c>
      <c r="L15" s="232">
        <f>E15*D15</f>
        <v>1965</v>
      </c>
      <c r="M15" s="232">
        <f>E15*D15</f>
        <v>1965</v>
      </c>
      <c r="N15" s="232">
        <f>E15*D15</f>
        <v>1965</v>
      </c>
      <c r="O15" s="232">
        <f>E15*D15</f>
        <v>1965</v>
      </c>
      <c r="P15" s="232">
        <f>E15*D15</f>
        <v>1965</v>
      </c>
      <c r="Q15" s="232">
        <f>E15*D15</f>
        <v>1965</v>
      </c>
      <c r="R15" s="232">
        <f>E15*D15</f>
        <v>1965</v>
      </c>
    </row>
    <row r="16" spans="1:23" s="246" customFormat="1" ht="12.75" customHeight="1" x14ac:dyDescent="0.3">
      <c r="A16" s="304" t="s">
        <v>245</v>
      </c>
      <c r="B16" s="305" t="s">
        <v>284</v>
      </c>
      <c r="C16" s="232" t="s">
        <v>240</v>
      </c>
      <c r="D16" s="301">
        <v>3</v>
      </c>
      <c r="E16" s="290">
        <f>1300*1.45</f>
        <v>1885</v>
      </c>
      <c r="F16" s="301">
        <f t="shared" si="2"/>
        <v>67860</v>
      </c>
      <c r="G16" s="301">
        <f>E16*D16</f>
        <v>5655</v>
      </c>
      <c r="H16" s="301">
        <f>E16*D16</f>
        <v>5655</v>
      </c>
      <c r="I16" s="301">
        <f>E16*D16</f>
        <v>5655</v>
      </c>
      <c r="J16" s="301">
        <f>E16*D16</f>
        <v>5655</v>
      </c>
      <c r="K16" s="301">
        <f>E16*D16</f>
        <v>5655</v>
      </c>
      <c r="L16" s="301">
        <f>E16*D16</f>
        <v>5655</v>
      </c>
      <c r="M16" s="301">
        <f>E16*D16</f>
        <v>5655</v>
      </c>
      <c r="N16" s="301">
        <f>E16*D16</f>
        <v>5655</v>
      </c>
      <c r="O16" s="301">
        <f>E16*D16</f>
        <v>5655</v>
      </c>
      <c r="P16" s="301">
        <f>E16*D16</f>
        <v>5655</v>
      </c>
      <c r="Q16" s="301">
        <f>E16*D16</f>
        <v>5655</v>
      </c>
      <c r="R16" s="301">
        <f>E16*D16</f>
        <v>5655</v>
      </c>
    </row>
    <row r="17" spans="1:21" s="246" customFormat="1" ht="12.75" customHeight="1" x14ac:dyDescent="0.3">
      <c r="A17" s="306" t="s">
        <v>285</v>
      </c>
      <c r="B17" s="305" t="s">
        <v>286</v>
      </c>
      <c r="C17" s="232" t="s">
        <v>287</v>
      </c>
      <c r="D17" s="301">
        <v>1</v>
      </c>
      <c r="E17" s="290">
        <f>2750*1.25</f>
        <v>3437.5</v>
      </c>
      <c r="F17" s="301">
        <f t="shared" si="2"/>
        <v>41250</v>
      </c>
      <c r="G17" s="301">
        <f>D17*E17</f>
        <v>3437.5</v>
      </c>
      <c r="H17" s="301">
        <f>D17*E17</f>
        <v>3437.5</v>
      </c>
      <c r="I17" s="301">
        <f>D17*E17</f>
        <v>3437.5</v>
      </c>
      <c r="J17" s="301">
        <f>D17*E17</f>
        <v>3437.5</v>
      </c>
      <c r="K17" s="301">
        <f>D17*E17</f>
        <v>3437.5</v>
      </c>
      <c r="L17" s="301">
        <f>D17*E17</f>
        <v>3437.5</v>
      </c>
      <c r="M17" s="301">
        <f>D17*E17</f>
        <v>3437.5</v>
      </c>
      <c r="N17" s="301">
        <f>D17*E17</f>
        <v>3437.5</v>
      </c>
      <c r="O17" s="301">
        <f>D17*E17</f>
        <v>3437.5</v>
      </c>
      <c r="P17" s="301">
        <f>D17*E17</f>
        <v>3437.5</v>
      </c>
      <c r="Q17" s="301">
        <f>D17*E17</f>
        <v>3437.5</v>
      </c>
      <c r="R17" s="301">
        <f>D17*E17</f>
        <v>3437.5</v>
      </c>
    </row>
    <row r="18" spans="1:21" s="246" customFormat="1" ht="21.75" customHeight="1" x14ac:dyDescent="0.3">
      <c r="A18" s="241" t="s">
        <v>165</v>
      </c>
      <c r="B18" s="242" t="s">
        <v>175</v>
      </c>
      <c r="C18" s="243"/>
      <c r="D18" s="243"/>
      <c r="E18" s="243"/>
      <c r="F18" s="243">
        <f>F12+F13+F14+F15+F16+F17</f>
        <v>622440</v>
      </c>
      <c r="G18" s="360">
        <f>G12+G13+G14+G15+G16+G17</f>
        <v>51182.5</v>
      </c>
      <c r="H18" s="360">
        <f t="shared" ref="H18:R18" si="3">H12+H13+H14+H15+H16+H17</f>
        <v>51932.5</v>
      </c>
      <c r="I18" s="360">
        <f t="shared" si="3"/>
        <v>51932.5</v>
      </c>
      <c r="J18" s="360">
        <f t="shared" si="3"/>
        <v>51932.5</v>
      </c>
      <c r="K18" s="360">
        <f t="shared" si="3"/>
        <v>51932.5</v>
      </c>
      <c r="L18" s="360">
        <f t="shared" si="3"/>
        <v>51932.5</v>
      </c>
      <c r="M18" s="243">
        <f t="shared" si="3"/>
        <v>51932.5</v>
      </c>
      <c r="N18" s="243">
        <f t="shared" si="3"/>
        <v>51932.5</v>
      </c>
      <c r="O18" s="243">
        <f t="shared" si="3"/>
        <v>51932.5</v>
      </c>
      <c r="P18" s="243">
        <f t="shared" si="3"/>
        <v>51932.5</v>
      </c>
      <c r="Q18" s="243">
        <f t="shared" si="3"/>
        <v>51932.5</v>
      </c>
      <c r="R18" s="243">
        <f t="shared" si="3"/>
        <v>51932.5</v>
      </c>
      <c r="S18" s="303"/>
      <c r="T18" s="303"/>
      <c r="U18" s="303"/>
    </row>
    <row r="19" spans="1:21" s="224" customFormat="1" ht="12" x14ac:dyDescent="0.25">
      <c r="A19" s="247" t="s">
        <v>176</v>
      </c>
      <c r="B19" s="313" t="s">
        <v>177</v>
      </c>
      <c r="C19" s="313"/>
      <c r="D19" s="313"/>
      <c r="E19" s="313"/>
      <c r="F19" s="313"/>
      <c r="G19" s="361"/>
      <c r="H19" s="361"/>
      <c r="I19" s="361"/>
      <c r="J19" s="361"/>
      <c r="K19" s="362"/>
      <c r="L19" s="362"/>
      <c r="M19" s="307"/>
      <c r="N19" s="307"/>
      <c r="O19" s="307"/>
      <c r="P19" s="307"/>
      <c r="Q19" s="307"/>
      <c r="R19" s="307"/>
    </row>
    <row r="20" spans="1:21" s="252" customFormat="1" ht="19.5" customHeight="1" x14ac:dyDescent="0.3">
      <c r="A20" s="249" t="s">
        <v>178</v>
      </c>
      <c r="B20" s="300" t="s">
        <v>179</v>
      </c>
      <c r="C20" s="232" t="s">
        <v>247</v>
      </c>
      <c r="D20" s="232">
        <v>12</v>
      </c>
      <c r="E20" s="232">
        <v>1584</v>
      </c>
      <c r="F20" s="363">
        <f>SUM(G20:R20)</f>
        <v>19008</v>
      </c>
      <c r="G20" s="232">
        <f>E20*D20/12</f>
        <v>1584</v>
      </c>
      <c r="H20" s="232">
        <f>E20*D20/12</f>
        <v>1584</v>
      </c>
      <c r="I20" s="232">
        <f>E20*D20/12</f>
        <v>1584</v>
      </c>
      <c r="J20" s="232">
        <f>E20*D20/12</f>
        <v>1584</v>
      </c>
      <c r="K20" s="232">
        <f>E20*D20/12</f>
        <v>1584</v>
      </c>
      <c r="L20" s="232">
        <f>E20*D20/12</f>
        <v>1584</v>
      </c>
      <c r="M20" s="232">
        <f>E20*D20/12</f>
        <v>1584</v>
      </c>
      <c r="N20" s="232">
        <f>E20*D20/12</f>
        <v>1584</v>
      </c>
      <c r="O20" s="232">
        <f>E20*D20/12</f>
        <v>1584</v>
      </c>
      <c r="P20" s="232">
        <f>E20*D20/12</f>
        <v>1584</v>
      </c>
      <c r="Q20" s="232">
        <f>E20*D20/12</f>
        <v>1584</v>
      </c>
      <c r="R20" s="232">
        <f>E20*D20/12</f>
        <v>1584</v>
      </c>
    </row>
    <row r="21" spans="1:21" s="252" customFormat="1" ht="37.35" customHeight="1" x14ac:dyDescent="0.3">
      <c r="A21" s="249" t="s">
        <v>180</v>
      </c>
      <c r="B21" s="250" t="s">
        <v>248</v>
      </c>
      <c r="C21" s="232" t="s">
        <v>249</v>
      </c>
      <c r="D21" s="232" t="s">
        <v>250</v>
      </c>
      <c r="E21" s="232" t="s">
        <v>251</v>
      </c>
      <c r="F21" s="363">
        <f>SUM(G21:R21)</f>
        <v>7200</v>
      </c>
      <c r="G21" s="232">
        <f>3100</f>
        <v>3100</v>
      </c>
      <c r="H21" s="232">
        <v>0</v>
      </c>
      <c r="I21" s="232">
        <v>1000</v>
      </c>
      <c r="J21" s="232">
        <v>0</v>
      </c>
      <c r="K21" s="232">
        <v>0</v>
      </c>
      <c r="L21" s="232">
        <v>0</v>
      </c>
      <c r="M21" s="232">
        <v>0</v>
      </c>
      <c r="N21" s="232">
        <f>1500+2*800</f>
        <v>3100</v>
      </c>
      <c r="O21" s="232">
        <v>0</v>
      </c>
      <c r="P21" s="232">
        <v>0</v>
      </c>
      <c r="Q21" s="232">
        <v>0</v>
      </c>
      <c r="R21" s="232">
        <v>0</v>
      </c>
    </row>
    <row r="22" spans="1:21" s="252" customFormat="1" hidden="1" x14ac:dyDescent="0.3">
      <c r="A22" s="249"/>
      <c r="B22" s="250" t="s">
        <v>182</v>
      </c>
      <c r="C22" s="232"/>
      <c r="D22" s="232"/>
      <c r="E22" s="232"/>
      <c r="F22" s="364">
        <f>SUM(G22:J22)</f>
        <v>0</v>
      </c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  <c r="R22" s="232"/>
    </row>
    <row r="23" spans="1:21" s="252" customFormat="1" hidden="1" x14ac:dyDescent="0.3">
      <c r="A23" s="249"/>
      <c r="B23" s="250" t="s">
        <v>183</v>
      </c>
      <c r="C23" s="232"/>
      <c r="D23" s="232"/>
      <c r="E23" s="232"/>
      <c r="F23" s="364">
        <f>SUM(G23:J23)</f>
        <v>0</v>
      </c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</row>
    <row r="24" spans="1:21" s="252" customFormat="1" ht="27.6" customHeight="1" x14ac:dyDescent="0.3">
      <c r="A24" s="249" t="s">
        <v>184</v>
      </c>
      <c r="B24" s="250" t="s">
        <v>252</v>
      </c>
      <c r="C24" s="232" t="s">
        <v>249</v>
      </c>
      <c r="D24" s="232">
        <v>3</v>
      </c>
      <c r="E24" s="232">
        <v>950</v>
      </c>
      <c r="F24" s="363">
        <f t="shared" ref="F24:F34" si="4">SUM(G24:R24)</f>
        <v>11400</v>
      </c>
      <c r="G24" s="232">
        <v>0</v>
      </c>
      <c r="H24" s="232">
        <f>D24*E24</f>
        <v>2850</v>
      </c>
      <c r="I24" s="232">
        <v>0</v>
      </c>
      <c r="J24" s="232">
        <f>D24*E24</f>
        <v>2850</v>
      </c>
      <c r="K24" s="232">
        <v>0</v>
      </c>
      <c r="L24" s="232">
        <v>0</v>
      </c>
      <c r="M24" s="232">
        <v>0</v>
      </c>
      <c r="N24" s="232">
        <f>D24*E24</f>
        <v>2850</v>
      </c>
      <c r="O24" s="232">
        <v>0</v>
      </c>
      <c r="P24" s="232">
        <f>D24*E24</f>
        <v>2850</v>
      </c>
      <c r="Q24" s="232">
        <v>0</v>
      </c>
      <c r="R24" s="232">
        <v>0</v>
      </c>
    </row>
    <row r="25" spans="1:21" s="252" customFormat="1" ht="18" customHeight="1" x14ac:dyDescent="0.3">
      <c r="A25" s="249" t="s">
        <v>186</v>
      </c>
      <c r="B25" s="250" t="s">
        <v>187</v>
      </c>
      <c r="C25" s="232"/>
      <c r="D25" s="232"/>
      <c r="E25" s="232"/>
      <c r="F25" s="364">
        <f t="shared" si="4"/>
        <v>0</v>
      </c>
      <c r="G25" s="232">
        <v>0</v>
      </c>
      <c r="H25" s="232">
        <v>0</v>
      </c>
      <c r="I25" s="232">
        <v>0</v>
      </c>
      <c r="J25" s="232">
        <v>0</v>
      </c>
      <c r="K25" s="232">
        <v>0</v>
      </c>
      <c r="L25" s="232">
        <v>0</v>
      </c>
      <c r="M25" s="232">
        <v>0</v>
      </c>
      <c r="N25" s="232">
        <v>0</v>
      </c>
      <c r="O25" s="232">
        <v>0</v>
      </c>
      <c r="P25" s="232">
        <v>0</v>
      </c>
      <c r="Q25" s="232">
        <v>0</v>
      </c>
      <c r="R25" s="232">
        <v>0</v>
      </c>
    </row>
    <row r="26" spans="1:21" s="252" customFormat="1" ht="31.5" customHeight="1" x14ac:dyDescent="0.3">
      <c r="A26" s="249" t="s">
        <v>188</v>
      </c>
      <c r="B26" s="250" t="s">
        <v>253</v>
      </c>
      <c r="C26" s="232" t="s">
        <v>249</v>
      </c>
      <c r="D26" s="232">
        <v>2</v>
      </c>
      <c r="E26" s="290">
        <v>11400</v>
      </c>
      <c r="F26" s="365">
        <f t="shared" si="4"/>
        <v>22800</v>
      </c>
      <c r="G26" s="232">
        <v>0</v>
      </c>
      <c r="H26" s="232">
        <v>0</v>
      </c>
      <c r="I26" s="232">
        <v>0</v>
      </c>
      <c r="J26" s="232">
        <v>0</v>
      </c>
      <c r="K26" s="232">
        <v>0</v>
      </c>
      <c r="L26" s="232">
        <f>E26*D26/2</f>
        <v>11400</v>
      </c>
      <c r="M26" s="232">
        <v>0</v>
      </c>
      <c r="N26" s="232">
        <v>0</v>
      </c>
      <c r="O26" s="232">
        <v>0</v>
      </c>
      <c r="P26" s="232">
        <v>0</v>
      </c>
      <c r="Q26" s="232">
        <v>0</v>
      </c>
      <c r="R26" s="232">
        <f>E26*D26/2</f>
        <v>11400</v>
      </c>
    </row>
    <row r="27" spans="1:21" s="252" customFormat="1" ht="30" customHeight="1" x14ac:dyDescent="0.3">
      <c r="A27" s="249" t="s">
        <v>190</v>
      </c>
      <c r="B27" s="250" t="s">
        <v>254</v>
      </c>
      <c r="C27" s="232" t="s">
        <v>255</v>
      </c>
      <c r="D27" s="232">
        <v>1</v>
      </c>
      <c r="E27" s="232" t="s">
        <v>251</v>
      </c>
      <c r="F27" s="363">
        <f t="shared" si="4"/>
        <v>2500</v>
      </c>
      <c r="G27" s="232">
        <v>500</v>
      </c>
      <c r="H27" s="232">
        <v>0</v>
      </c>
      <c r="I27" s="232">
        <v>500</v>
      </c>
      <c r="J27" s="232">
        <v>0</v>
      </c>
      <c r="K27" s="232">
        <v>0</v>
      </c>
      <c r="L27" s="232">
        <v>0</v>
      </c>
      <c r="M27" s="232">
        <v>0</v>
      </c>
      <c r="N27" s="232">
        <v>1500</v>
      </c>
      <c r="O27" s="232">
        <v>0</v>
      </c>
      <c r="P27" s="232">
        <v>0</v>
      </c>
      <c r="Q27" s="232">
        <v>0</v>
      </c>
      <c r="R27" s="232">
        <v>0</v>
      </c>
    </row>
    <row r="28" spans="1:21" s="252" customFormat="1" ht="27" customHeight="1" x14ac:dyDescent="0.3">
      <c r="A28" s="249" t="s">
        <v>192</v>
      </c>
      <c r="B28" s="250" t="s">
        <v>256</v>
      </c>
      <c r="C28" s="232" t="s">
        <v>247</v>
      </c>
      <c r="D28" s="232">
        <v>12</v>
      </c>
      <c r="E28" s="290">
        <v>1680</v>
      </c>
      <c r="F28" s="365">
        <f t="shared" si="4"/>
        <v>16800</v>
      </c>
      <c r="G28" s="232">
        <v>1680</v>
      </c>
      <c r="H28" s="309">
        <v>1680</v>
      </c>
      <c r="I28" s="232">
        <v>1680</v>
      </c>
      <c r="J28" s="232">
        <v>1680</v>
      </c>
      <c r="K28" s="232">
        <v>1680</v>
      </c>
      <c r="L28" s="232">
        <v>1680</v>
      </c>
      <c r="M28" s="232">
        <v>0</v>
      </c>
      <c r="N28" s="232">
        <v>0</v>
      </c>
      <c r="O28" s="232">
        <v>1680</v>
      </c>
      <c r="P28" s="232">
        <v>1680</v>
      </c>
      <c r="Q28" s="232">
        <v>1680</v>
      </c>
      <c r="R28" s="232">
        <v>1680</v>
      </c>
    </row>
    <row r="29" spans="1:21" s="252" customFormat="1" ht="19.5" customHeight="1" x14ac:dyDescent="0.3">
      <c r="A29" s="249" t="s">
        <v>257</v>
      </c>
      <c r="B29" s="366" t="s">
        <v>258</v>
      </c>
      <c r="C29" s="232" t="s">
        <v>249</v>
      </c>
      <c r="D29" s="232">
        <v>3</v>
      </c>
      <c r="E29" s="232">
        <v>13000</v>
      </c>
      <c r="F29" s="232">
        <f t="shared" si="4"/>
        <v>39000</v>
      </c>
      <c r="G29" s="232">
        <v>0</v>
      </c>
      <c r="H29" s="232">
        <v>0</v>
      </c>
      <c r="I29" s="232">
        <v>0</v>
      </c>
      <c r="J29" s="232">
        <v>0</v>
      </c>
      <c r="K29" s="232">
        <v>0</v>
      </c>
      <c r="L29" s="232">
        <v>0</v>
      </c>
      <c r="M29" s="232">
        <v>0</v>
      </c>
      <c r="N29" s="232">
        <f>D29*E29</f>
        <v>39000</v>
      </c>
      <c r="O29" s="232">
        <v>0</v>
      </c>
      <c r="P29" s="232">
        <v>0</v>
      </c>
      <c r="Q29" s="232">
        <v>0</v>
      </c>
      <c r="R29" s="232">
        <v>0</v>
      </c>
    </row>
    <row r="30" spans="1:21" s="252" customFormat="1" ht="34.5" customHeight="1" x14ac:dyDescent="0.3">
      <c r="A30" s="249" t="s">
        <v>259</v>
      </c>
      <c r="B30" s="250" t="s">
        <v>260</v>
      </c>
      <c r="C30" s="232" t="s">
        <v>247</v>
      </c>
      <c r="D30" s="232">
        <v>1</v>
      </c>
      <c r="E30" s="232">
        <v>500</v>
      </c>
      <c r="F30" s="232">
        <f t="shared" si="4"/>
        <v>6000</v>
      </c>
      <c r="G30" s="232">
        <f>E30*D30</f>
        <v>500</v>
      </c>
      <c r="H30" s="232">
        <f>E30*D30</f>
        <v>500</v>
      </c>
      <c r="I30" s="232">
        <f>E30*D30</f>
        <v>500</v>
      </c>
      <c r="J30" s="232">
        <f>E30*D30</f>
        <v>500</v>
      </c>
      <c r="K30" s="232">
        <f>E30*D30</f>
        <v>500</v>
      </c>
      <c r="L30" s="232">
        <f>E30*D30</f>
        <v>500</v>
      </c>
      <c r="M30" s="232">
        <f>E30*D30/2</f>
        <v>250</v>
      </c>
      <c r="N30" s="232">
        <f>E30*D30+50</f>
        <v>550</v>
      </c>
      <c r="O30" s="232">
        <f>E30*D30+50</f>
        <v>550</v>
      </c>
      <c r="P30" s="232">
        <f>E30*D30+50</f>
        <v>550</v>
      </c>
      <c r="Q30" s="232">
        <f>E30*D30+50</f>
        <v>550</v>
      </c>
      <c r="R30" s="232">
        <f>E30*D30+50</f>
        <v>550</v>
      </c>
    </row>
    <row r="31" spans="1:21" s="252" customFormat="1" ht="26.25" customHeight="1" x14ac:dyDescent="0.3">
      <c r="A31" s="249" t="s">
        <v>261</v>
      </c>
      <c r="B31" s="255" t="s">
        <v>262</v>
      </c>
      <c r="C31" s="232" t="s">
        <v>247</v>
      </c>
      <c r="D31" s="232">
        <v>1</v>
      </c>
      <c r="E31" s="290">
        <v>3000</v>
      </c>
      <c r="F31" s="290">
        <f t="shared" si="4"/>
        <v>3000</v>
      </c>
      <c r="G31" s="290">
        <v>500</v>
      </c>
      <c r="H31" s="290">
        <v>500</v>
      </c>
      <c r="I31" s="290">
        <v>500</v>
      </c>
      <c r="J31" s="290">
        <v>500</v>
      </c>
      <c r="K31" s="290">
        <v>500</v>
      </c>
      <c r="L31" s="290">
        <v>500</v>
      </c>
      <c r="M31" s="232">
        <v>0</v>
      </c>
      <c r="N31" s="232">
        <v>0</v>
      </c>
      <c r="O31" s="232">
        <v>0</v>
      </c>
      <c r="P31" s="232">
        <v>0</v>
      </c>
      <c r="Q31" s="232">
        <v>0</v>
      </c>
      <c r="R31" s="232">
        <v>0</v>
      </c>
    </row>
    <row r="32" spans="1:21" s="252" customFormat="1" ht="29.25" customHeight="1" x14ac:dyDescent="0.3">
      <c r="A32" s="249" t="s">
        <v>263</v>
      </c>
      <c r="B32" s="250" t="s">
        <v>264</v>
      </c>
      <c r="C32" s="232" t="s">
        <v>247</v>
      </c>
      <c r="D32" s="232" t="s">
        <v>265</v>
      </c>
      <c r="E32" s="290" t="s">
        <v>251</v>
      </c>
      <c r="F32" s="290">
        <f t="shared" si="4"/>
        <v>49000</v>
      </c>
      <c r="G32" s="290">
        <v>8000</v>
      </c>
      <c r="H32" s="290">
        <v>8000</v>
      </c>
      <c r="I32" s="290">
        <v>8000</v>
      </c>
      <c r="J32" s="290">
        <v>8000</v>
      </c>
      <c r="K32" s="290">
        <v>8000</v>
      </c>
      <c r="L32" s="290">
        <v>0</v>
      </c>
      <c r="M32" s="232">
        <v>0</v>
      </c>
      <c r="N32" s="232">
        <v>0</v>
      </c>
      <c r="O32" s="232">
        <v>0</v>
      </c>
      <c r="P32" s="232">
        <v>4000</v>
      </c>
      <c r="Q32" s="232">
        <v>5000</v>
      </c>
      <c r="R32" s="232">
        <v>0</v>
      </c>
    </row>
    <row r="33" spans="1:21" s="252" customFormat="1" ht="18.75" customHeight="1" x14ac:dyDescent="0.3">
      <c r="A33" s="367"/>
      <c r="B33" s="368" t="s">
        <v>293</v>
      </c>
      <c r="C33" s="232" t="s">
        <v>287</v>
      </c>
      <c r="D33" s="232">
        <v>50</v>
      </c>
      <c r="E33" s="232">
        <v>600</v>
      </c>
      <c r="F33" s="290">
        <f>SUM(G33:R33)</f>
        <v>30000</v>
      </c>
      <c r="G33" s="232">
        <v>0</v>
      </c>
      <c r="H33" s="232">
        <v>0</v>
      </c>
      <c r="I33" s="232">
        <v>0</v>
      </c>
      <c r="J33" s="232">
        <v>0</v>
      </c>
      <c r="K33" s="232">
        <v>0</v>
      </c>
      <c r="L33" s="232">
        <f>D33*E33</f>
        <v>30000</v>
      </c>
      <c r="M33" s="232">
        <v>0</v>
      </c>
      <c r="N33" s="232">
        <v>0</v>
      </c>
      <c r="O33" s="232">
        <v>0</v>
      </c>
      <c r="P33" s="232">
        <v>0</v>
      </c>
      <c r="Q33" s="232">
        <v>0</v>
      </c>
      <c r="R33" s="232">
        <v>0</v>
      </c>
    </row>
    <row r="34" spans="1:21" s="252" customFormat="1" ht="12" x14ac:dyDescent="0.3">
      <c r="A34" s="256" t="s">
        <v>176</v>
      </c>
      <c r="B34" s="315" t="s">
        <v>196</v>
      </c>
      <c r="C34" s="258"/>
      <c r="D34" s="258"/>
      <c r="E34" s="258"/>
      <c r="F34" s="259">
        <f t="shared" si="4"/>
        <v>206708</v>
      </c>
      <c r="G34" s="259">
        <f>SUM(G20:G33)</f>
        <v>15864</v>
      </c>
      <c r="H34" s="259">
        <f>SUM(H20:H32)</f>
        <v>15114</v>
      </c>
      <c r="I34" s="259">
        <f t="shared" ref="I34:R34" si="5">SUM(I20:I33)</f>
        <v>13764</v>
      </c>
      <c r="J34" s="259">
        <f t="shared" si="5"/>
        <v>15114</v>
      </c>
      <c r="K34" s="259">
        <f t="shared" si="5"/>
        <v>12264</v>
      </c>
      <c r="L34" s="259">
        <f t="shared" si="5"/>
        <v>45664</v>
      </c>
      <c r="M34" s="259">
        <f t="shared" si="5"/>
        <v>1834</v>
      </c>
      <c r="N34" s="259">
        <f t="shared" si="5"/>
        <v>48584</v>
      </c>
      <c r="O34" s="259">
        <f t="shared" si="5"/>
        <v>3814</v>
      </c>
      <c r="P34" s="259">
        <f t="shared" si="5"/>
        <v>10664</v>
      </c>
      <c r="Q34" s="259">
        <f t="shared" si="5"/>
        <v>8814</v>
      </c>
      <c r="R34" s="259">
        <f t="shared" si="5"/>
        <v>15214</v>
      </c>
    </row>
    <row r="35" spans="1:21" s="310" customFormat="1" ht="12" x14ac:dyDescent="0.3">
      <c r="A35" s="260" t="s">
        <v>98</v>
      </c>
      <c r="B35" s="261" t="s">
        <v>197</v>
      </c>
      <c r="C35" s="233"/>
      <c r="D35" s="233"/>
      <c r="E35" s="233"/>
      <c r="F35" s="233">
        <v>30000</v>
      </c>
      <c r="G35" s="233">
        <f>G37+G44</f>
        <v>0</v>
      </c>
      <c r="H35" s="233">
        <f>H37+H44</f>
        <v>0</v>
      </c>
      <c r="I35" s="233">
        <f>I37+I44</f>
        <v>0</v>
      </c>
      <c r="J35" s="233">
        <f>J37+J44</f>
        <v>0</v>
      </c>
      <c r="K35" s="233">
        <f t="shared" ref="K35:R35" si="6">K37+K44</f>
        <v>0</v>
      </c>
      <c r="L35" s="233">
        <f t="shared" si="6"/>
        <v>0</v>
      </c>
      <c r="M35" s="233">
        <f t="shared" si="6"/>
        <v>0</v>
      </c>
      <c r="N35" s="233">
        <v>30000</v>
      </c>
      <c r="O35" s="233">
        <f t="shared" si="6"/>
        <v>0</v>
      </c>
      <c r="P35" s="233">
        <f t="shared" si="6"/>
        <v>0</v>
      </c>
      <c r="Q35" s="233">
        <f t="shared" si="6"/>
        <v>0</v>
      </c>
      <c r="R35" s="233">
        <f t="shared" si="6"/>
        <v>0</v>
      </c>
    </row>
    <row r="36" spans="1:21" s="310" customFormat="1" ht="12" x14ac:dyDescent="0.3">
      <c r="A36" s="264" t="s">
        <v>198</v>
      </c>
      <c r="B36" s="346" t="s">
        <v>199</v>
      </c>
      <c r="C36" s="346"/>
      <c r="D36" s="346"/>
      <c r="E36" s="346"/>
      <c r="F36" s="346"/>
      <c r="G36" s="346"/>
      <c r="H36" s="346"/>
      <c r="I36" s="346"/>
      <c r="J36" s="346"/>
      <c r="K36" s="265"/>
      <c r="L36" s="265"/>
      <c r="M36" s="265"/>
      <c r="N36" s="265"/>
      <c r="O36" s="265"/>
      <c r="P36" s="265"/>
      <c r="Q36" s="265"/>
      <c r="R36" s="265"/>
    </row>
    <row r="37" spans="1:21" s="310" customFormat="1" x14ac:dyDescent="0.3">
      <c r="A37" s="266" t="s">
        <v>200</v>
      </c>
      <c r="B37" s="267" t="s">
        <v>266</v>
      </c>
      <c r="C37" s="268"/>
      <c r="D37" s="268"/>
      <c r="E37" s="268"/>
      <c r="F37" s="268">
        <f>SUM(G37:R37)</f>
        <v>0</v>
      </c>
      <c r="G37" s="268">
        <v>0</v>
      </c>
      <c r="H37" s="268">
        <v>0</v>
      </c>
      <c r="I37" s="268">
        <v>0</v>
      </c>
      <c r="J37" s="268">
        <v>0</v>
      </c>
      <c r="K37" s="268">
        <v>0</v>
      </c>
      <c r="L37" s="268">
        <v>0</v>
      </c>
      <c r="M37" s="268">
        <v>0</v>
      </c>
      <c r="N37" s="268">
        <v>0</v>
      </c>
      <c r="O37" s="268">
        <v>0</v>
      </c>
      <c r="P37" s="268">
        <v>0</v>
      </c>
      <c r="Q37" s="268">
        <v>0</v>
      </c>
      <c r="R37" s="268">
        <v>0</v>
      </c>
    </row>
    <row r="38" spans="1:21" s="310" customFormat="1" ht="12" x14ac:dyDescent="0.3">
      <c r="A38" s="269" t="s">
        <v>198</v>
      </c>
      <c r="B38" s="314" t="s">
        <v>202</v>
      </c>
      <c r="C38" s="271"/>
      <c r="D38" s="271"/>
      <c r="E38" s="271"/>
      <c r="F38" s="271"/>
      <c r="G38" s="271"/>
      <c r="H38" s="271"/>
      <c r="I38" s="271"/>
      <c r="J38" s="271"/>
      <c r="K38" s="271"/>
      <c r="L38" s="271"/>
      <c r="M38" s="271"/>
      <c r="N38" s="271"/>
      <c r="O38" s="271"/>
      <c r="P38" s="271"/>
      <c r="Q38" s="271"/>
      <c r="R38" s="271"/>
    </row>
    <row r="39" spans="1:21" s="310" customFormat="1" ht="12" x14ac:dyDescent="0.3">
      <c r="A39" s="272" t="s">
        <v>203</v>
      </c>
      <c r="B39" s="273" t="s">
        <v>204</v>
      </c>
      <c r="C39" s="274"/>
      <c r="D39" s="274"/>
      <c r="E39" s="274"/>
      <c r="F39" s="274"/>
      <c r="G39" s="274"/>
      <c r="H39" s="274"/>
      <c r="I39" s="274"/>
      <c r="J39" s="274"/>
      <c r="K39" s="274"/>
      <c r="L39" s="274"/>
      <c r="M39" s="274"/>
      <c r="N39" s="274"/>
      <c r="O39" s="274"/>
      <c r="P39" s="274"/>
      <c r="Q39" s="274"/>
      <c r="R39" s="274"/>
    </row>
    <row r="40" spans="1:21" s="310" customFormat="1" ht="22.8" x14ac:dyDescent="0.3">
      <c r="A40" s="249" t="s">
        <v>205</v>
      </c>
      <c r="B40" s="275" t="s">
        <v>206</v>
      </c>
      <c r="C40" s="276" t="s">
        <v>249</v>
      </c>
      <c r="D40" s="268" t="s">
        <v>267</v>
      </c>
      <c r="E40" s="268" t="s">
        <v>251</v>
      </c>
      <c r="F40" s="268">
        <f>SUM(G40:R40)</f>
        <v>0</v>
      </c>
      <c r="G40" s="268">
        <v>0</v>
      </c>
      <c r="H40" s="268">
        <v>0</v>
      </c>
      <c r="I40" s="268">
        <v>0</v>
      </c>
      <c r="J40" s="268">
        <v>0</v>
      </c>
      <c r="K40" s="268">
        <v>0</v>
      </c>
      <c r="L40" s="268">
        <v>0</v>
      </c>
      <c r="M40" s="268">
        <v>0</v>
      </c>
      <c r="N40" s="268">
        <v>0</v>
      </c>
      <c r="O40" s="268">
        <v>0</v>
      </c>
      <c r="P40" s="268">
        <v>0</v>
      </c>
      <c r="Q40" s="268">
        <v>0</v>
      </c>
      <c r="R40" s="268">
        <v>0</v>
      </c>
    </row>
    <row r="41" spans="1:21" s="310" customFormat="1" ht="20.25" customHeight="1" x14ac:dyDescent="0.3">
      <c r="A41" s="249" t="s">
        <v>207</v>
      </c>
      <c r="B41" s="250" t="s">
        <v>208</v>
      </c>
      <c r="C41" s="276" t="s">
        <v>249</v>
      </c>
      <c r="D41" s="268">
        <v>1</v>
      </c>
      <c r="E41" s="268">
        <v>4500</v>
      </c>
      <c r="F41" s="268">
        <f>SUM(G41:R41)</f>
        <v>4500</v>
      </c>
      <c r="G41" s="268">
        <v>0</v>
      </c>
      <c r="H41" s="268">
        <v>0</v>
      </c>
      <c r="I41" s="268">
        <v>0</v>
      </c>
      <c r="J41" s="268">
        <v>0</v>
      </c>
      <c r="K41" s="268">
        <v>0</v>
      </c>
      <c r="L41" s="268">
        <v>0</v>
      </c>
      <c r="M41" s="268">
        <v>0</v>
      </c>
      <c r="N41" s="268">
        <v>4500</v>
      </c>
      <c r="O41" s="268">
        <v>0</v>
      </c>
      <c r="P41" s="268">
        <v>0</v>
      </c>
      <c r="Q41" s="268">
        <v>0</v>
      </c>
      <c r="R41" s="268">
        <v>0</v>
      </c>
    </row>
    <row r="42" spans="1:21" s="310" customFormat="1" ht="21" customHeight="1" x14ac:dyDescent="0.3">
      <c r="A42" s="277" t="s">
        <v>268</v>
      </c>
      <c r="B42" s="278" t="s">
        <v>269</v>
      </c>
      <c r="C42" s="276" t="s">
        <v>249</v>
      </c>
      <c r="D42" s="268">
        <v>1</v>
      </c>
      <c r="E42" s="268">
        <v>0</v>
      </c>
      <c r="F42" s="268">
        <f>SUM(G42:R42)</f>
        <v>0</v>
      </c>
      <c r="G42" s="268">
        <v>0</v>
      </c>
      <c r="H42" s="268">
        <v>0</v>
      </c>
      <c r="I42" s="268">
        <v>0</v>
      </c>
      <c r="J42" s="268">
        <v>0</v>
      </c>
      <c r="K42" s="268">
        <v>0</v>
      </c>
      <c r="L42" s="268">
        <v>0</v>
      </c>
      <c r="M42" s="268">
        <v>0</v>
      </c>
      <c r="N42" s="268">
        <v>0</v>
      </c>
      <c r="O42" s="268">
        <v>0</v>
      </c>
      <c r="P42" s="268">
        <v>0</v>
      </c>
      <c r="Q42" s="268">
        <v>0</v>
      </c>
      <c r="R42" s="268">
        <v>0</v>
      </c>
    </row>
    <row r="43" spans="1:21" s="310" customFormat="1" ht="39" customHeight="1" x14ac:dyDescent="0.3">
      <c r="A43" s="277" t="s">
        <v>270</v>
      </c>
      <c r="B43" s="278" t="s">
        <v>271</v>
      </c>
      <c r="C43" s="276" t="s">
        <v>247</v>
      </c>
      <c r="D43" s="268" t="s">
        <v>272</v>
      </c>
      <c r="E43" s="268" t="s">
        <v>251</v>
      </c>
      <c r="F43" s="268">
        <f>SUM(G43:R43)</f>
        <v>0</v>
      </c>
      <c r="G43" s="268">
        <v>0</v>
      </c>
      <c r="H43" s="268">
        <v>0</v>
      </c>
      <c r="I43" s="268">
        <v>0</v>
      </c>
      <c r="J43" s="268">
        <v>0</v>
      </c>
      <c r="K43" s="268">
        <v>0</v>
      </c>
      <c r="L43" s="268">
        <v>0</v>
      </c>
      <c r="M43" s="268">
        <v>0</v>
      </c>
      <c r="N43" s="268">
        <v>0</v>
      </c>
      <c r="O43" s="268">
        <v>0</v>
      </c>
      <c r="P43" s="268">
        <v>0</v>
      </c>
      <c r="Q43" s="268">
        <v>0</v>
      </c>
      <c r="R43" s="268">
        <v>0</v>
      </c>
    </row>
    <row r="44" spans="1:21" s="252" customFormat="1" ht="60" x14ac:dyDescent="0.3">
      <c r="A44" s="256" t="s">
        <v>203</v>
      </c>
      <c r="B44" s="315" t="s">
        <v>209</v>
      </c>
      <c r="C44" s="258"/>
      <c r="D44" s="258"/>
      <c r="E44" s="258"/>
      <c r="F44" s="279">
        <f>SUM(G44:R44)</f>
        <v>4500</v>
      </c>
      <c r="G44" s="279">
        <f>G40+G41+G42+G43</f>
        <v>0</v>
      </c>
      <c r="H44" s="279">
        <f>H40+H41+H42+H43</f>
        <v>0</v>
      </c>
      <c r="I44" s="279">
        <f>I40+I41+I42+I43</f>
        <v>0</v>
      </c>
      <c r="J44" s="279">
        <f>J40+J41+J42+J43</f>
        <v>0</v>
      </c>
      <c r="K44" s="279">
        <f t="shared" ref="K44:R44" si="7">K40+K41+K42+K43</f>
        <v>0</v>
      </c>
      <c r="L44" s="279">
        <f t="shared" si="7"/>
        <v>0</v>
      </c>
      <c r="M44" s="279">
        <f t="shared" si="7"/>
        <v>0</v>
      </c>
      <c r="N44" s="279">
        <f t="shared" si="7"/>
        <v>4500</v>
      </c>
      <c r="O44" s="279">
        <f t="shared" si="7"/>
        <v>0</v>
      </c>
      <c r="P44" s="279">
        <f t="shared" si="7"/>
        <v>0</v>
      </c>
      <c r="Q44" s="279">
        <f t="shared" si="7"/>
        <v>0</v>
      </c>
      <c r="R44" s="279">
        <f t="shared" si="7"/>
        <v>0</v>
      </c>
      <c r="S44" s="310"/>
      <c r="T44" s="310"/>
      <c r="U44" s="310"/>
    </row>
    <row r="45" spans="1:21" s="252" customFormat="1" ht="48" x14ac:dyDescent="0.3">
      <c r="A45" s="280" t="s">
        <v>210</v>
      </c>
      <c r="B45" s="281" t="s">
        <v>211</v>
      </c>
      <c r="C45" s="282"/>
      <c r="D45" s="282"/>
      <c r="E45" s="282"/>
      <c r="F45" s="283">
        <f>F7+F18</f>
        <v>665640</v>
      </c>
      <c r="G45" s="283">
        <f t="shared" ref="G45:R45" si="8">G7+G18</f>
        <v>54782.5</v>
      </c>
      <c r="H45" s="283">
        <f t="shared" si="8"/>
        <v>55532.5</v>
      </c>
      <c r="I45" s="283">
        <f t="shared" si="8"/>
        <v>55532.5</v>
      </c>
      <c r="J45" s="283">
        <f t="shared" si="8"/>
        <v>55532.5</v>
      </c>
      <c r="K45" s="283">
        <f t="shared" si="8"/>
        <v>55532.5</v>
      </c>
      <c r="L45" s="283">
        <f t="shared" si="8"/>
        <v>55532.5</v>
      </c>
      <c r="M45" s="283">
        <f t="shared" si="8"/>
        <v>55532.5</v>
      </c>
      <c r="N45" s="283">
        <f t="shared" si="8"/>
        <v>55532.5</v>
      </c>
      <c r="O45" s="283">
        <f t="shared" si="8"/>
        <v>55532.5</v>
      </c>
      <c r="P45" s="283">
        <f t="shared" si="8"/>
        <v>55532.5</v>
      </c>
      <c r="Q45" s="283">
        <f t="shared" si="8"/>
        <v>55532.5</v>
      </c>
      <c r="R45" s="283">
        <f t="shared" si="8"/>
        <v>55532.5</v>
      </c>
      <c r="S45" s="310">
        <f>F45*0.15</f>
        <v>99846</v>
      </c>
      <c r="T45" s="310"/>
      <c r="U45" s="310"/>
    </row>
    <row r="46" spans="1:21" s="252" customFormat="1" ht="12" hidden="1" x14ac:dyDescent="0.3">
      <c r="A46" s="284"/>
      <c r="B46" s="285"/>
      <c r="C46" s="286"/>
      <c r="D46" s="286"/>
      <c r="E46" s="286" t="e">
        <f>SUM(#REF!)</f>
        <v>#REF!</v>
      </c>
      <c r="F46" s="286"/>
      <c r="G46" s="286"/>
      <c r="H46" s="286"/>
      <c r="I46" s="286"/>
      <c r="J46" s="286"/>
      <c r="K46" s="286"/>
      <c r="L46" s="286"/>
      <c r="M46" s="286"/>
      <c r="N46" s="286"/>
      <c r="O46" s="286"/>
      <c r="P46" s="286"/>
      <c r="Q46" s="286"/>
      <c r="R46" s="286"/>
      <c r="S46" s="310"/>
      <c r="T46" s="310"/>
      <c r="U46" s="310"/>
    </row>
    <row r="47" spans="1:21" s="252" customFormat="1" ht="12" hidden="1" x14ac:dyDescent="0.3">
      <c r="A47" s="284"/>
      <c r="B47" s="285"/>
      <c r="C47" s="286"/>
      <c r="D47" s="286"/>
      <c r="E47" s="286"/>
      <c r="F47" s="271"/>
      <c r="G47" s="271"/>
      <c r="H47" s="271"/>
      <c r="I47" s="271"/>
      <c r="J47" s="271"/>
      <c r="K47" s="271"/>
      <c r="L47" s="271"/>
      <c r="M47" s="271"/>
      <c r="N47" s="271"/>
      <c r="O47" s="271"/>
      <c r="P47" s="271"/>
      <c r="Q47" s="271"/>
      <c r="R47" s="271"/>
      <c r="S47" s="310"/>
      <c r="T47" s="310"/>
      <c r="U47" s="310"/>
    </row>
    <row r="48" spans="1:21" s="252" customFormat="1" ht="12" hidden="1" x14ac:dyDescent="0.3">
      <c r="A48" s="284"/>
      <c r="B48" s="285"/>
      <c r="C48" s="286"/>
      <c r="D48" s="286"/>
      <c r="E48" s="286"/>
      <c r="F48" s="271"/>
      <c r="G48" s="271"/>
      <c r="H48" s="271"/>
      <c r="I48" s="271"/>
      <c r="J48" s="271"/>
      <c r="K48" s="271"/>
      <c r="L48" s="271"/>
      <c r="M48" s="271"/>
      <c r="N48" s="271"/>
      <c r="O48" s="271"/>
      <c r="P48" s="271"/>
      <c r="Q48" s="271"/>
      <c r="R48" s="271"/>
      <c r="S48" s="310"/>
      <c r="T48" s="310"/>
      <c r="U48" s="310"/>
    </row>
    <row r="49" spans="1:21" s="252" customFormat="1" ht="12" hidden="1" x14ac:dyDescent="0.3">
      <c r="A49" s="284"/>
      <c r="B49" s="285"/>
      <c r="C49" s="286"/>
      <c r="D49" s="286"/>
      <c r="E49" s="286"/>
      <c r="F49" s="271"/>
      <c r="G49" s="271"/>
      <c r="H49" s="271"/>
      <c r="I49" s="271"/>
      <c r="J49" s="271"/>
      <c r="K49" s="271"/>
      <c r="L49" s="271"/>
      <c r="M49" s="271"/>
      <c r="N49" s="271"/>
      <c r="O49" s="271"/>
      <c r="P49" s="271"/>
      <c r="Q49" s="271"/>
      <c r="R49" s="271"/>
      <c r="S49" s="310"/>
      <c r="T49" s="310"/>
      <c r="U49" s="310"/>
    </row>
    <row r="50" spans="1:21" s="252" customFormat="1" ht="12" hidden="1" x14ac:dyDescent="0.3">
      <c r="A50" s="284"/>
      <c r="B50" s="285"/>
      <c r="C50" s="286"/>
      <c r="D50" s="286"/>
      <c r="E50" s="286"/>
      <c r="F50" s="271"/>
      <c r="G50" s="271"/>
      <c r="H50" s="271"/>
      <c r="I50" s="271"/>
      <c r="J50" s="271"/>
      <c r="K50" s="271"/>
      <c r="L50" s="271"/>
      <c r="M50" s="271"/>
      <c r="N50" s="271"/>
      <c r="O50" s="271"/>
      <c r="P50" s="271"/>
      <c r="Q50" s="271"/>
      <c r="R50" s="271"/>
      <c r="S50" s="310"/>
      <c r="T50" s="310"/>
      <c r="U50" s="310"/>
    </row>
    <row r="51" spans="1:21" s="252" customFormat="1" ht="24" x14ac:dyDescent="0.3">
      <c r="A51" s="260" t="s">
        <v>212</v>
      </c>
      <c r="B51" s="261" t="s">
        <v>213</v>
      </c>
      <c r="C51" s="233"/>
      <c r="D51" s="233"/>
      <c r="E51" s="227"/>
      <c r="F51" s="233">
        <f>15*F45/100</f>
        <v>99846</v>
      </c>
      <c r="G51" s="233">
        <f t="shared" ref="G51:R51" si="9">15*G45/100</f>
        <v>8217.375</v>
      </c>
      <c r="H51" s="233">
        <f t="shared" si="9"/>
        <v>8329.875</v>
      </c>
      <c r="I51" s="233">
        <f t="shared" si="9"/>
        <v>8329.875</v>
      </c>
      <c r="J51" s="233">
        <f t="shared" si="9"/>
        <v>8329.875</v>
      </c>
      <c r="K51" s="233">
        <f t="shared" si="9"/>
        <v>8329.875</v>
      </c>
      <c r="L51" s="233">
        <f t="shared" si="9"/>
        <v>8329.875</v>
      </c>
      <c r="M51" s="233">
        <f t="shared" si="9"/>
        <v>8329.875</v>
      </c>
      <c r="N51" s="233">
        <f t="shared" si="9"/>
        <v>8329.875</v>
      </c>
      <c r="O51" s="233">
        <f t="shared" si="9"/>
        <v>8329.875</v>
      </c>
      <c r="P51" s="233">
        <f t="shared" si="9"/>
        <v>8329.875</v>
      </c>
      <c r="Q51" s="233">
        <f t="shared" si="9"/>
        <v>8329.875</v>
      </c>
      <c r="R51" s="233">
        <f t="shared" si="9"/>
        <v>8329.875</v>
      </c>
    </row>
    <row r="52" spans="1:21" s="287" customFormat="1" ht="12" x14ac:dyDescent="0.3">
      <c r="A52" s="347" t="s">
        <v>228</v>
      </c>
      <c r="B52" s="348"/>
      <c r="C52" s="259"/>
      <c r="D52" s="259"/>
      <c r="E52" s="259"/>
      <c r="F52" s="259">
        <f>SUM(G52:R52)</f>
        <v>99846</v>
      </c>
      <c r="G52" s="259">
        <f>G51</f>
        <v>8217.375</v>
      </c>
      <c r="H52" s="259">
        <f>H51</f>
        <v>8329.875</v>
      </c>
      <c r="I52" s="259">
        <f>I51</f>
        <v>8329.875</v>
      </c>
      <c r="J52" s="259">
        <f>J51</f>
        <v>8329.875</v>
      </c>
      <c r="K52" s="259">
        <f>K51</f>
        <v>8329.875</v>
      </c>
      <c r="L52" s="259">
        <f t="shared" ref="L52:R52" si="10">L51</f>
        <v>8329.875</v>
      </c>
      <c r="M52" s="259">
        <f t="shared" si="10"/>
        <v>8329.875</v>
      </c>
      <c r="N52" s="259">
        <f t="shared" si="10"/>
        <v>8329.875</v>
      </c>
      <c r="O52" s="259">
        <f t="shared" si="10"/>
        <v>8329.875</v>
      </c>
      <c r="P52" s="259">
        <f t="shared" si="10"/>
        <v>8329.875</v>
      </c>
      <c r="Q52" s="259">
        <f t="shared" si="10"/>
        <v>8329.875</v>
      </c>
      <c r="R52" s="259">
        <f t="shared" si="10"/>
        <v>8329.875</v>
      </c>
    </row>
    <row r="53" spans="1:21" s="287" customFormat="1" ht="24" x14ac:dyDescent="0.3">
      <c r="A53" s="249"/>
      <c r="B53" s="220" t="s">
        <v>229</v>
      </c>
      <c r="C53" s="232"/>
      <c r="D53" s="232"/>
      <c r="E53" s="232"/>
      <c r="F53" s="288">
        <f>F7+F10+F35+F51</f>
        <v>1002194</v>
      </c>
      <c r="G53" s="288">
        <f t="shared" ref="G53:R53" si="11">G7+G10+G35+G51</f>
        <v>78863.875</v>
      </c>
      <c r="H53" s="288">
        <f t="shared" si="11"/>
        <v>78976.375</v>
      </c>
      <c r="I53" s="288">
        <f t="shared" si="11"/>
        <v>77626.375</v>
      </c>
      <c r="J53" s="288">
        <f t="shared" si="11"/>
        <v>78976.375</v>
      </c>
      <c r="K53" s="288">
        <f t="shared" si="11"/>
        <v>76126.375</v>
      </c>
      <c r="L53" s="288">
        <f t="shared" si="11"/>
        <v>109526.375</v>
      </c>
      <c r="M53" s="288">
        <f t="shared" si="11"/>
        <v>65696.375</v>
      </c>
      <c r="N53" s="288">
        <f t="shared" si="11"/>
        <v>142446.375</v>
      </c>
      <c r="O53" s="288">
        <f t="shared" si="11"/>
        <v>67676.375</v>
      </c>
      <c r="P53" s="288">
        <f t="shared" si="11"/>
        <v>74526.375</v>
      </c>
      <c r="Q53" s="288">
        <f t="shared" si="11"/>
        <v>72676.375</v>
      </c>
      <c r="R53" s="288">
        <f t="shared" si="11"/>
        <v>79076.375</v>
      </c>
    </row>
    <row r="54" spans="1:21" ht="12" x14ac:dyDescent="0.25">
      <c r="A54" s="341"/>
      <c r="B54" s="342"/>
      <c r="C54" s="289"/>
      <c r="D54" s="289"/>
      <c r="E54" s="289"/>
      <c r="F54" s="289"/>
      <c r="G54" s="221"/>
      <c r="H54" s="221"/>
      <c r="I54" s="221"/>
      <c r="J54" s="221"/>
      <c r="K54" s="221"/>
      <c r="L54" s="369"/>
      <c r="M54" s="221"/>
      <c r="N54" s="221"/>
      <c r="O54" s="221"/>
      <c r="P54" s="289"/>
      <c r="Q54" s="289"/>
      <c r="R54" s="289"/>
    </row>
    <row r="55" spans="1:21" x14ac:dyDescent="0.2">
      <c r="F55" s="301">
        <v>943169.9</v>
      </c>
      <c r="G55" s="232"/>
      <c r="H55" s="232"/>
      <c r="I55" s="232"/>
      <c r="J55" s="232"/>
      <c r="K55" s="232"/>
      <c r="L55" s="232"/>
      <c r="M55" s="232"/>
      <c r="N55" s="232"/>
      <c r="O55" s="232"/>
    </row>
    <row r="56" spans="1:21" x14ac:dyDescent="0.2">
      <c r="G56" s="232">
        <f>G53+H53+I53</f>
        <v>235466.625</v>
      </c>
      <c r="H56" s="232"/>
      <c r="I56" s="232"/>
      <c r="J56" s="232"/>
      <c r="K56" s="232"/>
      <c r="L56" s="232"/>
      <c r="M56" s="232"/>
      <c r="N56" s="232"/>
      <c r="O56" s="232"/>
    </row>
    <row r="57" spans="1:21" x14ac:dyDescent="0.2">
      <c r="D57" s="370" t="s">
        <v>294</v>
      </c>
      <c r="G57" s="232"/>
      <c r="H57" s="232"/>
      <c r="I57" s="232"/>
      <c r="J57" s="232"/>
      <c r="K57" s="232"/>
      <c r="L57" s="232"/>
      <c r="M57" s="232"/>
      <c r="N57" s="232"/>
      <c r="O57" s="232"/>
    </row>
    <row r="58" spans="1:21" x14ac:dyDescent="0.2">
      <c r="D58" s="370">
        <f>F55-F53</f>
        <v>-59024.099999999977</v>
      </c>
      <c r="G58" s="232"/>
      <c r="H58" s="232"/>
      <c r="I58" s="232"/>
      <c r="J58" s="232"/>
      <c r="K58" s="232"/>
      <c r="L58" s="371"/>
      <c r="M58" s="232"/>
      <c r="N58" s="232"/>
      <c r="O58" s="232"/>
      <c r="S58" s="218">
        <f>M53+N53+O53+P53+Q53+R53</f>
        <v>502098.25</v>
      </c>
    </row>
    <row r="59" spans="1:21" x14ac:dyDescent="0.2">
      <c r="G59" s="232"/>
      <c r="H59" s="232"/>
      <c r="I59" s="232"/>
      <c r="J59" s="232"/>
      <c r="K59" s="232"/>
      <c r="L59" s="232"/>
      <c r="M59" s="232"/>
      <c r="N59" s="232"/>
      <c r="O59" s="232"/>
      <c r="S59" s="218">
        <v>68324.66</v>
      </c>
    </row>
    <row r="60" spans="1:21" x14ac:dyDescent="0.2">
      <c r="G60" s="232"/>
      <c r="H60" s="232"/>
      <c r="I60" s="232"/>
      <c r="J60" s="232"/>
      <c r="K60" s="232"/>
      <c r="L60" s="232"/>
      <c r="M60" s="232"/>
      <c r="N60" s="232"/>
      <c r="O60" s="232"/>
    </row>
    <row r="61" spans="1:21" x14ac:dyDescent="0.2">
      <c r="G61" s="232"/>
      <c r="H61" s="232"/>
      <c r="I61" s="232"/>
      <c r="J61" s="232"/>
      <c r="K61" s="232"/>
      <c r="L61" s="232"/>
      <c r="M61" s="232"/>
      <c r="N61" s="232"/>
      <c r="O61" s="232"/>
    </row>
    <row r="62" spans="1:21" ht="12" x14ac:dyDescent="0.2">
      <c r="G62" s="232"/>
      <c r="H62" s="372"/>
      <c r="I62" s="221"/>
      <c r="J62" s="372"/>
      <c r="K62" s="232"/>
      <c r="L62" s="232"/>
      <c r="M62" s="232"/>
      <c r="N62" s="232"/>
      <c r="O62" s="232"/>
    </row>
    <row r="63" spans="1:21" x14ac:dyDescent="0.2">
      <c r="G63" s="232"/>
      <c r="H63" s="232"/>
      <c r="I63" s="232"/>
      <c r="J63" s="232"/>
      <c r="K63" s="232"/>
      <c r="L63" s="232"/>
      <c r="M63" s="232"/>
      <c r="N63" s="232"/>
      <c r="O63" s="232"/>
    </row>
    <row r="64" spans="1:21" x14ac:dyDescent="0.2">
      <c r="G64" s="232"/>
      <c r="H64" s="232"/>
      <c r="I64" s="232"/>
      <c r="J64" s="232"/>
      <c r="K64" s="232"/>
      <c r="L64" s="232"/>
      <c r="M64" s="232"/>
      <c r="N64" s="232"/>
      <c r="O64" s="232"/>
    </row>
    <row r="65" spans="6:15" x14ac:dyDescent="0.2">
      <c r="G65" s="232"/>
      <c r="H65" s="232"/>
      <c r="I65" s="232"/>
      <c r="J65" s="232"/>
      <c r="K65" s="232"/>
      <c r="L65" s="232"/>
      <c r="M65" s="232"/>
      <c r="N65" s="232"/>
      <c r="O65" s="232"/>
    </row>
    <row r="66" spans="6:15" x14ac:dyDescent="0.2">
      <c r="G66" s="232"/>
      <c r="H66" s="232"/>
      <c r="I66" s="232"/>
      <c r="J66" s="232"/>
      <c r="K66" s="232"/>
      <c r="L66" s="232"/>
      <c r="M66" s="232"/>
      <c r="N66" s="232"/>
      <c r="O66" s="232"/>
    </row>
    <row r="67" spans="6:15" x14ac:dyDescent="0.2">
      <c r="G67" s="232"/>
      <c r="H67" s="232"/>
      <c r="I67" s="232"/>
      <c r="J67" s="232"/>
      <c r="K67" s="232"/>
      <c r="L67" s="232"/>
      <c r="M67" s="232"/>
      <c r="N67" s="232"/>
      <c r="O67" s="232"/>
    </row>
    <row r="68" spans="6:15" x14ac:dyDescent="0.2">
      <c r="G68" s="232"/>
      <c r="H68" s="232"/>
      <c r="I68" s="232"/>
      <c r="J68" s="232"/>
      <c r="K68" s="232"/>
      <c r="L68" s="232"/>
      <c r="M68" s="232"/>
      <c r="N68" s="232"/>
      <c r="O68" s="232"/>
    </row>
    <row r="69" spans="6:15" x14ac:dyDescent="0.2">
      <c r="F69" s="373"/>
      <c r="G69" s="232"/>
      <c r="H69" s="232"/>
      <c r="I69" s="232"/>
      <c r="J69" s="232"/>
      <c r="K69" s="232"/>
      <c r="L69" s="232"/>
      <c r="M69" s="232"/>
      <c r="N69" s="232"/>
      <c r="O69" s="232"/>
    </row>
    <row r="70" spans="6:15" x14ac:dyDescent="0.2">
      <c r="F70" s="373"/>
      <c r="G70" s="232"/>
      <c r="H70" s="232"/>
      <c r="I70" s="232"/>
      <c r="J70" s="232"/>
      <c r="K70" s="232"/>
      <c r="L70" s="232"/>
      <c r="M70" s="232"/>
      <c r="N70" s="232"/>
      <c r="O70" s="232"/>
    </row>
    <row r="71" spans="6:15" x14ac:dyDescent="0.2">
      <c r="F71" s="373"/>
      <c r="G71" s="232"/>
      <c r="H71" s="232"/>
      <c r="I71" s="232"/>
      <c r="J71" s="232"/>
      <c r="K71" s="232"/>
      <c r="L71" s="232"/>
      <c r="M71" s="232"/>
      <c r="N71" s="232"/>
      <c r="O71" s="232"/>
    </row>
    <row r="72" spans="6:15" x14ac:dyDescent="0.2">
      <c r="F72" s="373"/>
      <c r="G72" s="232"/>
      <c r="H72" s="232"/>
      <c r="I72" s="232"/>
      <c r="J72" s="232"/>
      <c r="K72" s="232"/>
      <c r="L72" s="232"/>
      <c r="M72" s="232"/>
      <c r="N72" s="232"/>
      <c r="O72" s="232"/>
    </row>
    <row r="73" spans="6:15" x14ac:dyDescent="0.2">
      <c r="F73" s="373"/>
      <c r="G73" s="232"/>
      <c r="H73" s="232"/>
      <c r="I73" s="232"/>
      <c r="J73" s="232"/>
      <c r="K73" s="232"/>
      <c r="L73" s="232"/>
      <c r="M73" s="232"/>
      <c r="N73" s="232"/>
      <c r="O73" s="232"/>
    </row>
    <row r="74" spans="6:15" ht="36" customHeight="1" x14ac:dyDescent="0.2">
      <c r="F74" s="373"/>
      <c r="G74" s="232"/>
      <c r="H74" s="232"/>
      <c r="I74" s="232"/>
      <c r="J74" s="232"/>
      <c r="K74" s="232"/>
      <c r="L74" s="232"/>
      <c r="M74" s="232"/>
      <c r="N74" s="232"/>
      <c r="O74" s="232"/>
    </row>
    <row r="75" spans="6:15" x14ac:dyDescent="0.2">
      <c r="F75" s="373"/>
      <c r="G75" s="232"/>
      <c r="H75" s="232"/>
      <c r="I75" s="232"/>
      <c r="J75" s="232"/>
      <c r="K75" s="232"/>
      <c r="L75" s="232"/>
      <c r="M75" s="232"/>
      <c r="N75" s="232"/>
      <c r="O75" s="232"/>
    </row>
    <row r="76" spans="6:15" x14ac:dyDescent="0.2">
      <c r="F76" s="373"/>
      <c r="G76" s="232"/>
      <c r="H76" s="232"/>
      <c r="I76" s="232"/>
      <c r="J76" s="232"/>
      <c r="K76" s="232"/>
      <c r="L76" s="232"/>
      <c r="M76" s="232"/>
      <c r="N76" s="232"/>
      <c r="O76" s="232"/>
    </row>
    <row r="77" spans="6:15" x14ac:dyDescent="0.2">
      <c r="F77" s="373"/>
      <c r="G77" s="232"/>
      <c r="H77" s="232"/>
      <c r="I77" s="232"/>
      <c r="J77" s="232"/>
      <c r="K77" s="232"/>
      <c r="L77" s="232"/>
      <c r="M77" s="232"/>
      <c r="N77" s="232"/>
      <c r="O77" s="232"/>
    </row>
    <row r="78" spans="6:15" ht="13.2" x14ac:dyDescent="0.25">
      <c r="F78" s="373"/>
      <c r="G78" s="232"/>
      <c r="H78" s="374"/>
      <c r="I78" s="232"/>
      <c r="J78" s="232"/>
      <c r="K78" s="232"/>
      <c r="L78" s="232"/>
      <c r="M78" s="232"/>
      <c r="N78" s="232"/>
      <c r="O78" s="232"/>
    </row>
    <row r="79" spans="6:15" x14ac:dyDescent="0.2">
      <c r="G79" s="232"/>
      <c r="H79" s="232"/>
      <c r="I79" s="232"/>
      <c r="J79" s="232"/>
      <c r="K79" s="232"/>
      <c r="L79" s="232"/>
      <c r="M79" s="232"/>
      <c r="N79" s="232"/>
      <c r="O79" s="232"/>
    </row>
  </sheetData>
  <mergeCells count="5">
    <mergeCell ref="B8:J8"/>
    <mergeCell ref="B11:J11"/>
    <mergeCell ref="B36:J36"/>
    <mergeCell ref="A52:B52"/>
    <mergeCell ref="A54:B54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B4B4D-1F3A-4A4C-9B75-6DB78B5617EC}">
  <dimension ref="A1:AC55"/>
  <sheetViews>
    <sheetView topLeftCell="G4" workbookViewId="0">
      <selection activeCell="W42" sqref="W42"/>
    </sheetView>
  </sheetViews>
  <sheetFormatPr defaultColWidth="9.109375" defaultRowHeight="13.2" x14ac:dyDescent="0.25"/>
  <cols>
    <col min="1" max="1" width="4.88671875" style="377" customWidth="1"/>
    <col min="2" max="3" width="13.6640625" style="376" customWidth="1"/>
    <col min="4" max="4" width="13.88671875" style="376" customWidth="1"/>
    <col min="5" max="5" width="8.44140625" style="377" customWidth="1"/>
    <col min="6" max="6" width="46.33203125" style="376" customWidth="1"/>
    <col min="7" max="7" width="16.33203125" style="378" customWidth="1"/>
    <col min="8" max="8" width="15.5546875" style="378" customWidth="1"/>
    <col min="9" max="9" width="11.44140625" style="379" customWidth="1"/>
    <col min="10" max="10" width="10" style="379" bestFit="1" customWidth="1"/>
    <col min="11" max="11" width="12" style="377" customWidth="1"/>
    <col min="12" max="12" width="10.5546875" style="377" customWidth="1"/>
    <col min="13" max="13" width="11" style="377" customWidth="1"/>
    <col min="14" max="14" width="9.109375" style="377"/>
    <col min="15" max="15" width="11.5546875" style="377" customWidth="1"/>
    <col min="16" max="16" width="9.109375" style="377"/>
    <col min="17" max="17" width="10.109375" style="377" bestFit="1" customWidth="1"/>
    <col min="18" max="18" width="9.109375" style="377"/>
    <col min="19" max="19" width="13.33203125" style="377" customWidth="1"/>
    <col min="20" max="20" width="16.5546875" style="377" customWidth="1"/>
    <col min="21" max="21" width="12.33203125" style="377" customWidth="1"/>
    <col min="22" max="22" width="12" style="377" customWidth="1"/>
    <col min="23" max="23" width="14" style="377" customWidth="1"/>
    <col min="24" max="24" width="10" style="377" customWidth="1"/>
    <col min="25" max="25" width="13.6640625" style="377" customWidth="1"/>
    <col min="26" max="26" width="13.44140625" style="377" customWidth="1"/>
    <col min="27" max="27" width="14.33203125" style="377" customWidth="1"/>
    <col min="28" max="256" width="9.109375" style="377"/>
    <col min="257" max="257" width="4.88671875" style="377" customWidth="1"/>
    <col min="258" max="259" width="13.6640625" style="377" customWidth="1"/>
    <col min="260" max="260" width="13.88671875" style="377" customWidth="1"/>
    <col min="261" max="261" width="8.44140625" style="377" customWidth="1"/>
    <col min="262" max="262" width="46.33203125" style="377" customWidth="1"/>
    <col min="263" max="263" width="16.33203125" style="377" customWidth="1"/>
    <col min="264" max="264" width="15.5546875" style="377" customWidth="1"/>
    <col min="265" max="265" width="11.44140625" style="377" customWidth="1"/>
    <col min="266" max="266" width="10" style="377" bestFit="1" customWidth="1"/>
    <col min="267" max="267" width="12" style="377" customWidth="1"/>
    <col min="268" max="268" width="10.5546875" style="377" customWidth="1"/>
    <col min="269" max="269" width="11" style="377" customWidth="1"/>
    <col min="270" max="270" width="9.109375" style="377"/>
    <col min="271" max="271" width="11.5546875" style="377" customWidth="1"/>
    <col min="272" max="272" width="9.109375" style="377"/>
    <col min="273" max="273" width="10.109375" style="377" bestFit="1" customWidth="1"/>
    <col min="274" max="274" width="9.109375" style="377"/>
    <col min="275" max="275" width="13.33203125" style="377" customWidth="1"/>
    <col min="276" max="276" width="16.5546875" style="377" customWidth="1"/>
    <col min="277" max="277" width="12.33203125" style="377" customWidth="1"/>
    <col min="278" max="278" width="12" style="377" customWidth="1"/>
    <col min="279" max="279" width="14" style="377" customWidth="1"/>
    <col min="280" max="280" width="10" style="377" customWidth="1"/>
    <col min="281" max="281" width="13.6640625" style="377" customWidth="1"/>
    <col min="282" max="282" width="13.44140625" style="377" customWidth="1"/>
    <col min="283" max="283" width="14.33203125" style="377" customWidth="1"/>
    <col min="284" max="512" width="9.109375" style="377"/>
    <col min="513" max="513" width="4.88671875" style="377" customWidth="1"/>
    <col min="514" max="515" width="13.6640625" style="377" customWidth="1"/>
    <col min="516" max="516" width="13.88671875" style="377" customWidth="1"/>
    <col min="517" max="517" width="8.44140625" style="377" customWidth="1"/>
    <col min="518" max="518" width="46.33203125" style="377" customWidth="1"/>
    <col min="519" max="519" width="16.33203125" style="377" customWidth="1"/>
    <col min="520" max="520" width="15.5546875" style="377" customWidth="1"/>
    <col min="521" max="521" width="11.44140625" style="377" customWidth="1"/>
    <col min="522" max="522" width="10" style="377" bestFit="1" customWidth="1"/>
    <col min="523" max="523" width="12" style="377" customWidth="1"/>
    <col min="524" max="524" width="10.5546875" style="377" customWidth="1"/>
    <col min="525" max="525" width="11" style="377" customWidth="1"/>
    <col min="526" max="526" width="9.109375" style="377"/>
    <col min="527" max="527" width="11.5546875" style="377" customWidth="1"/>
    <col min="528" max="528" width="9.109375" style="377"/>
    <col min="529" max="529" width="10.109375" style="377" bestFit="1" customWidth="1"/>
    <col min="530" max="530" width="9.109375" style="377"/>
    <col min="531" max="531" width="13.33203125" style="377" customWidth="1"/>
    <col min="532" max="532" width="16.5546875" style="377" customWidth="1"/>
    <col min="533" max="533" width="12.33203125" style="377" customWidth="1"/>
    <col min="534" max="534" width="12" style="377" customWidth="1"/>
    <col min="535" max="535" width="14" style="377" customWidth="1"/>
    <col min="536" max="536" width="10" style="377" customWidth="1"/>
    <col min="537" max="537" width="13.6640625" style="377" customWidth="1"/>
    <col min="538" max="538" width="13.44140625" style="377" customWidth="1"/>
    <col min="539" max="539" width="14.33203125" style="377" customWidth="1"/>
    <col min="540" max="768" width="9.109375" style="377"/>
    <col min="769" max="769" width="4.88671875" style="377" customWidth="1"/>
    <col min="770" max="771" width="13.6640625" style="377" customWidth="1"/>
    <col min="772" max="772" width="13.88671875" style="377" customWidth="1"/>
    <col min="773" max="773" width="8.44140625" style="377" customWidth="1"/>
    <col min="774" max="774" width="46.33203125" style="377" customWidth="1"/>
    <col min="775" max="775" width="16.33203125" style="377" customWidth="1"/>
    <col min="776" max="776" width="15.5546875" style="377" customWidth="1"/>
    <col min="777" max="777" width="11.44140625" style="377" customWidth="1"/>
    <col min="778" max="778" width="10" style="377" bestFit="1" customWidth="1"/>
    <col min="779" max="779" width="12" style="377" customWidth="1"/>
    <col min="780" max="780" width="10.5546875" style="377" customWidth="1"/>
    <col min="781" max="781" width="11" style="377" customWidth="1"/>
    <col min="782" max="782" width="9.109375" style="377"/>
    <col min="783" max="783" width="11.5546875" style="377" customWidth="1"/>
    <col min="784" max="784" width="9.109375" style="377"/>
    <col min="785" max="785" width="10.109375" style="377" bestFit="1" customWidth="1"/>
    <col min="786" max="786" width="9.109375" style="377"/>
    <col min="787" max="787" width="13.33203125" style="377" customWidth="1"/>
    <col min="788" max="788" width="16.5546875" style="377" customWidth="1"/>
    <col min="789" max="789" width="12.33203125" style="377" customWidth="1"/>
    <col min="790" max="790" width="12" style="377" customWidth="1"/>
    <col min="791" max="791" width="14" style="377" customWidth="1"/>
    <col min="792" max="792" width="10" style="377" customWidth="1"/>
    <col min="793" max="793" width="13.6640625" style="377" customWidth="1"/>
    <col min="794" max="794" width="13.44140625" style="377" customWidth="1"/>
    <col min="795" max="795" width="14.33203125" style="377" customWidth="1"/>
    <col min="796" max="1024" width="9.109375" style="377"/>
    <col min="1025" max="1025" width="4.88671875" style="377" customWidth="1"/>
    <col min="1026" max="1027" width="13.6640625" style="377" customWidth="1"/>
    <col min="1028" max="1028" width="13.88671875" style="377" customWidth="1"/>
    <col min="1029" max="1029" width="8.44140625" style="377" customWidth="1"/>
    <col min="1030" max="1030" width="46.33203125" style="377" customWidth="1"/>
    <col min="1031" max="1031" width="16.33203125" style="377" customWidth="1"/>
    <col min="1032" max="1032" width="15.5546875" style="377" customWidth="1"/>
    <col min="1033" max="1033" width="11.44140625" style="377" customWidth="1"/>
    <col min="1034" max="1034" width="10" style="377" bestFit="1" customWidth="1"/>
    <col min="1035" max="1035" width="12" style="377" customWidth="1"/>
    <col min="1036" max="1036" width="10.5546875" style="377" customWidth="1"/>
    <col min="1037" max="1037" width="11" style="377" customWidth="1"/>
    <col min="1038" max="1038" width="9.109375" style="377"/>
    <col min="1039" max="1039" width="11.5546875" style="377" customWidth="1"/>
    <col min="1040" max="1040" width="9.109375" style="377"/>
    <col min="1041" max="1041" width="10.109375" style="377" bestFit="1" customWidth="1"/>
    <col min="1042" max="1042" width="9.109375" style="377"/>
    <col min="1043" max="1043" width="13.33203125" style="377" customWidth="1"/>
    <col min="1044" max="1044" width="16.5546875" style="377" customWidth="1"/>
    <col min="1045" max="1045" width="12.33203125" style="377" customWidth="1"/>
    <col min="1046" max="1046" width="12" style="377" customWidth="1"/>
    <col min="1047" max="1047" width="14" style="377" customWidth="1"/>
    <col min="1048" max="1048" width="10" style="377" customWidth="1"/>
    <col min="1049" max="1049" width="13.6640625" style="377" customWidth="1"/>
    <col min="1050" max="1050" width="13.44140625" style="377" customWidth="1"/>
    <col min="1051" max="1051" width="14.33203125" style="377" customWidth="1"/>
    <col min="1052" max="1280" width="9.109375" style="377"/>
    <col min="1281" max="1281" width="4.88671875" style="377" customWidth="1"/>
    <col min="1282" max="1283" width="13.6640625" style="377" customWidth="1"/>
    <col min="1284" max="1284" width="13.88671875" style="377" customWidth="1"/>
    <col min="1285" max="1285" width="8.44140625" style="377" customWidth="1"/>
    <col min="1286" max="1286" width="46.33203125" style="377" customWidth="1"/>
    <col min="1287" max="1287" width="16.33203125" style="377" customWidth="1"/>
    <col min="1288" max="1288" width="15.5546875" style="377" customWidth="1"/>
    <col min="1289" max="1289" width="11.44140625" style="377" customWidth="1"/>
    <col min="1290" max="1290" width="10" style="377" bestFit="1" customWidth="1"/>
    <col min="1291" max="1291" width="12" style="377" customWidth="1"/>
    <col min="1292" max="1292" width="10.5546875" style="377" customWidth="1"/>
    <col min="1293" max="1293" width="11" style="377" customWidth="1"/>
    <col min="1294" max="1294" width="9.109375" style="377"/>
    <col min="1295" max="1295" width="11.5546875" style="377" customWidth="1"/>
    <col min="1296" max="1296" width="9.109375" style="377"/>
    <col min="1297" max="1297" width="10.109375" style="377" bestFit="1" customWidth="1"/>
    <col min="1298" max="1298" width="9.109375" style="377"/>
    <col min="1299" max="1299" width="13.33203125" style="377" customWidth="1"/>
    <col min="1300" max="1300" width="16.5546875" style="377" customWidth="1"/>
    <col min="1301" max="1301" width="12.33203125" style="377" customWidth="1"/>
    <col min="1302" max="1302" width="12" style="377" customWidth="1"/>
    <col min="1303" max="1303" width="14" style="377" customWidth="1"/>
    <col min="1304" max="1304" width="10" style="377" customWidth="1"/>
    <col min="1305" max="1305" width="13.6640625" style="377" customWidth="1"/>
    <col min="1306" max="1306" width="13.44140625" style="377" customWidth="1"/>
    <col min="1307" max="1307" width="14.33203125" style="377" customWidth="1"/>
    <col min="1308" max="1536" width="9.109375" style="377"/>
    <col min="1537" max="1537" width="4.88671875" style="377" customWidth="1"/>
    <col min="1538" max="1539" width="13.6640625" style="377" customWidth="1"/>
    <col min="1540" max="1540" width="13.88671875" style="377" customWidth="1"/>
    <col min="1541" max="1541" width="8.44140625" style="377" customWidth="1"/>
    <col min="1542" max="1542" width="46.33203125" style="377" customWidth="1"/>
    <col min="1543" max="1543" width="16.33203125" style="377" customWidth="1"/>
    <col min="1544" max="1544" width="15.5546875" style="377" customWidth="1"/>
    <col min="1545" max="1545" width="11.44140625" style="377" customWidth="1"/>
    <col min="1546" max="1546" width="10" style="377" bestFit="1" customWidth="1"/>
    <col min="1547" max="1547" width="12" style="377" customWidth="1"/>
    <col min="1548" max="1548" width="10.5546875" style="377" customWidth="1"/>
    <col min="1549" max="1549" width="11" style="377" customWidth="1"/>
    <col min="1550" max="1550" width="9.109375" style="377"/>
    <col min="1551" max="1551" width="11.5546875" style="377" customWidth="1"/>
    <col min="1552" max="1552" width="9.109375" style="377"/>
    <col min="1553" max="1553" width="10.109375" style="377" bestFit="1" customWidth="1"/>
    <col min="1554" max="1554" width="9.109375" style="377"/>
    <col min="1555" max="1555" width="13.33203125" style="377" customWidth="1"/>
    <col min="1556" max="1556" width="16.5546875" style="377" customWidth="1"/>
    <col min="1557" max="1557" width="12.33203125" style="377" customWidth="1"/>
    <col min="1558" max="1558" width="12" style="377" customWidth="1"/>
    <col min="1559" max="1559" width="14" style="377" customWidth="1"/>
    <col min="1560" max="1560" width="10" style="377" customWidth="1"/>
    <col min="1561" max="1561" width="13.6640625" style="377" customWidth="1"/>
    <col min="1562" max="1562" width="13.44140625" style="377" customWidth="1"/>
    <col min="1563" max="1563" width="14.33203125" style="377" customWidth="1"/>
    <col min="1564" max="1792" width="9.109375" style="377"/>
    <col min="1793" max="1793" width="4.88671875" style="377" customWidth="1"/>
    <col min="1794" max="1795" width="13.6640625" style="377" customWidth="1"/>
    <col min="1796" max="1796" width="13.88671875" style="377" customWidth="1"/>
    <col min="1797" max="1797" width="8.44140625" style="377" customWidth="1"/>
    <col min="1798" max="1798" width="46.33203125" style="377" customWidth="1"/>
    <col min="1799" max="1799" width="16.33203125" style="377" customWidth="1"/>
    <col min="1800" max="1800" width="15.5546875" style="377" customWidth="1"/>
    <col min="1801" max="1801" width="11.44140625" style="377" customWidth="1"/>
    <col min="1802" max="1802" width="10" style="377" bestFit="1" customWidth="1"/>
    <col min="1803" max="1803" width="12" style="377" customWidth="1"/>
    <col min="1804" max="1804" width="10.5546875" style="377" customWidth="1"/>
    <col min="1805" max="1805" width="11" style="377" customWidth="1"/>
    <col min="1806" max="1806" width="9.109375" style="377"/>
    <col min="1807" max="1807" width="11.5546875" style="377" customWidth="1"/>
    <col min="1808" max="1808" width="9.109375" style="377"/>
    <col min="1809" max="1809" width="10.109375" style="377" bestFit="1" customWidth="1"/>
    <col min="1810" max="1810" width="9.109375" style="377"/>
    <col min="1811" max="1811" width="13.33203125" style="377" customWidth="1"/>
    <col min="1812" max="1812" width="16.5546875" style="377" customWidth="1"/>
    <col min="1813" max="1813" width="12.33203125" style="377" customWidth="1"/>
    <col min="1814" max="1814" width="12" style="377" customWidth="1"/>
    <col min="1815" max="1815" width="14" style="377" customWidth="1"/>
    <col min="1816" max="1816" width="10" style="377" customWidth="1"/>
    <col min="1817" max="1817" width="13.6640625" style="377" customWidth="1"/>
    <col min="1818" max="1818" width="13.44140625" style="377" customWidth="1"/>
    <col min="1819" max="1819" width="14.33203125" style="377" customWidth="1"/>
    <col min="1820" max="2048" width="9.109375" style="377"/>
    <col min="2049" max="2049" width="4.88671875" style="377" customWidth="1"/>
    <col min="2050" max="2051" width="13.6640625" style="377" customWidth="1"/>
    <col min="2052" max="2052" width="13.88671875" style="377" customWidth="1"/>
    <col min="2053" max="2053" width="8.44140625" style="377" customWidth="1"/>
    <col min="2054" max="2054" width="46.33203125" style="377" customWidth="1"/>
    <col min="2055" max="2055" width="16.33203125" style="377" customWidth="1"/>
    <col min="2056" max="2056" width="15.5546875" style="377" customWidth="1"/>
    <col min="2057" max="2057" width="11.44140625" style="377" customWidth="1"/>
    <col min="2058" max="2058" width="10" style="377" bestFit="1" customWidth="1"/>
    <col min="2059" max="2059" width="12" style="377" customWidth="1"/>
    <col min="2060" max="2060" width="10.5546875" style="377" customWidth="1"/>
    <col min="2061" max="2061" width="11" style="377" customWidth="1"/>
    <col min="2062" max="2062" width="9.109375" style="377"/>
    <col min="2063" max="2063" width="11.5546875" style="377" customWidth="1"/>
    <col min="2064" max="2064" width="9.109375" style="377"/>
    <col min="2065" max="2065" width="10.109375" style="377" bestFit="1" customWidth="1"/>
    <col min="2066" max="2066" width="9.109375" style="377"/>
    <col min="2067" max="2067" width="13.33203125" style="377" customWidth="1"/>
    <col min="2068" max="2068" width="16.5546875" style="377" customWidth="1"/>
    <col min="2069" max="2069" width="12.33203125" style="377" customWidth="1"/>
    <col min="2070" max="2070" width="12" style="377" customWidth="1"/>
    <col min="2071" max="2071" width="14" style="377" customWidth="1"/>
    <col min="2072" max="2072" width="10" style="377" customWidth="1"/>
    <col min="2073" max="2073" width="13.6640625" style="377" customWidth="1"/>
    <col min="2074" max="2074" width="13.44140625" style="377" customWidth="1"/>
    <col min="2075" max="2075" width="14.33203125" style="377" customWidth="1"/>
    <col min="2076" max="2304" width="9.109375" style="377"/>
    <col min="2305" max="2305" width="4.88671875" style="377" customWidth="1"/>
    <col min="2306" max="2307" width="13.6640625" style="377" customWidth="1"/>
    <col min="2308" max="2308" width="13.88671875" style="377" customWidth="1"/>
    <col min="2309" max="2309" width="8.44140625" style="377" customWidth="1"/>
    <col min="2310" max="2310" width="46.33203125" style="377" customWidth="1"/>
    <col min="2311" max="2311" width="16.33203125" style="377" customWidth="1"/>
    <col min="2312" max="2312" width="15.5546875" style="377" customWidth="1"/>
    <col min="2313" max="2313" width="11.44140625" style="377" customWidth="1"/>
    <col min="2314" max="2314" width="10" style="377" bestFit="1" customWidth="1"/>
    <col min="2315" max="2315" width="12" style="377" customWidth="1"/>
    <col min="2316" max="2316" width="10.5546875" style="377" customWidth="1"/>
    <col min="2317" max="2317" width="11" style="377" customWidth="1"/>
    <col min="2318" max="2318" width="9.109375" style="377"/>
    <col min="2319" max="2319" width="11.5546875" style="377" customWidth="1"/>
    <col min="2320" max="2320" width="9.109375" style="377"/>
    <col min="2321" max="2321" width="10.109375" style="377" bestFit="1" customWidth="1"/>
    <col min="2322" max="2322" width="9.109375" style="377"/>
    <col min="2323" max="2323" width="13.33203125" style="377" customWidth="1"/>
    <col min="2324" max="2324" width="16.5546875" style="377" customWidth="1"/>
    <col min="2325" max="2325" width="12.33203125" style="377" customWidth="1"/>
    <col min="2326" max="2326" width="12" style="377" customWidth="1"/>
    <col min="2327" max="2327" width="14" style="377" customWidth="1"/>
    <col min="2328" max="2328" width="10" style="377" customWidth="1"/>
    <col min="2329" max="2329" width="13.6640625" style="377" customWidth="1"/>
    <col min="2330" max="2330" width="13.44140625" style="377" customWidth="1"/>
    <col min="2331" max="2331" width="14.33203125" style="377" customWidth="1"/>
    <col min="2332" max="2560" width="9.109375" style="377"/>
    <col min="2561" max="2561" width="4.88671875" style="377" customWidth="1"/>
    <col min="2562" max="2563" width="13.6640625" style="377" customWidth="1"/>
    <col min="2564" max="2564" width="13.88671875" style="377" customWidth="1"/>
    <col min="2565" max="2565" width="8.44140625" style="377" customWidth="1"/>
    <col min="2566" max="2566" width="46.33203125" style="377" customWidth="1"/>
    <col min="2567" max="2567" width="16.33203125" style="377" customWidth="1"/>
    <col min="2568" max="2568" width="15.5546875" style="377" customWidth="1"/>
    <col min="2569" max="2569" width="11.44140625" style="377" customWidth="1"/>
    <col min="2570" max="2570" width="10" style="377" bestFit="1" customWidth="1"/>
    <col min="2571" max="2571" width="12" style="377" customWidth="1"/>
    <col min="2572" max="2572" width="10.5546875" style="377" customWidth="1"/>
    <col min="2573" max="2573" width="11" style="377" customWidth="1"/>
    <col min="2574" max="2574" width="9.109375" style="377"/>
    <col min="2575" max="2575" width="11.5546875" style="377" customWidth="1"/>
    <col min="2576" max="2576" width="9.109375" style="377"/>
    <col min="2577" max="2577" width="10.109375" style="377" bestFit="1" customWidth="1"/>
    <col min="2578" max="2578" width="9.109375" style="377"/>
    <col min="2579" max="2579" width="13.33203125" style="377" customWidth="1"/>
    <col min="2580" max="2580" width="16.5546875" style="377" customWidth="1"/>
    <col min="2581" max="2581" width="12.33203125" style="377" customWidth="1"/>
    <col min="2582" max="2582" width="12" style="377" customWidth="1"/>
    <col min="2583" max="2583" width="14" style="377" customWidth="1"/>
    <col min="2584" max="2584" width="10" style="377" customWidth="1"/>
    <col min="2585" max="2585" width="13.6640625" style="377" customWidth="1"/>
    <col min="2586" max="2586" width="13.44140625" style="377" customWidth="1"/>
    <col min="2587" max="2587" width="14.33203125" style="377" customWidth="1"/>
    <col min="2588" max="2816" width="9.109375" style="377"/>
    <col min="2817" max="2817" width="4.88671875" style="377" customWidth="1"/>
    <col min="2818" max="2819" width="13.6640625" style="377" customWidth="1"/>
    <col min="2820" max="2820" width="13.88671875" style="377" customWidth="1"/>
    <col min="2821" max="2821" width="8.44140625" style="377" customWidth="1"/>
    <col min="2822" max="2822" width="46.33203125" style="377" customWidth="1"/>
    <col min="2823" max="2823" width="16.33203125" style="377" customWidth="1"/>
    <col min="2824" max="2824" width="15.5546875" style="377" customWidth="1"/>
    <col min="2825" max="2825" width="11.44140625" style="377" customWidth="1"/>
    <col min="2826" max="2826" width="10" style="377" bestFit="1" customWidth="1"/>
    <col min="2827" max="2827" width="12" style="377" customWidth="1"/>
    <col min="2828" max="2828" width="10.5546875" style="377" customWidth="1"/>
    <col min="2829" max="2829" width="11" style="377" customWidth="1"/>
    <col min="2830" max="2830" width="9.109375" style="377"/>
    <col min="2831" max="2831" width="11.5546875" style="377" customWidth="1"/>
    <col min="2832" max="2832" width="9.109375" style="377"/>
    <col min="2833" max="2833" width="10.109375" style="377" bestFit="1" customWidth="1"/>
    <col min="2834" max="2834" width="9.109375" style="377"/>
    <col min="2835" max="2835" width="13.33203125" style="377" customWidth="1"/>
    <col min="2836" max="2836" width="16.5546875" style="377" customWidth="1"/>
    <col min="2837" max="2837" width="12.33203125" style="377" customWidth="1"/>
    <col min="2838" max="2838" width="12" style="377" customWidth="1"/>
    <col min="2839" max="2839" width="14" style="377" customWidth="1"/>
    <col min="2840" max="2840" width="10" style="377" customWidth="1"/>
    <col min="2841" max="2841" width="13.6640625" style="377" customWidth="1"/>
    <col min="2842" max="2842" width="13.44140625" style="377" customWidth="1"/>
    <col min="2843" max="2843" width="14.33203125" style="377" customWidth="1"/>
    <col min="2844" max="3072" width="9.109375" style="377"/>
    <col min="3073" max="3073" width="4.88671875" style="377" customWidth="1"/>
    <col min="3074" max="3075" width="13.6640625" style="377" customWidth="1"/>
    <col min="3076" max="3076" width="13.88671875" style="377" customWidth="1"/>
    <col min="3077" max="3077" width="8.44140625" style="377" customWidth="1"/>
    <col min="3078" max="3078" width="46.33203125" style="377" customWidth="1"/>
    <col min="3079" max="3079" width="16.33203125" style="377" customWidth="1"/>
    <col min="3080" max="3080" width="15.5546875" style="377" customWidth="1"/>
    <col min="3081" max="3081" width="11.44140625" style="377" customWidth="1"/>
    <col min="3082" max="3082" width="10" style="377" bestFit="1" customWidth="1"/>
    <col min="3083" max="3083" width="12" style="377" customWidth="1"/>
    <col min="3084" max="3084" width="10.5546875" style="377" customWidth="1"/>
    <col min="3085" max="3085" width="11" style="377" customWidth="1"/>
    <col min="3086" max="3086" width="9.109375" style="377"/>
    <col min="3087" max="3087" width="11.5546875" style="377" customWidth="1"/>
    <col min="3088" max="3088" width="9.109375" style="377"/>
    <col min="3089" max="3089" width="10.109375" style="377" bestFit="1" customWidth="1"/>
    <col min="3090" max="3090" width="9.109375" style="377"/>
    <col min="3091" max="3091" width="13.33203125" style="377" customWidth="1"/>
    <col min="3092" max="3092" width="16.5546875" style="377" customWidth="1"/>
    <col min="3093" max="3093" width="12.33203125" style="377" customWidth="1"/>
    <col min="3094" max="3094" width="12" style="377" customWidth="1"/>
    <col min="3095" max="3095" width="14" style="377" customWidth="1"/>
    <col min="3096" max="3096" width="10" style="377" customWidth="1"/>
    <col min="3097" max="3097" width="13.6640625" style="377" customWidth="1"/>
    <col min="3098" max="3098" width="13.44140625" style="377" customWidth="1"/>
    <col min="3099" max="3099" width="14.33203125" style="377" customWidth="1"/>
    <col min="3100" max="3328" width="9.109375" style="377"/>
    <col min="3329" max="3329" width="4.88671875" style="377" customWidth="1"/>
    <col min="3330" max="3331" width="13.6640625" style="377" customWidth="1"/>
    <col min="3332" max="3332" width="13.88671875" style="377" customWidth="1"/>
    <col min="3333" max="3333" width="8.44140625" style="377" customWidth="1"/>
    <col min="3334" max="3334" width="46.33203125" style="377" customWidth="1"/>
    <col min="3335" max="3335" width="16.33203125" style="377" customWidth="1"/>
    <col min="3336" max="3336" width="15.5546875" style="377" customWidth="1"/>
    <col min="3337" max="3337" width="11.44140625" style="377" customWidth="1"/>
    <col min="3338" max="3338" width="10" style="377" bestFit="1" customWidth="1"/>
    <col min="3339" max="3339" width="12" style="377" customWidth="1"/>
    <col min="3340" max="3340" width="10.5546875" style="377" customWidth="1"/>
    <col min="3341" max="3341" width="11" style="377" customWidth="1"/>
    <col min="3342" max="3342" width="9.109375" style="377"/>
    <col min="3343" max="3343" width="11.5546875" style="377" customWidth="1"/>
    <col min="3344" max="3344" width="9.109375" style="377"/>
    <col min="3345" max="3345" width="10.109375" style="377" bestFit="1" customWidth="1"/>
    <col min="3346" max="3346" width="9.109375" style="377"/>
    <col min="3347" max="3347" width="13.33203125" style="377" customWidth="1"/>
    <col min="3348" max="3348" width="16.5546875" style="377" customWidth="1"/>
    <col min="3349" max="3349" width="12.33203125" style="377" customWidth="1"/>
    <col min="3350" max="3350" width="12" style="377" customWidth="1"/>
    <col min="3351" max="3351" width="14" style="377" customWidth="1"/>
    <col min="3352" max="3352" width="10" style="377" customWidth="1"/>
    <col min="3353" max="3353" width="13.6640625" style="377" customWidth="1"/>
    <col min="3354" max="3354" width="13.44140625" style="377" customWidth="1"/>
    <col min="3355" max="3355" width="14.33203125" style="377" customWidth="1"/>
    <col min="3356" max="3584" width="9.109375" style="377"/>
    <col min="3585" max="3585" width="4.88671875" style="377" customWidth="1"/>
    <col min="3586" max="3587" width="13.6640625" style="377" customWidth="1"/>
    <col min="3588" max="3588" width="13.88671875" style="377" customWidth="1"/>
    <col min="3589" max="3589" width="8.44140625" style="377" customWidth="1"/>
    <col min="3590" max="3590" width="46.33203125" style="377" customWidth="1"/>
    <col min="3591" max="3591" width="16.33203125" style="377" customWidth="1"/>
    <col min="3592" max="3592" width="15.5546875" style="377" customWidth="1"/>
    <col min="3593" max="3593" width="11.44140625" style="377" customWidth="1"/>
    <col min="3594" max="3594" width="10" style="377" bestFit="1" customWidth="1"/>
    <col min="3595" max="3595" width="12" style="377" customWidth="1"/>
    <col min="3596" max="3596" width="10.5546875" style="377" customWidth="1"/>
    <col min="3597" max="3597" width="11" style="377" customWidth="1"/>
    <col min="3598" max="3598" width="9.109375" style="377"/>
    <col min="3599" max="3599" width="11.5546875" style="377" customWidth="1"/>
    <col min="3600" max="3600" width="9.109375" style="377"/>
    <col min="3601" max="3601" width="10.109375" style="377" bestFit="1" customWidth="1"/>
    <col min="3602" max="3602" width="9.109375" style="377"/>
    <col min="3603" max="3603" width="13.33203125" style="377" customWidth="1"/>
    <col min="3604" max="3604" width="16.5546875" style="377" customWidth="1"/>
    <col min="3605" max="3605" width="12.33203125" style="377" customWidth="1"/>
    <col min="3606" max="3606" width="12" style="377" customWidth="1"/>
    <col min="3607" max="3607" width="14" style="377" customWidth="1"/>
    <col min="3608" max="3608" width="10" style="377" customWidth="1"/>
    <col min="3609" max="3609" width="13.6640625" style="377" customWidth="1"/>
    <col min="3610" max="3610" width="13.44140625" style="377" customWidth="1"/>
    <col min="3611" max="3611" width="14.33203125" style="377" customWidth="1"/>
    <col min="3612" max="3840" width="9.109375" style="377"/>
    <col min="3841" max="3841" width="4.88671875" style="377" customWidth="1"/>
    <col min="3842" max="3843" width="13.6640625" style="377" customWidth="1"/>
    <col min="3844" max="3844" width="13.88671875" style="377" customWidth="1"/>
    <col min="3845" max="3845" width="8.44140625" style="377" customWidth="1"/>
    <col min="3846" max="3846" width="46.33203125" style="377" customWidth="1"/>
    <col min="3847" max="3847" width="16.33203125" style="377" customWidth="1"/>
    <col min="3848" max="3848" width="15.5546875" style="377" customWidth="1"/>
    <col min="3849" max="3849" width="11.44140625" style="377" customWidth="1"/>
    <col min="3850" max="3850" width="10" style="377" bestFit="1" customWidth="1"/>
    <col min="3851" max="3851" width="12" style="377" customWidth="1"/>
    <col min="3852" max="3852" width="10.5546875" style="377" customWidth="1"/>
    <col min="3853" max="3853" width="11" style="377" customWidth="1"/>
    <col min="3854" max="3854" width="9.109375" style="377"/>
    <col min="3855" max="3855" width="11.5546875" style="377" customWidth="1"/>
    <col min="3856" max="3856" width="9.109375" style="377"/>
    <col min="3857" max="3857" width="10.109375" style="377" bestFit="1" customWidth="1"/>
    <col min="3858" max="3858" width="9.109375" style="377"/>
    <col min="3859" max="3859" width="13.33203125" style="377" customWidth="1"/>
    <col min="3860" max="3860" width="16.5546875" style="377" customWidth="1"/>
    <col min="3861" max="3861" width="12.33203125" style="377" customWidth="1"/>
    <col min="3862" max="3862" width="12" style="377" customWidth="1"/>
    <col min="3863" max="3863" width="14" style="377" customWidth="1"/>
    <col min="3864" max="3864" width="10" style="377" customWidth="1"/>
    <col min="3865" max="3865" width="13.6640625" style="377" customWidth="1"/>
    <col min="3866" max="3866" width="13.44140625" style="377" customWidth="1"/>
    <col min="3867" max="3867" width="14.33203125" style="377" customWidth="1"/>
    <col min="3868" max="4096" width="9.109375" style="377"/>
    <col min="4097" max="4097" width="4.88671875" style="377" customWidth="1"/>
    <col min="4098" max="4099" width="13.6640625" style="377" customWidth="1"/>
    <col min="4100" max="4100" width="13.88671875" style="377" customWidth="1"/>
    <col min="4101" max="4101" width="8.44140625" style="377" customWidth="1"/>
    <col min="4102" max="4102" width="46.33203125" style="377" customWidth="1"/>
    <col min="4103" max="4103" width="16.33203125" style="377" customWidth="1"/>
    <col min="4104" max="4104" width="15.5546875" style="377" customWidth="1"/>
    <col min="4105" max="4105" width="11.44140625" style="377" customWidth="1"/>
    <col min="4106" max="4106" width="10" style="377" bestFit="1" customWidth="1"/>
    <col min="4107" max="4107" width="12" style="377" customWidth="1"/>
    <col min="4108" max="4108" width="10.5546875" style="377" customWidth="1"/>
    <col min="4109" max="4109" width="11" style="377" customWidth="1"/>
    <col min="4110" max="4110" width="9.109375" style="377"/>
    <col min="4111" max="4111" width="11.5546875" style="377" customWidth="1"/>
    <col min="4112" max="4112" width="9.109375" style="377"/>
    <col min="4113" max="4113" width="10.109375" style="377" bestFit="1" customWidth="1"/>
    <col min="4114" max="4114" width="9.109375" style="377"/>
    <col min="4115" max="4115" width="13.33203125" style="377" customWidth="1"/>
    <col min="4116" max="4116" width="16.5546875" style="377" customWidth="1"/>
    <col min="4117" max="4117" width="12.33203125" style="377" customWidth="1"/>
    <col min="4118" max="4118" width="12" style="377" customWidth="1"/>
    <col min="4119" max="4119" width="14" style="377" customWidth="1"/>
    <col min="4120" max="4120" width="10" style="377" customWidth="1"/>
    <col min="4121" max="4121" width="13.6640625" style="377" customWidth="1"/>
    <col min="4122" max="4122" width="13.44140625" style="377" customWidth="1"/>
    <col min="4123" max="4123" width="14.33203125" style="377" customWidth="1"/>
    <col min="4124" max="4352" width="9.109375" style="377"/>
    <col min="4353" max="4353" width="4.88671875" style="377" customWidth="1"/>
    <col min="4354" max="4355" width="13.6640625" style="377" customWidth="1"/>
    <col min="4356" max="4356" width="13.88671875" style="377" customWidth="1"/>
    <col min="4357" max="4357" width="8.44140625" style="377" customWidth="1"/>
    <col min="4358" max="4358" width="46.33203125" style="377" customWidth="1"/>
    <col min="4359" max="4359" width="16.33203125" style="377" customWidth="1"/>
    <col min="4360" max="4360" width="15.5546875" style="377" customWidth="1"/>
    <col min="4361" max="4361" width="11.44140625" style="377" customWidth="1"/>
    <col min="4362" max="4362" width="10" style="377" bestFit="1" customWidth="1"/>
    <col min="4363" max="4363" width="12" style="377" customWidth="1"/>
    <col min="4364" max="4364" width="10.5546875" style="377" customWidth="1"/>
    <col min="4365" max="4365" width="11" style="377" customWidth="1"/>
    <col min="4366" max="4366" width="9.109375" style="377"/>
    <col min="4367" max="4367" width="11.5546875" style="377" customWidth="1"/>
    <col min="4368" max="4368" width="9.109375" style="377"/>
    <col min="4369" max="4369" width="10.109375" style="377" bestFit="1" customWidth="1"/>
    <col min="4370" max="4370" width="9.109375" style="377"/>
    <col min="4371" max="4371" width="13.33203125" style="377" customWidth="1"/>
    <col min="4372" max="4372" width="16.5546875" style="377" customWidth="1"/>
    <col min="4373" max="4373" width="12.33203125" style="377" customWidth="1"/>
    <col min="4374" max="4374" width="12" style="377" customWidth="1"/>
    <col min="4375" max="4375" width="14" style="377" customWidth="1"/>
    <col min="4376" max="4376" width="10" style="377" customWidth="1"/>
    <col min="4377" max="4377" width="13.6640625" style="377" customWidth="1"/>
    <col min="4378" max="4378" width="13.44140625" style="377" customWidth="1"/>
    <col min="4379" max="4379" width="14.33203125" style="377" customWidth="1"/>
    <col min="4380" max="4608" width="9.109375" style="377"/>
    <col min="4609" max="4609" width="4.88671875" style="377" customWidth="1"/>
    <col min="4610" max="4611" width="13.6640625" style="377" customWidth="1"/>
    <col min="4612" max="4612" width="13.88671875" style="377" customWidth="1"/>
    <col min="4613" max="4613" width="8.44140625" style="377" customWidth="1"/>
    <col min="4614" max="4614" width="46.33203125" style="377" customWidth="1"/>
    <col min="4615" max="4615" width="16.33203125" style="377" customWidth="1"/>
    <col min="4616" max="4616" width="15.5546875" style="377" customWidth="1"/>
    <col min="4617" max="4617" width="11.44140625" style="377" customWidth="1"/>
    <col min="4618" max="4618" width="10" style="377" bestFit="1" customWidth="1"/>
    <col min="4619" max="4619" width="12" style="377" customWidth="1"/>
    <col min="4620" max="4620" width="10.5546875" style="377" customWidth="1"/>
    <col min="4621" max="4621" width="11" style="377" customWidth="1"/>
    <col min="4622" max="4622" width="9.109375" style="377"/>
    <col min="4623" max="4623" width="11.5546875" style="377" customWidth="1"/>
    <col min="4624" max="4624" width="9.109375" style="377"/>
    <col min="4625" max="4625" width="10.109375" style="377" bestFit="1" customWidth="1"/>
    <col min="4626" max="4626" width="9.109375" style="377"/>
    <col min="4627" max="4627" width="13.33203125" style="377" customWidth="1"/>
    <col min="4628" max="4628" width="16.5546875" style="377" customWidth="1"/>
    <col min="4629" max="4629" width="12.33203125" style="377" customWidth="1"/>
    <col min="4630" max="4630" width="12" style="377" customWidth="1"/>
    <col min="4631" max="4631" width="14" style="377" customWidth="1"/>
    <col min="4632" max="4632" width="10" style="377" customWidth="1"/>
    <col min="4633" max="4633" width="13.6640625" style="377" customWidth="1"/>
    <col min="4634" max="4634" width="13.44140625" style="377" customWidth="1"/>
    <col min="4635" max="4635" width="14.33203125" style="377" customWidth="1"/>
    <col min="4636" max="4864" width="9.109375" style="377"/>
    <col min="4865" max="4865" width="4.88671875" style="377" customWidth="1"/>
    <col min="4866" max="4867" width="13.6640625" style="377" customWidth="1"/>
    <col min="4868" max="4868" width="13.88671875" style="377" customWidth="1"/>
    <col min="4869" max="4869" width="8.44140625" style="377" customWidth="1"/>
    <col min="4870" max="4870" width="46.33203125" style="377" customWidth="1"/>
    <col min="4871" max="4871" width="16.33203125" style="377" customWidth="1"/>
    <col min="4872" max="4872" width="15.5546875" style="377" customWidth="1"/>
    <col min="4873" max="4873" width="11.44140625" style="377" customWidth="1"/>
    <col min="4874" max="4874" width="10" style="377" bestFit="1" customWidth="1"/>
    <col min="4875" max="4875" width="12" style="377" customWidth="1"/>
    <col min="4876" max="4876" width="10.5546875" style="377" customWidth="1"/>
    <col min="4877" max="4877" width="11" style="377" customWidth="1"/>
    <col min="4878" max="4878" width="9.109375" style="377"/>
    <col min="4879" max="4879" width="11.5546875" style="377" customWidth="1"/>
    <col min="4880" max="4880" width="9.109375" style="377"/>
    <col min="4881" max="4881" width="10.109375" style="377" bestFit="1" customWidth="1"/>
    <col min="4882" max="4882" width="9.109375" style="377"/>
    <col min="4883" max="4883" width="13.33203125" style="377" customWidth="1"/>
    <col min="4884" max="4884" width="16.5546875" style="377" customWidth="1"/>
    <col min="4885" max="4885" width="12.33203125" style="377" customWidth="1"/>
    <col min="4886" max="4886" width="12" style="377" customWidth="1"/>
    <col min="4887" max="4887" width="14" style="377" customWidth="1"/>
    <col min="4888" max="4888" width="10" style="377" customWidth="1"/>
    <col min="4889" max="4889" width="13.6640625" style="377" customWidth="1"/>
    <col min="4890" max="4890" width="13.44140625" style="377" customWidth="1"/>
    <col min="4891" max="4891" width="14.33203125" style="377" customWidth="1"/>
    <col min="4892" max="5120" width="9.109375" style="377"/>
    <col min="5121" max="5121" width="4.88671875" style="377" customWidth="1"/>
    <col min="5122" max="5123" width="13.6640625" style="377" customWidth="1"/>
    <col min="5124" max="5124" width="13.88671875" style="377" customWidth="1"/>
    <col min="5125" max="5125" width="8.44140625" style="377" customWidth="1"/>
    <col min="5126" max="5126" width="46.33203125" style="377" customWidth="1"/>
    <col min="5127" max="5127" width="16.33203125" style="377" customWidth="1"/>
    <col min="5128" max="5128" width="15.5546875" style="377" customWidth="1"/>
    <col min="5129" max="5129" width="11.44140625" style="377" customWidth="1"/>
    <col min="5130" max="5130" width="10" style="377" bestFit="1" customWidth="1"/>
    <col min="5131" max="5131" width="12" style="377" customWidth="1"/>
    <col min="5132" max="5132" width="10.5546875" style="377" customWidth="1"/>
    <col min="5133" max="5133" width="11" style="377" customWidth="1"/>
    <col min="5134" max="5134" width="9.109375" style="377"/>
    <col min="5135" max="5135" width="11.5546875" style="377" customWidth="1"/>
    <col min="5136" max="5136" width="9.109375" style="377"/>
    <col min="5137" max="5137" width="10.109375" style="377" bestFit="1" customWidth="1"/>
    <col min="5138" max="5138" width="9.109375" style="377"/>
    <col min="5139" max="5139" width="13.33203125" style="377" customWidth="1"/>
    <col min="5140" max="5140" width="16.5546875" style="377" customWidth="1"/>
    <col min="5141" max="5141" width="12.33203125" style="377" customWidth="1"/>
    <col min="5142" max="5142" width="12" style="377" customWidth="1"/>
    <col min="5143" max="5143" width="14" style="377" customWidth="1"/>
    <col min="5144" max="5144" width="10" style="377" customWidth="1"/>
    <col min="5145" max="5145" width="13.6640625" style="377" customWidth="1"/>
    <col min="5146" max="5146" width="13.44140625" style="377" customWidth="1"/>
    <col min="5147" max="5147" width="14.33203125" style="377" customWidth="1"/>
    <col min="5148" max="5376" width="9.109375" style="377"/>
    <col min="5377" max="5377" width="4.88671875" style="377" customWidth="1"/>
    <col min="5378" max="5379" width="13.6640625" style="377" customWidth="1"/>
    <col min="5380" max="5380" width="13.88671875" style="377" customWidth="1"/>
    <col min="5381" max="5381" width="8.44140625" style="377" customWidth="1"/>
    <col min="5382" max="5382" width="46.33203125" style="377" customWidth="1"/>
    <col min="5383" max="5383" width="16.33203125" style="377" customWidth="1"/>
    <col min="5384" max="5384" width="15.5546875" style="377" customWidth="1"/>
    <col min="5385" max="5385" width="11.44140625" style="377" customWidth="1"/>
    <col min="5386" max="5386" width="10" style="377" bestFit="1" customWidth="1"/>
    <col min="5387" max="5387" width="12" style="377" customWidth="1"/>
    <col min="5388" max="5388" width="10.5546875" style="377" customWidth="1"/>
    <col min="5389" max="5389" width="11" style="377" customWidth="1"/>
    <col min="5390" max="5390" width="9.109375" style="377"/>
    <col min="5391" max="5391" width="11.5546875" style="377" customWidth="1"/>
    <col min="5392" max="5392" width="9.109375" style="377"/>
    <col min="5393" max="5393" width="10.109375" style="377" bestFit="1" customWidth="1"/>
    <col min="5394" max="5394" width="9.109375" style="377"/>
    <col min="5395" max="5395" width="13.33203125" style="377" customWidth="1"/>
    <col min="5396" max="5396" width="16.5546875" style="377" customWidth="1"/>
    <col min="5397" max="5397" width="12.33203125" style="377" customWidth="1"/>
    <col min="5398" max="5398" width="12" style="377" customWidth="1"/>
    <col min="5399" max="5399" width="14" style="377" customWidth="1"/>
    <col min="5400" max="5400" width="10" style="377" customWidth="1"/>
    <col min="5401" max="5401" width="13.6640625" style="377" customWidth="1"/>
    <col min="5402" max="5402" width="13.44140625" style="377" customWidth="1"/>
    <col min="5403" max="5403" width="14.33203125" style="377" customWidth="1"/>
    <col min="5404" max="5632" width="9.109375" style="377"/>
    <col min="5633" max="5633" width="4.88671875" style="377" customWidth="1"/>
    <col min="5634" max="5635" width="13.6640625" style="377" customWidth="1"/>
    <col min="5636" max="5636" width="13.88671875" style="377" customWidth="1"/>
    <col min="5637" max="5637" width="8.44140625" style="377" customWidth="1"/>
    <col min="5638" max="5638" width="46.33203125" style="377" customWidth="1"/>
    <col min="5639" max="5639" width="16.33203125" style="377" customWidth="1"/>
    <col min="5640" max="5640" width="15.5546875" style="377" customWidth="1"/>
    <col min="5641" max="5641" width="11.44140625" style="377" customWidth="1"/>
    <col min="5642" max="5642" width="10" style="377" bestFit="1" customWidth="1"/>
    <col min="5643" max="5643" width="12" style="377" customWidth="1"/>
    <col min="5644" max="5644" width="10.5546875" style="377" customWidth="1"/>
    <col min="5645" max="5645" width="11" style="377" customWidth="1"/>
    <col min="5646" max="5646" width="9.109375" style="377"/>
    <col min="5647" max="5647" width="11.5546875" style="377" customWidth="1"/>
    <col min="5648" max="5648" width="9.109375" style="377"/>
    <col min="5649" max="5649" width="10.109375" style="377" bestFit="1" customWidth="1"/>
    <col min="5650" max="5650" width="9.109375" style="377"/>
    <col min="5651" max="5651" width="13.33203125" style="377" customWidth="1"/>
    <col min="5652" max="5652" width="16.5546875" style="377" customWidth="1"/>
    <col min="5653" max="5653" width="12.33203125" style="377" customWidth="1"/>
    <col min="5654" max="5654" width="12" style="377" customWidth="1"/>
    <col min="5655" max="5655" width="14" style="377" customWidth="1"/>
    <col min="5656" max="5656" width="10" style="377" customWidth="1"/>
    <col min="5657" max="5657" width="13.6640625" style="377" customWidth="1"/>
    <col min="5658" max="5658" width="13.44140625" style="377" customWidth="1"/>
    <col min="5659" max="5659" width="14.33203125" style="377" customWidth="1"/>
    <col min="5660" max="5888" width="9.109375" style="377"/>
    <col min="5889" max="5889" width="4.88671875" style="377" customWidth="1"/>
    <col min="5890" max="5891" width="13.6640625" style="377" customWidth="1"/>
    <col min="5892" max="5892" width="13.88671875" style="377" customWidth="1"/>
    <col min="5893" max="5893" width="8.44140625" style="377" customWidth="1"/>
    <col min="5894" max="5894" width="46.33203125" style="377" customWidth="1"/>
    <col min="5895" max="5895" width="16.33203125" style="377" customWidth="1"/>
    <col min="5896" max="5896" width="15.5546875" style="377" customWidth="1"/>
    <col min="5897" max="5897" width="11.44140625" style="377" customWidth="1"/>
    <col min="5898" max="5898" width="10" style="377" bestFit="1" customWidth="1"/>
    <col min="5899" max="5899" width="12" style="377" customWidth="1"/>
    <col min="5900" max="5900" width="10.5546875" style="377" customWidth="1"/>
    <col min="5901" max="5901" width="11" style="377" customWidth="1"/>
    <col min="5902" max="5902" width="9.109375" style="377"/>
    <col min="5903" max="5903" width="11.5546875" style="377" customWidth="1"/>
    <col min="5904" max="5904" width="9.109375" style="377"/>
    <col min="5905" max="5905" width="10.109375" style="377" bestFit="1" customWidth="1"/>
    <col min="5906" max="5906" width="9.109375" style="377"/>
    <col min="5907" max="5907" width="13.33203125" style="377" customWidth="1"/>
    <col min="5908" max="5908" width="16.5546875" style="377" customWidth="1"/>
    <col min="5909" max="5909" width="12.33203125" style="377" customWidth="1"/>
    <col min="5910" max="5910" width="12" style="377" customWidth="1"/>
    <col min="5911" max="5911" width="14" style="377" customWidth="1"/>
    <col min="5912" max="5912" width="10" style="377" customWidth="1"/>
    <col min="5913" max="5913" width="13.6640625" style="377" customWidth="1"/>
    <col min="5914" max="5914" width="13.44140625" style="377" customWidth="1"/>
    <col min="5915" max="5915" width="14.33203125" style="377" customWidth="1"/>
    <col min="5916" max="6144" width="9.109375" style="377"/>
    <col min="6145" max="6145" width="4.88671875" style="377" customWidth="1"/>
    <col min="6146" max="6147" width="13.6640625" style="377" customWidth="1"/>
    <col min="6148" max="6148" width="13.88671875" style="377" customWidth="1"/>
    <col min="6149" max="6149" width="8.44140625" style="377" customWidth="1"/>
    <col min="6150" max="6150" width="46.33203125" style="377" customWidth="1"/>
    <col min="6151" max="6151" width="16.33203125" style="377" customWidth="1"/>
    <col min="6152" max="6152" width="15.5546875" style="377" customWidth="1"/>
    <col min="6153" max="6153" width="11.44140625" style="377" customWidth="1"/>
    <col min="6154" max="6154" width="10" style="377" bestFit="1" customWidth="1"/>
    <col min="6155" max="6155" width="12" style="377" customWidth="1"/>
    <col min="6156" max="6156" width="10.5546875" style="377" customWidth="1"/>
    <col min="6157" max="6157" width="11" style="377" customWidth="1"/>
    <col min="6158" max="6158" width="9.109375" style="377"/>
    <col min="6159" max="6159" width="11.5546875" style="377" customWidth="1"/>
    <col min="6160" max="6160" width="9.109375" style="377"/>
    <col min="6161" max="6161" width="10.109375" style="377" bestFit="1" customWidth="1"/>
    <col min="6162" max="6162" width="9.109375" style="377"/>
    <col min="6163" max="6163" width="13.33203125" style="377" customWidth="1"/>
    <col min="6164" max="6164" width="16.5546875" style="377" customWidth="1"/>
    <col min="6165" max="6165" width="12.33203125" style="377" customWidth="1"/>
    <col min="6166" max="6166" width="12" style="377" customWidth="1"/>
    <col min="6167" max="6167" width="14" style="377" customWidth="1"/>
    <col min="6168" max="6168" width="10" style="377" customWidth="1"/>
    <col min="6169" max="6169" width="13.6640625" style="377" customWidth="1"/>
    <col min="6170" max="6170" width="13.44140625" style="377" customWidth="1"/>
    <col min="6171" max="6171" width="14.33203125" style="377" customWidth="1"/>
    <col min="6172" max="6400" width="9.109375" style="377"/>
    <col min="6401" max="6401" width="4.88671875" style="377" customWidth="1"/>
    <col min="6402" max="6403" width="13.6640625" style="377" customWidth="1"/>
    <col min="6404" max="6404" width="13.88671875" style="377" customWidth="1"/>
    <col min="6405" max="6405" width="8.44140625" style="377" customWidth="1"/>
    <col min="6406" max="6406" width="46.33203125" style="377" customWidth="1"/>
    <col min="6407" max="6407" width="16.33203125" style="377" customWidth="1"/>
    <col min="6408" max="6408" width="15.5546875" style="377" customWidth="1"/>
    <col min="6409" max="6409" width="11.44140625" style="377" customWidth="1"/>
    <col min="6410" max="6410" width="10" style="377" bestFit="1" customWidth="1"/>
    <col min="6411" max="6411" width="12" style="377" customWidth="1"/>
    <col min="6412" max="6412" width="10.5546875" style="377" customWidth="1"/>
    <col min="6413" max="6413" width="11" style="377" customWidth="1"/>
    <col min="6414" max="6414" width="9.109375" style="377"/>
    <col min="6415" max="6415" width="11.5546875" style="377" customWidth="1"/>
    <col min="6416" max="6416" width="9.109375" style="377"/>
    <col min="6417" max="6417" width="10.109375" style="377" bestFit="1" customWidth="1"/>
    <col min="6418" max="6418" width="9.109375" style="377"/>
    <col min="6419" max="6419" width="13.33203125" style="377" customWidth="1"/>
    <col min="6420" max="6420" width="16.5546875" style="377" customWidth="1"/>
    <col min="6421" max="6421" width="12.33203125" style="377" customWidth="1"/>
    <col min="6422" max="6422" width="12" style="377" customWidth="1"/>
    <col min="6423" max="6423" width="14" style="377" customWidth="1"/>
    <col min="6424" max="6424" width="10" style="377" customWidth="1"/>
    <col min="6425" max="6425" width="13.6640625" style="377" customWidth="1"/>
    <col min="6426" max="6426" width="13.44140625" style="377" customWidth="1"/>
    <col min="6427" max="6427" width="14.33203125" style="377" customWidth="1"/>
    <col min="6428" max="6656" width="9.109375" style="377"/>
    <col min="6657" max="6657" width="4.88671875" style="377" customWidth="1"/>
    <col min="6658" max="6659" width="13.6640625" style="377" customWidth="1"/>
    <col min="6660" max="6660" width="13.88671875" style="377" customWidth="1"/>
    <col min="6661" max="6661" width="8.44140625" style="377" customWidth="1"/>
    <col min="6662" max="6662" width="46.33203125" style="377" customWidth="1"/>
    <col min="6663" max="6663" width="16.33203125" style="377" customWidth="1"/>
    <col min="6664" max="6664" width="15.5546875" style="377" customWidth="1"/>
    <col min="6665" max="6665" width="11.44140625" style="377" customWidth="1"/>
    <col min="6666" max="6666" width="10" style="377" bestFit="1" customWidth="1"/>
    <col min="6667" max="6667" width="12" style="377" customWidth="1"/>
    <col min="6668" max="6668" width="10.5546875" style="377" customWidth="1"/>
    <col min="6669" max="6669" width="11" style="377" customWidth="1"/>
    <col min="6670" max="6670" width="9.109375" style="377"/>
    <col min="6671" max="6671" width="11.5546875" style="377" customWidth="1"/>
    <col min="6672" max="6672" width="9.109375" style="377"/>
    <col min="6673" max="6673" width="10.109375" style="377" bestFit="1" customWidth="1"/>
    <col min="6674" max="6674" width="9.109375" style="377"/>
    <col min="6675" max="6675" width="13.33203125" style="377" customWidth="1"/>
    <col min="6676" max="6676" width="16.5546875" style="377" customWidth="1"/>
    <col min="6677" max="6677" width="12.33203125" style="377" customWidth="1"/>
    <col min="6678" max="6678" width="12" style="377" customWidth="1"/>
    <col min="6679" max="6679" width="14" style="377" customWidth="1"/>
    <col min="6680" max="6680" width="10" style="377" customWidth="1"/>
    <col min="6681" max="6681" width="13.6640625" style="377" customWidth="1"/>
    <col min="6682" max="6682" width="13.44140625" style="377" customWidth="1"/>
    <col min="6683" max="6683" width="14.33203125" style="377" customWidth="1"/>
    <col min="6684" max="6912" width="9.109375" style="377"/>
    <col min="6913" max="6913" width="4.88671875" style="377" customWidth="1"/>
    <col min="6914" max="6915" width="13.6640625" style="377" customWidth="1"/>
    <col min="6916" max="6916" width="13.88671875" style="377" customWidth="1"/>
    <col min="6917" max="6917" width="8.44140625" style="377" customWidth="1"/>
    <col min="6918" max="6918" width="46.33203125" style="377" customWidth="1"/>
    <col min="6919" max="6919" width="16.33203125" style="377" customWidth="1"/>
    <col min="6920" max="6920" width="15.5546875" style="377" customWidth="1"/>
    <col min="6921" max="6921" width="11.44140625" style="377" customWidth="1"/>
    <col min="6922" max="6922" width="10" style="377" bestFit="1" customWidth="1"/>
    <col min="6923" max="6923" width="12" style="377" customWidth="1"/>
    <col min="6924" max="6924" width="10.5546875" style="377" customWidth="1"/>
    <col min="6925" max="6925" width="11" style="377" customWidth="1"/>
    <col min="6926" max="6926" width="9.109375" style="377"/>
    <col min="6927" max="6927" width="11.5546875" style="377" customWidth="1"/>
    <col min="6928" max="6928" width="9.109375" style="377"/>
    <col min="6929" max="6929" width="10.109375" style="377" bestFit="1" customWidth="1"/>
    <col min="6930" max="6930" width="9.109375" style="377"/>
    <col min="6931" max="6931" width="13.33203125" style="377" customWidth="1"/>
    <col min="6932" max="6932" width="16.5546875" style="377" customWidth="1"/>
    <col min="6933" max="6933" width="12.33203125" style="377" customWidth="1"/>
    <col min="6934" max="6934" width="12" style="377" customWidth="1"/>
    <col min="6935" max="6935" width="14" style="377" customWidth="1"/>
    <col min="6936" max="6936" width="10" style="377" customWidth="1"/>
    <col min="6937" max="6937" width="13.6640625" style="377" customWidth="1"/>
    <col min="6938" max="6938" width="13.44140625" style="377" customWidth="1"/>
    <col min="6939" max="6939" width="14.33203125" style="377" customWidth="1"/>
    <col min="6940" max="7168" width="9.109375" style="377"/>
    <col min="7169" max="7169" width="4.88671875" style="377" customWidth="1"/>
    <col min="7170" max="7171" width="13.6640625" style="377" customWidth="1"/>
    <col min="7172" max="7172" width="13.88671875" style="377" customWidth="1"/>
    <col min="7173" max="7173" width="8.44140625" style="377" customWidth="1"/>
    <col min="7174" max="7174" width="46.33203125" style="377" customWidth="1"/>
    <col min="7175" max="7175" width="16.33203125" style="377" customWidth="1"/>
    <col min="7176" max="7176" width="15.5546875" style="377" customWidth="1"/>
    <col min="7177" max="7177" width="11.44140625" style="377" customWidth="1"/>
    <col min="7178" max="7178" width="10" style="377" bestFit="1" customWidth="1"/>
    <col min="7179" max="7179" width="12" style="377" customWidth="1"/>
    <col min="7180" max="7180" width="10.5546875" style="377" customWidth="1"/>
    <col min="7181" max="7181" width="11" style="377" customWidth="1"/>
    <col min="7182" max="7182" width="9.109375" style="377"/>
    <col min="7183" max="7183" width="11.5546875" style="377" customWidth="1"/>
    <col min="7184" max="7184" width="9.109375" style="377"/>
    <col min="7185" max="7185" width="10.109375" style="377" bestFit="1" customWidth="1"/>
    <col min="7186" max="7186" width="9.109375" style="377"/>
    <col min="7187" max="7187" width="13.33203125" style="377" customWidth="1"/>
    <col min="7188" max="7188" width="16.5546875" style="377" customWidth="1"/>
    <col min="7189" max="7189" width="12.33203125" style="377" customWidth="1"/>
    <col min="7190" max="7190" width="12" style="377" customWidth="1"/>
    <col min="7191" max="7191" width="14" style="377" customWidth="1"/>
    <col min="7192" max="7192" width="10" style="377" customWidth="1"/>
    <col min="7193" max="7193" width="13.6640625" style="377" customWidth="1"/>
    <col min="7194" max="7194" width="13.44140625" style="377" customWidth="1"/>
    <col min="7195" max="7195" width="14.33203125" style="377" customWidth="1"/>
    <col min="7196" max="7424" width="9.109375" style="377"/>
    <col min="7425" max="7425" width="4.88671875" style="377" customWidth="1"/>
    <col min="7426" max="7427" width="13.6640625" style="377" customWidth="1"/>
    <col min="7428" max="7428" width="13.88671875" style="377" customWidth="1"/>
    <col min="7429" max="7429" width="8.44140625" style="377" customWidth="1"/>
    <col min="7430" max="7430" width="46.33203125" style="377" customWidth="1"/>
    <col min="7431" max="7431" width="16.33203125" style="377" customWidth="1"/>
    <col min="7432" max="7432" width="15.5546875" style="377" customWidth="1"/>
    <col min="7433" max="7433" width="11.44140625" style="377" customWidth="1"/>
    <col min="7434" max="7434" width="10" style="377" bestFit="1" customWidth="1"/>
    <col min="7435" max="7435" width="12" style="377" customWidth="1"/>
    <col min="7436" max="7436" width="10.5546875" style="377" customWidth="1"/>
    <col min="7437" max="7437" width="11" style="377" customWidth="1"/>
    <col min="7438" max="7438" width="9.109375" style="377"/>
    <col min="7439" max="7439" width="11.5546875" style="377" customWidth="1"/>
    <col min="7440" max="7440" width="9.109375" style="377"/>
    <col min="7441" max="7441" width="10.109375" style="377" bestFit="1" customWidth="1"/>
    <col min="7442" max="7442" width="9.109375" style="377"/>
    <col min="7443" max="7443" width="13.33203125" style="377" customWidth="1"/>
    <col min="7444" max="7444" width="16.5546875" style="377" customWidth="1"/>
    <col min="7445" max="7445" width="12.33203125" style="377" customWidth="1"/>
    <col min="7446" max="7446" width="12" style="377" customWidth="1"/>
    <col min="7447" max="7447" width="14" style="377" customWidth="1"/>
    <col min="7448" max="7448" width="10" style="377" customWidth="1"/>
    <col min="7449" max="7449" width="13.6640625" style="377" customWidth="1"/>
    <col min="7450" max="7450" width="13.44140625" style="377" customWidth="1"/>
    <col min="7451" max="7451" width="14.33203125" style="377" customWidth="1"/>
    <col min="7452" max="7680" width="9.109375" style="377"/>
    <col min="7681" max="7681" width="4.88671875" style="377" customWidth="1"/>
    <col min="7682" max="7683" width="13.6640625" style="377" customWidth="1"/>
    <col min="7684" max="7684" width="13.88671875" style="377" customWidth="1"/>
    <col min="7685" max="7685" width="8.44140625" style="377" customWidth="1"/>
    <col min="7686" max="7686" width="46.33203125" style="377" customWidth="1"/>
    <col min="7687" max="7687" width="16.33203125" style="377" customWidth="1"/>
    <col min="7688" max="7688" width="15.5546875" style="377" customWidth="1"/>
    <col min="7689" max="7689" width="11.44140625" style="377" customWidth="1"/>
    <col min="7690" max="7690" width="10" style="377" bestFit="1" customWidth="1"/>
    <col min="7691" max="7691" width="12" style="377" customWidth="1"/>
    <col min="7692" max="7692" width="10.5546875" style="377" customWidth="1"/>
    <col min="7693" max="7693" width="11" style="377" customWidth="1"/>
    <col min="7694" max="7694" width="9.109375" style="377"/>
    <col min="7695" max="7695" width="11.5546875" style="377" customWidth="1"/>
    <col min="7696" max="7696" width="9.109375" style="377"/>
    <col min="7697" max="7697" width="10.109375" style="377" bestFit="1" customWidth="1"/>
    <col min="7698" max="7698" width="9.109375" style="377"/>
    <col min="7699" max="7699" width="13.33203125" style="377" customWidth="1"/>
    <col min="7700" max="7700" width="16.5546875" style="377" customWidth="1"/>
    <col min="7701" max="7701" width="12.33203125" style="377" customWidth="1"/>
    <col min="7702" max="7702" width="12" style="377" customWidth="1"/>
    <col min="7703" max="7703" width="14" style="377" customWidth="1"/>
    <col min="7704" max="7704" width="10" style="377" customWidth="1"/>
    <col min="7705" max="7705" width="13.6640625" style="377" customWidth="1"/>
    <col min="7706" max="7706" width="13.44140625" style="377" customWidth="1"/>
    <col min="7707" max="7707" width="14.33203125" style="377" customWidth="1"/>
    <col min="7708" max="7936" width="9.109375" style="377"/>
    <col min="7937" max="7937" width="4.88671875" style="377" customWidth="1"/>
    <col min="7938" max="7939" width="13.6640625" style="377" customWidth="1"/>
    <col min="7940" max="7940" width="13.88671875" style="377" customWidth="1"/>
    <col min="7941" max="7941" width="8.44140625" style="377" customWidth="1"/>
    <col min="7942" max="7942" width="46.33203125" style="377" customWidth="1"/>
    <col min="7943" max="7943" width="16.33203125" style="377" customWidth="1"/>
    <col min="7944" max="7944" width="15.5546875" style="377" customWidth="1"/>
    <col min="7945" max="7945" width="11.44140625" style="377" customWidth="1"/>
    <col min="7946" max="7946" width="10" style="377" bestFit="1" customWidth="1"/>
    <col min="7947" max="7947" width="12" style="377" customWidth="1"/>
    <col min="7948" max="7948" width="10.5546875" style="377" customWidth="1"/>
    <col min="7949" max="7949" width="11" style="377" customWidth="1"/>
    <col min="7950" max="7950" width="9.109375" style="377"/>
    <col min="7951" max="7951" width="11.5546875" style="377" customWidth="1"/>
    <col min="7952" max="7952" width="9.109375" style="377"/>
    <col min="7953" max="7953" width="10.109375" style="377" bestFit="1" customWidth="1"/>
    <col min="7954" max="7954" width="9.109375" style="377"/>
    <col min="7955" max="7955" width="13.33203125" style="377" customWidth="1"/>
    <col min="7956" max="7956" width="16.5546875" style="377" customWidth="1"/>
    <col min="7957" max="7957" width="12.33203125" style="377" customWidth="1"/>
    <col min="7958" max="7958" width="12" style="377" customWidth="1"/>
    <col min="7959" max="7959" width="14" style="377" customWidth="1"/>
    <col min="7960" max="7960" width="10" style="377" customWidth="1"/>
    <col min="7961" max="7961" width="13.6640625" style="377" customWidth="1"/>
    <col min="7962" max="7962" width="13.44140625" style="377" customWidth="1"/>
    <col min="7963" max="7963" width="14.33203125" style="377" customWidth="1"/>
    <col min="7964" max="8192" width="9.109375" style="377"/>
    <col min="8193" max="8193" width="4.88671875" style="377" customWidth="1"/>
    <col min="8194" max="8195" width="13.6640625" style="377" customWidth="1"/>
    <col min="8196" max="8196" width="13.88671875" style="377" customWidth="1"/>
    <col min="8197" max="8197" width="8.44140625" style="377" customWidth="1"/>
    <col min="8198" max="8198" width="46.33203125" style="377" customWidth="1"/>
    <col min="8199" max="8199" width="16.33203125" style="377" customWidth="1"/>
    <col min="8200" max="8200" width="15.5546875" style="377" customWidth="1"/>
    <col min="8201" max="8201" width="11.44140625" style="377" customWidth="1"/>
    <col min="8202" max="8202" width="10" style="377" bestFit="1" customWidth="1"/>
    <col min="8203" max="8203" width="12" style="377" customWidth="1"/>
    <col min="8204" max="8204" width="10.5546875" style="377" customWidth="1"/>
    <col min="8205" max="8205" width="11" style="377" customWidth="1"/>
    <col min="8206" max="8206" width="9.109375" style="377"/>
    <col min="8207" max="8207" width="11.5546875" style="377" customWidth="1"/>
    <col min="8208" max="8208" width="9.109375" style="377"/>
    <col min="8209" max="8209" width="10.109375" style="377" bestFit="1" customWidth="1"/>
    <col min="8210" max="8210" width="9.109375" style="377"/>
    <col min="8211" max="8211" width="13.33203125" style="377" customWidth="1"/>
    <col min="8212" max="8212" width="16.5546875" style="377" customWidth="1"/>
    <col min="8213" max="8213" width="12.33203125" style="377" customWidth="1"/>
    <col min="8214" max="8214" width="12" style="377" customWidth="1"/>
    <col min="8215" max="8215" width="14" style="377" customWidth="1"/>
    <col min="8216" max="8216" width="10" style="377" customWidth="1"/>
    <col min="8217" max="8217" width="13.6640625" style="377" customWidth="1"/>
    <col min="8218" max="8218" width="13.44140625" style="377" customWidth="1"/>
    <col min="8219" max="8219" width="14.33203125" style="377" customWidth="1"/>
    <col min="8220" max="8448" width="9.109375" style="377"/>
    <col min="8449" max="8449" width="4.88671875" style="377" customWidth="1"/>
    <col min="8450" max="8451" width="13.6640625" style="377" customWidth="1"/>
    <col min="8452" max="8452" width="13.88671875" style="377" customWidth="1"/>
    <col min="8453" max="8453" width="8.44140625" style="377" customWidth="1"/>
    <col min="8454" max="8454" width="46.33203125" style="377" customWidth="1"/>
    <col min="8455" max="8455" width="16.33203125" style="377" customWidth="1"/>
    <col min="8456" max="8456" width="15.5546875" style="377" customWidth="1"/>
    <col min="8457" max="8457" width="11.44140625" style="377" customWidth="1"/>
    <col min="8458" max="8458" width="10" style="377" bestFit="1" customWidth="1"/>
    <col min="8459" max="8459" width="12" style="377" customWidth="1"/>
    <col min="8460" max="8460" width="10.5546875" style="377" customWidth="1"/>
    <col min="8461" max="8461" width="11" style="377" customWidth="1"/>
    <col min="8462" max="8462" width="9.109375" style="377"/>
    <col min="8463" max="8463" width="11.5546875" style="377" customWidth="1"/>
    <col min="8464" max="8464" width="9.109375" style="377"/>
    <col min="8465" max="8465" width="10.109375" style="377" bestFit="1" customWidth="1"/>
    <col min="8466" max="8466" width="9.109375" style="377"/>
    <col min="8467" max="8467" width="13.33203125" style="377" customWidth="1"/>
    <col min="8468" max="8468" width="16.5546875" style="377" customWidth="1"/>
    <col min="8469" max="8469" width="12.33203125" style="377" customWidth="1"/>
    <col min="8470" max="8470" width="12" style="377" customWidth="1"/>
    <col min="8471" max="8471" width="14" style="377" customWidth="1"/>
    <col min="8472" max="8472" width="10" style="377" customWidth="1"/>
    <col min="8473" max="8473" width="13.6640625" style="377" customWidth="1"/>
    <col min="8474" max="8474" width="13.44140625" style="377" customWidth="1"/>
    <col min="8475" max="8475" width="14.33203125" style="377" customWidth="1"/>
    <col min="8476" max="8704" width="9.109375" style="377"/>
    <col min="8705" max="8705" width="4.88671875" style="377" customWidth="1"/>
    <col min="8706" max="8707" width="13.6640625" style="377" customWidth="1"/>
    <col min="8708" max="8708" width="13.88671875" style="377" customWidth="1"/>
    <col min="8709" max="8709" width="8.44140625" style="377" customWidth="1"/>
    <col min="8710" max="8710" width="46.33203125" style="377" customWidth="1"/>
    <col min="8711" max="8711" width="16.33203125" style="377" customWidth="1"/>
    <col min="8712" max="8712" width="15.5546875" style="377" customWidth="1"/>
    <col min="8713" max="8713" width="11.44140625" style="377" customWidth="1"/>
    <col min="8714" max="8714" width="10" style="377" bestFit="1" customWidth="1"/>
    <col min="8715" max="8715" width="12" style="377" customWidth="1"/>
    <col min="8716" max="8716" width="10.5546875" style="377" customWidth="1"/>
    <col min="8717" max="8717" width="11" style="377" customWidth="1"/>
    <col min="8718" max="8718" width="9.109375" style="377"/>
    <col min="8719" max="8719" width="11.5546875" style="377" customWidth="1"/>
    <col min="8720" max="8720" width="9.109375" style="377"/>
    <col min="8721" max="8721" width="10.109375" style="377" bestFit="1" customWidth="1"/>
    <col min="8722" max="8722" width="9.109375" style="377"/>
    <col min="8723" max="8723" width="13.33203125" style="377" customWidth="1"/>
    <col min="8724" max="8724" width="16.5546875" style="377" customWidth="1"/>
    <col min="8725" max="8725" width="12.33203125" style="377" customWidth="1"/>
    <col min="8726" max="8726" width="12" style="377" customWidth="1"/>
    <col min="8727" max="8727" width="14" style="377" customWidth="1"/>
    <col min="8728" max="8728" width="10" style="377" customWidth="1"/>
    <col min="8729" max="8729" width="13.6640625" style="377" customWidth="1"/>
    <col min="8730" max="8730" width="13.44140625" style="377" customWidth="1"/>
    <col min="8731" max="8731" width="14.33203125" style="377" customWidth="1"/>
    <col min="8732" max="8960" width="9.109375" style="377"/>
    <col min="8961" max="8961" width="4.88671875" style="377" customWidth="1"/>
    <col min="8962" max="8963" width="13.6640625" style="377" customWidth="1"/>
    <col min="8964" max="8964" width="13.88671875" style="377" customWidth="1"/>
    <col min="8965" max="8965" width="8.44140625" style="377" customWidth="1"/>
    <col min="8966" max="8966" width="46.33203125" style="377" customWidth="1"/>
    <col min="8967" max="8967" width="16.33203125" style="377" customWidth="1"/>
    <col min="8968" max="8968" width="15.5546875" style="377" customWidth="1"/>
    <col min="8969" max="8969" width="11.44140625" style="377" customWidth="1"/>
    <col min="8970" max="8970" width="10" style="377" bestFit="1" customWidth="1"/>
    <col min="8971" max="8971" width="12" style="377" customWidth="1"/>
    <col min="8972" max="8972" width="10.5546875" style="377" customWidth="1"/>
    <col min="8973" max="8973" width="11" style="377" customWidth="1"/>
    <col min="8974" max="8974" width="9.109375" style="377"/>
    <col min="8975" max="8975" width="11.5546875" style="377" customWidth="1"/>
    <col min="8976" max="8976" width="9.109375" style="377"/>
    <col min="8977" max="8977" width="10.109375" style="377" bestFit="1" customWidth="1"/>
    <col min="8978" max="8978" width="9.109375" style="377"/>
    <col min="8979" max="8979" width="13.33203125" style="377" customWidth="1"/>
    <col min="8980" max="8980" width="16.5546875" style="377" customWidth="1"/>
    <col min="8981" max="8981" width="12.33203125" style="377" customWidth="1"/>
    <col min="8982" max="8982" width="12" style="377" customWidth="1"/>
    <col min="8983" max="8983" width="14" style="377" customWidth="1"/>
    <col min="8984" max="8984" width="10" style="377" customWidth="1"/>
    <col min="8985" max="8985" width="13.6640625" style="377" customWidth="1"/>
    <col min="8986" max="8986" width="13.44140625" style="377" customWidth="1"/>
    <col min="8987" max="8987" width="14.33203125" style="377" customWidth="1"/>
    <col min="8988" max="9216" width="9.109375" style="377"/>
    <col min="9217" max="9217" width="4.88671875" style="377" customWidth="1"/>
    <col min="9218" max="9219" width="13.6640625" style="377" customWidth="1"/>
    <col min="9220" max="9220" width="13.88671875" style="377" customWidth="1"/>
    <col min="9221" max="9221" width="8.44140625" style="377" customWidth="1"/>
    <col min="9222" max="9222" width="46.33203125" style="377" customWidth="1"/>
    <col min="9223" max="9223" width="16.33203125" style="377" customWidth="1"/>
    <col min="9224" max="9224" width="15.5546875" style="377" customWidth="1"/>
    <col min="9225" max="9225" width="11.44140625" style="377" customWidth="1"/>
    <col min="9226" max="9226" width="10" style="377" bestFit="1" customWidth="1"/>
    <col min="9227" max="9227" width="12" style="377" customWidth="1"/>
    <col min="9228" max="9228" width="10.5546875" style="377" customWidth="1"/>
    <col min="9229" max="9229" width="11" style="377" customWidth="1"/>
    <col min="9230" max="9230" width="9.109375" style="377"/>
    <col min="9231" max="9231" width="11.5546875" style="377" customWidth="1"/>
    <col min="9232" max="9232" width="9.109375" style="377"/>
    <col min="9233" max="9233" width="10.109375" style="377" bestFit="1" customWidth="1"/>
    <col min="9234" max="9234" width="9.109375" style="377"/>
    <col min="9235" max="9235" width="13.33203125" style="377" customWidth="1"/>
    <col min="9236" max="9236" width="16.5546875" style="377" customWidth="1"/>
    <col min="9237" max="9237" width="12.33203125" style="377" customWidth="1"/>
    <col min="9238" max="9238" width="12" style="377" customWidth="1"/>
    <col min="9239" max="9239" width="14" style="377" customWidth="1"/>
    <col min="9240" max="9240" width="10" style="377" customWidth="1"/>
    <col min="9241" max="9241" width="13.6640625" style="377" customWidth="1"/>
    <col min="9242" max="9242" width="13.44140625" style="377" customWidth="1"/>
    <col min="9243" max="9243" width="14.33203125" style="377" customWidth="1"/>
    <col min="9244" max="9472" width="9.109375" style="377"/>
    <col min="9473" max="9473" width="4.88671875" style="377" customWidth="1"/>
    <col min="9474" max="9475" width="13.6640625" style="377" customWidth="1"/>
    <col min="9476" max="9476" width="13.88671875" style="377" customWidth="1"/>
    <col min="9477" max="9477" width="8.44140625" style="377" customWidth="1"/>
    <col min="9478" max="9478" width="46.33203125" style="377" customWidth="1"/>
    <col min="9479" max="9479" width="16.33203125" style="377" customWidth="1"/>
    <col min="9480" max="9480" width="15.5546875" style="377" customWidth="1"/>
    <col min="9481" max="9481" width="11.44140625" style="377" customWidth="1"/>
    <col min="9482" max="9482" width="10" style="377" bestFit="1" customWidth="1"/>
    <col min="9483" max="9483" width="12" style="377" customWidth="1"/>
    <col min="9484" max="9484" width="10.5546875" style="377" customWidth="1"/>
    <col min="9485" max="9485" width="11" style="377" customWidth="1"/>
    <col min="9486" max="9486" width="9.109375" style="377"/>
    <col min="9487" max="9487" width="11.5546875" style="377" customWidth="1"/>
    <col min="9488" max="9488" width="9.109375" style="377"/>
    <col min="9489" max="9489" width="10.109375" style="377" bestFit="1" customWidth="1"/>
    <col min="9490" max="9490" width="9.109375" style="377"/>
    <col min="9491" max="9491" width="13.33203125" style="377" customWidth="1"/>
    <col min="9492" max="9492" width="16.5546875" style="377" customWidth="1"/>
    <col min="9493" max="9493" width="12.33203125" style="377" customWidth="1"/>
    <col min="9494" max="9494" width="12" style="377" customWidth="1"/>
    <col min="9495" max="9495" width="14" style="377" customWidth="1"/>
    <col min="9496" max="9496" width="10" style="377" customWidth="1"/>
    <col min="9497" max="9497" width="13.6640625" style="377" customWidth="1"/>
    <col min="9498" max="9498" width="13.44140625" style="377" customWidth="1"/>
    <col min="9499" max="9499" width="14.33203125" style="377" customWidth="1"/>
    <col min="9500" max="9728" width="9.109375" style="377"/>
    <col min="9729" max="9729" width="4.88671875" style="377" customWidth="1"/>
    <col min="9730" max="9731" width="13.6640625" style="377" customWidth="1"/>
    <col min="9732" max="9732" width="13.88671875" style="377" customWidth="1"/>
    <col min="9733" max="9733" width="8.44140625" style="377" customWidth="1"/>
    <col min="9734" max="9734" width="46.33203125" style="377" customWidth="1"/>
    <col min="9735" max="9735" width="16.33203125" style="377" customWidth="1"/>
    <col min="9736" max="9736" width="15.5546875" style="377" customWidth="1"/>
    <col min="9737" max="9737" width="11.44140625" style="377" customWidth="1"/>
    <col min="9738" max="9738" width="10" style="377" bestFit="1" customWidth="1"/>
    <col min="9739" max="9739" width="12" style="377" customWidth="1"/>
    <col min="9740" max="9740" width="10.5546875" style="377" customWidth="1"/>
    <col min="9741" max="9741" width="11" style="377" customWidth="1"/>
    <col min="9742" max="9742" width="9.109375" style="377"/>
    <col min="9743" max="9743" width="11.5546875" style="377" customWidth="1"/>
    <col min="9744" max="9744" width="9.109375" style="377"/>
    <col min="9745" max="9745" width="10.109375" style="377" bestFit="1" customWidth="1"/>
    <col min="9746" max="9746" width="9.109375" style="377"/>
    <col min="9747" max="9747" width="13.33203125" style="377" customWidth="1"/>
    <col min="9748" max="9748" width="16.5546875" style="377" customWidth="1"/>
    <col min="9749" max="9749" width="12.33203125" style="377" customWidth="1"/>
    <col min="9750" max="9750" width="12" style="377" customWidth="1"/>
    <col min="9751" max="9751" width="14" style="377" customWidth="1"/>
    <col min="9752" max="9752" width="10" style="377" customWidth="1"/>
    <col min="9753" max="9753" width="13.6640625" style="377" customWidth="1"/>
    <col min="9754" max="9754" width="13.44140625" style="377" customWidth="1"/>
    <col min="9755" max="9755" width="14.33203125" style="377" customWidth="1"/>
    <col min="9756" max="9984" width="9.109375" style="377"/>
    <col min="9985" max="9985" width="4.88671875" style="377" customWidth="1"/>
    <col min="9986" max="9987" width="13.6640625" style="377" customWidth="1"/>
    <col min="9988" max="9988" width="13.88671875" style="377" customWidth="1"/>
    <col min="9989" max="9989" width="8.44140625" style="377" customWidth="1"/>
    <col min="9990" max="9990" width="46.33203125" style="377" customWidth="1"/>
    <col min="9991" max="9991" width="16.33203125" style="377" customWidth="1"/>
    <col min="9992" max="9992" width="15.5546875" style="377" customWidth="1"/>
    <col min="9993" max="9993" width="11.44140625" style="377" customWidth="1"/>
    <col min="9994" max="9994" width="10" style="377" bestFit="1" customWidth="1"/>
    <col min="9995" max="9995" width="12" style="377" customWidth="1"/>
    <col min="9996" max="9996" width="10.5546875" style="377" customWidth="1"/>
    <col min="9997" max="9997" width="11" style="377" customWidth="1"/>
    <col min="9998" max="9998" width="9.109375" style="377"/>
    <col min="9999" max="9999" width="11.5546875" style="377" customWidth="1"/>
    <col min="10000" max="10000" width="9.109375" style="377"/>
    <col min="10001" max="10001" width="10.109375" style="377" bestFit="1" customWidth="1"/>
    <col min="10002" max="10002" width="9.109375" style="377"/>
    <col min="10003" max="10003" width="13.33203125" style="377" customWidth="1"/>
    <col min="10004" max="10004" width="16.5546875" style="377" customWidth="1"/>
    <col min="10005" max="10005" width="12.33203125" style="377" customWidth="1"/>
    <col min="10006" max="10006" width="12" style="377" customWidth="1"/>
    <col min="10007" max="10007" width="14" style="377" customWidth="1"/>
    <col min="10008" max="10008" width="10" style="377" customWidth="1"/>
    <col min="10009" max="10009" width="13.6640625" style="377" customWidth="1"/>
    <col min="10010" max="10010" width="13.44140625" style="377" customWidth="1"/>
    <col min="10011" max="10011" width="14.33203125" style="377" customWidth="1"/>
    <col min="10012" max="10240" width="9.109375" style="377"/>
    <col min="10241" max="10241" width="4.88671875" style="377" customWidth="1"/>
    <col min="10242" max="10243" width="13.6640625" style="377" customWidth="1"/>
    <col min="10244" max="10244" width="13.88671875" style="377" customWidth="1"/>
    <col min="10245" max="10245" width="8.44140625" style="377" customWidth="1"/>
    <col min="10246" max="10246" width="46.33203125" style="377" customWidth="1"/>
    <col min="10247" max="10247" width="16.33203125" style="377" customWidth="1"/>
    <col min="10248" max="10248" width="15.5546875" style="377" customWidth="1"/>
    <col min="10249" max="10249" width="11.44140625" style="377" customWidth="1"/>
    <col min="10250" max="10250" width="10" style="377" bestFit="1" customWidth="1"/>
    <col min="10251" max="10251" width="12" style="377" customWidth="1"/>
    <col min="10252" max="10252" width="10.5546875" style="377" customWidth="1"/>
    <col min="10253" max="10253" width="11" style="377" customWidth="1"/>
    <col min="10254" max="10254" width="9.109375" style="377"/>
    <col min="10255" max="10255" width="11.5546875" style="377" customWidth="1"/>
    <col min="10256" max="10256" width="9.109375" style="377"/>
    <col min="10257" max="10257" width="10.109375" style="377" bestFit="1" customWidth="1"/>
    <col min="10258" max="10258" width="9.109375" style="377"/>
    <col min="10259" max="10259" width="13.33203125" style="377" customWidth="1"/>
    <col min="10260" max="10260" width="16.5546875" style="377" customWidth="1"/>
    <col min="10261" max="10261" width="12.33203125" style="377" customWidth="1"/>
    <col min="10262" max="10262" width="12" style="377" customWidth="1"/>
    <col min="10263" max="10263" width="14" style="377" customWidth="1"/>
    <col min="10264" max="10264" width="10" style="377" customWidth="1"/>
    <col min="10265" max="10265" width="13.6640625" style="377" customWidth="1"/>
    <col min="10266" max="10266" width="13.44140625" style="377" customWidth="1"/>
    <col min="10267" max="10267" width="14.33203125" style="377" customWidth="1"/>
    <col min="10268" max="10496" width="9.109375" style="377"/>
    <col min="10497" max="10497" width="4.88671875" style="377" customWidth="1"/>
    <col min="10498" max="10499" width="13.6640625" style="377" customWidth="1"/>
    <col min="10500" max="10500" width="13.88671875" style="377" customWidth="1"/>
    <col min="10501" max="10501" width="8.44140625" style="377" customWidth="1"/>
    <col min="10502" max="10502" width="46.33203125" style="377" customWidth="1"/>
    <col min="10503" max="10503" width="16.33203125" style="377" customWidth="1"/>
    <col min="10504" max="10504" width="15.5546875" style="377" customWidth="1"/>
    <col min="10505" max="10505" width="11.44140625" style="377" customWidth="1"/>
    <col min="10506" max="10506" width="10" style="377" bestFit="1" customWidth="1"/>
    <col min="10507" max="10507" width="12" style="377" customWidth="1"/>
    <col min="10508" max="10508" width="10.5546875" style="377" customWidth="1"/>
    <col min="10509" max="10509" width="11" style="377" customWidth="1"/>
    <col min="10510" max="10510" width="9.109375" style="377"/>
    <col min="10511" max="10511" width="11.5546875" style="377" customWidth="1"/>
    <col min="10512" max="10512" width="9.109375" style="377"/>
    <col min="10513" max="10513" width="10.109375" style="377" bestFit="1" customWidth="1"/>
    <col min="10514" max="10514" width="9.109375" style="377"/>
    <col min="10515" max="10515" width="13.33203125" style="377" customWidth="1"/>
    <col min="10516" max="10516" width="16.5546875" style="377" customWidth="1"/>
    <col min="10517" max="10517" width="12.33203125" style="377" customWidth="1"/>
    <col min="10518" max="10518" width="12" style="377" customWidth="1"/>
    <col min="10519" max="10519" width="14" style="377" customWidth="1"/>
    <col min="10520" max="10520" width="10" style="377" customWidth="1"/>
    <col min="10521" max="10521" width="13.6640625" style="377" customWidth="1"/>
    <col min="10522" max="10522" width="13.44140625" style="377" customWidth="1"/>
    <col min="10523" max="10523" width="14.33203125" style="377" customWidth="1"/>
    <col min="10524" max="10752" width="9.109375" style="377"/>
    <col min="10753" max="10753" width="4.88671875" style="377" customWidth="1"/>
    <col min="10754" max="10755" width="13.6640625" style="377" customWidth="1"/>
    <col min="10756" max="10756" width="13.88671875" style="377" customWidth="1"/>
    <col min="10757" max="10757" width="8.44140625" style="377" customWidth="1"/>
    <col min="10758" max="10758" width="46.33203125" style="377" customWidth="1"/>
    <col min="10759" max="10759" width="16.33203125" style="377" customWidth="1"/>
    <col min="10760" max="10760" width="15.5546875" style="377" customWidth="1"/>
    <col min="10761" max="10761" width="11.44140625" style="377" customWidth="1"/>
    <col min="10762" max="10762" width="10" style="377" bestFit="1" customWidth="1"/>
    <col min="10763" max="10763" width="12" style="377" customWidth="1"/>
    <col min="10764" max="10764" width="10.5546875" style="377" customWidth="1"/>
    <col min="10765" max="10765" width="11" style="377" customWidth="1"/>
    <col min="10766" max="10766" width="9.109375" style="377"/>
    <col min="10767" max="10767" width="11.5546875" style="377" customWidth="1"/>
    <col min="10768" max="10768" width="9.109375" style="377"/>
    <col min="10769" max="10769" width="10.109375" style="377" bestFit="1" customWidth="1"/>
    <col min="10770" max="10770" width="9.109375" style="377"/>
    <col min="10771" max="10771" width="13.33203125" style="377" customWidth="1"/>
    <col min="10772" max="10772" width="16.5546875" style="377" customWidth="1"/>
    <col min="10773" max="10773" width="12.33203125" style="377" customWidth="1"/>
    <col min="10774" max="10774" width="12" style="377" customWidth="1"/>
    <col min="10775" max="10775" width="14" style="377" customWidth="1"/>
    <col min="10776" max="10776" width="10" style="377" customWidth="1"/>
    <col min="10777" max="10777" width="13.6640625" style="377" customWidth="1"/>
    <col min="10778" max="10778" width="13.44140625" style="377" customWidth="1"/>
    <col min="10779" max="10779" width="14.33203125" style="377" customWidth="1"/>
    <col min="10780" max="11008" width="9.109375" style="377"/>
    <col min="11009" max="11009" width="4.88671875" style="377" customWidth="1"/>
    <col min="11010" max="11011" width="13.6640625" style="377" customWidth="1"/>
    <col min="11012" max="11012" width="13.88671875" style="377" customWidth="1"/>
    <col min="11013" max="11013" width="8.44140625" style="377" customWidth="1"/>
    <col min="11014" max="11014" width="46.33203125" style="377" customWidth="1"/>
    <col min="11015" max="11015" width="16.33203125" style="377" customWidth="1"/>
    <col min="11016" max="11016" width="15.5546875" style="377" customWidth="1"/>
    <col min="11017" max="11017" width="11.44140625" style="377" customWidth="1"/>
    <col min="11018" max="11018" width="10" style="377" bestFit="1" customWidth="1"/>
    <col min="11019" max="11019" width="12" style="377" customWidth="1"/>
    <col min="11020" max="11020" width="10.5546875" style="377" customWidth="1"/>
    <col min="11021" max="11021" width="11" style="377" customWidth="1"/>
    <col min="11022" max="11022" width="9.109375" style="377"/>
    <col min="11023" max="11023" width="11.5546875" style="377" customWidth="1"/>
    <col min="11024" max="11024" width="9.109375" style="377"/>
    <col min="11025" max="11025" width="10.109375" style="377" bestFit="1" customWidth="1"/>
    <col min="11026" max="11026" width="9.109375" style="377"/>
    <col min="11027" max="11027" width="13.33203125" style="377" customWidth="1"/>
    <col min="11028" max="11028" width="16.5546875" style="377" customWidth="1"/>
    <col min="11029" max="11029" width="12.33203125" style="377" customWidth="1"/>
    <col min="11030" max="11030" width="12" style="377" customWidth="1"/>
    <col min="11031" max="11031" width="14" style="377" customWidth="1"/>
    <col min="11032" max="11032" width="10" style="377" customWidth="1"/>
    <col min="11033" max="11033" width="13.6640625" style="377" customWidth="1"/>
    <col min="11034" max="11034" width="13.44140625" style="377" customWidth="1"/>
    <col min="11035" max="11035" width="14.33203125" style="377" customWidth="1"/>
    <col min="11036" max="11264" width="9.109375" style="377"/>
    <col min="11265" max="11265" width="4.88671875" style="377" customWidth="1"/>
    <col min="11266" max="11267" width="13.6640625" style="377" customWidth="1"/>
    <col min="11268" max="11268" width="13.88671875" style="377" customWidth="1"/>
    <col min="11269" max="11269" width="8.44140625" style="377" customWidth="1"/>
    <col min="11270" max="11270" width="46.33203125" style="377" customWidth="1"/>
    <col min="11271" max="11271" width="16.33203125" style="377" customWidth="1"/>
    <col min="11272" max="11272" width="15.5546875" style="377" customWidth="1"/>
    <col min="11273" max="11273" width="11.44140625" style="377" customWidth="1"/>
    <col min="11274" max="11274" width="10" style="377" bestFit="1" customWidth="1"/>
    <col min="11275" max="11275" width="12" style="377" customWidth="1"/>
    <col min="11276" max="11276" width="10.5546875" style="377" customWidth="1"/>
    <col min="11277" max="11277" width="11" style="377" customWidth="1"/>
    <col min="11278" max="11278" width="9.109375" style="377"/>
    <col min="11279" max="11279" width="11.5546875" style="377" customWidth="1"/>
    <col min="11280" max="11280" width="9.109375" style="377"/>
    <col min="11281" max="11281" width="10.109375" style="377" bestFit="1" customWidth="1"/>
    <col min="11282" max="11282" width="9.109375" style="377"/>
    <col min="11283" max="11283" width="13.33203125" style="377" customWidth="1"/>
    <col min="11284" max="11284" width="16.5546875" style="377" customWidth="1"/>
    <col min="11285" max="11285" width="12.33203125" style="377" customWidth="1"/>
    <col min="11286" max="11286" width="12" style="377" customWidth="1"/>
    <col min="11287" max="11287" width="14" style="377" customWidth="1"/>
    <col min="11288" max="11288" width="10" style="377" customWidth="1"/>
    <col min="11289" max="11289" width="13.6640625" style="377" customWidth="1"/>
    <col min="11290" max="11290" width="13.44140625" style="377" customWidth="1"/>
    <col min="11291" max="11291" width="14.33203125" style="377" customWidth="1"/>
    <col min="11292" max="11520" width="9.109375" style="377"/>
    <col min="11521" max="11521" width="4.88671875" style="377" customWidth="1"/>
    <col min="11522" max="11523" width="13.6640625" style="377" customWidth="1"/>
    <col min="11524" max="11524" width="13.88671875" style="377" customWidth="1"/>
    <col min="11525" max="11525" width="8.44140625" style="377" customWidth="1"/>
    <col min="11526" max="11526" width="46.33203125" style="377" customWidth="1"/>
    <col min="11527" max="11527" width="16.33203125" style="377" customWidth="1"/>
    <col min="11528" max="11528" width="15.5546875" style="377" customWidth="1"/>
    <col min="11529" max="11529" width="11.44140625" style="377" customWidth="1"/>
    <col min="11530" max="11530" width="10" style="377" bestFit="1" customWidth="1"/>
    <col min="11531" max="11531" width="12" style="377" customWidth="1"/>
    <col min="11532" max="11532" width="10.5546875" style="377" customWidth="1"/>
    <col min="11533" max="11533" width="11" style="377" customWidth="1"/>
    <col min="11534" max="11534" width="9.109375" style="377"/>
    <col min="11535" max="11535" width="11.5546875" style="377" customWidth="1"/>
    <col min="11536" max="11536" width="9.109375" style="377"/>
    <col min="11537" max="11537" width="10.109375" style="377" bestFit="1" customWidth="1"/>
    <col min="11538" max="11538" width="9.109375" style="377"/>
    <col min="11539" max="11539" width="13.33203125" style="377" customWidth="1"/>
    <col min="11540" max="11540" width="16.5546875" style="377" customWidth="1"/>
    <col min="11541" max="11541" width="12.33203125" style="377" customWidth="1"/>
    <col min="11542" max="11542" width="12" style="377" customWidth="1"/>
    <col min="11543" max="11543" width="14" style="377" customWidth="1"/>
    <col min="11544" max="11544" width="10" style="377" customWidth="1"/>
    <col min="11545" max="11545" width="13.6640625" style="377" customWidth="1"/>
    <col min="11546" max="11546" width="13.44140625" style="377" customWidth="1"/>
    <col min="11547" max="11547" width="14.33203125" style="377" customWidth="1"/>
    <col min="11548" max="11776" width="9.109375" style="377"/>
    <col min="11777" max="11777" width="4.88671875" style="377" customWidth="1"/>
    <col min="11778" max="11779" width="13.6640625" style="377" customWidth="1"/>
    <col min="11780" max="11780" width="13.88671875" style="377" customWidth="1"/>
    <col min="11781" max="11781" width="8.44140625" style="377" customWidth="1"/>
    <col min="11782" max="11782" width="46.33203125" style="377" customWidth="1"/>
    <col min="11783" max="11783" width="16.33203125" style="377" customWidth="1"/>
    <col min="11784" max="11784" width="15.5546875" style="377" customWidth="1"/>
    <col min="11785" max="11785" width="11.44140625" style="377" customWidth="1"/>
    <col min="11786" max="11786" width="10" style="377" bestFit="1" customWidth="1"/>
    <col min="11787" max="11787" width="12" style="377" customWidth="1"/>
    <col min="11788" max="11788" width="10.5546875" style="377" customWidth="1"/>
    <col min="11789" max="11789" width="11" style="377" customWidth="1"/>
    <col min="11790" max="11790" width="9.109375" style="377"/>
    <col min="11791" max="11791" width="11.5546875" style="377" customWidth="1"/>
    <col min="11792" max="11792" width="9.109375" style="377"/>
    <col min="11793" max="11793" width="10.109375" style="377" bestFit="1" customWidth="1"/>
    <col min="11794" max="11794" width="9.109375" style="377"/>
    <col min="11795" max="11795" width="13.33203125" style="377" customWidth="1"/>
    <col min="11796" max="11796" width="16.5546875" style="377" customWidth="1"/>
    <col min="11797" max="11797" width="12.33203125" style="377" customWidth="1"/>
    <col min="11798" max="11798" width="12" style="377" customWidth="1"/>
    <col min="11799" max="11799" width="14" style="377" customWidth="1"/>
    <col min="11800" max="11800" width="10" style="377" customWidth="1"/>
    <col min="11801" max="11801" width="13.6640625" style="377" customWidth="1"/>
    <col min="11802" max="11802" width="13.44140625" style="377" customWidth="1"/>
    <col min="11803" max="11803" width="14.33203125" style="377" customWidth="1"/>
    <col min="11804" max="12032" width="9.109375" style="377"/>
    <col min="12033" max="12033" width="4.88671875" style="377" customWidth="1"/>
    <col min="12034" max="12035" width="13.6640625" style="377" customWidth="1"/>
    <col min="12036" max="12036" width="13.88671875" style="377" customWidth="1"/>
    <col min="12037" max="12037" width="8.44140625" style="377" customWidth="1"/>
    <col min="12038" max="12038" width="46.33203125" style="377" customWidth="1"/>
    <col min="12039" max="12039" width="16.33203125" style="377" customWidth="1"/>
    <col min="12040" max="12040" width="15.5546875" style="377" customWidth="1"/>
    <col min="12041" max="12041" width="11.44140625" style="377" customWidth="1"/>
    <col min="12042" max="12042" width="10" style="377" bestFit="1" customWidth="1"/>
    <col min="12043" max="12043" width="12" style="377" customWidth="1"/>
    <col min="12044" max="12044" width="10.5546875" style="377" customWidth="1"/>
    <col min="12045" max="12045" width="11" style="377" customWidth="1"/>
    <col min="12046" max="12046" width="9.109375" style="377"/>
    <col min="12047" max="12047" width="11.5546875" style="377" customWidth="1"/>
    <col min="12048" max="12048" width="9.109375" style="377"/>
    <col min="12049" max="12049" width="10.109375" style="377" bestFit="1" customWidth="1"/>
    <col min="12050" max="12050" width="9.109375" style="377"/>
    <col min="12051" max="12051" width="13.33203125" style="377" customWidth="1"/>
    <col min="12052" max="12052" width="16.5546875" style="377" customWidth="1"/>
    <col min="12053" max="12053" width="12.33203125" style="377" customWidth="1"/>
    <col min="12054" max="12054" width="12" style="377" customWidth="1"/>
    <col min="12055" max="12055" width="14" style="377" customWidth="1"/>
    <col min="12056" max="12056" width="10" style="377" customWidth="1"/>
    <col min="12057" max="12057" width="13.6640625" style="377" customWidth="1"/>
    <col min="12058" max="12058" width="13.44140625" style="377" customWidth="1"/>
    <col min="12059" max="12059" width="14.33203125" style="377" customWidth="1"/>
    <col min="12060" max="12288" width="9.109375" style="377"/>
    <col min="12289" max="12289" width="4.88671875" style="377" customWidth="1"/>
    <col min="12290" max="12291" width="13.6640625" style="377" customWidth="1"/>
    <col min="12292" max="12292" width="13.88671875" style="377" customWidth="1"/>
    <col min="12293" max="12293" width="8.44140625" style="377" customWidth="1"/>
    <col min="12294" max="12294" width="46.33203125" style="377" customWidth="1"/>
    <col min="12295" max="12295" width="16.33203125" style="377" customWidth="1"/>
    <col min="12296" max="12296" width="15.5546875" style="377" customWidth="1"/>
    <col min="12297" max="12297" width="11.44140625" style="377" customWidth="1"/>
    <col min="12298" max="12298" width="10" style="377" bestFit="1" customWidth="1"/>
    <col min="12299" max="12299" width="12" style="377" customWidth="1"/>
    <col min="12300" max="12300" width="10.5546875" style="377" customWidth="1"/>
    <col min="12301" max="12301" width="11" style="377" customWidth="1"/>
    <col min="12302" max="12302" width="9.109375" style="377"/>
    <col min="12303" max="12303" width="11.5546875" style="377" customWidth="1"/>
    <col min="12304" max="12304" width="9.109375" style="377"/>
    <col min="12305" max="12305" width="10.109375" style="377" bestFit="1" customWidth="1"/>
    <col min="12306" max="12306" width="9.109375" style="377"/>
    <col min="12307" max="12307" width="13.33203125" style="377" customWidth="1"/>
    <col min="12308" max="12308" width="16.5546875" style="377" customWidth="1"/>
    <col min="12309" max="12309" width="12.33203125" style="377" customWidth="1"/>
    <col min="12310" max="12310" width="12" style="377" customWidth="1"/>
    <col min="12311" max="12311" width="14" style="377" customWidth="1"/>
    <col min="12312" max="12312" width="10" style="377" customWidth="1"/>
    <col min="12313" max="12313" width="13.6640625" style="377" customWidth="1"/>
    <col min="12314" max="12314" width="13.44140625" style="377" customWidth="1"/>
    <col min="12315" max="12315" width="14.33203125" style="377" customWidth="1"/>
    <col min="12316" max="12544" width="9.109375" style="377"/>
    <col min="12545" max="12545" width="4.88671875" style="377" customWidth="1"/>
    <col min="12546" max="12547" width="13.6640625" style="377" customWidth="1"/>
    <col min="12548" max="12548" width="13.88671875" style="377" customWidth="1"/>
    <col min="12549" max="12549" width="8.44140625" style="377" customWidth="1"/>
    <col min="12550" max="12550" width="46.33203125" style="377" customWidth="1"/>
    <col min="12551" max="12551" width="16.33203125" style="377" customWidth="1"/>
    <col min="12552" max="12552" width="15.5546875" style="377" customWidth="1"/>
    <col min="12553" max="12553" width="11.44140625" style="377" customWidth="1"/>
    <col min="12554" max="12554" width="10" style="377" bestFit="1" customWidth="1"/>
    <col min="12555" max="12555" width="12" style="377" customWidth="1"/>
    <col min="12556" max="12556" width="10.5546875" style="377" customWidth="1"/>
    <col min="12557" max="12557" width="11" style="377" customWidth="1"/>
    <col min="12558" max="12558" width="9.109375" style="377"/>
    <col min="12559" max="12559" width="11.5546875" style="377" customWidth="1"/>
    <col min="12560" max="12560" width="9.109375" style="377"/>
    <col min="12561" max="12561" width="10.109375" style="377" bestFit="1" customWidth="1"/>
    <col min="12562" max="12562" width="9.109375" style="377"/>
    <col min="12563" max="12563" width="13.33203125" style="377" customWidth="1"/>
    <col min="12564" max="12564" width="16.5546875" style="377" customWidth="1"/>
    <col min="12565" max="12565" width="12.33203125" style="377" customWidth="1"/>
    <col min="12566" max="12566" width="12" style="377" customWidth="1"/>
    <col min="12567" max="12567" width="14" style="377" customWidth="1"/>
    <col min="12568" max="12568" width="10" style="377" customWidth="1"/>
    <col min="12569" max="12569" width="13.6640625" style="377" customWidth="1"/>
    <col min="12570" max="12570" width="13.44140625" style="377" customWidth="1"/>
    <col min="12571" max="12571" width="14.33203125" style="377" customWidth="1"/>
    <col min="12572" max="12800" width="9.109375" style="377"/>
    <col min="12801" max="12801" width="4.88671875" style="377" customWidth="1"/>
    <col min="12802" max="12803" width="13.6640625" style="377" customWidth="1"/>
    <col min="12804" max="12804" width="13.88671875" style="377" customWidth="1"/>
    <col min="12805" max="12805" width="8.44140625" style="377" customWidth="1"/>
    <col min="12806" max="12806" width="46.33203125" style="377" customWidth="1"/>
    <col min="12807" max="12807" width="16.33203125" style="377" customWidth="1"/>
    <col min="12808" max="12808" width="15.5546875" style="377" customWidth="1"/>
    <col min="12809" max="12809" width="11.44140625" style="377" customWidth="1"/>
    <col min="12810" max="12810" width="10" style="377" bestFit="1" customWidth="1"/>
    <col min="12811" max="12811" width="12" style="377" customWidth="1"/>
    <col min="12812" max="12812" width="10.5546875" style="377" customWidth="1"/>
    <col min="12813" max="12813" width="11" style="377" customWidth="1"/>
    <col min="12814" max="12814" width="9.109375" style="377"/>
    <col min="12815" max="12815" width="11.5546875" style="377" customWidth="1"/>
    <col min="12816" max="12816" width="9.109375" style="377"/>
    <col min="12817" max="12817" width="10.109375" style="377" bestFit="1" customWidth="1"/>
    <col min="12818" max="12818" width="9.109375" style="377"/>
    <col min="12819" max="12819" width="13.33203125" style="377" customWidth="1"/>
    <col min="12820" max="12820" width="16.5546875" style="377" customWidth="1"/>
    <col min="12821" max="12821" width="12.33203125" style="377" customWidth="1"/>
    <col min="12822" max="12822" width="12" style="377" customWidth="1"/>
    <col min="12823" max="12823" width="14" style="377" customWidth="1"/>
    <col min="12824" max="12824" width="10" style="377" customWidth="1"/>
    <col min="12825" max="12825" width="13.6640625" style="377" customWidth="1"/>
    <col min="12826" max="12826" width="13.44140625" style="377" customWidth="1"/>
    <col min="12827" max="12827" width="14.33203125" style="377" customWidth="1"/>
    <col min="12828" max="13056" width="9.109375" style="377"/>
    <col min="13057" max="13057" width="4.88671875" style="377" customWidth="1"/>
    <col min="13058" max="13059" width="13.6640625" style="377" customWidth="1"/>
    <col min="13060" max="13060" width="13.88671875" style="377" customWidth="1"/>
    <col min="13061" max="13061" width="8.44140625" style="377" customWidth="1"/>
    <col min="13062" max="13062" width="46.33203125" style="377" customWidth="1"/>
    <col min="13063" max="13063" width="16.33203125" style="377" customWidth="1"/>
    <col min="13064" max="13064" width="15.5546875" style="377" customWidth="1"/>
    <col min="13065" max="13065" width="11.44140625" style="377" customWidth="1"/>
    <col min="13066" max="13066" width="10" style="377" bestFit="1" customWidth="1"/>
    <col min="13067" max="13067" width="12" style="377" customWidth="1"/>
    <col min="13068" max="13068" width="10.5546875" style="377" customWidth="1"/>
    <col min="13069" max="13069" width="11" style="377" customWidth="1"/>
    <col min="13070" max="13070" width="9.109375" style="377"/>
    <col min="13071" max="13071" width="11.5546875" style="377" customWidth="1"/>
    <col min="13072" max="13072" width="9.109375" style="377"/>
    <col min="13073" max="13073" width="10.109375" style="377" bestFit="1" customWidth="1"/>
    <col min="13074" max="13074" width="9.109375" style="377"/>
    <col min="13075" max="13075" width="13.33203125" style="377" customWidth="1"/>
    <col min="13076" max="13076" width="16.5546875" style="377" customWidth="1"/>
    <col min="13077" max="13077" width="12.33203125" style="377" customWidth="1"/>
    <col min="13078" max="13078" width="12" style="377" customWidth="1"/>
    <col min="13079" max="13079" width="14" style="377" customWidth="1"/>
    <col min="13080" max="13080" width="10" style="377" customWidth="1"/>
    <col min="13081" max="13081" width="13.6640625" style="377" customWidth="1"/>
    <col min="13082" max="13082" width="13.44140625" style="377" customWidth="1"/>
    <col min="13083" max="13083" width="14.33203125" style="377" customWidth="1"/>
    <col min="13084" max="13312" width="9.109375" style="377"/>
    <col min="13313" max="13313" width="4.88671875" style="377" customWidth="1"/>
    <col min="13314" max="13315" width="13.6640625" style="377" customWidth="1"/>
    <col min="13316" max="13316" width="13.88671875" style="377" customWidth="1"/>
    <col min="13317" max="13317" width="8.44140625" style="377" customWidth="1"/>
    <col min="13318" max="13318" width="46.33203125" style="377" customWidth="1"/>
    <col min="13319" max="13319" width="16.33203125" style="377" customWidth="1"/>
    <col min="13320" max="13320" width="15.5546875" style="377" customWidth="1"/>
    <col min="13321" max="13321" width="11.44140625" style="377" customWidth="1"/>
    <col min="13322" max="13322" width="10" style="377" bestFit="1" customWidth="1"/>
    <col min="13323" max="13323" width="12" style="377" customWidth="1"/>
    <col min="13324" max="13324" width="10.5546875" style="377" customWidth="1"/>
    <col min="13325" max="13325" width="11" style="377" customWidth="1"/>
    <col min="13326" max="13326" width="9.109375" style="377"/>
    <col min="13327" max="13327" width="11.5546875" style="377" customWidth="1"/>
    <col min="13328" max="13328" width="9.109375" style="377"/>
    <col min="13329" max="13329" width="10.109375" style="377" bestFit="1" customWidth="1"/>
    <col min="13330" max="13330" width="9.109375" style="377"/>
    <col min="13331" max="13331" width="13.33203125" style="377" customWidth="1"/>
    <col min="13332" max="13332" width="16.5546875" style="377" customWidth="1"/>
    <col min="13333" max="13333" width="12.33203125" style="377" customWidth="1"/>
    <col min="13334" max="13334" width="12" style="377" customWidth="1"/>
    <col min="13335" max="13335" width="14" style="377" customWidth="1"/>
    <col min="13336" max="13336" width="10" style="377" customWidth="1"/>
    <col min="13337" max="13337" width="13.6640625" style="377" customWidth="1"/>
    <col min="13338" max="13338" width="13.44140625" style="377" customWidth="1"/>
    <col min="13339" max="13339" width="14.33203125" style="377" customWidth="1"/>
    <col min="13340" max="13568" width="9.109375" style="377"/>
    <col min="13569" max="13569" width="4.88671875" style="377" customWidth="1"/>
    <col min="13570" max="13571" width="13.6640625" style="377" customWidth="1"/>
    <col min="13572" max="13572" width="13.88671875" style="377" customWidth="1"/>
    <col min="13573" max="13573" width="8.44140625" style="377" customWidth="1"/>
    <col min="13574" max="13574" width="46.33203125" style="377" customWidth="1"/>
    <col min="13575" max="13575" width="16.33203125" style="377" customWidth="1"/>
    <col min="13576" max="13576" width="15.5546875" style="377" customWidth="1"/>
    <col min="13577" max="13577" width="11.44140625" style="377" customWidth="1"/>
    <col min="13578" max="13578" width="10" style="377" bestFit="1" customWidth="1"/>
    <col min="13579" max="13579" width="12" style="377" customWidth="1"/>
    <col min="13580" max="13580" width="10.5546875" style="377" customWidth="1"/>
    <col min="13581" max="13581" width="11" style="377" customWidth="1"/>
    <col min="13582" max="13582" width="9.109375" style="377"/>
    <col min="13583" max="13583" width="11.5546875" style="377" customWidth="1"/>
    <col min="13584" max="13584" width="9.109375" style="377"/>
    <col min="13585" max="13585" width="10.109375" style="377" bestFit="1" customWidth="1"/>
    <col min="13586" max="13586" width="9.109375" style="377"/>
    <col min="13587" max="13587" width="13.33203125" style="377" customWidth="1"/>
    <col min="13588" max="13588" width="16.5546875" style="377" customWidth="1"/>
    <col min="13589" max="13589" width="12.33203125" style="377" customWidth="1"/>
    <col min="13590" max="13590" width="12" style="377" customWidth="1"/>
    <col min="13591" max="13591" width="14" style="377" customWidth="1"/>
    <col min="13592" max="13592" width="10" style="377" customWidth="1"/>
    <col min="13593" max="13593" width="13.6640625" style="377" customWidth="1"/>
    <col min="13594" max="13594" width="13.44140625" style="377" customWidth="1"/>
    <col min="13595" max="13595" width="14.33203125" style="377" customWidth="1"/>
    <col min="13596" max="13824" width="9.109375" style="377"/>
    <col min="13825" max="13825" width="4.88671875" style="377" customWidth="1"/>
    <col min="13826" max="13827" width="13.6640625" style="377" customWidth="1"/>
    <col min="13828" max="13828" width="13.88671875" style="377" customWidth="1"/>
    <col min="13829" max="13829" width="8.44140625" style="377" customWidth="1"/>
    <col min="13830" max="13830" width="46.33203125" style="377" customWidth="1"/>
    <col min="13831" max="13831" width="16.33203125" style="377" customWidth="1"/>
    <col min="13832" max="13832" width="15.5546875" style="377" customWidth="1"/>
    <col min="13833" max="13833" width="11.44140625" style="377" customWidth="1"/>
    <col min="13834" max="13834" width="10" style="377" bestFit="1" customWidth="1"/>
    <col min="13835" max="13835" width="12" style="377" customWidth="1"/>
    <col min="13836" max="13836" width="10.5546875" style="377" customWidth="1"/>
    <col min="13837" max="13837" width="11" style="377" customWidth="1"/>
    <col min="13838" max="13838" width="9.109375" style="377"/>
    <col min="13839" max="13839" width="11.5546875" style="377" customWidth="1"/>
    <col min="13840" max="13840" width="9.109375" style="377"/>
    <col min="13841" max="13841" width="10.109375" style="377" bestFit="1" customWidth="1"/>
    <col min="13842" max="13842" width="9.109375" style="377"/>
    <col min="13843" max="13843" width="13.33203125" style="377" customWidth="1"/>
    <col min="13844" max="13844" width="16.5546875" style="377" customWidth="1"/>
    <col min="13845" max="13845" width="12.33203125" style="377" customWidth="1"/>
    <col min="13846" max="13846" width="12" style="377" customWidth="1"/>
    <col min="13847" max="13847" width="14" style="377" customWidth="1"/>
    <col min="13848" max="13848" width="10" style="377" customWidth="1"/>
    <col min="13849" max="13849" width="13.6640625" style="377" customWidth="1"/>
    <col min="13850" max="13850" width="13.44140625" style="377" customWidth="1"/>
    <col min="13851" max="13851" width="14.33203125" style="377" customWidth="1"/>
    <col min="13852" max="14080" width="9.109375" style="377"/>
    <col min="14081" max="14081" width="4.88671875" style="377" customWidth="1"/>
    <col min="14082" max="14083" width="13.6640625" style="377" customWidth="1"/>
    <col min="14084" max="14084" width="13.88671875" style="377" customWidth="1"/>
    <col min="14085" max="14085" width="8.44140625" style="377" customWidth="1"/>
    <col min="14086" max="14086" width="46.33203125" style="377" customWidth="1"/>
    <col min="14087" max="14087" width="16.33203125" style="377" customWidth="1"/>
    <col min="14088" max="14088" width="15.5546875" style="377" customWidth="1"/>
    <col min="14089" max="14089" width="11.44140625" style="377" customWidth="1"/>
    <col min="14090" max="14090" width="10" style="377" bestFit="1" customWidth="1"/>
    <col min="14091" max="14091" width="12" style="377" customWidth="1"/>
    <col min="14092" max="14092" width="10.5546875" style="377" customWidth="1"/>
    <col min="14093" max="14093" width="11" style="377" customWidth="1"/>
    <col min="14094" max="14094" width="9.109375" style="377"/>
    <col min="14095" max="14095" width="11.5546875" style="377" customWidth="1"/>
    <col min="14096" max="14096" width="9.109375" style="377"/>
    <col min="14097" max="14097" width="10.109375" style="377" bestFit="1" customWidth="1"/>
    <col min="14098" max="14098" width="9.109375" style="377"/>
    <col min="14099" max="14099" width="13.33203125" style="377" customWidth="1"/>
    <col min="14100" max="14100" width="16.5546875" style="377" customWidth="1"/>
    <col min="14101" max="14101" width="12.33203125" style="377" customWidth="1"/>
    <col min="14102" max="14102" width="12" style="377" customWidth="1"/>
    <col min="14103" max="14103" width="14" style="377" customWidth="1"/>
    <col min="14104" max="14104" width="10" style="377" customWidth="1"/>
    <col min="14105" max="14105" width="13.6640625" style="377" customWidth="1"/>
    <col min="14106" max="14106" width="13.44140625" style="377" customWidth="1"/>
    <col min="14107" max="14107" width="14.33203125" style="377" customWidth="1"/>
    <col min="14108" max="14336" width="9.109375" style="377"/>
    <col min="14337" max="14337" width="4.88671875" style="377" customWidth="1"/>
    <col min="14338" max="14339" width="13.6640625" style="377" customWidth="1"/>
    <col min="14340" max="14340" width="13.88671875" style="377" customWidth="1"/>
    <col min="14341" max="14341" width="8.44140625" style="377" customWidth="1"/>
    <col min="14342" max="14342" width="46.33203125" style="377" customWidth="1"/>
    <col min="14343" max="14343" width="16.33203125" style="377" customWidth="1"/>
    <col min="14344" max="14344" width="15.5546875" style="377" customWidth="1"/>
    <col min="14345" max="14345" width="11.44140625" style="377" customWidth="1"/>
    <col min="14346" max="14346" width="10" style="377" bestFit="1" customWidth="1"/>
    <col min="14347" max="14347" width="12" style="377" customWidth="1"/>
    <col min="14348" max="14348" width="10.5546875" style="377" customWidth="1"/>
    <col min="14349" max="14349" width="11" style="377" customWidth="1"/>
    <col min="14350" max="14350" width="9.109375" style="377"/>
    <col min="14351" max="14351" width="11.5546875" style="377" customWidth="1"/>
    <col min="14352" max="14352" width="9.109375" style="377"/>
    <col min="14353" max="14353" width="10.109375" style="377" bestFit="1" customWidth="1"/>
    <col min="14354" max="14354" width="9.109375" style="377"/>
    <col min="14355" max="14355" width="13.33203125" style="377" customWidth="1"/>
    <col min="14356" max="14356" width="16.5546875" style="377" customWidth="1"/>
    <col min="14357" max="14357" width="12.33203125" style="377" customWidth="1"/>
    <col min="14358" max="14358" width="12" style="377" customWidth="1"/>
    <col min="14359" max="14359" width="14" style="377" customWidth="1"/>
    <col min="14360" max="14360" width="10" style="377" customWidth="1"/>
    <col min="14361" max="14361" width="13.6640625" style="377" customWidth="1"/>
    <col min="14362" max="14362" width="13.44140625" style="377" customWidth="1"/>
    <col min="14363" max="14363" width="14.33203125" style="377" customWidth="1"/>
    <col min="14364" max="14592" width="9.109375" style="377"/>
    <col min="14593" max="14593" width="4.88671875" style="377" customWidth="1"/>
    <col min="14594" max="14595" width="13.6640625" style="377" customWidth="1"/>
    <col min="14596" max="14596" width="13.88671875" style="377" customWidth="1"/>
    <col min="14597" max="14597" width="8.44140625" style="377" customWidth="1"/>
    <col min="14598" max="14598" width="46.33203125" style="377" customWidth="1"/>
    <col min="14599" max="14599" width="16.33203125" style="377" customWidth="1"/>
    <col min="14600" max="14600" width="15.5546875" style="377" customWidth="1"/>
    <col min="14601" max="14601" width="11.44140625" style="377" customWidth="1"/>
    <col min="14602" max="14602" width="10" style="377" bestFit="1" customWidth="1"/>
    <col min="14603" max="14603" width="12" style="377" customWidth="1"/>
    <col min="14604" max="14604" width="10.5546875" style="377" customWidth="1"/>
    <col min="14605" max="14605" width="11" style="377" customWidth="1"/>
    <col min="14606" max="14606" width="9.109375" style="377"/>
    <col min="14607" max="14607" width="11.5546875" style="377" customWidth="1"/>
    <col min="14608" max="14608" width="9.109375" style="377"/>
    <col min="14609" max="14609" width="10.109375" style="377" bestFit="1" customWidth="1"/>
    <col min="14610" max="14610" width="9.109375" style="377"/>
    <col min="14611" max="14611" width="13.33203125" style="377" customWidth="1"/>
    <col min="14612" max="14612" width="16.5546875" style="377" customWidth="1"/>
    <col min="14613" max="14613" width="12.33203125" style="377" customWidth="1"/>
    <col min="14614" max="14614" width="12" style="377" customWidth="1"/>
    <col min="14615" max="14615" width="14" style="377" customWidth="1"/>
    <col min="14616" max="14616" width="10" style="377" customWidth="1"/>
    <col min="14617" max="14617" width="13.6640625" style="377" customWidth="1"/>
    <col min="14618" max="14618" width="13.44140625" style="377" customWidth="1"/>
    <col min="14619" max="14619" width="14.33203125" style="377" customWidth="1"/>
    <col min="14620" max="14848" width="9.109375" style="377"/>
    <col min="14849" max="14849" width="4.88671875" style="377" customWidth="1"/>
    <col min="14850" max="14851" width="13.6640625" style="377" customWidth="1"/>
    <col min="14852" max="14852" width="13.88671875" style="377" customWidth="1"/>
    <col min="14853" max="14853" width="8.44140625" style="377" customWidth="1"/>
    <col min="14854" max="14854" width="46.33203125" style="377" customWidth="1"/>
    <col min="14855" max="14855" width="16.33203125" style="377" customWidth="1"/>
    <col min="14856" max="14856" width="15.5546875" style="377" customWidth="1"/>
    <col min="14857" max="14857" width="11.44140625" style="377" customWidth="1"/>
    <col min="14858" max="14858" width="10" style="377" bestFit="1" customWidth="1"/>
    <col min="14859" max="14859" width="12" style="377" customWidth="1"/>
    <col min="14860" max="14860" width="10.5546875" style="377" customWidth="1"/>
    <col min="14861" max="14861" width="11" style="377" customWidth="1"/>
    <col min="14862" max="14862" width="9.109375" style="377"/>
    <col min="14863" max="14863" width="11.5546875" style="377" customWidth="1"/>
    <col min="14864" max="14864" width="9.109375" style="377"/>
    <col min="14865" max="14865" width="10.109375" style="377" bestFit="1" customWidth="1"/>
    <col min="14866" max="14866" width="9.109375" style="377"/>
    <col min="14867" max="14867" width="13.33203125" style="377" customWidth="1"/>
    <col min="14868" max="14868" width="16.5546875" style="377" customWidth="1"/>
    <col min="14869" max="14869" width="12.33203125" style="377" customWidth="1"/>
    <col min="14870" max="14870" width="12" style="377" customWidth="1"/>
    <col min="14871" max="14871" width="14" style="377" customWidth="1"/>
    <col min="14872" max="14872" width="10" style="377" customWidth="1"/>
    <col min="14873" max="14873" width="13.6640625" style="377" customWidth="1"/>
    <col min="14874" max="14874" width="13.44140625" style="377" customWidth="1"/>
    <col min="14875" max="14875" width="14.33203125" style="377" customWidth="1"/>
    <col min="14876" max="15104" width="9.109375" style="377"/>
    <col min="15105" max="15105" width="4.88671875" style="377" customWidth="1"/>
    <col min="15106" max="15107" width="13.6640625" style="377" customWidth="1"/>
    <col min="15108" max="15108" width="13.88671875" style="377" customWidth="1"/>
    <col min="15109" max="15109" width="8.44140625" style="377" customWidth="1"/>
    <col min="15110" max="15110" width="46.33203125" style="377" customWidth="1"/>
    <col min="15111" max="15111" width="16.33203125" style="377" customWidth="1"/>
    <col min="15112" max="15112" width="15.5546875" style="377" customWidth="1"/>
    <col min="15113" max="15113" width="11.44140625" style="377" customWidth="1"/>
    <col min="15114" max="15114" width="10" style="377" bestFit="1" customWidth="1"/>
    <col min="15115" max="15115" width="12" style="377" customWidth="1"/>
    <col min="15116" max="15116" width="10.5546875" style="377" customWidth="1"/>
    <col min="15117" max="15117" width="11" style="377" customWidth="1"/>
    <col min="15118" max="15118" width="9.109375" style="377"/>
    <col min="15119" max="15119" width="11.5546875" style="377" customWidth="1"/>
    <col min="15120" max="15120" width="9.109375" style="377"/>
    <col min="15121" max="15121" width="10.109375" style="377" bestFit="1" customWidth="1"/>
    <col min="15122" max="15122" width="9.109375" style="377"/>
    <col min="15123" max="15123" width="13.33203125" style="377" customWidth="1"/>
    <col min="15124" max="15124" width="16.5546875" style="377" customWidth="1"/>
    <col min="15125" max="15125" width="12.33203125" style="377" customWidth="1"/>
    <col min="15126" max="15126" width="12" style="377" customWidth="1"/>
    <col min="15127" max="15127" width="14" style="377" customWidth="1"/>
    <col min="15128" max="15128" width="10" style="377" customWidth="1"/>
    <col min="15129" max="15129" width="13.6640625" style="377" customWidth="1"/>
    <col min="15130" max="15130" width="13.44140625" style="377" customWidth="1"/>
    <col min="15131" max="15131" width="14.33203125" style="377" customWidth="1"/>
    <col min="15132" max="15360" width="9.109375" style="377"/>
    <col min="15361" max="15361" width="4.88671875" style="377" customWidth="1"/>
    <col min="15362" max="15363" width="13.6640625" style="377" customWidth="1"/>
    <col min="15364" max="15364" width="13.88671875" style="377" customWidth="1"/>
    <col min="15365" max="15365" width="8.44140625" style="377" customWidth="1"/>
    <col min="15366" max="15366" width="46.33203125" style="377" customWidth="1"/>
    <col min="15367" max="15367" width="16.33203125" style="377" customWidth="1"/>
    <col min="15368" max="15368" width="15.5546875" style="377" customWidth="1"/>
    <col min="15369" max="15369" width="11.44140625" style="377" customWidth="1"/>
    <col min="15370" max="15370" width="10" style="377" bestFit="1" customWidth="1"/>
    <col min="15371" max="15371" width="12" style="377" customWidth="1"/>
    <col min="15372" max="15372" width="10.5546875" style="377" customWidth="1"/>
    <col min="15373" max="15373" width="11" style="377" customWidth="1"/>
    <col min="15374" max="15374" width="9.109375" style="377"/>
    <col min="15375" max="15375" width="11.5546875" style="377" customWidth="1"/>
    <col min="15376" max="15376" width="9.109375" style="377"/>
    <col min="15377" max="15377" width="10.109375" style="377" bestFit="1" customWidth="1"/>
    <col min="15378" max="15378" width="9.109375" style="377"/>
    <col min="15379" max="15379" width="13.33203125" style="377" customWidth="1"/>
    <col min="15380" max="15380" width="16.5546875" style="377" customWidth="1"/>
    <col min="15381" max="15381" width="12.33203125" style="377" customWidth="1"/>
    <col min="15382" max="15382" width="12" style="377" customWidth="1"/>
    <col min="15383" max="15383" width="14" style="377" customWidth="1"/>
    <col min="15384" max="15384" width="10" style="377" customWidth="1"/>
    <col min="15385" max="15385" width="13.6640625" style="377" customWidth="1"/>
    <col min="15386" max="15386" width="13.44140625" style="377" customWidth="1"/>
    <col min="15387" max="15387" width="14.33203125" style="377" customWidth="1"/>
    <col min="15388" max="15616" width="9.109375" style="377"/>
    <col min="15617" max="15617" width="4.88671875" style="377" customWidth="1"/>
    <col min="15618" max="15619" width="13.6640625" style="377" customWidth="1"/>
    <col min="15620" max="15620" width="13.88671875" style="377" customWidth="1"/>
    <col min="15621" max="15621" width="8.44140625" style="377" customWidth="1"/>
    <col min="15622" max="15622" width="46.33203125" style="377" customWidth="1"/>
    <col min="15623" max="15623" width="16.33203125" style="377" customWidth="1"/>
    <col min="15624" max="15624" width="15.5546875" style="377" customWidth="1"/>
    <col min="15625" max="15625" width="11.44140625" style="377" customWidth="1"/>
    <col min="15626" max="15626" width="10" style="377" bestFit="1" customWidth="1"/>
    <col min="15627" max="15627" width="12" style="377" customWidth="1"/>
    <col min="15628" max="15628" width="10.5546875" style="377" customWidth="1"/>
    <col min="15629" max="15629" width="11" style="377" customWidth="1"/>
    <col min="15630" max="15630" width="9.109375" style="377"/>
    <col min="15631" max="15631" width="11.5546875" style="377" customWidth="1"/>
    <col min="15632" max="15632" width="9.109375" style="377"/>
    <col min="15633" max="15633" width="10.109375" style="377" bestFit="1" customWidth="1"/>
    <col min="15634" max="15634" width="9.109375" style="377"/>
    <col min="15635" max="15635" width="13.33203125" style="377" customWidth="1"/>
    <col min="15636" max="15636" width="16.5546875" style="377" customWidth="1"/>
    <col min="15637" max="15637" width="12.33203125" style="377" customWidth="1"/>
    <col min="15638" max="15638" width="12" style="377" customWidth="1"/>
    <col min="15639" max="15639" width="14" style="377" customWidth="1"/>
    <col min="15640" max="15640" width="10" style="377" customWidth="1"/>
    <col min="15641" max="15641" width="13.6640625" style="377" customWidth="1"/>
    <col min="15642" max="15642" width="13.44140625" style="377" customWidth="1"/>
    <col min="15643" max="15643" width="14.33203125" style="377" customWidth="1"/>
    <col min="15644" max="15872" width="9.109375" style="377"/>
    <col min="15873" max="15873" width="4.88671875" style="377" customWidth="1"/>
    <col min="15874" max="15875" width="13.6640625" style="377" customWidth="1"/>
    <col min="15876" max="15876" width="13.88671875" style="377" customWidth="1"/>
    <col min="15877" max="15877" width="8.44140625" style="377" customWidth="1"/>
    <col min="15878" max="15878" width="46.33203125" style="377" customWidth="1"/>
    <col min="15879" max="15879" width="16.33203125" style="377" customWidth="1"/>
    <col min="15880" max="15880" width="15.5546875" style="377" customWidth="1"/>
    <col min="15881" max="15881" width="11.44140625" style="377" customWidth="1"/>
    <col min="15882" max="15882" width="10" style="377" bestFit="1" customWidth="1"/>
    <col min="15883" max="15883" width="12" style="377" customWidth="1"/>
    <col min="15884" max="15884" width="10.5546875" style="377" customWidth="1"/>
    <col min="15885" max="15885" width="11" style="377" customWidth="1"/>
    <col min="15886" max="15886" width="9.109375" style="377"/>
    <col min="15887" max="15887" width="11.5546875" style="377" customWidth="1"/>
    <col min="15888" max="15888" width="9.109375" style="377"/>
    <col min="15889" max="15889" width="10.109375" style="377" bestFit="1" customWidth="1"/>
    <col min="15890" max="15890" width="9.109375" style="377"/>
    <col min="15891" max="15891" width="13.33203125" style="377" customWidth="1"/>
    <col min="15892" max="15892" width="16.5546875" style="377" customWidth="1"/>
    <col min="15893" max="15893" width="12.33203125" style="377" customWidth="1"/>
    <col min="15894" max="15894" width="12" style="377" customWidth="1"/>
    <col min="15895" max="15895" width="14" style="377" customWidth="1"/>
    <col min="15896" max="15896" width="10" style="377" customWidth="1"/>
    <col min="15897" max="15897" width="13.6640625" style="377" customWidth="1"/>
    <col min="15898" max="15898" width="13.44140625" style="377" customWidth="1"/>
    <col min="15899" max="15899" width="14.33203125" style="377" customWidth="1"/>
    <col min="15900" max="16128" width="9.109375" style="377"/>
    <col min="16129" max="16129" width="4.88671875" style="377" customWidth="1"/>
    <col min="16130" max="16131" width="13.6640625" style="377" customWidth="1"/>
    <col min="16132" max="16132" width="13.88671875" style="377" customWidth="1"/>
    <col min="16133" max="16133" width="8.44140625" style="377" customWidth="1"/>
    <col min="16134" max="16134" width="46.33203125" style="377" customWidth="1"/>
    <col min="16135" max="16135" width="16.33203125" style="377" customWidth="1"/>
    <col min="16136" max="16136" width="15.5546875" style="377" customWidth="1"/>
    <col min="16137" max="16137" width="11.44140625" style="377" customWidth="1"/>
    <col min="16138" max="16138" width="10" style="377" bestFit="1" customWidth="1"/>
    <col min="16139" max="16139" width="12" style="377" customWidth="1"/>
    <col min="16140" max="16140" width="10.5546875" style="377" customWidth="1"/>
    <col min="16141" max="16141" width="11" style="377" customWidth="1"/>
    <col min="16142" max="16142" width="9.109375" style="377"/>
    <col min="16143" max="16143" width="11.5546875" style="377" customWidth="1"/>
    <col min="16144" max="16144" width="9.109375" style="377"/>
    <col min="16145" max="16145" width="10.109375" style="377" bestFit="1" customWidth="1"/>
    <col min="16146" max="16146" width="9.109375" style="377"/>
    <col min="16147" max="16147" width="13.33203125" style="377" customWidth="1"/>
    <col min="16148" max="16148" width="16.5546875" style="377" customWidth="1"/>
    <col min="16149" max="16149" width="12.33203125" style="377" customWidth="1"/>
    <col min="16150" max="16150" width="12" style="377" customWidth="1"/>
    <col min="16151" max="16151" width="14" style="377" customWidth="1"/>
    <col min="16152" max="16152" width="10" style="377" customWidth="1"/>
    <col min="16153" max="16153" width="13.6640625" style="377" customWidth="1"/>
    <col min="16154" max="16154" width="13.44140625" style="377" customWidth="1"/>
    <col min="16155" max="16155" width="14.33203125" style="377" customWidth="1"/>
    <col min="16156" max="16384" width="9.109375" style="377"/>
  </cols>
  <sheetData>
    <row r="1" spans="1:28" ht="13.8" x14ac:dyDescent="0.25">
      <c r="A1" s="375" t="s">
        <v>296</v>
      </c>
      <c r="V1" s="380"/>
      <c r="AA1" s="381"/>
      <c r="AB1" s="381"/>
    </row>
    <row r="2" spans="1:28" ht="15" customHeight="1" x14ac:dyDescent="0.25">
      <c r="A2" s="375" t="s">
        <v>297</v>
      </c>
      <c r="E2" s="375"/>
      <c r="T2" s="381"/>
      <c r="U2" s="381"/>
      <c r="V2" s="380"/>
      <c r="W2" s="381"/>
      <c r="X2" s="381"/>
      <c r="Z2" s="381"/>
      <c r="AA2" s="382" t="s">
        <v>298</v>
      </c>
      <c r="AB2" s="381"/>
    </row>
    <row r="3" spans="1:28" ht="13.8" x14ac:dyDescent="0.25">
      <c r="J3" s="377"/>
      <c r="K3" s="380"/>
      <c r="T3" s="381"/>
      <c r="U3" s="381"/>
      <c r="V3" s="383"/>
      <c r="W3" s="381"/>
      <c r="X3" s="381"/>
      <c r="Y3" s="384"/>
      <c r="Z3" s="381"/>
      <c r="AA3" s="385" t="s">
        <v>299</v>
      </c>
      <c r="AB3" s="381"/>
    </row>
    <row r="4" spans="1:28" ht="13.8" x14ac:dyDescent="0.3">
      <c r="A4" s="377" t="s">
        <v>300</v>
      </c>
      <c r="E4" s="379"/>
      <c r="F4" s="379"/>
      <c r="J4" s="377"/>
      <c r="K4" s="380"/>
      <c r="T4" s="381"/>
      <c r="U4" s="381"/>
      <c r="V4" s="381"/>
      <c r="W4" s="381"/>
      <c r="X4" s="381"/>
      <c r="Y4" s="384"/>
      <c r="Z4" s="381"/>
      <c r="AA4" s="381" t="s">
        <v>301</v>
      </c>
    </row>
    <row r="5" spans="1:28" ht="13.8" x14ac:dyDescent="0.25">
      <c r="A5" s="377" t="s">
        <v>302</v>
      </c>
      <c r="E5" s="375"/>
      <c r="J5" s="377"/>
      <c r="K5" s="386"/>
      <c r="AA5" s="381" t="s">
        <v>303</v>
      </c>
    </row>
    <row r="6" spans="1:28" customFormat="1" ht="14.4" x14ac:dyDescent="0.3">
      <c r="B6" s="376"/>
      <c r="C6" s="376"/>
      <c r="D6" s="387"/>
      <c r="F6" s="376"/>
      <c r="G6" s="378"/>
      <c r="H6" s="388"/>
      <c r="AA6" s="381" t="s">
        <v>304</v>
      </c>
    </row>
    <row r="7" spans="1:28" x14ac:dyDescent="0.25">
      <c r="AA7" s="381" t="s">
        <v>305</v>
      </c>
    </row>
    <row r="8" spans="1:28" s="375" customFormat="1" x14ac:dyDescent="0.25">
      <c r="B8" s="389"/>
      <c r="C8" s="389"/>
      <c r="D8" s="389"/>
      <c r="E8" s="390"/>
      <c r="F8" s="391" t="s">
        <v>306</v>
      </c>
      <c r="G8" s="392">
        <v>2023</v>
      </c>
      <c r="H8" s="393"/>
      <c r="I8" s="394"/>
      <c r="J8" s="394"/>
    </row>
    <row r="9" spans="1:28" s="402" customFormat="1" ht="26.4" x14ac:dyDescent="0.3">
      <c r="A9" s="395" t="s">
        <v>307</v>
      </c>
      <c r="B9" s="396"/>
      <c r="C9" s="397" t="s">
        <v>308</v>
      </c>
      <c r="D9" s="398" t="s">
        <v>309</v>
      </c>
      <c r="E9" s="399" t="s">
        <v>310</v>
      </c>
      <c r="F9" s="398" t="s">
        <v>311</v>
      </c>
      <c r="G9" s="400" t="s">
        <v>312</v>
      </c>
      <c r="H9" s="401"/>
      <c r="J9" s="403"/>
    </row>
    <row r="10" spans="1:28" s="408" customFormat="1" x14ac:dyDescent="0.25">
      <c r="A10" s="404" t="s">
        <v>94</v>
      </c>
      <c r="B10" s="405">
        <v>1</v>
      </c>
      <c r="C10" s="405">
        <v>2</v>
      </c>
      <c r="D10" s="405">
        <v>3</v>
      </c>
      <c r="E10" s="405">
        <v>4</v>
      </c>
      <c r="F10" s="405">
        <v>5</v>
      </c>
      <c r="G10" s="406">
        <v>6</v>
      </c>
      <c r="H10" s="407"/>
      <c r="J10" s="409"/>
    </row>
    <row r="11" spans="1:28" s="408" customFormat="1" ht="38.25" hidden="1" customHeight="1" x14ac:dyDescent="0.25">
      <c r="A11" s="410"/>
      <c r="B11" s="411" t="s">
        <v>313</v>
      </c>
      <c r="C11" s="412" t="s">
        <v>155</v>
      </c>
      <c r="D11" s="413" t="s">
        <v>314</v>
      </c>
      <c r="E11" s="414"/>
      <c r="F11" s="415" t="s">
        <v>315</v>
      </c>
      <c r="G11" s="416" t="e">
        <f>#REF!</f>
        <v>#REF!</v>
      </c>
      <c r="H11" s="417"/>
      <c r="J11" s="409"/>
    </row>
    <row r="12" spans="1:28" s="375" customFormat="1" ht="14.25" customHeight="1" x14ac:dyDescent="0.25">
      <c r="A12" s="410"/>
      <c r="B12" s="411"/>
      <c r="C12" s="418"/>
      <c r="D12" s="419"/>
      <c r="E12" s="420" t="s">
        <v>157</v>
      </c>
      <c r="F12" s="421" t="s">
        <v>164</v>
      </c>
      <c r="G12" s="422">
        <f>G14+G13</f>
        <v>779621.79</v>
      </c>
      <c r="H12" s="423"/>
      <c r="I12" s="424"/>
      <c r="J12" s="425"/>
    </row>
    <row r="13" spans="1:28" s="375" customFormat="1" x14ac:dyDescent="0.25">
      <c r="A13" s="410"/>
      <c r="B13" s="411"/>
      <c r="C13" s="418"/>
      <c r="D13" s="419"/>
      <c r="E13" s="426" t="s">
        <v>316</v>
      </c>
      <c r="F13" s="427" t="s">
        <v>166</v>
      </c>
      <c r="G13" s="428">
        <v>622440</v>
      </c>
      <c r="H13" s="429"/>
      <c r="I13" s="424"/>
      <c r="J13" s="430"/>
    </row>
    <row r="14" spans="1:28" s="375" customFormat="1" ht="46.5" customHeight="1" x14ac:dyDescent="0.25">
      <c r="A14" s="410"/>
      <c r="B14" s="411"/>
      <c r="C14" s="431"/>
      <c r="D14" s="432"/>
      <c r="E14" s="426" t="s">
        <v>317</v>
      </c>
      <c r="F14" s="427" t="s">
        <v>177</v>
      </c>
      <c r="G14" s="428">
        <v>157181.79</v>
      </c>
      <c r="H14" s="429"/>
      <c r="I14" s="424"/>
      <c r="J14" s="430"/>
    </row>
    <row r="15" spans="1:28" s="375" customFormat="1" x14ac:dyDescent="0.25">
      <c r="A15" s="410"/>
      <c r="B15" s="411"/>
      <c r="C15" s="433" t="s">
        <v>160</v>
      </c>
      <c r="D15" s="434" t="s">
        <v>318</v>
      </c>
      <c r="E15" s="420" t="s">
        <v>162</v>
      </c>
      <c r="F15" s="435" t="s">
        <v>197</v>
      </c>
      <c r="G15" s="422">
        <f>G16+G17</f>
        <v>30000</v>
      </c>
      <c r="H15" s="423"/>
      <c r="I15" s="424"/>
      <c r="J15" s="430"/>
    </row>
    <row r="16" spans="1:28" s="375" customFormat="1" x14ac:dyDescent="0.25">
      <c r="A16" s="410"/>
      <c r="B16" s="411"/>
      <c r="C16" s="433"/>
      <c r="D16" s="434"/>
      <c r="E16" s="426" t="s">
        <v>319</v>
      </c>
      <c r="F16" s="436" t="s">
        <v>199</v>
      </c>
      <c r="G16" s="428">
        <v>0</v>
      </c>
      <c r="H16" s="429"/>
      <c r="I16" s="424"/>
      <c r="J16" s="430"/>
      <c r="M16" s="424"/>
    </row>
    <row r="17" spans="1:29" s="375" customFormat="1" ht="54" customHeight="1" x14ac:dyDescent="0.25">
      <c r="A17" s="410"/>
      <c r="B17" s="411"/>
      <c r="C17" s="433"/>
      <c r="D17" s="434"/>
      <c r="E17" s="426" t="s">
        <v>320</v>
      </c>
      <c r="F17" s="437" t="s">
        <v>204</v>
      </c>
      <c r="G17" s="428">
        <v>30000</v>
      </c>
      <c r="H17" s="423"/>
      <c r="I17" s="424"/>
      <c r="J17" s="438"/>
    </row>
    <row r="18" spans="1:29" s="375" customFormat="1" ht="12.75" hidden="1" customHeight="1" x14ac:dyDescent="0.25">
      <c r="A18" s="410"/>
      <c r="B18" s="411"/>
      <c r="C18" s="439"/>
      <c r="D18" s="440"/>
      <c r="E18" s="441"/>
      <c r="F18" s="442" t="s">
        <v>321</v>
      </c>
      <c r="G18" s="428"/>
      <c r="H18" s="429"/>
      <c r="I18" s="424"/>
      <c r="J18" s="430"/>
    </row>
    <row r="19" spans="1:29" s="375" customFormat="1" ht="12.75" hidden="1" customHeight="1" x14ac:dyDescent="0.25">
      <c r="A19" s="410"/>
      <c r="B19" s="411"/>
      <c r="C19" s="443" t="s">
        <v>322</v>
      </c>
      <c r="D19" s="444"/>
      <c r="E19" s="445"/>
      <c r="F19" s="446" t="s">
        <v>323</v>
      </c>
      <c r="G19" s="447"/>
      <c r="H19" s="448"/>
      <c r="I19" s="424"/>
      <c r="J19" s="430"/>
    </row>
    <row r="20" spans="1:29" s="375" customFormat="1" ht="12.75" customHeight="1" x14ac:dyDescent="0.25">
      <c r="A20" s="410"/>
      <c r="B20" s="411"/>
      <c r="C20" s="449" t="s">
        <v>322</v>
      </c>
      <c r="D20" s="450"/>
      <c r="E20" s="451" t="s">
        <v>324</v>
      </c>
      <c r="F20" s="415" t="s">
        <v>156</v>
      </c>
      <c r="G20" s="416">
        <v>43200</v>
      </c>
      <c r="H20" s="452"/>
      <c r="I20" s="424"/>
      <c r="J20" s="430"/>
    </row>
    <row r="21" spans="1:29" s="375" customFormat="1" ht="44.4" customHeight="1" x14ac:dyDescent="0.25">
      <c r="A21" s="453"/>
      <c r="B21" s="411"/>
      <c r="C21" s="454"/>
      <c r="D21" s="455"/>
      <c r="E21" s="451" t="s">
        <v>325</v>
      </c>
      <c r="F21" s="442" t="s">
        <v>326</v>
      </c>
      <c r="G21" s="428">
        <f>G22*0.15</f>
        <v>99846</v>
      </c>
      <c r="H21" s="456"/>
      <c r="I21" s="457"/>
      <c r="J21" s="430"/>
      <c r="K21" s="457"/>
    </row>
    <row r="22" spans="1:29" ht="15.75" customHeight="1" x14ac:dyDescent="0.25">
      <c r="A22" s="444"/>
      <c r="B22" s="458"/>
      <c r="C22" s="459"/>
      <c r="D22" s="445"/>
      <c r="E22" s="441" t="s">
        <v>96</v>
      </c>
      <c r="F22" s="460" t="s">
        <v>327</v>
      </c>
      <c r="G22" s="428">
        <f>G13+G16+G20</f>
        <v>665640</v>
      </c>
      <c r="H22" s="456"/>
      <c r="I22" s="461"/>
      <c r="J22" s="425"/>
      <c r="K22" s="462"/>
    </row>
    <row r="23" spans="1:29" x14ac:dyDescent="0.25">
      <c r="A23" s="458"/>
      <c r="B23" s="458"/>
      <c r="C23" s="463"/>
      <c r="D23" s="464"/>
      <c r="E23" s="441" t="s">
        <v>98</v>
      </c>
      <c r="F23" s="465" t="s">
        <v>328</v>
      </c>
      <c r="G23" s="466">
        <v>952667.79</v>
      </c>
      <c r="H23" s="467"/>
      <c r="I23" s="462"/>
      <c r="J23" s="430"/>
      <c r="K23" s="461"/>
    </row>
    <row r="24" spans="1:29" x14ac:dyDescent="0.25">
      <c r="A24" s="458"/>
      <c r="B24" s="458"/>
      <c r="C24" s="463"/>
      <c r="D24" s="464"/>
      <c r="E24" s="441" t="s">
        <v>212</v>
      </c>
      <c r="F24" s="465" t="s">
        <v>329</v>
      </c>
      <c r="G24" s="468">
        <v>0</v>
      </c>
      <c r="H24" s="429"/>
      <c r="I24" s="461"/>
      <c r="J24" s="430"/>
      <c r="K24" s="461"/>
      <c r="Q24" s="462"/>
      <c r="V24" s="462"/>
    </row>
    <row r="25" spans="1:29" ht="18.75" customHeight="1" x14ac:dyDescent="0.3">
      <c r="A25" s="458"/>
      <c r="B25" s="458"/>
      <c r="C25" s="463"/>
      <c r="D25" s="464"/>
      <c r="E25" s="441" t="s">
        <v>330</v>
      </c>
      <c r="F25" s="465" t="s">
        <v>331</v>
      </c>
      <c r="G25" s="469">
        <v>3223650</v>
      </c>
      <c r="H25" s="115"/>
      <c r="I25" s="461"/>
      <c r="J25" s="430"/>
      <c r="Q25" s="462"/>
    </row>
    <row r="26" spans="1:29" x14ac:dyDescent="0.25">
      <c r="A26" s="458"/>
      <c r="B26" s="458"/>
      <c r="C26" s="458"/>
      <c r="D26" s="464"/>
      <c r="E26" s="441" t="s">
        <v>332</v>
      </c>
      <c r="F26" s="470" t="s">
        <v>333</v>
      </c>
      <c r="G26" s="471">
        <v>0</v>
      </c>
      <c r="I26" s="461"/>
      <c r="J26" s="430"/>
    </row>
    <row r="27" spans="1:29" ht="26.4" x14ac:dyDescent="0.25">
      <c r="A27" s="458"/>
      <c r="B27" s="458"/>
      <c r="C27" s="458"/>
      <c r="D27" s="464"/>
      <c r="E27" s="441" t="s">
        <v>334</v>
      </c>
      <c r="F27" s="470" t="s">
        <v>335</v>
      </c>
      <c r="G27" s="471">
        <v>0</v>
      </c>
      <c r="H27" s="461"/>
      <c r="I27" s="461"/>
      <c r="J27" s="377"/>
      <c r="Q27" s="462"/>
      <c r="S27" s="472"/>
      <c r="T27" s="473"/>
      <c r="U27" s="472"/>
      <c r="AC27" s="377" t="s">
        <v>336</v>
      </c>
    </row>
    <row r="28" spans="1:29" ht="12.75" customHeight="1" x14ac:dyDescent="0.25">
      <c r="E28" s="474"/>
      <c r="F28" s="475"/>
      <c r="G28" s="429"/>
      <c r="H28" s="462"/>
      <c r="I28" s="377"/>
      <c r="J28" s="377"/>
      <c r="O28" s="462"/>
      <c r="Q28" s="462"/>
      <c r="S28" s="472"/>
      <c r="T28" s="476"/>
      <c r="U28" s="472"/>
      <c r="Y28" s="477">
        <f>G47+I47+K47+M47+O47+Q47+S47+U47</f>
        <v>1553596.17</v>
      </c>
    </row>
    <row r="29" spans="1:29" ht="12.75" hidden="1" customHeight="1" x14ac:dyDescent="0.25">
      <c r="E29" s="474"/>
      <c r="F29" s="475"/>
      <c r="G29" s="429"/>
      <c r="H29" s="462"/>
      <c r="I29" s="377"/>
      <c r="J29" s="377"/>
      <c r="S29" s="472"/>
      <c r="T29" s="478"/>
      <c r="U29" s="472"/>
    </row>
    <row r="30" spans="1:29" ht="12.75" hidden="1" customHeight="1" x14ac:dyDescent="0.25">
      <c r="E30" s="474"/>
      <c r="F30" s="475"/>
      <c r="G30" s="429"/>
      <c r="H30" s="462"/>
      <c r="I30" s="377"/>
      <c r="J30" s="377"/>
      <c r="S30" s="472"/>
      <c r="T30" s="478"/>
      <c r="U30" s="472"/>
    </row>
    <row r="31" spans="1:29" ht="12.75" hidden="1" customHeight="1" x14ac:dyDescent="0.25">
      <c r="A31" s="450"/>
      <c r="B31" s="450"/>
      <c r="C31" s="450"/>
      <c r="D31" s="450"/>
      <c r="E31" s="450"/>
      <c r="F31" s="450"/>
      <c r="G31" s="423"/>
      <c r="H31" s="462"/>
      <c r="I31" s="377"/>
      <c r="J31" s="377"/>
      <c r="S31" s="472"/>
      <c r="T31" s="478"/>
      <c r="U31" s="472"/>
    </row>
    <row r="32" spans="1:29" ht="12.75" hidden="1" customHeight="1" x14ac:dyDescent="0.25">
      <c r="F32" s="377"/>
      <c r="G32" s="461"/>
      <c r="H32" s="462"/>
      <c r="I32" s="377"/>
      <c r="J32" s="377"/>
      <c r="S32" s="472"/>
      <c r="T32" s="478"/>
      <c r="U32" s="472"/>
    </row>
    <row r="33" spans="5:28" ht="12.75" hidden="1" customHeight="1" x14ac:dyDescent="0.25">
      <c r="F33" s="377"/>
      <c r="G33" s="461"/>
      <c r="H33" s="462"/>
      <c r="I33" s="377"/>
      <c r="J33" s="377"/>
      <c r="S33" s="472"/>
      <c r="T33" s="478"/>
      <c r="U33" s="472"/>
    </row>
    <row r="34" spans="5:28" x14ac:dyDescent="0.25">
      <c r="H34" s="462"/>
      <c r="I34" s="377"/>
      <c r="J34" s="377"/>
      <c r="S34" s="472"/>
      <c r="T34" s="477"/>
      <c r="U34" s="472"/>
    </row>
    <row r="35" spans="5:28" ht="12.75" hidden="1" customHeight="1" x14ac:dyDescent="0.25">
      <c r="E35" s="389"/>
      <c r="F35" s="377"/>
      <c r="G35" s="461"/>
      <c r="H35" s="462"/>
      <c r="I35" s="377"/>
      <c r="J35" s="377"/>
      <c r="S35" s="472"/>
      <c r="T35" s="478"/>
      <c r="U35" s="472"/>
    </row>
    <row r="36" spans="5:28" ht="12.75" hidden="1" customHeight="1" x14ac:dyDescent="0.25">
      <c r="F36" s="377"/>
      <c r="G36" s="461"/>
      <c r="H36" s="462"/>
      <c r="I36" s="377"/>
      <c r="J36" s="377"/>
      <c r="S36" s="472"/>
      <c r="T36" s="478"/>
      <c r="U36" s="472"/>
    </row>
    <row r="37" spans="5:28" ht="12.75" hidden="1" customHeight="1" x14ac:dyDescent="0.25">
      <c r="H37" s="462"/>
      <c r="I37" s="377"/>
      <c r="J37" s="377"/>
      <c r="S37" s="472"/>
      <c r="T37" s="478"/>
      <c r="U37" s="472"/>
    </row>
    <row r="38" spans="5:28" ht="12.75" hidden="1" customHeight="1" x14ac:dyDescent="0.25">
      <c r="H38" s="462"/>
      <c r="I38" s="377"/>
      <c r="J38" s="377"/>
      <c r="S38" s="472"/>
      <c r="T38" s="478"/>
      <c r="U38" s="472"/>
    </row>
    <row r="39" spans="5:28" ht="12.75" hidden="1" customHeight="1" x14ac:dyDescent="0.25">
      <c r="E39" s="479"/>
      <c r="F39" s="389"/>
      <c r="H39" s="462"/>
      <c r="I39" s="377"/>
      <c r="J39" s="377"/>
      <c r="S39" s="472"/>
      <c r="T39" s="478"/>
      <c r="U39" s="472"/>
    </row>
    <row r="40" spans="5:28" x14ac:dyDescent="0.25">
      <c r="H40" s="462"/>
      <c r="I40" s="377"/>
      <c r="J40" s="377"/>
      <c r="M40" s="462"/>
      <c r="S40" s="472"/>
      <c r="T40" s="476"/>
      <c r="U40" s="472"/>
      <c r="Y40" s="462"/>
    </row>
    <row r="41" spans="5:28" x14ac:dyDescent="0.25">
      <c r="H41" s="462"/>
      <c r="I41" s="480"/>
      <c r="S41" s="472"/>
      <c r="T41" s="478"/>
      <c r="U41" s="472"/>
    </row>
    <row r="42" spans="5:28" x14ac:dyDescent="0.25">
      <c r="F42" s="389" t="s">
        <v>337</v>
      </c>
      <c r="O42" s="477"/>
      <c r="S42" s="472"/>
      <c r="T42" s="472"/>
      <c r="U42" s="472"/>
      <c r="W42" s="462">
        <f>G47+I47+K47+M47+O47+Q47+S47+U47+W47</f>
        <v>2270982.21</v>
      </c>
      <c r="Y42" s="462">
        <f>AA47-W42</f>
        <v>952667.79</v>
      </c>
    </row>
    <row r="45" spans="5:28" x14ac:dyDescent="0.25">
      <c r="F45" s="481" t="s">
        <v>306</v>
      </c>
      <c r="G45" s="482">
        <v>2014</v>
      </c>
      <c r="H45" s="482"/>
      <c r="I45" s="483">
        <v>2015</v>
      </c>
      <c r="J45" s="484"/>
      <c r="K45" s="485">
        <v>2016</v>
      </c>
      <c r="L45" s="485"/>
      <c r="M45" s="485">
        <v>2017</v>
      </c>
      <c r="N45" s="485"/>
      <c r="O45" s="485">
        <v>2018</v>
      </c>
      <c r="P45" s="485"/>
      <c r="Q45" s="485">
        <v>2019</v>
      </c>
      <c r="R45" s="485"/>
      <c r="S45" s="483">
        <v>2020</v>
      </c>
      <c r="T45" s="484"/>
      <c r="U45" s="483">
        <v>2021</v>
      </c>
      <c r="V45" s="484"/>
      <c r="W45" s="483">
        <v>2022</v>
      </c>
      <c r="X45" s="484"/>
      <c r="Y45" s="485">
        <v>2023</v>
      </c>
      <c r="Z45" s="485"/>
    </row>
    <row r="46" spans="5:28" ht="27" x14ac:dyDescent="0.3">
      <c r="E46" s="486"/>
      <c r="F46" s="487" t="s">
        <v>338</v>
      </c>
      <c r="G46" s="488" t="s">
        <v>29</v>
      </c>
      <c r="H46" s="488" t="s">
        <v>339</v>
      </c>
      <c r="I46" s="489" t="s">
        <v>29</v>
      </c>
      <c r="J46" s="489" t="s">
        <v>339</v>
      </c>
      <c r="K46" s="489" t="s">
        <v>29</v>
      </c>
      <c r="L46" s="489" t="s">
        <v>339</v>
      </c>
      <c r="M46" s="489" t="s">
        <v>29</v>
      </c>
      <c r="N46" s="489" t="s">
        <v>339</v>
      </c>
      <c r="O46" s="489" t="s">
        <v>29</v>
      </c>
      <c r="P46" s="489" t="s">
        <v>339</v>
      </c>
      <c r="Q46" s="489" t="s">
        <v>29</v>
      </c>
      <c r="R46" s="489" t="s">
        <v>339</v>
      </c>
      <c r="S46" s="489" t="s">
        <v>29</v>
      </c>
      <c r="T46" s="489" t="s">
        <v>339</v>
      </c>
      <c r="U46" s="489" t="s">
        <v>29</v>
      </c>
      <c r="V46" s="489" t="s">
        <v>339</v>
      </c>
      <c r="W46" s="489" t="s">
        <v>29</v>
      </c>
      <c r="X46" s="489" t="s">
        <v>339</v>
      </c>
      <c r="Y46" s="489" t="s">
        <v>29</v>
      </c>
      <c r="Z46" s="489" t="s">
        <v>339</v>
      </c>
      <c r="AA46" s="490" t="s">
        <v>8</v>
      </c>
      <c r="AB46" s="489" t="s">
        <v>339</v>
      </c>
    </row>
    <row r="47" spans="5:28" ht="12.75" customHeight="1" x14ac:dyDescent="0.25">
      <c r="E47" s="491">
        <v>1</v>
      </c>
      <c r="F47" s="492" t="s">
        <v>340</v>
      </c>
      <c r="G47" s="466">
        <v>3057</v>
      </c>
      <c r="H47" s="493"/>
      <c r="I47" s="466">
        <v>207109.94</v>
      </c>
      <c r="J47" s="494"/>
      <c r="K47" s="466">
        <v>133637.4</v>
      </c>
      <c r="L47" s="494"/>
      <c r="M47" s="466">
        <v>191469.24</v>
      </c>
      <c r="N47" s="494"/>
      <c r="O47" s="495">
        <v>205414.66</v>
      </c>
      <c r="P47" s="494"/>
      <c r="Q47" s="466">
        <v>243374.64</v>
      </c>
      <c r="R47" s="494"/>
      <c r="S47" s="466">
        <v>259269.58</v>
      </c>
      <c r="T47" s="494"/>
      <c r="U47" s="466">
        <v>310263.71000000002</v>
      </c>
      <c r="V47" s="494"/>
      <c r="W47" s="466">
        <v>717386.04</v>
      </c>
      <c r="X47" s="494"/>
      <c r="Y47" s="466">
        <f>AA47-Y28-W47</f>
        <v>952667.79</v>
      </c>
      <c r="Z47" s="494"/>
      <c r="AA47" s="462">
        <v>3223650</v>
      </c>
      <c r="AB47" s="494"/>
    </row>
    <row r="48" spans="5:28" x14ac:dyDescent="0.25">
      <c r="E48" s="491">
        <v>2</v>
      </c>
      <c r="F48" s="496" t="s">
        <v>341</v>
      </c>
      <c r="G48" s="466">
        <f>G47</f>
        <v>3057</v>
      </c>
      <c r="H48" s="497">
        <v>1</v>
      </c>
      <c r="I48" s="466">
        <f>I47</f>
        <v>207109.94</v>
      </c>
      <c r="J48" s="497">
        <v>1</v>
      </c>
      <c r="K48" s="466">
        <f>K47</f>
        <v>133637.4</v>
      </c>
      <c r="L48" s="497">
        <v>1</v>
      </c>
      <c r="M48" s="466">
        <f>M47</f>
        <v>191469.24</v>
      </c>
      <c r="N48" s="497">
        <v>1</v>
      </c>
      <c r="O48" s="498">
        <f>O47</f>
        <v>205414.66</v>
      </c>
      <c r="P48" s="497">
        <v>1</v>
      </c>
      <c r="Q48" s="466">
        <f>Q47</f>
        <v>243374.64</v>
      </c>
      <c r="R48" s="497">
        <v>1</v>
      </c>
      <c r="S48" s="466">
        <f>S47</f>
        <v>259269.58</v>
      </c>
      <c r="T48" s="497">
        <v>1</v>
      </c>
      <c r="U48" s="466">
        <f>U47</f>
        <v>310263.71000000002</v>
      </c>
      <c r="V48" s="499">
        <f>U48/U47</f>
        <v>1</v>
      </c>
      <c r="W48" s="466">
        <f>W47</f>
        <v>717386.04</v>
      </c>
      <c r="X48" s="499">
        <f>W48/W47</f>
        <v>1</v>
      </c>
      <c r="Y48" s="466">
        <f>Y47</f>
        <v>952667.79</v>
      </c>
      <c r="Z48" s="499">
        <f>Y48/Y47</f>
        <v>1</v>
      </c>
      <c r="AA48" s="500">
        <f>AA47</f>
        <v>3223650</v>
      </c>
      <c r="AB48" s="497">
        <v>1</v>
      </c>
    </row>
    <row r="49" spans="5:28" x14ac:dyDescent="0.25">
      <c r="E49" s="501" t="s">
        <v>342</v>
      </c>
      <c r="F49" s="502" t="s">
        <v>343</v>
      </c>
      <c r="G49" s="503">
        <f>G48*0.85</f>
        <v>2598.4499999999998</v>
      </c>
      <c r="H49" s="504"/>
      <c r="I49" s="503">
        <f>I48*0.85</f>
        <v>176043.44899999999</v>
      </c>
      <c r="J49" s="505"/>
      <c r="K49" s="503">
        <f>K48*0.85</f>
        <v>113591.79</v>
      </c>
      <c r="L49" s="505"/>
      <c r="M49" s="503">
        <f>M47*0.85</f>
        <v>162748.85399999999</v>
      </c>
      <c r="N49" s="505"/>
      <c r="O49" s="506">
        <f>O47*0.85</f>
        <v>174602.46100000001</v>
      </c>
      <c r="P49" s="505"/>
      <c r="Q49" s="503">
        <f>Q48*0.85</f>
        <v>206868.44400000002</v>
      </c>
      <c r="R49" s="505"/>
      <c r="S49" s="503">
        <f>S47*0.85</f>
        <v>220379.14299999998</v>
      </c>
      <c r="T49" s="505"/>
      <c r="U49" s="503">
        <f>U48*0.85</f>
        <v>263724.15350000001</v>
      </c>
      <c r="V49" s="507"/>
      <c r="W49" s="503">
        <f>W47*0.85</f>
        <v>609778.13399999996</v>
      </c>
      <c r="X49" s="507"/>
      <c r="Y49" s="503">
        <f>Y47*0.85</f>
        <v>809767.62150000001</v>
      </c>
      <c r="Z49" s="505"/>
      <c r="AA49" s="508">
        <f>AA47*0.85</f>
        <v>2740102.5</v>
      </c>
      <c r="AB49" s="505"/>
    </row>
    <row r="50" spans="5:28" x14ac:dyDescent="0.25">
      <c r="E50" s="501" t="s">
        <v>344</v>
      </c>
      <c r="F50" s="509" t="s">
        <v>345</v>
      </c>
      <c r="G50" s="503">
        <f>G48-G49</f>
        <v>458.55000000000018</v>
      </c>
      <c r="H50" s="504"/>
      <c r="I50" s="503">
        <f>I48-I49</f>
        <v>31066.491000000009</v>
      </c>
      <c r="J50" s="505"/>
      <c r="K50" s="503">
        <f>K48-K49</f>
        <v>20045.61</v>
      </c>
      <c r="L50" s="505"/>
      <c r="M50" s="503">
        <f>M47*0.15</f>
        <v>28720.385999999999</v>
      </c>
      <c r="N50" s="505"/>
      <c r="O50" s="506">
        <f>O48-O49</f>
        <v>30812.198999999993</v>
      </c>
      <c r="P50" s="505"/>
      <c r="Q50" s="503">
        <f>Q48-Q49</f>
        <v>36506.195999999996</v>
      </c>
      <c r="R50" s="505"/>
      <c r="S50" s="503">
        <f>S47*0.15</f>
        <v>38890.436999999998</v>
      </c>
      <c r="T50" s="505"/>
      <c r="U50" s="503">
        <f>U47*0.15</f>
        <v>46539.556499999999</v>
      </c>
      <c r="V50" s="510"/>
      <c r="W50" s="503">
        <f>W47*0.15</f>
        <v>107607.906</v>
      </c>
      <c r="X50" s="510"/>
      <c r="Y50" s="503">
        <f>Y47*0.15</f>
        <v>142900.1685</v>
      </c>
      <c r="Z50" s="505"/>
      <c r="AA50" s="508">
        <f>AA47*0.15</f>
        <v>483547.5</v>
      </c>
      <c r="AB50" s="505"/>
    </row>
    <row r="51" spans="5:28" hidden="1" x14ac:dyDescent="0.25">
      <c r="E51" s="511">
        <v>3</v>
      </c>
      <c r="F51" s="512" t="s">
        <v>346</v>
      </c>
      <c r="G51" s="513"/>
      <c r="H51" s="513">
        <f>G51/G47</f>
        <v>0</v>
      </c>
      <c r="I51" s="514"/>
      <c r="J51" s="499">
        <f>I51/I47</f>
        <v>0</v>
      </c>
      <c r="K51" s="514"/>
      <c r="L51" s="499">
        <f>K51/K47</f>
        <v>0</v>
      </c>
      <c r="M51" s="514"/>
      <c r="N51" s="499">
        <f>M51/M47</f>
        <v>0</v>
      </c>
      <c r="O51" s="514"/>
      <c r="P51" s="499">
        <f>O51/O47</f>
        <v>0</v>
      </c>
      <c r="Q51" s="514"/>
      <c r="R51" s="499">
        <f>Q51/Q47</f>
        <v>0</v>
      </c>
      <c r="S51" s="514"/>
      <c r="T51" s="499">
        <f>S51/S47</f>
        <v>0</v>
      </c>
      <c r="U51" s="514"/>
      <c r="V51" s="499">
        <f>U51/U47</f>
        <v>0</v>
      </c>
      <c r="W51" s="514"/>
      <c r="X51" s="499">
        <f>W51/W47</f>
        <v>0</v>
      </c>
      <c r="Y51" s="514"/>
      <c r="Z51" s="515">
        <f>Y51/Y47</f>
        <v>0</v>
      </c>
      <c r="AA51" s="516"/>
      <c r="AB51" s="499">
        <f>AA51/AA47</f>
        <v>0</v>
      </c>
    </row>
    <row r="52" spans="5:28" ht="12.75" hidden="1" customHeight="1" x14ac:dyDescent="0.25">
      <c r="E52" s="517" t="s">
        <v>347</v>
      </c>
      <c r="F52" s="509" t="s">
        <v>348</v>
      </c>
      <c r="G52" s="518">
        <v>0</v>
      </c>
      <c r="H52" s="519"/>
      <c r="I52" s="520">
        <v>0</v>
      </c>
      <c r="J52" s="507"/>
      <c r="K52" s="520">
        <v>0</v>
      </c>
      <c r="L52" s="507"/>
      <c r="M52" s="520">
        <v>0</v>
      </c>
      <c r="N52" s="507"/>
      <c r="O52" s="520">
        <v>0</v>
      </c>
      <c r="P52" s="507"/>
      <c r="Q52" s="520">
        <v>0</v>
      </c>
      <c r="R52" s="507"/>
      <c r="S52" s="520">
        <v>0</v>
      </c>
      <c r="T52" s="507"/>
      <c r="U52" s="520">
        <v>0</v>
      </c>
      <c r="V52" s="507"/>
      <c r="W52" s="520">
        <v>0</v>
      </c>
      <c r="X52" s="507"/>
      <c r="Y52" s="520">
        <v>0</v>
      </c>
      <c r="Z52" s="521"/>
      <c r="AA52" s="522"/>
      <c r="AB52" s="505"/>
    </row>
    <row r="53" spans="5:28" ht="12.75" hidden="1" customHeight="1" x14ac:dyDescent="0.25">
      <c r="E53" s="517" t="s">
        <v>349</v>
      </c>
      <c r="F53" s="509" t="s">
        <v>350</v>
      </c>
      <c r="G53" s="518">
        <v>0</v>
      </c>
      <c r="H53" s="523"/>
      <c r="I53" s="520">
        <v>0</v>
      </c>
      <c r="J53" s="510"/>
      <c r="K53" s="520">
        <v>0</v>
      </c>
      <c r="L53" s="510"/>
      <c r="M53" s="520">
        <v>0</v>
      </c>
      <c r="N53" s="510"/>
      <c r="O53" s="520">
        <v>0</v>
      </c>
      <c r="P53" s="510"/>
      <c r="Q53" s="520">
        <v>0</v>
      </c>
      <c r="R53" s="510"/>
      <c r="S53" s="520">
        <v>0</v>
      </c>
      <c r="T53" s="510"/>
      <c r="U53" s="520">
        <v>0</v>
      </c>
      <c r="V53" s="510"/>
      <c r="W53" s="520">
        <v>0</v>
      </c>
      <c r="X53" s="510"/>
      <c r="Y53" s="520">
        <v>0</v>
      </c>
      <c r="Z53" s="524"/>
      <c r="AA53" s="522"/>
      <c r="AB53" s="505"/>
    </row>
    <row r="54" spans="5:28" x14ac:dyDescent="0.25">
      <c r="K54" s="525"/>
      <c r="M54" s="525"/>
      <c r="O54" s="525"/>
      <c r="Q54" s="525"/>
      <c r="S54" s="525"/>
      <c r="AA54" s="525"/>
    </row>
    <row r="55" spans="5:28" x14ac:dyDescent="0.25">
      <c r="S55" s="462"/>
      <c r="AA55" s="462"/>
    </row>
  </sheetData>
  <mergeCells count="42">
    <mergeCell ref="T52:T53"/>
    <mergeCell ref="V52:V53"/>
    <mergeCell ref="X52:X53"/>
    <mergeCell ref="Z52:Z53"/>
    <mergeCell ref="AB52:AB53"/>
    <mergeCell ref="H52:H53"/>
    <mergeCell ref="J52:J53"/>
    <mergeCell ref="L52:L53"/>
    <mergeCell ref="N52:N53"/>
    <mergeCell ref="P52:P53"/>
    <mergeCell ref="R52:R53"/>
    <mergeCell ref="R49:R50"/>
    <mergeCell ref="T49:T50"/>
    <mergeCell ref="V49:V50"/>
    <mergeCell ref="X49:X50"/>
    <mergeCell ref="Z49:Z50"/>
    <mergeCell ref="AB49:AB50"/>
    <mergeCell ref="Q45:R45"/>
    <mergeCell ref="S45:T45"/>
    <mergeCell ref="U45:V45"/>
    <mergeCell ref="W45:X45"/>
    <mergeCell ref="Y45:Z45"/>
    <mergeCell ref="H49:H50"/>
    <mergeCell ref="J49:J50"/>
    <mergeCell ref="L49:L50"/>
    <mergeCell ref="N49:N50"/>
    <mergeCell ref="P49:P50"/>
    <mergeCell ref="A31:F31"/>
    <mergeCell ref="G45:H45"/>
    <mergeCell ref="I45:J45"/>
    <mergeCell ref="K45:L45"/>
    <mergeCell ref="M45:N45"/>
    <mergeCell ref="O45:P45"/>
    <mergeCell ref="I8:J8"/>
    <mergeCell ref="A9:B9"/>
    <mergeCell ref="A10:A21"/>
    <mergeCell ref="B11:B21"/>
    <mergeCell ref="C11:C14"/>
    <mergeCell ref="D11:D14"/>
    <mergeCell ref="C15:C17"/>
    <mergeCell ref="D15:D17"/>
    <mergeCell ref="C20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EMT</vt:lpstr>
      <vt:lpstr>Lisa 1</vt:lpstr>
      <vt:lpstr>Ettemaksu jääkide arvestus</vt:lpstr>
      <vt:lpstr>Sheet1</vt:lpstr>
      <vt:lpstr>2022</vt:lpstr>
      <vt:lpstr>2020</vt:lpstr>
      <vt:lpstr>2021</vt:lpstr>
      <vt:lpstr>2023</vt:lpstr>
      <vt:lpstr>2023 TAT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Kaidi Šatilov</dc:creator>
  <cp:lastModifiedBy>Anneli Liblik</cp:lastModifiedBy>
  <cp:lastPrinted>2015-01-13T11:09:10Z</cp:lastPrinted>
  <dcterms:created xsi:type="dcterms:W3CDTF">2013-07-02T08:37:29Z</dcterms:created>
  <dcterms:modified xsi:type="dcterms:W3CDTF">2022-12-29T21:58:32Z</dcterms:modified>
</cp:coreProperties>
</file>