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hkel\Desktop\Tööd\b Villemi Kõksi 231443\Projekt\I Seletuskiri ja mahud\"/>
    </mc:Choice>
  </mc:AlternateContent>
  <xr:revisionPtr revIDLastSave="0" documentId="13_ncr:1_{9574869C-E0C4-44AE-B540-F79453BB458C}" xr6:coauthVersionLast="47" xr6:coauthVersionMax="47" xr10:uidLastSave="{00000000-0000-0000-0000-000000000000}"/>
  <bookViews>
    <workbookView xWindow="-120" yWindow="-120" windowWidth="16440" windowHeight="28440" firstSheet="6" activeTab="15" xr2:uid="{F5F95EA4-69EC-4D29-B57F-7FD8ACB07479}"/>
  </bookViews>
  <sheets>
    <sheet name="T1" sheetId="12" r:id="rId1"/>
    <sheet name="T2A" sheetId="10" r:id="rId2"/>
    <sheet name="T2B" sheetId="13" r:id="rId3"/>
    <sheet name="T3" sheetId="9" r:id="rId4"/>
    <sheet name="T4" sheetId="4" r:id="rId5"/>
    <sheet name="T5" sheetId="5" r:id="rId6"/>
    <sheet name="T6" sheetId="6" r:id="rId7"/>
    <sheet name="T7" sheetId="7" r:id="rId8"/>
    <sheet name="T8" sheetId="11" r:id="rId9"/>
    <sheet name="T9" sheetId="1" r:id="rId10"/>
    <sheet name="T10" sheetId="8" r:id="rId11"/>
    <sheet name="T11" sheetId="2" r:id="rId12"/>
    <sheet name="T12" sheetId="14" r:id="rId13"/>
    <sheet name="T13" sheetId="3" r:id="rId14"/>
    <sheet name="T14A" sheetId="15" r:id="rId15"/>
    <sheet name="T14B" sheetId="16" r:id="rId16"/>
  </sheets>
  <externalReferences>
    <externalReference r:id="rId17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9" l="1"/>
  <c r="I30" i="9"/>
  <c r="I29" i="9"/>
  <c r="I27" i="9"/>
  <c r="I26" i="9"/>
  <c r="A25" i="9"/>
  <c r="A26" i="9" s="1"/>
  <c r="A27" i="9" s="1"/>
  <c r="A28" i="9" s="1"/>
  <c r="A29" i="9" s="1"/>
  <c r="A30" i="9" s="1"/>
  <c r="A31" i="9" s="1"/>
  <c r="J215" i="11" l="1"/>
  <c r="AG66" i="15"/>
  <c r="AG65" i="15"/>
  <c r="AG64" i="15"/>
  <c r="W56" i="16"/>
  <c r="W57" i="16" s="1"/>
  <c r="W58" i="16" s="1"/>
  <c r="W55" i="16"/>
  <c r="W51" i="16"/>
  <c r="W50" i="16"/>
  <c r="R50" i="16"/>
  <c r="N50" i="16"/>
  <c r="I50" i="16"/>
  <c r="G50" i="16"/>
  <c r="A50" i="16"/>
  <c r="A51" i="16" s="1"/>
  <c r="B50" i="16"/>
  <c r="N47" i="13"/>
  <c r="A47" i="13"/>
  <c r="A48" i="13" s="1"/>
  <c r="AG59" i="15"/>
  <c r="AG58" i="15"/>
  <c r="X56" i="15"/>
  <c r="X57" i="15"/>
  <c r="X58" i="15"/>
  <c r="X55" i="15"/>
  <c r="V21" i="15" l="1"/>
  <c r="R1" i="15"/>
  <c r="S56" i="15" l="1"/>
  <c r="S57" i="15"/>
  <c r="S58" i="15"/>
  <c r="S55" i="15"/>
  <c r="S52" i="15"/>
  <c r="AG55" i="15"/>
  <c r="J56" i="15"/>
  <c r="J57" i="15"/>
  <c r="J58" i="15"/>
  <c r="J55" i="15"/>
  <c r="G55" i="15"/>
  <c r="A59" i="15"/>
  <c r="B56" i="15"/>
  <c r="B57" i="15"/>
  <c r="B58" i="15"/>
  <c r="B55" i="15"/>
  <c r="J53" i="10" l="1"/>
  <c r="J55" i="10" s="1"/>
  <c r="J20" i="10"/>
  <c r="M212" i="11"/>
  <c r="M202" i="11"/>
  <c r="K107" i="11"/>
  <c r="M107" i="11"/>
  <c r="P107" i="11" s="1"/>
  <c r="U107" i="11"/>
  <c r="T107" i="11"/>
  <c r="X12" i="14"/>
  <c r="X11" i="14"/>
  <c r="X10" i="14"/>
  <c r="X107" i="11"/>
  <c r="V107" i="11"/>
  <c r="H20" i="10"/>
  <c r="H21" i="10" s="1"/>
  <c r="W10" i="14"/>
  <c r="W11" i="14"/>
  <c r="U12" i="14"/>
  <c r="T12" i="14"/>
  <c r="S12" i="14"/>
  <c r="O11" i="14"/>
  <c r="P11" i="14" s="1"/>
  <c r="O10" i="14"/>
  <c r="P10" i="14" s="1"/>
  <c r="P12" i="14" s="1"/>
  <c r="J54" i="10" l="1"/>
  <c r="O12" i="14"/>
  <c r="W12" i="14" l="1"/>
  <c r="H62" i="15"/>
  <c r="V62" i="15" s="1"/>
  <c r="K62" i="15"/>
  <c r="L62" i="15"/>
  <c r="Z62" i="15" s="1"/>
  <c r="M62" i="15"/>
  <c r="N62" i="15"/>
  <c r="O62" i="15"/>
  <c r="P62" i="15"/>
  <c r="AD62" i="15" s="1"/>
  <c r="Q62" i="15"/>
  <c r="R62" i="15"/>
  <c r="G62" i="15"/>
  <c r="B62" i="15"/>
  <c r="I58" i="10"/>
  <c r="I62" i="15" s="1"/>
  <c r="W62" i="15" s="1"/>
  <c r="J58" i="10"/>
  <c r="J62" i="15" s="1"/>
  <c r="X62" i="15" s="1"/>
  <c r="L58" i="10"/>
  <c r="P58" i="10"/>
  <c r="H58" i="10"/>
  <c r="S58" i="10" s="1"/>
  <c r="S62" i="15" s="1"/>
  <c r="I53" i="16"/>
  <c r="R53" i="16" s="1"/>
  <c r="J53" i="16"/>
  <c r="S53" i="16" s="1"/>
  <c r="K53" i="16"/>
  <c r="T53" i="16" s="1"/>
  <c r="L53" i="16"/>
  <c r="U53" i="16" s="1"/>
  <c r="M53" i="16"/>
  <c r="V53" i="16" s="1"/>
  <c r="H53" i="16"/>
  <c r="Q53" i="16" s="1"/>
  <c r="B52" i="16"/>
  <c r="A9" i="16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A47" i="16" s="1"/>
  <c r="A48" i="16" s="1"/>
  <c r="A49" i="16" s="1"/>
  <c r="A52" i="16" s="1"/>
  <c r="A53" i="16" s="1"/>
  <c r="A54" i="16" s="1"/>
  <c r="H43" i="16"/>
  <c r="I43" i="16"/>
  <c r="J43" i="16"/>
  <c r="K43" i="16"/>
  <c r="M43" i="16"/>
  <c r="H44" i="16"/>
  <c r="I44" i="16"/>
  <c r="J44" i="16"/>
  <c r="K44" i="16"/>
  <c r="M44" i="16"/>
  <c r="H45" i="16"/>
  <c r="I45" i="16"/>
  <c r="K45" i="16"/>
  <c r="L45" i="16"/>
  <c r="M45" i="16"/>
  <c r="H46" i="16"/>
  <c r="I46" i="16"/>
  <c r="J46" i="16"/>
  <c r="S46" i="16" s="1"/>
  <c r="W46" i="16" s="1"/>
  <c r="K46" i="16"/>
  <c r="L46" i="16"/>
  <c r="M46" i="16"/>
  <c r="H47" i="16"/>
  <c r="I47" i="16"/>
  <c r="J47" i="16"/>
  <c r="S47" i="16" s="1"/>
  <c r="W47" i="16" s="1"/>
  <c r="K47" i="16"/>
  <c r="L47" i="16"/>
  <c r="M47" i="16"/>
  <c r="H48" i="16"/>
  <c r="I48" i="16"/>
  <c r="J48" i="16"/>
  <c r="S48" i="16" s="1"/>
  <c r="W48" i="16" s="1"/>
  <c r="K48" i="16"/>
  <c r="L48" i="16"/>
  <c r="M48" i="16"/>
  <c r="H49" i="16"/>
  <c r="I49" i="16"/>
  <c r="J49" i="16"/>
  <c r="S49" i="16" s="1"/>
  <c r="W49" i="16" s="1"/>
  <c r="K49" i="16"/>
  <c r="L49" i="16"/>
  <c r="M49" i="16"/>
  <c r="H32" i="16"/>
  <c r="I32" i="16"/>
  <c r="J32" i="16"/>
  <c r="S32" i="16" s="1"/>
  <c r="W32" i="16" s="1"/>
  <c r="K32" i="16"/>
  <c r="L32" i="16"/>
  <c r="M32" i="16"/>
  <c r="H33" i="16"/>
  <c r="I33" i="16"/>
  <c r="J33" i="16"/>
  <c r="S33" i="16" s="1"/>
  <c r="W33" i="16" s="1"/>
  <c r="K33" i="16"/>
  <c r="L33" i="16"/>
  <c r="M33" i="16"/>
  <c r="H34" i="16"/>
  <c r="I34" i="16"/>
  <c r="J34" i="16"/>
  <c r="S34" i="16" s="1"/>
  <c r="W34" i="16" s="1"/>
  <c r="K34" i="16"/>
  <c r="L34" i="16"/>
  <c r="M34" i="16"/>
  <c r="H35" i="16"/>
  <c r="I35" i="16"/>
  <c r="K35" i="16"/>
  <c r="L35" i="16"/>
  <c r="M35" i="16"/>
  <c r="H36" i="16"/>
  <c r="I36" i="16"/>
  <c r="J36" i="16"/>
  <c r="S36" i="16" s="1"/>
  <c r="W36" i="16" s="1"/>
  <c r="K36" i="16"/>
  <c r="L36" i="16"/>
  <c r="M36" i="16"/>
  <c r="H37" i="16"/>
  <c r="I37" i="16"/>
  <c r="J37" i="16"/>
  <c r="S37" i="16" s="1"/>
  <c r="W37" i="16" s="1"/>
  <c r="K37" i="16"/>
  <c r="L37" i="16"/>
  <c r="M37" i="16"/>
  <c r="H38" i="16"/>
  <c r="I38" i="16"/>
  <c r="J38" i="16"/>
  <c r="S38" i="16" s="1"/>
  <c r="W38" i="16" s="1"/>
  <c r="K38" i="16"/>
  <c r="L38" i="16"/>
  <c r="M38" i="16"/>
  <c r="H39" i="16"/>
  <c r="I39" i="16"/>
  <c r="J39" i="16"/>
  <c r="S39" i="16" s="1"/>
  <c r="W39" i="16" s="1"/>
  <c r="K39" i="16"/>
  <c r="L39" i="16"/>
  <c r="M39" i="16"/>
  <c r="H40" i="16"/>
  <c r="I40" i="16"/>
  <c r="J40" i="16"/>
  <c r="K40" i="16"/>
  <c r="M40" i="16"/>
  <c r="H41" i="16"/>
  <c r="I41" i="16"/>
  <c r="J41" i="16"/>
  <c r="K41" i="16"/>
  <c r="M41" i="16"/>
  <c r="H42" i="16"/>
  <c r="I42" i="16"/>
  <c r="J42" i="16"/>
  <c r="K42" i="16"/>
  <c r="M42" i="16"/>
  <c r="H27" i="16"/>
  <c r="I27" i="16"/>
  <c r="J27" i="16"/>
  <c r="M27" i="16"/>
  <c r="H28" i="16"/>
  <c r="I28" i="16"/>
  <c r="J28" i="16"/>
  <c r="M28" i="16"/>
  <c r="H29" i="16"/>
  <c r="I29" i="16"/>
  <c r="J29" i="16"/>
  <c r="M29" i="16"/>
  <c r="H30" i="16"/>
  <c r="I30" i="16"/>
  <c r="J30" i="16"/>
  <c r="M30" i="16"/>
  <c r="H31" i="16"/>
  <c r="I31" i="16"/>
  <c r="K31" i="16"/>
  <c r="L31" i="16"/>
  <c r="M31" i="16"/>
  <c r="G40" i="16"/>
  <c r="G45" i="16"/>
  <c r="G31" i="16"/>
  <c r="G35" i="16"/>
  <c r="G27" i="16"/>
  <c r="G22" i="16"/>
  <c r="B33" i="16"/>
  <c r="B34" i="16"/>
  <c r="B35" i="16"/>
  <c r="B36" i="16"/>
  <c r="B37" i="16"/>
  <c r="B38" i="16"/>
  <c r="B39" i="16"/>
  <c r="B40" i="16"/>
  <c r="B41" i="16"/>
  <c r="B42" i="16"/>
  <c r="B43" i="16"/>
  <c r="B44" i="16"/>
  <c r="B45" i="16"/>
  <c r="B46" i="16"/>
  <c r="B47" i="16"/>
  <c r="B48" i="16"/>
  <c r="B49" i="16"/>
  <c r="B23" i="16"/>
  <c r="B24" i="16"/>
  <c r="B25" i="16"/>
  <c r="B26" i="16"/>
  <c r="B27" i="16"/>
  <c r="B28" i="16"/>
  <c r="B29" i="16"/>
  <c r="B30" i="16"/>
  <c r="B31" i="16"/>
  <c r="B32" i="16"/>
  <c r="B22" i="16"/>
  <c r="B21" i="16"/>
  <c r="B18" i="16"/>
  <c r="B19" i="16"/>
  <c r="B17" i="16"/>
  <c r="B16" i="16"/>
  <c r="B14" i="16"/>
  <c r="B13" i="16"/>
  <c r="B12" i="16"/>
  <c r="G9" i="16"/>
  <c r="G7" i="16"/>
  <c r="G10" i="16"/>
  <c r="B10" i="16"/>
  <c r="B9" i="16"/>
  <c r="B8" i="16"/>
  <c r="B7" i="16"/>
  <c r="W5" i="15"/>
  <c r="X5" i="15"/>
  <c r="Y5" i="15"/>
  <c r="Z5" i="15"/>
  <c r="AA5" i="15"/>
  <c r="AB5" i="15"/>
  <c r="AC5" i="15"/>
  <c r="AD5" i="15"/>
  <c r="AE5" i="15"/>
  <c r="AF5" i="15"/>
  <c r="V5" i="15"/>
  <c r="B6" i="16"/>
  <c r="G6" i="16" s="1"/>
  <c r="H6" i="16" s="1"/>
  <c r="I6" i="16" s="1"/>
  <c r="J6" i="16" s="1"/>
  <c r="K6" i="16" s="1"/>
  <c r="L6" i="16" s="1"/>
  <c r="M6" i="16" s="1"/>
  <c r="N6" i="16" s="1"/>
  <c r="O6" i="16" s="1"/>
  <c r="P6" i="16" s="1"/>
  <c r="Q6" i="16" s="1"/>
  <c r="R6" i="16" s="1"/>
  <c r="S6" i="16" s="1"/>
  <c r="T6" i="16" s="1"/>
  <c r="U6" i="16" s="1"/>
  <c r="V6" i="16" s="1"/>
  <c r="W6" i="16" s="1"/>
  <c r="I5" i="16"/>
  <c r="R5" i="16" s="1"/>
  <c r="J5" i="16"/>
  <c r="S5" i="16" s="1"/>
  <c r="K5" i="16"/>
  <c r="T5" i="16" s="1"/>
  <c r="L5" i="16"/>
  <c r="U5" i="16" s="1"/>
  <c r="M5" i="16"/>
  <c r="V5" i="16" s="1"/>
  <c r="H5" i="16"/>
  <c r="Q5" i="16" s="1"/>
  <c r="AG56" i="15"/>
  <c r="AG57" i="15"/>
  <c r="I61" i="15"/>
  <c r="W61" i="15" s="1"/>
  <c r="J61" i="15"/>
  <c r="X61" i="15" s="1"/>
  <c r="K61" i="15"/>
  <c r="Y61" i="15" s="1"/>
  <c r="L61" i="15"/>
  <c r="Z61" i="15" s="1"/>
  <c r="M61" i="15"/>
  <c r="AA61" i="15" s="1"/>
  <c r="N61" i="15"/>
  <c r="AB61" i="15" s="1"/>
  <c r="O61" i="15"/>
  <c r="AC61" i="15" s="1"/>
  <c r="P61" i="15"/>
  <c r="AD61" i="15" s="1"/>
  <c r="Q61" i="15"/>
  <c r="AE61" i="15" s="1"/>
  <c r="R61" i="15"/>
  <c r="AF61" i="15" s="1"/>
  <c r="H61" i="15"/>
  <c r="V61" i="15" s="1"/>
  <c r="G61" i="15"/>
  <c r="B61" i="15"/>
  <c r="B60" i="15"/>
  <c r="B54" i="15"/>
  <c r="G40" i="15"/>
  <c r="G41" i="15"/>
  <c r="G42" i="15"/>
  <c r="G43" i="15"/>
  <c r="G44" i="15"/>
  <c r="G48" i="15"/>
  <c r="G49" i="15"/>
  <c r="G50" i="15"/>
  <c r="G52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27" i="15"/>
  <c r="B46" i="15"/>
  <c r="B47" i="15"/>
  <c r="B48" i="15"/>
  <c r="B49" i="15"/>
  <c r="B50" i="15"/>
  <c r="B51" i="15"/>
  <c r="B52" i="15"/>
  <c r="B40" i="15"/>
  <c r="B41" i="15"/>
  <c r="B42" i="15"/>
  <c r="B43" i="15"/>
  <c r="B44" i="15"/>
  <c r="B45" i="15"/>
  <c r="B31" i="15"/>
  <c r="B32" i="15"/>
  <c r="B33" i="15"/>
  <c r="B34" i="15"/>
  <c r="B35" i="15"/>
  <c r="B36" i="15"/>
  <c r="B37" i="15"/>
  <c r="B38" i="15"/>
  <c r="B39" i="15"/>
  <c r="B28" i="15"/>
  <c r="B29" i="15"/>
  <c r="B30" i="15"/>
  <c r="B27" i="15"/>
  <c r="B26" i="15"/>
  <c r="G20" i="15"/>
  <c r="B24" i="15"/>
  <c r="B21" i="15"/>
  <c r="B22" i="15"/>
  <c r="B23" i="15"/>
  <c r="B20" i="15"/>
  <c r="B19" i="15"/>
  <c r="B7" i="15"/>
  <c r="G9" i="15"/>
  <c r="G10" i="15"/>
  <c r="G11" i="15"/>
  <c r="G12" i="15"/>
  <c r="G13" i="15"/>
  <c r="G14" i="15"/>
  <c r="G15" i="15"/>
  <c r="G16" i="15"/>
  <c r="G17" i="15"/>
  <c r="G8" i="15"/>
  <c r="B9" i="15"/>
  <c r="B10" i="15"/>
  <c r="B11" i="15"/>
  <c r="B12" i="15"/>
  <c r="B13" i="15"/>
  <c r="B14" i="15"/>
  <c r="B15" i="15"/>
  <c r="B16" i="15"/>
  <c r="B17" i="15"/>
  <c r="B8" i="15"/>
  <c r="A8" i="15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B6" i="15"/>
  <c r="G6" i="15" s="1"/>
  <c r="H6" i="15" s="1"/>
  <c r="I6" i="15" s="1"/>
  <c r="J6" i="15" s="1"/>
  <c r="K6" i="15" s="1"/>
  <c r="L6" i="15" s="1"/>
  <c r="M6" i="15" s="1"/>
  <c r="N6" i="15" s="1"/>
  <c r="O6" i="15" s="1"/>
  <c r="P6" i="15" s="1"/>
  <c r="Q6" i="15" s="1"/>
  <c r="R6" i="15" s="1"/>
  <c r="S6" i="15" s="1"/>
  <c r="T6" i="15" s="1"/>
  <c r="U6" i="15" s="1"/>
  <c r="V6" i="15" s="1"/>
  <c r="W6" i="15" s="1"/>
  <c r="X6" i="15" s="1"/>
  <c r="Y6" i="15" s="1"/>
  <c r="Z6" i="15" s="1"/>
  <c r="AA6" i="15" s="1"/>
  <c r="AB6" i="15" s="1"/>
  <c r="AC6" i="15" s="1"/>
  <c r="AD6" i="15" s="1"/>
  <c r="AE6" i="15" s="1"/>
  <c r="D6" i="3"/>
  <c r="E6" i="3" s="1"/>
  <c r="F6" i="3" s="1"/>
  <c r="G6" i="3" s="1"/>
  <c r="H6" i="3" s="1"/>
  <c r="I6" i="3" s="1"/>
  <c r="J6" i="3" s="1"/>
  <c r="K6" i="3" s="1"/>
  <c r="L6" i="3" s="1"/>
  <c r="M6" i="3" s="1"/>
  <c r="N6" i="3" s="1"/>
  <c r="O6" i="3" s="1"/>
  <c r="C6" i="3"/>
  <c r="B6" i="3"/>
  <c r="O7" i="3"/>
  <c r="N53" i="16" l="1"/>
  <c r="AG62" i="15"/>
  <c r="AG61" i="15"/>
  <c r="S61" i="15"/>
  <c r="W53" i="16"/>
  <c r="W54" i="16" s="1"/>
  <c r="AF6" i="15"/>
  <c r="AG6" i="15" s="1"/>
  <c r="AG63" i="15" l="1"/>
  <c r="A55" i="15"/>
  <c r="A56" i="15" s="1"/>
  <c r="A57" i="15" s="1"/>
  <c r="A58" i="15" s="1"/>
  <c r="A60" i="15" s="1"/>
  <c r="A61" i="15" s="1"/>
  <c r="A62" i="15" s="1"/>
  <c r="A63" i="15" s="1"/>
  <c r="J50" i="10" l="1"/>
  <c r="J52" i="15" s="1"/>
  <c r="X52" i="15" s="1"/>
  <c r="K50" i="10"/>
  <c r="K52" i="15" s="1"/>
  <c r="Y52" i="15" s="1"/>
  <c r="L50" i="10"/>
  <c r="L52" i="15" s="1"/>
  <c r="Z52" i="15" s="1"/>
  <c r="Q50" i="10"/>
  <c r="H50" i="10"/>
  <c r="H52" i="15" s="1"/>
  <c r="V52" i="15" s="1"/>
  <c r="J48" i="10"/>
  <c r="J50" i="15" s="1"/>
  <c r="X50" i="15" s="1"/>
  <c r="K48" i="10"/>
  <c r="K50" i="15" s="1"/>
  <c r="Y50" i="15" s="1"/>
  <c r="L48" i="10"/>
  <c r="L50" i="15" s="1"/>
  <c r="Z50" i="15" s="1"/>
  <c r="M48" i="10"/>
  <c r="M50" i="15" s="1"/>
  <c r="AA50" i="15" s="1"/>
  <c r="N48" i="10"/>
  <c r="N50" i="15" s="1"/>
  <c r="AB50" i="15" s="1"/>
  <c r="O48" i="10"/>
  <c r="O50" i="15" s="1"/>
  <c r="AC50" i="15" s="1"/>
  <c r="P48" i="10"/>
  <c r="P50" i="15" s="1"/>
  <c r="AD50" i="15" s="1"/>
  <c r="R48" i="10"/>
  <c r="R50" i="15" s="1"/>
  <c r="AF50" i="15" s="1"/>
  <c r="L49" i="10"/>
  <c r="L51" i="15" s="1"/>
  <c r="Z51" i="15" s="1"/>
  <c r="H49" i="10"/>
  <c r="H48" i="10"/>
  <c r="H44" i="10"/>
  <c r="H46" i="15" s="1"/>
  <c r="V46" i="15" s="1"/>
  <c r="J44" i="10"/>
  <c r="J46" i="15" s="1"/>
  <c r="X46" i="15" s="1"/>
  <c r="K44" i="10"/>
  <c r="K46" i="15" s="1"/>
  <c r="Y46" i="15" s="1"/>
  <c r="L44" i="10"/>
  <c r="L46" i="15" s="1"/>
  <c r="Z46" i="15" s="1"/>
  <c r="M44" i="10"/>
  <c r="M46" i="15" s="1"/>
  <c r="AA46" i="15" s="1"/>
  <c r="N44" i="10"/>
  <c r="N46" i="15" s="1"/>
  <c r="AB46" i="15" s="1"/>
  <c r="O44" i="10"/>
  <c r="O46" i="15" s="1"/>
  <c r="AC46" i="15" s="1"/>
  <c r="P44" i="10"/>
  <c r="P46" i="15" s="1"/>
  <c r="AD46" i="15" s="1"/>
  <c r="R44" i="10"/>
  <c r="R46" i="15" s="1"/>
  <c r="AF46" i="15" s="1"/>
  <c r="H45" i="10"/>
  <c r="H47" i="15" s="1"/>
  <c r="V47" i="15" s="1"/>
  <c r="I45" i="10"/>
  <c r="I47" i="15" s="1"/>
  <c r="W47" i="15" s="1"/>
  <c r="J45" i="10"/>
  <c r="J47" i="15" s="1"/>
  <c r="X47" i="15" s="1"/>
  <c r="K45" i="10"/>
  <c r="K47" i="15" s="1"/>
  <c r="Y47" i="15" s="1"/>
  <c r="L45" i="10"/>
  <c r="L47" i="15" s="1"/>
  <c r="Z47" i="15" s="1"/>
  <c r="M45" i="10"/>
  <c r="M47" i="15" s="1"/>
  <c r="AA47" i="15" s="1"/>
  <c r="N45" i="10"/>
  <c r="N47" i="15" s="1"/>
  <c r="AB47" i="15" s="1"/>
  <c r="O45" i="10"/>
  <c r="O47" i="15" s="1"/>
  <c r="AC47" i="15" s="1"/>
  <c r="P45" i="10"/>
  <c r="P47" i="15" s="1"/>
  <c r="AD47" i="15" s="1"/>
  <c r="R45" i="10"/>
  <c r="R47" i="15" s="1"/>
  <c r="AF47" i="15" s="1"/>
  <c r="H46" i="10"/>
  <c r="H48" i="15" s="1"/>
  <c r="V48" i="15" s="1"/>
  <c r="L46" i="10"/>
  <c r="L48" i="15" s="1"/>
  <c r="Z48" i="15" s="1"/>
  <c r="M46" i="10"/>
  <c r="M48" i="15" s="1"/>
  <c r="AA48" i="15" s="1"/>
  <c r="N46" i="10"/>
  <c r="N48" i="15" s="1"/>
  <c r="AB48" i="15" s="1"/>
  <c r="O46" i="10"/>
  <c r="O48" i="15" s="1"/>
  <c r="AC48" i="15" s="1"/>
  <c r="R46" i="10"/>
  <c r="H47" i="10"/>
  <c r="H49" i="15" s="1"/>
  <c r="V49" i="15" s="1"/>
  <c r="J47" i="10"/>
  <c r="J49" i="15" s="1"/>
  <c r="X49" i="15" s="1"/>
  <c r="K47" i="10"/>
  <c r="K49" i="15" s="1"/>
  <c r="Y49" i="15" s="1"/>
  <c r="L47" i="10"/>
  <c r="L49" i="15" s="1"/>
  <c r="Z49" i="15" s="1"/>
  <c r="L43" i="10"/>
  <c r="L45" i="15" s="1"/>
  <c r="Z45" i="15" s="1"/>
  <c r="H43" i="10"/>
  <c r="F39" i="8"/>
  <c r="J34" i="10"/>
  <c r="J36" i="15" s="1"/>
  <c r="X36" i="15" s="1"/>
  <c r="K34" i="10"/>
  <c r="K36" i="15" s="1"/>
  <c r="Y36" i="15" s="1"/>
  <c r="R34" i="10"/>
  <c r="R36" i="15" s="1"/>
  <c r="AF36" i="15" s="1"/>
  <c r="L35" i="10"/>
  <c r="L37" i="15" s="1"/>
  <c r="Z37" i="15" s="1"/>
  <c r="M35" i="10"/>
  <c r="M37" i="15" s="1"/>
  <c r="AA37" i="15" s="1"/>
  <c r="N35" i="10"/>
  <c r="N37" i="15" s="1"/>
  <c r="AB37" i="15" s="1"/>
  <c r="O35" i="10"/>
  <c r="O37" i="15" s="1"/>
  <c r="AC37" i="15" s="1"/>
  <c r="L36" i="10"/>
  <c r="I37" i="10"/>
  <c r="I39" i="15" s="1"/>
  <c r="W39" i="15" s="1"/>
  <c r="J37" i="10"/>
  <c r="J39" i="15" s="1"/>
  <c r="X39" i="15" s="1"/>
  <c r="K37" i="10"/>
  <c r="K39" i="15" s="1"/>
  <c r="Y39" i="15" s="1"/>
  <c r="L37" i="10"/>
  <c r="L39" i="15" s="1"/>
  <c r="Z39" i="15" s="1"/>
  <c r="M37" i="10"/>
  <c r="M39" i="15" s="1"/>
  <c r="AA39" i="15" s="1"/>
  <c r="L38" i="10"/>
  <c r="J39" i="10"/>
  <c r="J41" i="15" s="1"/>
  <c r="X41" i="15" s="1"/>
  <c r="K39" i="10"/>
  <c r="K41" i="15" s="1"/>
  <c r="Y41" i="15" s="1"/>
  <c r="L39" i="10"/>
  <c r="L41" i="15" s="1"/>
  <c r="Z41" i="15" s="1"/>
  <c r="P39" i="10"/>
  <c r="L40" i="10"/>
  <c r="L42" i="15" s="1"/>
  <c r="Z42" i="15" s="1"/>
  <c r="P40" i="10"/>
  <c r="P42" i="15" s="1"/>
  <c r="AD42" i="15" s="1"/>
  <c r="J41" i="10"/>
  <c r="J42" i="10"/>
  <c r="H35" i="10"/>
  <c r="H37" i="15" s="1"/>
  <c r="V37" i="15" s="1"/>
  <c r="H34" i="10"/>
  <c r="H36" i="15" s="1"/>
  <c r="V36" i="15" s="1"/>
  <c r="L31" i="10"/>
  <c r="L33" i="15" s="1"/>
  <c r="Z33" i="15" s="1"/>
  <c r="P31" i="10"/>
  <c r="P33" i="15" s="1"/>
  <c r="AD33" i="15" s="1"/>
  <c r="J32" i="10"/>
  <c r="J33" i="10"/>
  <c r="J30" i="10"/>
  <c r="J32" i="15" s="1"/>
  <c r="X32" i="15" s="1"/>
  <c r="K30" i="10"/>
  <c r="K32" i="15" s="1"/>
  <c r="Y32" i="15" s="1"/>
  <c r="L30" i="10"/>
  <c r="L32" i="15" s="1"/>
  <c r="Z32" i="15" s="1"/>
  <c r="I29" i="10"/>
  <c r="I31" i="15" s="1"/>
  <c r="W31" i="15" s="1"/>
  <c r="J29" i="10"/>
  <c r="J31" i="15" s="1"/>
  <c r="X31" i="15" s="1"/>
  <c r="K29" i="10"/>
  <c r="K31" i="15" s="1"/>
  <c r="Y31" i="15" s="1"/>
  <c r="L29" i="10"/>
  <c r="L31" i="15" s="1"/>
  <c r="Z31" i="15" s="1"/>
  <c r="M29" i="10"/>
  <c r="M31" i="15" s="1"/>
  <c r="AA31" i="15" s="1"/>
  <c r="J28" i="10"/>
  <c r="J30" i="15" s="1"/>
  <c r="X30" i="15" s="1"/>
  <c r="K28" i="10"/>
  <c r="K30" i="15" s="1"/>
  <c r="Y30" i="15" s="1"/>
  <c r="L28" i="10"/>
  <c r="L30" i="15" s="1"/>
  <c r="Z30" i="15" s="1"/>
  <c r="M28" i="10"/>
  <c r="M30" i="15" s="1"/>
  <c r="AA30" i="15" s="1"/>
  <c r="N28" i="10"/>
  <c r="N30" i="15" s="1"/>
  <c r="AB30" i="15" s="1"/>
  <c r="O28" i="10"/>
  <c r="O30" i="15" s="1"/>
  <c r="AC30" i="15" s="1"/>
  <c r="R28" i="10"/>
  <c r="R30" i="15" s="1"/>
  <c r="AF30" i="15" s="1"/>
  <c r="H28" i="10"/>
  <c r="H30" i="15" s="1"/>
  <c r="V30" i="15" s="1"/>
  <c r="I27" i="10"/>
  <c r="I29" i="15" s="1"/>
  <c r="W29" i="15" s="1"/>
  <c r="J27" i="10"/>
  <c r="J29" i="15" s="1"/>
  <c r="X29" i="15" s="1"/>
  <c r="K27" i="10"/>
  <c r="K29" i="15" s="1"/>
  <c r="Y29" i="15" s="1"/>
  <c r="L27" i="10"/>
  <c r="L29" i="15" s="1"/>
  <c r="Z29" i="15" s="1"/>
  <c r="M27" i="10"/>
  <c r="M29" i="15" s="1"/>
  <c r="AA29" i="15" s="1"/>
  <c r="N27" i="10"/>
  <c r="N29" i="15" s="1"/>
  <c r="AB29" i="15" s="1"/>
  <c r="O27" i="10"/>
  <c r="O29" i="15" s="1"/>
  <c r="AC29" i="15" s="1"/>
  <c r="P27" i="10"/>
  <c r="P29" i="15" s="1"/>
  <c r="AD29" i="15" s="1"/>
  <c r="R27" i="10"/>
  <c r="R29" i="15" s="1"/>
  <c r="AF29" i="15" s="1"/>
  <c r="H27" i="10"/>
  <c r="H29" i="15" s="1"/>
  <c r="V29" i="15" s="1"/>
  <c r="P25" i="10"/>
  <c r="I23" i="10"/>
  <c r="I24" i="15" s="1"/>
  <c r="W24" i="15" s="1"/>
  <c r="J23" i="10"/>
  <c r="J24" i="15" s="1"/>
  <c r="X24" i="15" s="1"/>
  <c r="K23" i="10"/>
  <c r="K24" i="15" s="1"/>
  <c r="Y24" i="15" s="1"/>
  <c r="L23" i="10"/>
  <c r="L24" i="15" s="1"/>
  <c r="Z24" i="15" s="1"/>
  <c r="M23" i="10"/>
  <c r="M24" i="15" s="1"/>
  <c r="AA24" i="15" s="1"/>
  <c r="N23" i="10"/>
  <c r="N24" i="15" s="1"/>
  <c r="AB24" i="15" s="1"/>
  <c r="O23" i="10"/>
  <c r="O24" i="15" s="1"/>
  <c r="AC24" i="15" s="1"/>
  <c r="P23" i="10"/>
  <c r="P24" i="15" s="1"/>
  <c r="AD24" i="15" s="1"/>
  <c r="Q23" i="10"/>
  <c r="Q24" i="15" s="1"/>
  <c r="AE24" i="15" s="1"/>
  <c r="H23" i="10"/>
  <c r="H24" i="15" s="1"/>
  <c r="V24" i="15" s="1"/>
  <c r="I20" i="10"/>
  <c r="K20" i="10"/>
  <c r="L20" i="10"/>
  <c r="M20" i="10"/>
  <c r="N20" i="10"/>
  <c r="O20" i="10"/>
  <c r="P20" i="10"/>
  <c r="Q20" i="10"/>
  <c r="I19" i="10"/>
  <c r="I20" i="15" s="1"/>
  <c r="W20" i="15" s="1"/>
  <c r="M19" i="10"/>
  <c r="M20" i="15" s="1"/>
  <c r="AA20" i="15" s="1"/>
  <c r="O19" i="10"/>
  <c r="O20" i="15" s="1"/>
  <c r="AC20" i="15" s="1"/>
  <c r="A8" i="10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Q17" i="10"/>
  <c r="Q17" i="15" s="1"/>
  <c r="AE17" i="15" s="1"/>
  <c r="R17" i="10"/>
  <c r="R17" i="15" s="1"/>
  <c r="AF17" i="15" s="1"/>
  <c r="H17" i="10"/>
  <c r="H17" i="15" s="1"/>
  <c r="V17" i="15" s="1"/>
  <c r="N41" i="8"/>
  <c r="O41" i="8"/>
  <c r="Q25" i="10" s="1"/>
  <c r="Z203" i="11"/>
  <c r="I14" i="10"/>
  <c r="J14" i="10"/>
  <c r="K14" i="10"/>
  <c r="H14" i="10"/>
  <c r="I12" i="10"/>
  <c r="J12" i="10"/>
  <c r="K12" i="10"/>
  <c r="L12" i="10"/>
  <c r="M12" i="10"/>
  <c r="O12" i="10"/>
  <c r="P12" i="10"/>
  <c r="H12" i="10"/>
  <c r="I10" i="10"/>
  <c r="J10" i="10"/>
  <c r="K10" i="10"/>
  <c r="L10" i="10"/>
  <c r="P10" i="10"/>
  <c r="Q10" i="10"/>
  <c r="H10" i="10"/>
  <c r="J8" i="10"/>
  <c r="K8" i="10"/>
  <c r="K8" i="15" s="1"/>
  <c r="Y8" i="15" s="1"/>
  <c r="L8" i="10"/>
  <c r="L8" i="15" s="1"/>
  <c r="Z8" i="15" s="1"/>
  <c r="M8" i="10"/>
  <c r="M8" i="15" s="1"/>
  <c r="AA8" i="15" s="1"/>
  <c r="N8" i="10"/>
  <c r="O8" i="10"/>
  <c r="O8" i="15" s="1"/>
  <c r="AC8" i="15" s="1"/>
  <c r="Q8" i="10"/>
  <c r="H8" i="10"/>
  <c r="B6" i="10"/>
  <c r="G6" i="10" s="1"/>
  <c r="H6" i="10" s="1"/>
  <c r="I6" i="10" s="1"/>
  <c r="J6" i="10" s="1"/>
  <c r="K6" i="10" s="1"/>
  <c r="AG32" i="15" l="1"/>
  <c r="AG33" i="15"/>
  <c r="AG49" i="15"/>
  <c r="AG17" i="15"/>
  <c r="J13" i="10"/>
  <c r="J13" i="15" s="1"/>
  <c r="X13" i="15" s="1"/>
  <c r="J12" i="15"/>
  <c r="X12" i="15" s="1"/>
  <c r="N21" i="10"/>
  <c r="N22" i="15" s="1"/>
  <c r="AB22" i="15" s="1"/>
  <c r="N21" i="15"/>
  <c r="AB21" i="15" s="1"/>
  <c r="S41" i="10"/>
  <c r="S43" i="15" s="1"/>
  <c r="J43" i="15"/>
  <c r="X43" i="15" s="1"/>
  <c r="AG43" i="15" s="1"/>
  <c r="AG47" i="15"/>
  <c r="P11" i="10"/>
  <c r="P11" i="15" s="1"/>
  <c r="AD11" i="15" s="1"/>
  <c r="P10" i="15"/>
  <c r="AD10" i="15" s="1"/>
  <c r="I11" i="10"/>
  <c r="I11" i="15" s="1"/>
  <c r="W11" i="15" s="1"/>
  <c r="I10" i="15"/>
  <c r="W10" i="15" s="1"/>
  <c r="M13" i="10"/>
  <c r="M13" i="15" s="1"/>
  <c r="AA13" i="15" s="1"/>
  <c r="M12" i="15"/>
  <c r="AA12" i="15" s="1"/>
  <c r="I13" i="10"/>
  <c r="I13" i="15" s="1"/>
  <c r="W13" i="15" s="1"/>
  <c r="I12" i="15"/>
  <c r="W12" i="15" s="1"/>
  <c r="I15" i="10"/>
  <c r="I15" i="15" s="1"/>
  <c r="W15" i="15" s="1"/>
  <c r="I14" i="15"/>
  <c r="W14" i="15" s="1"/>
  <c r="Q21" i="10"/>
  <c r="Q22" i="15" s="1"/>
  <c r="AE22" i="15" s="1"/>
  <c r="Q21" i="15"/>
  <c r="AE21" i="15" s="1"/>
  <c r="M21" i="10"/>
  <c r="M22" i="15" s="1"/>
  <c r="AA22" i="15" s="1"/>
  <c r="M21" i="15"/>
  <c r="AA21" i="15" s="1"/>
  <c r="I21" i="10"/>
  <c r="I22" i="15" s="1"/>
  <c r="W22" i="15" s="1"/>
  <c r="I21" i="15"/>
  <c r="W21" i="15" s="1"/>
  <c r="Q26" i="10"/>
  <c r="Q28" i="15" s="1"/>
  <c r="AE28" i="15" s="1"/>
  <c r="Q27" i="15"/>
  <c r="AE27" i="15" s="1"/>
  <c r="AG30" i="15"/>
  <c r="AG31" i="15"/>
  <c r="S33" i="10"/>
  <c r="S35" i="15" s="1"/>
  <c r="J35" i="15"/>
  <c r="X35" i="15" s="1"/>
  <c r="AG35" i="15" s="1"/>
  <c r="AG36" i="15"/>
  <c r="S36" i="10"/>
  <c r="S38" i="15" s="1"/>
  <c r="L38" i="15"/>
  <c r="Z38" i="15" s="1"/>
  <c r="AG38" i="15" s="1"/>
  <c r="AG46" i="15"/>
  <c r="Q11" i="10"/>
  <c r="Q11" i="15" s="1"/>
  <c r="AE11" i="15" s="1"/>
  <c r="Q10" i="15"/>
  <c r="AE10" i="15" s="1"/>
  <c r="O13" i="10"/>
  <c r="O13" i="15" s="1"/>
  <c r="AC13" i="15" s="1"/>
  <c r="O12" i="15"/>
  <c r="AC12" i="15" s="1"/>
  <c r="H22" i="15"/>
  <c r="V22" i="15" s="1"/>
  <c r="H21" i="15"/>
  <c r="N9" i="10"/>
  <c r="N9" i="15" s="1"/>
  <c r="AB9" i="15" s="1"/>
  <c r="N8" i="15"/>
  <c r="AB8" i="15" s="1"/>
  <c r="N16" i="10"/>
  <c r="N16" i="15" s="1"/>
  <c r="AB16" i="15" s="1"/>
  <c r="J9" i="10"/>
  <c r="J9" i="15" s="1"/>
  <c r="X9" i="15" s="1"/>
  <c r="J8" i="15"/>
  <c r="X8" i="15" s="1"/>
  <c r="L11" i="10"/>
  <c r="L11" i="15" s="1"/>
  <c r="Z11" i="15" s="1"/>
  <c r="L10" i="15"/>
  <c r="Z10" i="15" s="1"/>
  <c r="H13" i="10"/>
  <c r="H13" i="15" s="1"/>
  <c r="V13" i="15" s="1"/>
  <c r="H12" i="15"/>
  <c r="V12" i="15" s="1"/>
  <c r="L13" i="10"/>
  <c r="L13" i="15" s="1"/>
  <c r="Z13" i="15" s="1"/>
  <c r="L12" i="15"/>
  <c r="Z12" i="15" s="1"/>
  <c r="H15" i="10"/>
  <c r="H15" i="15" s="1"/>
  <c r="V15" i="15" s="1"/>
  <c r="H14" i="15"/>
  <c r="V14" i="15" s="1"/>
  <c r="P21" i="10"/>
  <c r="P22" i="15" s="1"/>
  <c r="AD22" i="15" s="1"/>
  <c r="P21" i="15"/>
  <c r="AD21" i="15" s="1"/>
  <c r="L21" i="10"/>
  <c r="L22" i="15" s="1"/>
  <c r="Z22" i="15" s="1"/>
  <c r="L21" i="15"/>
  <c r="Z21" i="15" s="1"/>
  <c r="AG24" i="15"/>
  <c r="P26" i="10"/>
  <c r="P28" i="15" s="1"/>
  <c r="AD28" i="15" s="1"/>
  <c r="P27" i="15"/>
  <c r="AD27" i="15" s="1"/>
  <c r="S32" i="10"/>
  <c r="S34" i="15" s="1"/>
  <c r="J34" i="15"/>
  <c r="X34" i="15" s="1"/>
  <c r="AG34" i="15" s="1"/>
  <c r="AG37" i="15"/>
  <c r="AG42" i="15"/>
  <c r="AG41" i="15"/>
  <c r="AG48" i="15"/>
  <c r="S48" i="10"/>
  <c r="S50" i="15" s="1"/>
  <c r="H50" i="15"/>
  <c r="V50" i="15" s="1"/>
  <c r="AG50" i="15" s="1"/>
  <c r="S50" i="10"/>
  <c r="Q52" i="15"/>
  <c r="AE52" i="15" s="1"/>
  <c r="AG52" i="15" s="1"/>
  <c r="Q16" i="10"/>
  <c r="Q16" i="15" s="1"/>
  <c r="AE16" i="15" s="1"/>
  <c r="Q8" i="15"/>
  <c r="AE8" i="15" s="1"/>
  <c r="J11" i="10"/>
  <c r="J11" i="15" s="1"/>
  <c r="X11" i="15" s="1"/>
  <c r="J10" i="15"/>
  <c r="X10" i="15" s="1"/>
  <c r="J15" i="10"/>
  <c r="J15" i="15" s="1"/>
  <c r="X15" i="15" s="1"/>
  <c r="J14" i="15"/>
  <c r="X14" i="15" s="1"/>
  <c r="J21" i="10"/>
  <c r="J22" i="15" s="1"/>
  <c r="X22" i="15" s="1"/>
  <c r="J21" i="15"/>
  <c r="X21" i="15" s="1"/>
  <c r="AG39" i="15"/>
  <c r="H9" i="10"/>
  <c r="H9" i="15" s="1"/>
  <c r="V9" i="15" s="1"/>
  <c r="H8" i="15"/>
  <c r="V8" i="15" s="1"/>
  <c r="H11" i="10"/>
  <c r="H11" i="15" s="1"/>
  <c r="V11" i="15" s="1"/>
  <c r="H10" i="15"/>
  <c r="V10" i="15" s="1"/>
  <c r="K11" i="10"/>
  <c r="K11" i="15" s="1"/>
  <c r="Y11" i="15" s="1"/>
  <c r="K10" i="15"/>
  <c r="Y10" i="15" s="1"/>
  <c r="P13" i="10"/>
  <c r="P13" i="15" s="1"/>
  <c r="AD13" i="15" s="1"/>
  <c r="P12" i="15"/>
  <c r="AD12" i="15" s="1"/>
  <c r="K13" i="10"/>
  <c r="K13" i="15" s="1"/>
  <c r="Y13" i="15" s="1"/>
  <c r="K12" i="15"/>
  <c r="Y12" i="15" s="1"/>
  <c r="K15" i="10"/>
  <c r="K15" i="15" s="1"/>
  <c r="Y15" i="15" s="1"/>
  <c r="K14" i="15"/>
  <c r="Y14" i="15" s="1"/>
  <c r="AG20" i="15"/>
  <c r="O21" i="10"/>
  <c r="O22" i="15" s="1"/>
  <c r="AC22" i="15" s="1"/>
  <c r="O21" i="15"/>
  <c r="AC21" i="15" s="1"/>
  <c r="K21" i="10"/>
  <c r="K22" i="15" s="1"/>
  <c r="Y22" i="15" s="1"/>
  <c r="K21" i="15"/>
  <c r="Y21" i="15" s="1"/>
  <c r="AG29" i="15"/>
  <c r="S42" i="10"/>
  <c r="S44" i="15" s="1"/>
  <c r="J44" i="15"/>
  <c r="X44" i="15" s="1"/>
  <c r="AG44" i="15" s="1"/>
  <c r="S38" i="10"/>
  <c r="S40" i="15" s="1"/>
  <c r="L40" i="15"/>
  <c r="Z40" i="15" s="1"/>
  <c r="AG40" i="15" s="1"/>
  <c r="S43" i="10"/>
  <c r="S45" i="15" s="1"/>
  <c r="H45" i="15"/>
  <c r="V45" i="15" s="1"/>
  <c r="AG45" i="15" s="1"/>
  <c r="S49" i="10"/>
  <c r="S51" i="15" s="1"/>
  <c r="H51" i="15"/>
  <c r="V51" i="15" s="1"/>
  <c r="AG51" i="15" s="1"/>
  <c r="S46" i="10"/>
  <c r="S48" i="15" s="1"/>
  <c r="S45" i="10"/>
  <c r="S47" i="15" s="1"/>
  <c r="S47" i="10"/>
  <c r="S49" i="15" s="1"/>
  <c r="S40" i="10"/>
  <c r="S42" i="15" s="1"/>
  <c r="S44" i="10"/>
  <c r="S46" i="15" s="1"/>
  <c r="S39" i="10"/>
  <c r="S41" i="15" s="1"/>
  <c r="S37" i="10"/>
  <c r="S39" i="15" s="1"/>
  <c r="S35" i="10"/>
  <c r="S37" i="15" s="1"/>
  <c r="S34" i="10"/>
  <c r="S36" i="15" s="1"/>
  <c r="S31" i="10"/>
  <c r="S33" i="15" s="1"/>
  <c r="M16" i="10"/>
  <c r="M16" i="15" s="1"/>
  <c r="AA16" i="15" s="1"/>
  <c r="S30" i="10"/>
  <c r="S32" i="15" s="1"/>
  <c r="S28" i="10"/>
  <c r="S30" i="15" s="1"/>
  <c r="S29" i="10"/>
  <c r="S31" i="15" s="1"/>
  <c r="S27" i="10"/>
  <c r="S29" i="15" s="1"/>
  <c r="L16" i="10"/>
  <c r="L16" i="15" s="1"/>
  <c r="Z16" i="15" s="1"/>
  <c r="S23" i="10"/>
  <c r="S24" i="15" s="1"/>
  <c r="M9" i="10"/>
  <c r="M9" i="15" s="1"/>
  <c r="AA9" i="15" s="1"/>
  <c r="H16" i="10"/>
  <c r="H16" i="15" s="1"/>
  <c r="V16" i="15" s="1"/>
  <c r="O16" i="10"/>
  <c r="O16" i="15" s="1"/>
  <c r="AC16" i="15" s="1"/>
  <c r="K16" i="10"/>
  <c r="K16" i="15" s="1"/>
  <c r="Y16" i="15" s="1"/>
  <c r="J16" i="10"/>
  <c r="J16" i="15" s="1"/>
  <c r="X16" i="15" s="1"/>
  <c r="Q9" i="10"/>
  <c r="Q9" i="15" s="1"/>
  <c r="AE9" i="15" s="1"/>
  <c r="K9" i="10"/>
  <c r="K9" i="15" s="1"/>
  <c r="Y9" i="15" s="1"/>
  <c r="I16" i="10"/>
  <c r="I16" i="15" s="1"/>
  <c r="W16" i="15" s="1"/>
  <c r="O9" i="10"/>
  <c r="O9" i="15" s="1"/>
  <c r="AC9" i="15" s="1"/>
  <c r="P16" i="10"/>
  <c r="P16" i="15" s="1"/>
  <c r="AD16" i="15" s="1"/>
  <c r="S17" i="10"/>
  <c r="S17" i="15" s="1"/>
  <c r="S8" i="10"/>
  <c r="S8" i="15" s="1"/>
  <c r="L9" i="10"/>
  <c r="L9" i="15" s="1"/>
  <c r="Z9" i="15" s="1"/>
  <c r="L6" i="10"/>
  <c r="M6" i="10" s="1"/>
  <c r="N6" i="10" s="1"/>
  <c r="O6" i="10" s="1"/>
  <c r="P6" i="10" s="1"/>
  <c r="Q6" i="10" s="1"/>
  <c r="R6" i="10" s="1"/>
  <c r="S6" i="10" s="1"/>
  <c r="AG16" i="15" l="1"/>
  <c r="AG10" i="15"/>
  <c r="AG14" i="15"/>
  <c r="AG12" i="15"/>
  <c r="AG22" i="15"/>
  <c r="AG9" i="15"/>
  <c r="AG21" i="15"/>
  <c r="AG11" i="15"/>
  <c r="AG15" i="15"/>
  <c r="AG13" i="15"/>
  <c r="AG8" i="15"/>
  <c r="S16" i="10"/>
  <c r="S16" i="15" s="1"/>
  <c r="AG18" i="15" l="1"/>
  <c r="A107" i="11"/>
  <c r="A108" i="11"/>
  <c r="A11" i="1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A97" i="11" s="1"/>
  <c r="A98" i="11" s="1"/>
  <c r="A99" i="11" s="1"/>
  <c r="A100" i="11" s="1"/>
  <c r="A101" i="11" s="1"/>
  <c r="A102" i="11" s="1"/>
  <c r="A103" i="11" s="1"/>
  <c r="A104" i="11" s="1"/>
  <c r="A105" i="11" s="1"/>
  <c r="A106" i="11" s="1"/>
  <c r="A109" i="11" s="1"/>
  <c r="A110" i="11" s="1"/>
  <c r="A111" i="11" s="1"/>
  <c r="A112" i="11" s="1"/>
  <c r="A113" i="11" s="1"/>
  <c r="A114" i="11" s="1"/>
  <c r="A115" i="11" s="1"/>
  <c r="A116" i="11" s="1"/>
  <c r="A117" i="11" s="1"/>
  <c r="A118" i="11" s="1"/>
  <c r="A119" i="11" s="1"/>
  <c r="A120" i="11" s="1"/>
  <c r="A121" i="11" s="1"/>
  <c r="A122" i="11" s="1"/>
  <c r="A123" i="11" s="1"/>
  <c r="A124" i="11" s="1"/>
  <c r="A125" i="11" s="1"/>
  <c r="A126" i="11" s="1"/>
  <c r="A127" i="11" s="1"/>
  <c r="A128" i="11" s="1"/>
  <c r="A129" i="11" s="1"/>
  <c r="A130" i="11" s="1"/>
  <c r="A131" i="11" s="1"/>
  <c r="A132" i="11" s="1"/>
  <c r="A133" i="11" s="1"/>
  <c r="A134" i="11" s="1"/>
  <c r="A135" i="11" s="1"/>
  <c r="A136" i="11" s="1"/>
  <c r="A137" i="11" s="1"/>
  <c r="A138" i="11" s="1"/>
  <c r="A139" i="11" s="1"/>
  <c r="A140" i="11" s="1"/>
  <c r="A141" i="11" s="1"/>
  <c r="A142" i="11" s="1"/>
  <c r="A143" i="11" s="1"/>
  <c r="A144" i="11" s="1"/>
  <c r="A145" i="11" s="1"/>
  <c r="A146" i="11" s="1"/>
  <c r="A147" i="11" s="1"/>
  <c r="A148" i="11" s="1"/>
  <c r="A149" i="11" s="1"/>
  <c r="A150" i="11" s="1"/>
  <c r="A151" i="11" s="1"/>
  <c r="A152" i="11" s="1"/>
  <c r="A153" i="11" s="1"/>
  <c r="A154" i="11" s="1"/>
  <c r="A155" i="11" s="1"/>
  <c r="A156" i="11" s="1"/>
  <c r="A157" i="11" s="1"/>
  <c r="A158" i="11" s="1"/>
  <c r="A159" i="11" s="1"/>
  <c r="A160" i="11" s="1"/>
  <c r="A161" i="11" s="1"/>
  <c r="A162" i="11" s="1"/>
  <c r="A163" i="11" s="1"/>
  <c r="A164" i="11" s="1"/>
  <c r="A165" i="11" s="1"/>
  <c r="A166" i="11" s="1"/>
  <c r="A167" i="11" s="1"/>
  <c r="A168" i="11" s="1"/>
  <c r="A169" i="11" s="1"/>
  <c r="A170" i="11" s="1"/>
  <c r="A171" i="11" s="1"/>
  <c r="A172" i="11" s="1"/>
  <c r="A173" i="11" s="1"/>
  <c r="A174" i="11" s="1"/>
  <c r="A175" i="11" s="1"/>
  <c r="A176" i="11" s="1"/>
  <c r="A177" i="11" s="1"/>
  <c r="A178" i="11" s="1"/>
  <c r="A179" i="11" s="1"/>
  <c r="A180" i="11" s="1"/>
  <c r="A181" i="11" s="1"/>
  <c r="A182" i="11" s="1"/>
  <c r="A183" i="11" s="1"/>
  <c r="A184" i="11" s="1"/>
  <c r="A185" i="11" s="1"/>
  <c r="A186" i="11" s="1"/>
  <c r="A187" i="11" s="1"/>
  <c r="A188" i="11" s="1"/>
  <c r="A189" i="11" s="1"/>
  <c r="A190" i="11" s="1"/>
  <c r="A191" i="11" s="1"/>
  <c r="A192" i="11" s="1"/>
  <c r="A193" i="11" s="1"/>
  <c r="A194" i="11" s="1"/>
  <c r="A195" i="11" s="1"/>
  <c r="A196" i="11" s="1"/>
  <c r="A197" i="11" s="1"/>
  <c r="A198" i="11" s="1"/>
  <c r="A199" i="11" s="1"/>
  <c r="A200" i="11" s="1"/>
  <c r="A201" i="11" s="1"/>
  <c r="A10" i="11"/>
  <c r="X198" i="11"/>
  <c r="Y198" i="11" s="1"/>
  <c r="X191" i="11"/>
  <c r="Y191" i="11" s="1"/>
  <c r="X186" i="11"/>
  <c r="Y186" i="11" s="1"/>
  <c r="L211" i="11"/>
  <c r="M211" i="11"/>
  <c r="N211" i="11"/>
  <c r="O211" i="11"/>
  <c r="P211" i="11"/>
  <c r="Q211" i="11"/>
  <c r="R211" i="11"/>
  <c r="S211" i="11"/>
  <c r="T211" i="11"/>
  <c r="U211" i="11"/>
  <c r="V211" i="11"/>
  <c r="W211" i="11"/>
  <c r="Z211" i="11"/>
  <c r="AA211" i="11"/>
  <c r="AB211" i="11"/>
  <c r="AC211" i="11"/>
  <c r="L212" i="11"/>
  <c r="N212" i="11"/>
  <c r="O212" i="11"/>
  <c r="P212" i="11"/>
  <c r="Q212" i="11"/>
  <c r="R212" i="11"/>
  <c r="S212" i="11"/>
  <c r="T212" i="11"/>
  <c r="U212" i="11"/>
  <c r="V212" i="11"/>
  <c r="W212" i="11"/>
  <c r="X212" i="11"/>
  <c r="Z212" i="11"/>
  <c r="AA212" i="11"/>
  <c r="AB212" i="11"/>
  <c r="AC212" i="11"/>
  <c r="K212" i="11"/>
  <c r="K211" i="11"/>
  <c r="S57" i="10"/>
  <c r="S55" i="10"/>
  <c r="S53" i="10"/>
  <c r="S52" i="10"/>
  <c r="S20" i="10"/>
  <c r="S19" i="10"/>
  <c r="S20" i="15" s="1"/>
  <c r="S15" i="10"/>
  <c r="S15" i="15" s="1"/>
  <c r="S14" i="10"/>
  <c r="S14" i="15" s="1"/>
  <c r="S13" i="10"/>
  <c r="S13" i="15" s="1"/>
  <c r="S12" i="10"/>
  <c r="S12" i="15" s="1"/>
  <c r="S11" i="10"/>
  <c r="S11" i="15" s="1"/>
  <c r="S10" i="10"/>
  <c r="S10" i="15" s="1"/>
  <c r="S9" i="10"/>
  <c r="S9" i="15" s="1"/>
  <c r="S21" i="15" l="1"/>
  <c r="Y107" i="11"/>
  <c r="Y212" i="11" s="1"/>
  <c r="S21" i="10"/>
  <c r="S22" i="15" s="1"/>
  <c r="X211" i="11"/>
  <c r="Y211" i="11"/>
  <c r="S54" i="10"/>
  <c r="L38" i="9" l="1"/>
  <c r="L13" i="13"/>
  <c r="I13" i="13"/>
  <c r="S190" i="11"/>
  <c r="X190" i="11" s="1"/>
  <c r="Y190" i="11" s="1"/>
  <c r="K190" i="11"/>
  <c r="M190" i="11" s="1"/>
  <c r="R190" i="11" s="1"/>
  <c r="S189" i="11"/>
  <c r="U189" i="11"/>
  <c r="U204" i="11" s="1"/>
  <c r="K189" i="11"/>
  <c r="M189" i="11" s="1"/>
  <c r="P189" i="11" s="1"/>
  <c r="U197" i="11"/>
  <c r="S197" i="11"/>
  <c r="F204" i="11"/>
  <c r="K197" i="11"/>
  <c r="M197" i="11" s="1"/>
  <c r="P197" i="11" s="1"/>
  <c r="N43" i="13"/>
  <c r="N46" i="16" s="1"/>
  <c r="N44" i="13"/>
  <c r="N47" i="16" s="1"/>
  <c r="N45" i="13"/>
  <c r="N48" i="16" s="1"/>
  <c r="N46" i="13"/>
  <c r="N49" i="16" s="1"/>
  <c r="J42" i="13"/>
  <c r="L14" i="16" l="1"/>
  <c r="U14" i="16" s="1"/>
  <c r="N13" i="13"/>
  <c r="N14" i="16" s="1"/>
  <c r="I14" i="16"/>
  <c r="R14" i="16" s="1"/>
  <c r="W14" i="16" s="1"/>
  <c r="N42" i="13"/>
  <c r="N45" i="16" s="1"/>
  <c r="J45" i="16"/>
  <c r="R189" i="11"/>
  <c r="P190" i="11"/>
  <c r="S204" i="11"/>
  <c r="R197" i="11"/>
  <c r="R204" i="11" s="1"/>
  <c r="X189" i="11"/>
  <c r="Y189" i="11" s="1"/>
  <c r="M204" i="11"/>
  <c r="K204" i="11"/>
  <c r="P204" i="11"/>
  <c r="X197" i="11"/>
  <c r="L37" i="13"/>
  <c r="N29" i="13"/>
  <c r="N32" i="16" s="1"/>
  <c r="N30" i="13"/>
  <c r="N33" i="16" s="1"/>
  <c r="N31" i="13"/>
  <c r="N34" i="16" s="1"/>
  <c r="N33" i="13"/>
  <c r="N36" i="16" s="1"/>
  <c r="N34" i="13"/>
  <c r="N37" i="16" s="1"/>
  <c r="N35" i="13"/>
  <c r="N38" i="16" s="1"/>
  <c r="N36" i="13"/>
  <c r="N39" i="16" s="1"/>
  <c r="J32" i="13"/>
  <c r="J28" i="13"/>
  <c r="J31" i="16" s="1"/>
  <c r="K24" i="13"/>
  <c r="K27" i="16" s="1"/>
  <c r="L24" i="13"/>
  <c r="L27" i="16" s="1"/>
  <c r="J19" i="13"/>
  <c r="K19" i="13"/>
  <c r="L19" i="13"/>
  <c r="M19" i="13"/>
  <c r="I19" i="13"/>
  <c r="H19" i="13"/>
  <c r="L17" i="13"/>
  <c r="L19" i="16" s="1"/>
  <c r="U19" i="16" s="1"/>
  <c r="K17" i="13"/>
  <c r="K19" i="16" s="1"/>
  <c r="T19" i="16" s="1"/>
  <c r="J17" i="13"/>
  <c r="J19" i="16" s="1"/>
  <c r="S19" i="16" s="1"/>
  <c r="I17" i="13"/>
  <c r="I19" i="16" s="1"/>
  <c r="R19" i="16" s="1"/>
  <c r="L16" i="13"/>
  <c r="L18" i="16" s="1"/>
  <c r="U18" i="16" s="1"/>
  <c r="K16" i="13"/>
  <c r="K18" i="16" s="1"/>
  <c r="T18" i="16" s="1"/>
  <c r="J16" i="13"/>
  <c r="J18" i="16" s="1"/>
  <c r="S18" i="16" s="1"/>
  <c r="I16" i="13"/>
  <c r="I18" i="16" s="1"/>
  <c r="R18" i="16" s="1"/>
  <c r="L15" i="13"/>
  <c r="L17" i="16" s="1"/>
  <c r="U17" i="16" s="1"/>
  <c r="K15" i="13"/>
  <c r="K17" i="16" s="1"/>
  <c r="T17" i="16" s="1"/>
  <c r="J15" i="13"/>
  <c r="J17" i="16" s="1"/>
  <c r="S17" i="16" s="1"/>
  <c r="I15" i="13"/>
  <c r="I17" i="16" s="1"/>
  <c r="R17" i="16" s="1"/>
  <c r="J10" i="2"/>
  <c r="A8" i="13"/>
  <c r="A9" i="13" s="1"/>
  <c r="A10" i="13" s="1"/>
  <c r="A11" i="13" s="1"/>
  <c r="A12" i="13" s="1"/>
  <c r="A13" i="13" s="1"/>
  <c r="A14" i="13" s="1"/>
  <c r="A15" i="13" s="1"/>
  <c r="A16" i="13" s="1"/>
  <c r="M10" i="13" l="1"/>
  <c r="M10" i="16" s="1"/>
  <c r="V10" i="16" s="1"/>
  <c r="M22" i="16"/>
  <c r="L22" i="13"/>
  <c r="L25" i="16" s="1"/>
  <c r="U25" i="16" s="1"/>
  <c r="L22" i="16"/>
  <c r="L10" i="13"/>
  <c r="L10" i="16" s="1"/>
  <c r="U10" i="16" s="1"/>
  <c r="W17" i="16"/>
  <c r="W19" i="16"/>
  <c r="H22" i="16"/>
  <c r="H10" i="13"/>
  <c r="H10" i="16" s="1"/>
  <c r="Q10" i="16" s="1"/>
  <c r="K22" i="16"/>
  <c r="K10" i="13"/>
  <c r="K10" i="16" s="1"/>
  <c r="T10" i="16" s="1"/>
  <c r="W18" i="16"/>
  <c r="I10" i="13"/>
  <c r="I10" i="16" s="1"/>
  <c r="R10" i="16" s="1"/>
  <c r="I22" i="16"/>
  <c r="J10" i="13"/>
  <c r="J10" i="16" s="1"/>
  <c r="S10" i="16" s="1"/>
  <c r="J22" i="16"/>
  <c r="N32" i="13"/>
  <c r="N35" i="16" s="1"/>
  <c r="J35" i="16"/>
  <c r="N37" i="13"/>
  <c r="N40" i="16" s="1"/>
  <c r="L40" i="16"/>
  <c r="Y197" i="11"/>
  <c r="Y204" i="11" s="1"/>
  <c r="X204" i="11"/>
  <c r="I22" i="13"/>
  <c r="M22" i="13"/>
  <c r="J21" i="13"/>
  <c r="L23" i="13"/>
  <c r="L26" i="16" s="1"/>
  <c r="U26" i="16" s="1"/>
  <c r="L25" i="13"/>
  <c r="L28" i="16" s="1"/>
  <c r="U28" i="16" s="1"/>
  <c r="L26" i="13"/>
  <c r="L29" i="16" s="1"/>
  <c r="U29" i="16" s="1"/>
  <c r="L27" i="13"/>
  <c r="L30" i="16" s="1"/>
  <c r="U30" i="16" s="1"/>
  <c r="H20" i="13"/>
  <c r="K20" i="13"/>
  <c r="K26" i="13"/>
  <c r="K29" i="16" s="1"/>
  <c r="T29" i="16" s="1"/>
  <c r="W29" i="16" s="1"/>
  <c r="K25" i="13"/>
  <c r="K28" i="16" s="1"/>
  <c r="T28" i="16" s="1"/>
  <c r="K27" i="13"/>
  <c r="K30" i="16" s="1"/>
  <c r="T30" i="16" s="1"/>
  <c r="L38" i="13"/>
  <c r="L40" i="13"/>
  <c r="L39" i="13"/>
  <c r="L41" i="13"/>
  <c r="M20" i="13"/>
  <c r="M21" i="13"/>
  <c r="L20" i="13"/>
  <c r="L21" i="13"/>
  <c r="J20" i="13"/>
  <c r="J23" i="16" s="1"/>
  <c r="S23" i="16" s="1"/>
  <c r="I21" i="13"/>
  <c r="H21" i="13"/>
  <c r="N16" i="13"/>
  <c r="N18" i="16" s="1"/>
  <c r="N19" i="13"/>
  <c r="N22" i="16" s="1"/>
  <c r="M23" i="13"/>
  <c r="I23" i="13"/>
  <c r="J22" i="13"/>
  <c r="K21" i="13"/>
  <c r="H23" i="13"/>
  <c r="K23" i="13"/>
  <c r="K26" i="16" s="1"/>
  <c r="T26" i="16" s="1"/>
  <c r="H22" i="13"/>
  <c r="J23" i="13"/>
  <c r="K22" i="13"/>
  <c r="I20" i="13"/>
  <c r="A17" i="13"/>
  <c r="W28" i="16" l="1"/>
  <c r="I34" i="9"/>
  <c r="K25" i="16"/>
  <c r="T25" i="16" s="1"/>
  <c r="G35" i="9"/>
  <c r="I24" i="16"/>
  <c r="R24" i="16" s="1"/>
  <c r="M23" i="16"/>
  <c r="V23" i="16" s="1"/>
  <c r="K36" i="9"/>
  <c r="N38" i="13"/>
  <c r="N41" i="16" s="1"/>
  <c r="L41" i="16"/>
  <c r="U41" i="16" s="1"/>
  <c r="W41" i="16" s="1"/>
  <c r="K23" i="16"/>
  <c r="T23" i="16" s="1"/>
  <c r="I36" i="9"/>
  <c r="G34" i="9"/>
  <c r="I25" i="16"/>
  <c r="R25" i="16" s="1"/>
  <c r="H33" i="9"/>
  <c r="J26" i="16"/>
  <c r="S26" i="16" s="1"/>
  <c r="I35" i="9"/>
  <c r="K24" i="16"/>
  <c r="T24" i="16" s="1"/>
  <c r="F34" i="9"/>
  <c r="H25" i="16"/>
  <c r="Q25" i="16" s="1"/>
  <c r="H34" i="9"/>
  <c r="J25" i="16"/>
  <c r="S25" i="16" s="1"/>
  <c r="J35" i="9"/>
  <c r="L24" i="16"/>
  <c r="U24" i="16" s="1"/>
  <c r="N41" i="13"/>
  <c r="N44" i="16" s="1"/>
  <c r="L44" i="16"/>
  <c r="U44" i="16" s="1"/>
  <c r="W44" i="16" s="1"/>
  <c r="W30" i="16"/>
  <c r="H23" i="16"/>
  <c r="Q23" i="16" s="1"/>
  <c r="F36" i="9"/>
  <c r="W20" i="16"/>
  <c r="F33" i="9"/>
  <c r="H26" i="16"/>
  <c r="Q26" i="16" s="1"/>
  <c r="K33" i="9"/>
  <c r="M26" i="16"/>
  <c r="V26" i="16" s="1"/>
  <c r="K35" i="9"/>
  <c r="M24" i="16"/>
  <c r="V24" i="16" s="1"/>
  <c r="N40" i="13"/>
  <c r="N43" i="16" s="1"/>
  <c r="L43" i="16"/>
  <c r="U43" i="16" s="1"/>
  <c r="W43" i="16" s="1"/>
  <c r="K34" i="9"/>
  <c r="M25" i="16"/>
  <c r="V25" i="16" s="1"/>
  <c r="I23" i="16"/>
  <c r="R23" i="16" s="1"/>
  <c r="W23" i="16" s="1"/>
  <c r="G36" i="9"/>
  <c r="G33" i="9"/>
  <c r="I26" i="16"/>
  <c r="R26" i="16" s="1"/>
  <c r="F35" i="9"/>
  <c r="H24" i="16"/>
  <c r="Q24" i="16" s="1"/>
  <c r="W24" i="16" s="1"/>
  <c r="L23" i="16"/>
  <c r="U23" i="16" s="1"/>
  <c r="J36" i="9"/>
  <c r="N39" i="13"/>
  <c r="N42" i="16" s="1"/>
  <c r="L42" i="16"/>
  <c r="U42" i="16" s="1"/>
  <c r="W42" i="16" s="1"/>
  <c r="H35" i="9"/>
  <c r="J24" i="16"/>
  <c r="S24" i="16" s="1"/>
  <c r="W10" i="16"/>
  <c r="J33" i="9"/>
  <c r="J34" i="9"/>
  <c r="L34" i="9" s="1"/>
  <c r="I33" i="9"/>
  <c r="A18" i="13"/>
  <c r="A19" i="13" s="1"/>
  <c r="A20" i="13" s="1"/>
  <c r="L35" i="9" l="1"/>
  <c r="W26" i="16"/>
  <c r="W25" i="16"/>
  <c r="L33" i="9"/>
  <c r="A21" i="13"/>
  <c r="A22" i="13" s="1"/>
  <c r="A23" i="13" s="1"/>
  <c r="A24" i="13" s="1"/>
  <c r="A25" i="13" l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9" i="13" s="1"/>
  <c r="B6" i="13"/>
  <c r="G6" i="13" s="1"/>
  <c r="H6" i="13" s="1"/>
  <c r="I6" i="13" s="1"/>
  <c r="J6" i="13" s="1"/>
  <c r="K6" i="13" s="1"/>
  <c r="L6" i="13" s="1"/>
  <c r="M6" i="13" s="1"/>
  <c r="N6" i="13" s="1"/>
  <c r="L7" i="13"/>
  <c r="K7" i="13"/>
  <c r="J7" i="13"/>
  <c r="I7" i="13"/>
  <c r="N49" i="13"/>
  <c r="N28" i="13"/>
  <c r="N31" i="16" s="1"/>
  <c r="N27" i="13"/>
  <c r="N30" i="16" s="1"/>
  <c r="N26" i="13"/>
  <c r="N29" i="16" s="1"/>
  <c r="N25" i="13"/>
  <c r="N28" i="16" s="1"/>
  <c r="N24" i="13"/>
  <c r="N27" i="16" s="1"/>
  <c r="N23" i="13"/>
  <c r="N26" i="16" s="1"/>
  <c r="N22" i="13"/>
  <c r="N25" i="16" s="1"/>
  <c r="N21" i="13"/>
  <c r="N24" i="16" s="1"/>
  <c r="N20" i="13"/>
  <c r="N23" i="16" s="1"/>
  <c r="N10" i="13"/>
  <c r="N10" i="16" s="1"/>
  <c r="J9" i="13" l="1"/>
  <c r="J9" i="16" s="1"/>
  <c r="S9" i="16" s="1"/>
  <c r="J7" i="16"/>
  <c r="I7" i="16"/>
  <c r="I9" i="13"/>
  <c r="I9" i="16" s="1"/>
  <c r="R9" i="16" s="1"/>
  <c r="K9" i="13"/>
  <c r="K9" i="16" s="1"/>
  <c r="T9" i="16" s="1"/>
  <c r="K7" i="16"/>
  <c r="L7" i="16"/>
  <c r="L9" i="13"/>
  <c r="L9" i="16" s="1"/>
  <c r="U9" i="16" s="1"/>
  <c r="J12" i="13"/>
  <c r="J13" i="16" s="1"/>
  <c r="S13" i="16" s="1"/>
  <c r="M22" i="10"/>
  <c r="M23" i="15" s="1"/>
  <c r="AA23" i="15" s="1"/>
  <c r="L22" i="10"/>
  <c r="L23" i="15" s="1"/>
  <c r="Z23" i="15" s="1"/>
  <c r="K12" i="13"/>
  <c r="K13" i="16" s="1"/>
  <c r="T13" i="16" s="1"/>
  <c r="N22" i="10"/>
  <c r="N23" i="15" s="1"/>
  <c r="AB23" i="15" s="1"/>
  <c r="O22" i="10"/>
  <c r="O23" i="15" s="1"/>
  <c r="AC23" i="15" s="1"/>
  <c r="N7" i="13"/>
  <c r="N7" i="16" s="1"/>
  <c r="N17" i="13"/>
  <c r="N19" i="16" s="1"/>
  <c r="N15" i="13"/>
  <c r="N17" i="16" s="1"/>
  <c r="W9" i="16" l="1"/>
  <c r="W11" i="16" s="1"/>
  <c r="L12" i="13"/>
  <c r="L13" i="16" s="1"/>
  <c r="U13" i="16" s="1"/>
  <c r="I12" i="13"/>
  <c r="N9" i="13"/>
  <c r="N9" i="16" s="1"/>
  <c r="AG23" i="15"/>
  <c r="AG25" i="15" s="1"/>
  <c r="S22" i="10"/>
  <c r="S23" i="15" s="1"/>
  <c r="Q12" i="12"/>
  <c r="N12" i="12"/>
  <c r="H12" i="12"/>
  <c r="K70" i="12"/>
  <c r="Q45" i="12"/>
  <c r="N45" i="12"/>
  <c r="K45" i="12"/>
  <c r="H45" i="12"/>
  <c r="I8" i="7"/>
  <c r="I7" i="7"/>
  <c r="L77" i="12"/>
  <c r="L78" i="12"/>
  <c r="O50" i="12"/>
  <c r="N50" i="12"/>
  <c r="I9" i="7"/>
  <c r="I10" i="7"/>
  <c r="I11" i="7"/>
  <c r="I12" i="7"/>
  <c r="I6" i="7"/>
  <c r="F50" i="12"/>
  <c r="Q46" i="12"/>
  <c r="L82" i="12"/>
  <c r="L79" i="12"/>
  <c r="L67" i="12"/>
  <c r="Q19" i="12"/>
  <c r="N19" i="12"/>
  <c r="K12" i="12"/>
  <c r="I12" i="12"/>
  <c r="G50" i="12"/>
  <c r="M13" i="12"/>
  <c r="H70" i="12"/>
  <c r="Q50" i="12"/>
  <c r="K50" i="12"/>
  <c r="H50" i="12"/>
  <c r="Q13" i="12"/>
  <c r="N13" i="12"/>
  <c r="F70" i="12"/>
  <c r="O13" i="12"/>
  <c r="L13" i="12"/>
  <c r="I13" i="12"/>
  <c r="H13" i="12"/>
  <c r="F13" i="12"/>
  <c r="G207" i="1"/>
  <c r="G208" i="1"/>
  <c r="G206" i="1"/>
  <c r="G210" i="1"/>
  <c r="T199" i="11"/>
  <c r="U199" i="11"/>
  <c r="U208" i="11" s="1"/>
  <c r="S194" i="11"/>
  <c r="U194" i="11"/>
  <c r="S195" i="11"/>
  <c r="U195" i="11"/>
  <c r="S196" i="11"/>
  <c r="U196" i="11"/>
  <c r="U193" i="11"/>
  <c r="S193" i="11"/>
  <c r="S192" i="11"/>
  <c r="X192" i="11" s="1"/>
  <c r="Y192" i="11" s="1"/>
  <c r="U188" i="11"/>
  <c r="S188" i="11"/>
  <c r="X188" i="11" s="1"/>
  <c r="Y188" i="11" s="1"/>
  <c r="U187" i="11"/>
  <c r="S187" i="11"/>
  <c r="S164" i="11"/>
  <c r="S166" i="11"/>
  <c r="X166" i="11" s="1"/>
  <c r="Y166" i="11" s="1"/>
  <c r="S161" i="11"/>
  <c r="U161" i="11"/>
  <c r="S162" i="11"/>
  <c r="U162" i="11"/>
  <c r="X162" i="11" s="1"/>
  <c r="Y162" i="11" s="1"/>
  <c r="S163" i="11"/>
  <c r="U163" i="11"/>
  <c r="X164" i="11"/>
  <c r="Y164" i="11" s="1"/>
  <c r="S165" i="11"/>
  <c r="U165" i="11"/>
  <c r="S167" i="11"/>
  <c r="U167" i="11"/>
  <c r="S168" i="11"/>
  <c r="U168" i="11"/>
  <c r="S169" i="11"/>
  <c r="U169" i="11"/>
  <c r="S170" i="11"/>
  <c r="U170" i="11"/>
  <c r="S171" i="11"/>
  <c r="U171" i="11"/>
  <c r="S172" i="11"/>
  <c r="U172" i="11"/>
  <c r="S173" i="11"/>
  <c r="U173" i="11"/>
  <c r="S174" i="11"/>
  <c r="U174" i="11"/>
  <c r="S175" i="11"/>
  <c r="U175" i="11"/>
  <c r="S176" i="11"/>
  <c r="U176" i="11"/>
  <c r="S177" i="11"/>
  <c r="U177" i="11"/>
  <c r="S178" i="11"/>
  <c r="U178" i="11"/>
  <c r="S179" i="11"/>
  <c r="U179" i="11"/>
  <c r="S180" i="11"/>
  <c r="U180" i="11"/>
  <c r="S181" i="11"/>
  <c r="U181" i="11"/>
  <c r="S182" i="11"/>
  <c r="U182" i="11"/>
  <c r="S183" i="11"/>
  <c r="U183" i="11"/>
  <c r="S184" i="11"/>
  <c r="U184" i="11"/>
  <c r="S185" i="11"/>
  <c r="U185" i="11"/>
  <c r="U160" i="11"/>
  <c r="S160" i="11"/>
  <c r="U159" i="11"/>
  <c r="S159" i="11"/>
  <c r="S158" i="11"/>
  <c r="T158" i="11"/>
  <c r="U157" i="11"/>
  <c r="S157" i="11"/>
  <c r="K158" i="11"/>
  <c r="M158" i="11" s="1"/>
  <c r="P158" i="11" s="1"/>
  <c r="U156" i="11"/>
  <c r="T156" i="11"/>
  <c r="V155" i="11"/>
  <c r="U155" i="11"/>
  <c r="T155" i="11"/>
  <c r="U154" i="11"/>
  <c r="T154" i="11"/>
  <c r="U153" i="11"/>
  <c r="U205" i="11" s="1"/>
  <c r="T153" i="11"/>
  <c r="U152" i="11"/>
  <c r="T152" i="11"/>
  <c r="V151" i="11"/>
  <c r="U151" i="11"/>
  <c r="T151" i="11"/>
  <c r="U150" i="11"/>
  <c r="T150" i="11"/>
  <c r="X150" i="11" s="1"/>
  <c r="Y150" i="11" s="1"/>
  <c r="V149" i="11"/>
  <c r="U149" i="11"/>
  <c r="T149" i="11"/>
  <c r="V148" i="11"/>
  <c r="U148" i="11"/>
  <c r="T148" i="11"/>
  <c r="V147" i="11"/>
  <c r="U147" i="11"/>
  <c r="T147" i="11"/>
  <c r="V146" i="11"/>
  <c r="U146" i="11"/>
  <c r="T146" i="11"/>
  <c r="X146" i="11" s="1"/>
  <c r="Y146" i="11" s="1"/>
  <c r="V145" i="11"/>
  <c r="U145" i="11"/>
  <c r="T145" i="11"/>
  <c r="U144" i="11"/>
  <c r="T144" i="11"/>
  <c r="V143" i="11"/>
  <c r="U143" i="11"/>
  <c r="T143" i="11"/>
  <c r="V142" i="11"/>
  <c r="U142" i="11"/>
  <c r="T142" i="11"/>
  <c r="T141" i="11"/>
  <c r="U141" i="11"/>
  <c r="V140" i="11"/>
  <c r="U140" i="11"/>
  <c r="T140" i="11"/>
  <c r="X140" i="11" s="1"/>
  <c r="Y140" i="11" s="1"/>
  <c r="V139" i="11"/>
  <c r="U139" i="11"/>
  <c r="T139" i="11"/>
  <c r="V138" i="11"/>
  <c r="U138" i="11"/>
  <c r="T138" i="11"/>
  <c r="V137" i="11"/>
  <c r="U137" i="11"/>
  <c r="T137" i="11"/>
  <c r="V136" i="11"/>
  <c r="U136" i="11"/>
  <c r="T136" i="11"/>
  <c r="X136" i="11" s="1"/>
  <c r="Y136" i="11" s="1"/>
  <c r="U135" i="11"/>
  <c r="V135" i="11"/>
  <c r="T135" i="11"/>
  <c r="V134" i="11"/>
  <c r="U134" i="11"/>
  <c r="V133" i="11"/>
  <c r="U133" i="11"/>
  <c r="T132" i="11"/>
  <c r="U132" i="11"/>
  <c r="S130" i="11"/>
  <c r="V131" i="11"/>
  <c r="U131" i="11"/>
  <c r="T131" i="11"/>
  <c r="K131" i="11"/>
  <c r="M131" i="11" s="1"/>
  <c r="P131" i="11" s="1"/>
  <c r="S129" i="11"/>
  <c r="T210" i="11"/>
  <c r="U128" i="11"/>
  <c r="T128" i="11"/>
  <c r="S128" i="11"/>
  <c r="U127" i="11"/>
  <c r="T127" i="11"/>
  <c r="S127" i="11"/>
  <c r="V126" i="11"/>
  <c r="U126" i="11"/>
  <c r="T126" i="11"/>
  <c r="V125" i="11"/>
  <c r="U125" i="11"/>
  <c r="T125" i="11"/>
  <c r="X125" i="11" s="1"/>
  <c r="Y125" i="11" s="1"/>
  <c r="U124" i="11"/>
  <c r="V124" i="11"/>
  <c r="T124" i="11"/>
  <c r="V123" i="11"/>
  <c r="U123" i="11"/>
  <c r="T123" i="11"/>
  <c r="U122" i="11"/>
  <c r="V122" i="11"/>
  <c r="T122" i="11"/>
  <c r="U121" i="11"/>
  <c r="V121" i="11"/>
  <c r="T121" i="11"/>
  <c r="X121" i="11" s="1"/>
  <c r="Y121" i="11" s="1"/>
  <c r="S120" i="11"/>
  <c r="X120" i="11" s="1"/>
  <c r="Y120" i="11" s="1"/>
  <c r="S119" i="11"/>
  <c r="V115" i="11"/>
  <c r="U115" i="11"/>
  <c r="T115" i="11"/>
  <c r="V118" i="11"/>
  <c r="U118" i="11"/>
  <c r="T118" i="11"/>
  <c r="X118" i="11" s="1"/>
  <c r="Y118" i="11" s="1"/>
  <c r="V117" i="11"/>
  <c r="U117" i="11"/>
  <c r="T117" i="11"/>
  <c r="V116" i="11"/>
  <c r="U116" i="11"/>
  <c r="T116" i="11"/>
  <c r="V114" i="11"/>
  <c r="U114" i="11"/>
  <c r="T114" i="11"/>
  <c r="V113" i="11"/>
  <c r="U113" i="11"/>
  <c r="T113" i="11"/>
  <c r="X113" i="11" s="1"/>
  <c r="Y113" i="11" s="1"/>
  <c r="U112" i="11"/>
  <c r="T112" i="11"/>
  <c r="V112" i="11"/>
  <c r="V111" i="11"/>
  <c r="U111" i="11"/>
  <c r="T111" i="11"/>
  <c r="V110" i="11"/>
  <c r="U110" i="11"/>
  <c r="T110" i="11"/>
  <c r="T109" i="11"/>
  <c r="V109" i="11"/>
  <c r="U109" i="11"/>
  <c r="X109" i="11" s="1"/>
  <c r="Y109" i="11" s="1"/>
  <c r="U108" i="11"/>
  <c r="V108" i="11"/>
  <c r="T108" i="11"/>
  <c r="T106" i="11"/>
  <c r="S106" i="11"/>
  <c r="V105" i="11"/>
  <c r="U105" i="11"/>
  <c r="V104" i="11"/>
  <c r="U104" i="11"/>
  <c r="T104" i="11"/>
  <c r="U103" i="11"/>
  <c r="T103" i="11"/>
  <c r="X103" i="11" s="1"/>
  <c r="Y103" i="11" s="1"/>
  <c r="V102" i="11"/>
  <c r="U102" i="11"/>
  <c r="T102" i="11"/>
  <c r="U101" i="11"/>
  <c r="T101" i="11"/>
  <c r="U100" i="11"/>
  <c r="T100" i="11"/>
  <c r="U99" i="11"/>
  <c r="X99" i="11" s="1"/>
  <c r="Y99" i="11" s="1"/>
  <c r="U98" i="11"/>
  <c r="T98" i="11"/>
  <c r="U97" i="11"/>
  <c r="T97" i="11"/>
  <c r="V96" i="11"/>
  <c r="U96" i="11"/>
  <c r="T96" i="11"/>
  <c r="V95" i="11"/>
  <c r="U95" i="11"/>
  <c r="T95" i="11"/>
  <c r="V94" i="11"/>
  <c r="U94" i="11"/>
  <c r="V93" i="11"/>
  <c r="T93" i="11"/>
  <c r="U93" i="11"/>
  <c r="U92" i="11"/>
  <c r="V92" i="11"/>
  <c r="T92" i="11"/>
  <c r="U91" i="11"/>
  <c r="T91" i="11"/>
  <c r="S91" i="11"/>
  <c r="U90" i="11"/>
  <c r="T90" i="11"/>
  <c r="S90" i="11"/>
  <c r="X90" i="11" s="1"/>
  <c r="Y90" i="11" s="1"/>
  <c r="U89" i="11"/>
  <c r="T89" i="11"/>
  <c r="S89" i="11"/>
  <c r="U88" i="11"/>
  <c r="T88" i="11"/>
  <c r="S88" i="11"/>
  <c r="U87" i="11"/>
  <c r="T87" i="11"/>
  <c r="S87" i="11"/>
  <c r="U86" i="11"/>
  <c r="T86" i="11"/>
  <c r="S86" i="11"/>
  <c r="X86" i="11" s="1"/>
  <c r="Y86" i="11" s="1"/>
  <c r="S85" i="11"/>
  <c r="U85" i="11"/>
  <c r="T85" i="11"/>
  <c r="V84" i="11"/>
  <c r="U84" i="11"/>
  <c r="T84" i="11"/>
  <c r="V83" i="11"/>
  <c r="U83" i="11"/>
  <c r="U209" i="11" s="1"/>
  <c r="T83" i="11"/>
  <c r="T209" i="11" s="1"/>
  <c r="T82" i="11"/>
  <c r="V82" i="11"/>
  <c r="U82" i="11"/>
  <c r="X82" i="11" s="1"/>
  <c r="Y82" i="11" s="1"/>
  <c r="S200" i="11"/>
  <c r="X200" i="11" s="1"/>
  <c r="Y200" i="11" s="1"/>
  <c r="T200" i="11"/>
  <c r="S81" i="11"/>
  <c r="X81" i="11" s="1"/>
  <c r="Y81" i="11" s="1"/>
  <c r="S80" i="11"/>
  <c r="X80" i="11" s="1"/>
  <c r="Y80" i="11" s="1"/>
  <c r="V79" i="11"/>
  <c r="X79" i="11" s="1"/>
  <c r="Y79" i="11" s="1"/>
  <c r="U79" i="11"/>
  <c r="T79" i="11"/>
  <c r="S78" i="11"/>
  <c r="X78" i="11" s="1"/>
  <c r="Y78" i="11" s="1"/>
  <c r="S77" i="11"/>
  <c r="X77" i="11" s="1"/>
  <c r="Y77" i="11" s="1"/>
  <c r="U76" i="11"/>
  <c r="T76" i="11"/>
  <c r="V76" i="11"/>
  <c r="V75" i="11"/>
  <c r="U75" i="11"/>
  <c r="T75" i="11"/>
  <c r="S75" i="11"/>
  <c r="T74" i="11"/>
  <c r="V73" i="11"/>
  <c r="U73" i="11"/>
  <c r="U69" i="11"/>
  <c r="X69" i="11" s="1"/>
  <c r="Y69" i="11" s="1"/>
  <c r="V70" i="11"/>
  <c r="U70" i="11"/>
  <c r="T70" i="11"/>
  <c r="V71" i="11"/>
  <c r="U71" i="11"/>
  <c r="T71" i="11"/>
  <c r="U72" i="11"/>
  <c r="S74" i="11"/>
  <c r="U74" i="11"/>
  <c r="V74" i="11"/>
  <c r="T73" i="11"/>
  <c r="S73" i="11"/>
  <c r="V72" i="11"/>
  <c r="T72" i="11"/>
  <c r="U66" i="11"/>
  <c r="U67" i="11"/>
  <c r="U68" i="11"/>
  <c r="S69" i="11"/>
  <c r="S68" i="11"/>
  <c r="S67" i="11"/>
  <c r="X67" i="11" s="1"/>
  <c r="Y67" i="11" s="1"/>
  <c r="S66" i="11"/>
  <c r="S65" i="11"/>
  <c r="U64" i="11"/>
  <c r="V64" i="11"/>
  <c r="T64" i="11"/>
  <c r="S63" i="11"/>
  <c r="S62" i="11"/>
  <c r="X62" i="11" s="1"/>
  <c r="Y62" i="11" s="1"/>
  <c r="V61" i="11"/>
  <c r="U61" i="11"/>
  <c r="T61" i="11"/>
  <c r="S60" i="11"/>
  <c r="U60" i="11"/>
  <c r="V60" i="11"/>
  <c r="T60" i="11"/>
  <c r="U59" i="11"/>
  <c r="T59" i="11"/>
  <c r="V59" i="11"/>
  <c r="U58" i="11"/>
  <c r="V58" i="11"/>
  <c r="S58" i="11"/>
  <c r="V57" i="11"/>
  <c r="U57" i="11"/>
  <c r="T57" i="11"/>
  <c r="K75" i="11"/>
  <c r="M75" i="11" s="1"/>
  <c r="P75" i="11" s="1"/>
  <c r="K74" i="11"/>
  <c r="M74" i="11" s="1"/>
  <c r="P74" i="11" s="1"/>
  <c r="U56" i="11"/>
  <c r="U55" i="11"/>
  <c r="T55" i="11"/>
  <c r="S56" i="11"/>
  <c r="V56" i="11"/>
  <c r="T56" i="11"/>
  <c r="V55" i="11"/>
  <c r="S55" i="11"/>
  <c r="V54" i="11"/>
  <c r="U54" i="11"/>
  <c r="T54" i="11"/>
  <c r="S54" i="11"/>
  <c r="S53" i="11"/>
  <c r="T53" i="11"/>
  <c r="V53" i="11"/>
  <c r="U53" i="11"/>
  <c r="S52" i="11"/>
  <c r="T52" i="11"/>
  <c r="V52" i="11"/>
  <c r="U52" i="11"/>
  <c r="S51" i="11"/>
  <c r="V50" i="11"/>
  <c r="U50" i="11"/>
  <c r="T49" i="11"/>
  <c r="V49" i="11"/>
  <c r="U49" i="11"/>
  <c r="U48" i="11"/>
  <c r="V48" i="11"/>
  <c r="T48" i="11"/>
  <c r="S47" i="11"/>
  <c r="S46" i="11"/>
  <c r="X46" i="11" s="1"/>
  <c r="Y46" i="11" s="1"/>
  <c r="S45" i="11"/>
  <c r="X45" i="11" s="1"/>
  <c r="Y45" i="11" s="1"/>
  <c r="V44" i="11"/>
  <c r="U44" i="11"/>
  <c r="T44" i="11"/>
  <c r="S43" i="11"/>
  <c r="S206" i="11" s="1"/>
  <c r="V43" i="11"/>
  <c r="U43" i="11"/>
  <c r="T43" i="11"/>
  <c r="V42" i="11"/>
  <c r="V206" i="11" s="1"/>
  <c r="U42" i="11"/>
  <c r="T42" i="11"/>
  <c r="V40" i="11"/>
  <c r="U40" i="11"/>
  <c r="T40" i="11"/>
  <c r="V41" i="11"/>
  <c r="T41" i="11"/>
  <c r="T202" i="11" s="1"/>
  <c r="U41" i="11"/>
  <c r="U202" i="11" s="1"/>
  <c r="U39" i="11"/>
  <c r="T39" i="11"/>
  <c r="S39" i="11"/>
  <c r="U38" i="11"/>
  <c r="X38" i="11" s="1"/>
  <c r="Y38" i="11" s="1"/>
  <c r="T38" i="11"/>
  <c r="S38" i="11"/>
  <c r="U37" i="11"/>
  <c r="T37" i="11"/>
  <c r="S37" i="11"/>
  <c r="V36" i="11"/>
  <c r="U36" i="11"/>
  <c r="T36" i="11"/>
  <c r="S36" i="11"/>
  <c r="V35" i="11"/>
  <c r="U35" i="11"/>
  <c r="T35" i="11"/>
  <c r="V34" i="11"/>
  <c r="U34" i="11"/>
  <c r="T34" i="11"/>
  <c r="V33" i="11"/>
  <c r="U33" i="11"/>
  <c r="T33" i="11"/>
  <c r="V32" i="11"/>
  <c r="U32" i="11"/>
  <c r="T32" i="11"/>
  <c r="V31" i="11"/>
  <c r="U31" i="11"/>
  <c r="T31" i="11"/>
  <c r="U30" i="11"/>
  <c r="V30" i="11"/>
  <c r="T30" i="11"/>
  <c r="U29" i="11"/>
  <c r="T29" i="11"/>
  <c r="S29" i="11"/>
  <c r="S28" i="11"/>
  <c r="T28" i="11"/>
  <c r="U28" i="11"/>
  <c r="V28" i="11"/>
  <c r="V26" i="11"/>
  <c r="U26" i="11"/>
  <c r="T26" i="11"/>
  <c r="S26" i="11"/>
  <c r="V25" i="11"/>
  <c r="U25" i="11"/>
  <c r="T25" i="11"/>
  <c r="S25" i="11"/>
  <c r="T24" i="11"/>
  <c r="S24" i="11"/>
  <c r="U23" i="11"/>
  <c r="S23" i="11"/>
  <c r="V23" i="11"/>
  <c r="T23" i="11"/>
  <c r="V22" i="11"/>
  <c r="U22" i="11"/>
  <c r="T22" i="11"/>
  <c r="S22" i="11"/>
  <c r="V21" i="11"/>
  <c r="U21" i="11"/>
  <c r="T21" i="11"/>
  <c r="S21" i="11"/>
  <c r="V20" i="11"/>
  <c r="U20" i="11"/>
  <c r="T20" i="11"/>
  <c r="S20" i="11"/>
  <c r="U19" i="11"/>
  <c r="T19" i="11"/>
  <c r="S19" i="11"/>
  <c r="T18" i="11"/>
  <c r="U18" i="11"/>
  <c r="S18" i="11"/>
  <c r="T17" i="11"/>
  <c r="V17" i="11"/>
  <c r="U17" i="11"/>
  <c r="S17" i="11"/>
  <c r="S16" i="11"/>
  <c r="X16" i="11" s="1"/>
  <c r="Y16" i="11" s="1"/>
  <c r="T15" i="11"/>
  <c r="X15" i="11" s="1"/>
  <c r="Y15" i="11" s="1"/>
  <c r="S15" i="11"/>
  <c r="T14" i="11"/>
  <c r="S14" i="11"/>
  <c r="S13" i="11"/>
  <c r="T13" i="11"/>
  <c r="V12" i="11"/>
  <c r="U12" i="11"/>
  <c r="T12" i="11"/>
  <c r="S12" i="11"/>
  <c r="V11" i="11"/>
  <c r="U11" i="11"/>
  <c r="T11" i="11"/>
  <c r="S11" i="11"/>
  <c r="T10" i="11"/>
  <c r="T9" i="11"/>
  <c r="V9" i="11"/>
  <c r="U9" i="11"/>
  <c r="S9" i="11"/>
  <c r="S27" i="11"/>
  <c r="X27" i="11" s="1"/>
  <c r="Y27" i="11" s="1"/>
  <c r="S10" i="11"/>
  <c r="U10" i="11"/>
  <c r="V10" i="11"/>
  <c r="AC208" i="11"/>
  <c r="V209" i="11"/>
  <c r="F209" i="11"/>
  <c r="F210" i="11"/>
  <c r="F208" i="11"/>
  <c r="F207" i="11"/>
  <c r="F206" i="11"/>
  <c r="F205" i="11"/>
  <c r="F203" i="11"/>
  <c r="F202" i="11"/>
  <c r="X169" i="11"/>
  <c r="Y169" i="11" s="1"/>
  <c r="X171" i="11"/>
  <c r="Y171" i="11" s="1"/>
  <c r="X173" i="11"/>
  <c r="Y173" i="11" s="1"/>
  <c r="X177" i="11"/>
  <c r="Y177" i="11" s="1"/>
  <c r="X179" i="11"/>
  <c r="Y179" i="11" s="1"/>
  <c r="X181" i="11"/>
  <c r="Y181" i="11" s="1"/>
  <c r="X185" i="11"/>
  <c r="Y185" i="11" s="1"/>
  <c r="X194" i="11"/>
  <c r="Y194" i="11" s="1"/>
  <c r="X196" i="11"/>
  <c r="Y196" i="11" s="1"/>
  <c r="X152" i="11"/>
  <c r="Y152" i="11" s="1"/>
  <c r="X154" i="11"/>
  <c r="Y154" i="11" s="1"/>
  <c r="X159" i="11"/>
  <c r="Y159" i="11" s="1"/>
  <c r="X129" i="11"/>
  <c r="Y129" i="11" s="1"/>
  <c r="X133" i="11"/>
  <c r="Y133" i="11" s="1"/>
  <c r="X105" i="11"/>
  <c r="Y105" i="11" s="1"/>
  <c r="X106" i="11"/>
  <c r="Y106" i="11" s="1"/>
  <c r="X119" i="11"/>
  <c r="Y119" i="11" s="1"/>
  <c r="X51" i="11"/>
  <c r="Y51" i="11" s="1"/>
  <c r="X63" i="11"/>
  <c r="Y63" i="11" s="1"/>
  <c r="X65" i="11"/>
  <c r="Y65" i="11" s="1"/>
  <c r="X47" i="11"/>
  <c r="Y47" i="11" s="1"/>
  <c r="K200" i="11"/>
  <c r="M200" i="11" s="1"/>
  <c r="P200" i="11" s="1"/>
  <c r="H41" i="8"/>
  <c r="J25" i="10" s="1"/>
  <c r="I41" i="8"/>
  <c r="K25" i="10" s="1"/>
  <c r="J41" i="8"/>
  <c r="L25" i="10" s="1"/>
  <c r="K41" i="8"/>
  <c r="M25" i="10" s="1"/>
  <c r="F41" i="8"/>
  <c r="AC206" i="11"/>
  <c r="AC207" i="11"/>
  <c r="Z208" i="11"/>
  <c r="AC210" i="11"/>
  <c r="AC203" i="11"/>
  <c r="V210" i="11"/>
  <c r="K199" i="11"/>
  <c r="M199" i="11" s="1"/>
  <c r="P199" i="11" s="1"/>
  <c r="K195" i="11"/>
  <c r="M195" i="11" s="1"/>
  <c r="P195" i="11" s="1"/>
  <c r="K196" i="11"/>
  <c r="M196" i="11" s="1"/>
  <c r="P196" i="11" s="1"/>
  <c r="K194" i="11"/>
  <c r="M194" i="11" s="1"/>
  <c r="P194" i="11" s="1"/>
  <c r="K193" i="11"/>
  <c r="M193" i="11" s="1"/>
  <c r="P193" i="11" s="1"/>
  <c r="K192" i="11"/>
  <c r="M192" i="11" s="1"/>
  <c r="P192" i="11" s="1"/>
  <c r="K188" i="11"/>
  <c r="M188" i="11" s="1"/>
  <c r="P188" i="11" s="1"/>
  <c r="K187" i="11"/>
  <c r="M187" i="11" s="1"/>
  <c r="P187" i="11" s="1"/>
  <c r="K185" i="11"/>
  <c r="M185" i="11" s="1"/>
  <c r="P185" i="11" s="1"/>
  <c r="K184" i="11"/>
  <c r="M184" i="11" s="1"/>
  <c r="P184" i="11" s="1"/>
  <c r="K183" i="11"/>
  <c r="M183" i="11" s="1"/>
  <c r="P183" i="11" s="1"/>
  <c r="K182" i="11"/>
  <c r="M182" i="11" s="1"/>
  <c r="P182" i="11" s="1"/>
  <c r="K181" i="11"/>
  <c r="M181" i="11" s="1"/>
  <c r="P181" i="11" s="1"/>
  <c r="K180" i="11"/>
  <c r="M180" i="11" s="1"/>
  <c r="P180" i="11" s="1"/>
  <c r="K179" i="11"/>
  <c r="M179" i="11" s="1"/>
  <c r="P179" i="11" s="1"/>
  <c r="K178" i="11"/>
  <c r="M178" i="11" s="1"/>
  <c r="P178" i="11" s="1"/>
  <c r="K177" i="11"/>
  <c r="M177" i="11" s="1"/>
  <c r="P177" i="11" s="1"/>
  <c r="K176" i="11"/>
  <c r="M176" i="11" s="1"/>
  <c r="P176" i="11" s="1"/>
  <c r="K175" i="11"/>
  <c r="M175" i="11" s="1"/>
  <c r="P175" i="11" s="1"/>
  <c r="K174" i="11"/>
  <c r="M174" i="11" s="1"/>
  <c r="P174" i="11" s="1"/>
  <c r="K173" i="11"/>
  <c r="M173" i="11" s="1"/>
  <c r="P173" i="11" s="1"/>
  <c r="K172" i="11"/>
  <c r="M172" i="11" s="1"/>
  <c r="P172" i="11" s="1"/>
  <c r="K171" i="11"/>
  <c r="M171" i="11" s="1"/>
  <c r="P171" i="11" s="1"/>
  <c r="K170" i="11"/>
  <c r="M170" i="11" s="1"/>
  <c r="P170" i="11" s="1"/>
  <c r="K169" i="11"/>
  <c r="M169" i="11" s="1"/>
  <c r="P169" i="11" s="1"/>
  <c r="K168" i="11"/>
  <c r="M168" i="11" s="1"/>
  <c r="P168" i="11" s="1"/>
  <c r="K167" i="11"/>
  <c r="M167" i="11" s="1"/>
  <c r="P167" i="11" s="1"/>
  <c r="K166" i="11"/>
  <c r="M166" i="11" s="1"/>
  <c r="P166" i="11" s="1"/>
  <c r="K165" i="11"/>
  <c r="M165" i="11" s="1"/>
  <c r="P165" i="11" s="1"/>
  <c r="K164" i="11"/>
  <c r="M164" i="11" s="1"/>
  <c r="P164" i="11" s="1"/>
  <c r="K163" i="11"/>
  <c r="M163" i="11" s="1"/>
  <c r="P163" i="11" s="1"/>
  <c r="K162" i="11"/>
  <c r="M162" i="11" s="1"/>
  <c r="P162" i="11" s="1"/>
  <c r="K161" i="11"/>
  <c r="M161" i="11" s="1"/>
  <c r="P161" i="11" s="1"/>
  <c r="K160" i="11"/>
  <c r="M160" i="11" s="1"/>
  <c r="P160" i="11" s="1"/>
  <c r="K159" i="11"/>
  <c r="M159" i="11" s="1"/>
  <c r="P159" i="11" s="1"/>
  <c r="K157" i="11"/>
  <c r="M157" i="11" s="1"/>
  <c r="P157" i="11" s="1"/>
  <c r="K156" i="11"/>
  <c r="M156" i="11" s="1"/>
  <c r="P156" i="11" s="1"/>
  <c r="K155" i="11"/>
  <c r="M155" i="11" s="1"/>
  <c r="P155" i="11" s="1"/>
  <c r="K154" i="11"/>
  <c r="M154" i="11" s="1"/>
  <c r="P154" i="11" s="1"/>
  <c r="K153" i="11"/>
  <c r="M153" i="11" s="1"/>
  <c r="P153" i="11" s="1"/>
  <c r="K152" i="11"/>
  <c r="M152" i="11" s="1"/>
  <c r="P152" i="11" s="1"/>
  <c r="K151" i="11"/>
  <c r="M151" i="11" s="1"/>
  <c r="P151" i="11" s="1"/>
  <c r="K150" i="11"/>
  <c r="M150" i="11" s="1"/>
  <c r="P150" i="11" s="1"/>
  <c r="K149" i="11"/>
  <c r="M149" i="11" s="1"/>
  <c r="P149" i="11" s="1"/>
  <c r="K115" i="11"/>
  <c r="M115" i="11" s="1"/>
  <c r="P115" i="11" s="1"/>
  <c r="K121" i="11"/>
  <c r="M121" i="11" s="1"/>
  <c r="P121" i="11" s="1"/>
  <c r="K122" i="11"/>
  <c r="M122" i="11" s="1"/>
  <c r="P122" i="11" s="1"/>
  <c r="K123" i="11"/>
  <c r="M123" i="11" s="1"/>
  <c r="P123" i="11" s="1"/>
  <c r="K124" i="11"/>
  <c r="M124" i="11" s="1"/>
  <c r="P124" i="11" s="1"/>
  <c r="K125" i="11"/>
  <c r="M125" i="11" s="1"/>
  <c r="P125" i="11" s="1"/>
  <c r="K126" i="11"/>
  <c r="M126" i="11" s="1"/>
  <c r="P126" i="11" s="1"/>
  <c r="K127" i="11"/>
  <c r="M127" i="11" s="1"/>
  <c r="P127" i="11" s="1"/>
  <c r="K128" i="11"/>
  <c r="M128" i="11" s="1"/>
  <c r="P128" i="11" s="1"/>
  <c r="K129" i="11"/>
  <c r="M129" i="11" s="1"/>
  <c r="P129" i="11" s="1"/>
  <c r="K130" i="11"/>
  <c r="M130" i="11" s="1"/>
  <c r="P130" i="11" s="1"/>
  <c r="K132" i="11"/>
  <c r="M132" i="11" s="1"/>
  <c r="P132" i="11" s="1"/>
  <c r="K133" i="11"/>
  <c r="M133" i="11" s="1"/>
  <c r="P133" i="11" s="1"/>
  <c r="K134" i="11"/>
  <c r="M134" i="11" s="1"/>
  <c r="P134" i="11" s="1"/>
  <c r="K135" i="11"/>
  <c r="M135" i="11" s="1"/>
  <c r="P135" i="11" s="1"/>
  <c r="K136" i="11"/>
  <c r="M136" i="11" s="1"/>
  <c r="P136" i="11" s="1"/>
  <c r="K137" i="11"/>
  <c r="M137" i="11" s="1"/>
  <c r="P137" i="11" s="1"/>
  <c r="K138" i="11"/>
  <c r="M138" i="11" s="1"/>
  <c r="P138" i="11" s="1"/>
  <c r="K70" i="11"/>
  <c r="M70" i="11" s="1"/>
  <c r="P70" i="11" s="1"/>
  <c r="K49" i="11"/>
  <c r="M49" i="11" s="1"/>
  <c r="P49" i="11" s="1"/>
  <c r="K114" i="11"/>
  <c r="M114" i="11" s="1"/>
  <c r="P114" i="11" s="1"/>
  <c r="K116" i="11"/>
  <c r="M116" i="11" s="1"/>
  <c r="P116" i="11" s="1"/>
  <c r="K117" i="11"/>
  <c r="M117" i="11" s="1"/>
  <c r="P117" i="11" s="1"/>
  <c r="K118" i="11"/>
  <c r="M118" i="11" s="1"/>
  <c r="P118" i="11" s="1"/>
  <c r="K119" i="11"/>
  <c r="M119" i="11" s="1"/>
  <c r="P119" i="11" s="1"/>
  <c r="K120" i="11"/>
  <c r="M120" i="11" s="1"/>
  <c r="P120" i="11" s="1"/>
  <c r="K139" i="11"/>
  <c r="M139" i="11" s="1"/>
  <c r="P139" i="11" s="1"/>
  <c r="K140" i="11"/>
  <c r="M140" i="11" s="1"/>
  <c r="P140" i="11" s="1"/>
  <c r="K141" i="11"/>
  <c r="M141" i="11" s="1"/>
  <c r="P141" i="11" s="1"/>
  <c r="K142" i="11"/>
  <c r="M142" i="11" s="1"/>
  <c r="P142" i="11" s="1"/>
  <c r="K143" i="11"/>
  <c r="M143" i="11" s="1"/>
  <c r="P143" i="11" s="1"/>
  <c r="K144" i="11"/>
  <c r="M144" i="11" s="1"/>
  <c r="P144" i="11" s="1"/>
  <c r="K145" i="11"/>
  <c r="M145" i="11" s="1"/>
  <c r="P145" i="11" s="1"/>
  <c r="K146" i="11"/>
  <c r="M146" i="11" s="1"/>
  <c r="P146" i="11" s="1"/>
  <c r="K147" i="11"/>
  <c r="M147" i="11" s="1"/>
  <c r="P147" i="11" s="1"/>
  <c r="K148" i="11"/>
  <c r="M148" i="11" s="1"/>
  <c r="P148" i="11" s="1"/>
  <c r="K89" i="11"/>
  <c r="M89" i="11" s="1"/>
  <c r="P89" i="11" s="1"/>
  <c r="K90" i="11"/>
  <c r="M90" i="11" s="1"/>
  <c r="P90" i="11" s="1"/>
  <c r="K91" i="11"/>
  <c r="M91" i="11" s="1"/>
  <c r="P91" i="11" s="1"/>
  <c r="K92" i="11"/>
  <c r="M92" i="11" s="1"/>
  <c r="P92" i="11" s="1"/>
  <c r="K93" i="11"/>
  <c r="M93" i="11" s="1"/>
  <c r="P93" i="11" s="1"/>
  <c r="K94" i="11"/>
  <c r="M94" i="11" s="1"/>
  <c r="P94" i="11" s="1"/>
  <c r="K95" i="11"/>
  <c r="M95" i="11" s="1"/>
  <c r="P95" i="11" s="1"/>
  <c r="K96" i="11"/>
  <c r="M96" i="11" s="1"/>
  <c r="P96" i="11" s="1"/>
  <c r="K97" i="11"/>
  <c r="M97" i="11" s="1"/>
  <c r="P97" i="11" s="1"/>
  <c r="K98" i="11"/>
  <c r="M98" i="11" s="1"/>
  <c r="P98" i="11" s="1"/>
  <c r="K99" i="11"/>
  <c r="M99" i="11" s="1"/>
  <c r="P99" i="11" s="1"/>
  <c r="K100" i="11"/>
  <c r="M100" i="11" s="1"/>
  <c r="P100" i="11" s="1"/>
  <c r="K101" i="11"/>
  <c r="M101" i="11" s="1"/>
  <c r="P101" i="11" s="1"/>
  <c r="K102" i="11"/>
  <c r="M102" i="11" s="1"/>
  <c r="P102" i="11" s="1"/>
  <c r="K103" i="11"/>
  <c r="M103" i="11" s="1"/>
  <c r="P103" i="11" s="1"/>
  <c r="K104" i="11"/>
  <c r="M104" i="11" s="1"/>
  <c r="P104" i="11" s="1"/>
  <c r="K105" i="11"/>
  <c r="M105" i="11" s="1"/>
  <c r="P105" i="11" s="1"/>
  <c r="K106" i="11"/>
  <c r="M106" i="11" s="1"/>
  <c r="P106" i="11" s="1"/>
  <c r="K108" i="11"/>
  <c r="M108" i="11" s="1"/>
  <c r="P108" i="11" s="1"/>
  <c r="K109" i="11"/>
  <c r="M109" i="11" s="1"/>
  <c r="P109" i="11" s="1"/>
  <c r="K110" i="11"/>
  <c r="M110" i="11" s="1"/>
  <c r="P110" i="11" s="1"/>
  <c r="K111" i="11"/>
  <c r="M111" i="11" s="1"/>
  <c r="P111" i="11" s="1"/>
  <c r="K112" i="11"/>
  <c r="M112" i="11" s="1"/>
  <c r="P112" i="11" s="1"/>
  <c r="K113" i="11"/>
  <c r="M113" i="11" s="1"/>
  <c r="P113" i="11" s="1"/>
  <c r="K62" i="11"/>
  <c r="M62" i="11" s="1"/>
  <c r="P62" i="11" s="1"/>
  <c r="K63" i="11"/>
  <c r="M63" i="11" s="1"/>
  <c r="P63" i="11" s="1"/>
  <c r="K64" i="11"/>
  <c r="M64" i="11" s="1"/>
  <c r="P64" i="11" s="1"/>
  <c r="K65" i="11"/>
  <c r="M65" i="11" s="1"/>
  <c r="P65" i="11" s="1"/>
  <c r="K66" i="11"/>
  <c r="M66" i="11" s="1"/>
  <c r="P66" i="11" s="1"/>
  <c r="K67" i="11"/>
  <c r="M67" i="11" s="1"/>
  <c r="P67" i="11" s="1"/>
  <c r="K68" i="11"/>
  <c r="M68" i="11" s="1"/>
  <c r="P68" i="11" s="1"/>
  <c r="K69" i="11"/>
  <c r="M69" i="11" s="1"/>
  <c r="P69" i="11" s="1"/>
  <c r="K71" i="11"/>
  <c r="M71" i="11" s="1"/>
  <c r="P71" i="11" s="1"/>
  <c r="K72" i="11"/>
  <c r="M72" i="11" s="1"/>
  <c r="P72" i="11" s="1"/>
  <c r="K73" i="11"/>
  <c r="M73" i="11" s="1"/>
  <c r="P73" i="11" s="1"/>
  <c r="K76" i="11"/>
  <c r="M76" i="11" s="1"/>
  <c r="P76" i="11" s="1"/>
  <c r="K77" i="11"/>
  <c r="M77" i="11" s="1"/>
  <c r="P77" i="11" s="1"/>
  <c r="K78" i="11"/>
  <c r="M78" i="11" s="1"/>
  <c r="P78" i="11" s="1"/>
  <c r="K79" i="11"/>
  <c r="M79" i="11" s="1"/>
  <c r="P79" i="11" s="1"/>
  <c r="K80" i="11"/>
  <c r="M80" i="11" s="1"/>
  <c r="P80" i="11" s="1"/>
  <c r="K81" i="11"/>
  <c r="M81" i="11" s="1"/>
  <c r="P81" i="11" s="1"/>
  <c r="K82" i="11"/>
  <c r="M82" i="11" s="1"/>
  <c r="P82" i="11" s="1"/>
  <c r="K83" i="11"/>
  <c r="M83" i="11" s="1"/>
  <c r="P83" i="11" s="1"/>
  <c r="P209" i="11" s="1"/>
  <c r="K84" i="11"/>
  <c r="M84" i="11" s="1"/>
  <c r="P84" i="11" s="1"/>
  <c r="K85" i="11"/>
  <c r="M85" i="11" s="1"/>
  <c r="P85" i="11" s="1"/>
  <c r="K86" i="11"/>
  <c r="M86" i="11" s="1"/>
  <c r="P86" i="11" s="1"/>
  <c r="K87" i="11"/>
  <c r="M87" i="11" s="1"/>
  <c r="P87" i="11" s="1"/>
  <c r="K88" i="11"/>
  <c r="M88" i="11" s="1"/>
  <c r="P88" i="11" s="1"/>
  <c r="K47" i="11"/>
  <c r="M47" i="11" s="1"/>
  <c r="P47" i="11" s="1"/>
  <c r="K48" i="11"/>
  <c r="M48" i="11" s="1"/>
  <c r="P48" i="11" s="1"/>
  <c r="K50" i="11"/>
  <c r="M50" i="11" s="1"/>
  <c r="P50" i="11" s="1"/>
  <c r="K51" i="11"/>
  <c r="M51" i="11" s="1"/>
  <c r="P51" i="11" s="1"/>
  <c r="K52" i="11"/>
  <c r="M52" i="11" s="1"/>
  <c r="P52" i="11" s="1"/>
  <c r="K53" i="11"/>
  <c r="M53" i="11" s="1"/>
  <c r="P53" i="11" s="1"/>
  <c r="K54" i="11"/>
  <c r="M54" i="11" s="1"/>
  <c r="P54" i="11" s="1"/>
  <c r="K55" i="11"/>
  <c r="M55" i="11" s="1"/>
  <c r="P55" i="11" s="1"/>
  <c r="K56" i="11"/>
  <c r="M56" i="11" s="1"/>
  <c r="P56" i="11" s="1"/>
  <c r="K57" i="11"/>
  <c r="M57" i="11" s="1"/>
  <c r="P57" i="11" s="1"/>
  <c r="K58" i="11"/>
  <c r="M58" i="11" s="1"/>
  <c r="P58" i="11" s="1"/>
  <c r="K59" i="11"/>
  <c r="M59" i="11" s="1"/>
  <c r="P59" i="11" s="1"/>
  <c r="K60" i="11"/>
  <c r="M60" i="11" s="1"/>
  <c r="P60" i="11" s="1"/>
  <c r="K61" i="11"/>
  <c r="M61" i="11" s="1"/>
  <c r="P61" i="11" s="1"/>
  <c r="K46" i="11"/>
  <c r="M46" i="11" s="1"/>
  <c r="P46" i="11" s="1"/>
  <c r="K45" i="11"/>
  <c r="M45" i="11" s="1"/>
  <c r="P45" i="11" s="1"/>
  <c r="K44" i="11"/>
  <c r="M44" i="11" s="1"/>
  <c r="P44" i="11" s="1"/>
  <c r="K41" i="11"/>
  <c r="M41" i="11" s="1"/>
  <c r="K42" i="11"/>
  <c r="M42" i="11" s="1"/>
  <c r="P42" i="11" s="1"/>
  <c r="K43" i="11"/>
  <c r="M43" i="11" s="1"/>
  <c r="P43" i="11" s="1"/>
  <c r="K40" i="11"/>
  <c r="M40" i="11" s="1"/>
  <c r="P40" i="11" s="1"/>
  <c r="K38" i="11"/>
  <c r="M38" i="11" s="1"/>
  <c r="P38" i="11" s="1"/>
  <c r="K39" i="11"/>
  <c r="M39" i="11" s="1"/>
  <c r="P39" i="11" s="1"/>
  <c r="K10" i="11"/>
  <c r="M10" i="11" s="1"/>
  <c r="K11" i="11"/>
  <c r="M11" i="11" s="1"/>
  <c r="P11" i="11" s="1"/>
  <c r="K12" i="11"/>
  <c r="M12" i="11" s="1"/>
  <c r="P12" i="11" s="1"/>
  <c r="K13" i="11"/>
  <c r="M13" i="11" s="1"/>
  <c r="P13" i="11" s="1"/>
  <c r="K14" i="11"/>
  <c r="M14" i="11" s="1"/>
  <c r="P14" i="11" s="1"/>
  <c r="K15" i="11"/>
  <c r="M15" i="11" s="1"/>
  <c r="P15" i="11" s="1"/>
  <c r="K16" i="11"/>
  <c r="K17" i="11"/>
  <c r="M17" i="11" s="1"/>
  <c r="P17" i="11" s="1"/>
  <c r="K18" i="11"/>
  <c r="M18" i="11" s="1"/>
  <c r="P18" i="11" s="1"/>
  <c r="K19" i="11"/>
  <c r="M19" i="11" s="1"/>
  <c r="P19" i="11" s="1"/>
  <c r="K20" i="11"/>
  <c r="M20" i="11" s="1"/>
  <c r="P20" i="11" s="1"/>
  <c r="K21" i="11"/>
  <c r="M21" i="11" s="1"/>
  <c r="P21" i="11" s="1"/>
  <c r="K22" i="11"/>
  <c r="M22" i="11" s="1"/>
  <c r="P22" i="11" s="1"/>
  <c r="K23" i="11"/>
  <c r="M23" i="11" s="1"/>
  <c r="P23" i="11" s="1"/>
  <c r="K24" i="11"/>
  <c r="M24" i="11" s="1"/>
  <c r="P24" i="11" s="1"/>
  <c r="K25" i="11"/>
  <c r="M25" i="11" s="1"/>
  <c r="P25" i="11" s="1"/>
  <c r="K26" i="11"/>
  <c r="M26" i="11" s="1"/>
  <c r="P26" i="11" s="1"/>
  <c r="K27" i="11"/>
  <c r="M27" i="11" s="1"/>
  <c r="P27" i="11" s="1"/>
  <c r="K28" i="11"/>
  <c r="M28" i="11" s="1"/>
  <c r="P28" i="11" s="1"/>
  <c r="K29" i="11"/>
  <c r="M29" i="11" s="1"/>
  <c r="P29" i="11" s="1"/>
  <c r="K30" i="11"/>
  <c r="M30" i="11" s="1"/>
  <c r="P30" i="11" s="1"/>
  <c r="K31" i="11"/>
  <c r="M31" i="11" s="1"/>
  <c r="P31" i="11" s="1"/>
  <c r="K32" i="11"/>
  <c r="M32" i="11" s="1"/>
  <c r="P32" i="11" s="1"/>
  <c r="K33" i="11"/>
  <c r="M33" i="11" s="1"/>
  <c r="P33" i="11" s="1"/>
  <c r="K34" i="11"/>
  <c r="M34" i="11" s="1"/>
  <c r="P34" i="11" s="1"/>
  <c r="K35" i="11"/>
  <c r="M35" i="11" s="1"/>
  <c r="P35" i="11" s="1"/>
  <c r="K36" i="11"/>
  <c r="M36" i="11" s="1"/>
  <c r="P36" i="11" s="1"/>
  <c r="K37" i="11"/>
  <c r="M37" i="11" s="1"/>
  <c r="P37" i="11" s="1"/>
  <c r="K9" i="11"/>
  <c r="M9" i="11" s="1"/>
  <c r="P9" i="11" s="1"/>
  <c r="B8" i="11"/>
  <c r="C8" i="11" s="1"/>
  <c r="D8" i="11" s="1"/>
  <c r="E8" i="11" s="1"/>
  <c r="F8" i="11" s="1"/>
  <c r="G8" i="11" s="1"/>
  <c r="H8" i="11" s="1"/>
  <c r="I8" i="11" s="1"/>
  <c r="J8" i="11" s="1"/>
  <c r="K8" i="11" s="1"/>
  <c r="L8" i="11" s="1"/>
  <c r="M8" i="11" s="1"/>
  <c r="N8" i="11" s="1"/>
  <c r="O8" i="11" s="1"/>
  <c r="P8" i="11" s="1"/>
  <c r="Q8" i="11" s="1"/>
  <c r="R8" i="11" s="1"/>
  <c r="S8" i="11" s="1"/>
  <c r="T8" i="11" s="1"/>
  <c r="U8" i="11" s="1"/>
  <c r="V8" i="11" s="1"/>
  <c r="W8" i="11" s="1"/>
  <c r="X8" i="11" s="1"/>
  <c r="Y8" i="11" s="1"/>
  <c r="Z8" i="11" s="1"/>
  <c r="AA8" i="11" s="1"/>
  <c r="F192" i="1"/>
  <c r="D192" i="1"/>
  <c r="C192" i="1"/>
  <c r="B192" i="1"/>
  <c r="J180" i="1"/>
  <c r="I180" i="1"/>
  <c r="H180" i="1"/>
  <c r="F180" i="1"/>
  <c r="D180" i="1"/>
  <c r="C180" i="1"/>
  <c r="B180" i="1"/>
  <c r="S144" i="1"/>
  <c r="R144" i="1"/>
  <c r="N144" i="1"/>
  <c r="C144" i="1"/>
  <c r="D144" i="1" s="1"/>
  <c r="E144" i="1" s="1"/>
  <c r="F144" i="1" s="1"/>
  <c r="G144" i="1" s="1"/>
  <c r="H144" i="1" s="1"/>
  <c r="I144" i="1" s="1"/>
  <c r="J144" i="1" s="1"/>
  <c r="K144" i="1" s="1"/>
  <c r="L144" i="1" s="1"/>
  <c r="M144" i="1" s="1"/>
  <c r="B144" i="1"/>
  <c r="T79" i="1"/>
  <c r="U79" i="1" s="1"/>
  <c r="V79" i="1" s="1"/>
  <c r="W79" i="1" s="1"/>
  <c r="S79" i="1"/>
  <c r="R79" i="1"/>
  <c r="N79" i="1"/>
  <c r="C79" i="1"/>
  <c r="D79" i="1" s="1"/>
  <c r="E79" i="1" s="1"/>
  <c r="F79" i="1" s="1"/>
  <c r="G79" i="1" s="1"/>
  <c r="H79" i="1" s="1"/>
  <c r="I79" i="1" s="1"/>
  <c r="J79" i="1" s="1"/>
  <c r="K79" i="1" s="1"/>
  <c r="L79" i="1" s="1"/>
  <c r="M79" i="1" s="1"/>
  <c r="B79" i="1"/>
  <c r="AC248" i="11"/>
  <c r="AB248" i="11"/>
  <c r="AA248" i="11"/>
  <c r="Z248" i="11"/>
  <c r="Y248" i="11"/>
  <c r="W248" i="11"/>
  <c r="V248" i="11"/>
  <c r="U248" i="11"/>
  <c r="T248" i="11"/>
  <c r="S248" i="11"/>
  <c r="R248" i="11"/>
  <c r="Q248" i="11"/>
  <c r="P248" i="11"/>
  <c r="O248" i="11"/>
  <c r="N248" i="11"/>
  <c r="M248" i="11"/>
  <c r="L248" i="11"/>
  <c r="K248" i="11"/>
  <c r="F248" i="11"/>
  <c r="AC247" i="11"/>
  <c r="AB247" i="11"/>
  <c r="AA247" i="11"/>
  <c r="Z247" i="11"/>
  <c r="Y247" i="11"/>
  <c r="W247" i="11"/>
  <c r="V247" i="11"/>
  <c r="U247" i="11"/>
  <c r="T247" i="11"/>
  <c r="S247" i="11"/>
  <c r="R247" i="11"/>
  <c r="Q247" i="11"/>
  <c r="P247" i="11"/>
  <c r="O247" i="11"/>
  <c r="N247" i="11"/>
  <c r="M247" i="11"/>
  <c r="L247" i="11"/>
  <c r="K247" i="11"/>
  <c r="F247" i="11"/>
  <c r="AC246" i="11"/>
  <c r="AB246" i="11"/>
  <c r="AA246" i="11"/>
  <c r="Z246" i="11"/>
  <c r="Y246" i="11"/>
  <c r="W246" i="11"/>
  <c r="V246" i="11"/>
  <c r="U246" i="11"/>
  <c r="T246" i="11"/>
  <c r="S246" i="11"/>
  <c r="R246" i="11"/>
  <c r="Q246" i="11"/>
  <c r="O246" i="11"/>
  <c r="N246" i="11"/>
  <c r="L246" i="11"/>
  <c r="F246" i="11"/>
  <c r="AC245" i="11"/>
  <c r="AB245" i="11"/>
  <c r="AA245" i="11"/>
  <c r="Z245" i="11"/>
  <c r="Y245" i="11"/>
  <c r="W245" i="11"/>
  <c r="V245" i="11"/>
  <c r="U245" i="11"/>
  <c r="T245" i="11"/>
  <c r="S245" i="11"/>
  <c r="R245" i="11"/>
  <c r="Q245" i="11"/>
  <c r="O245" i="11"/>
  <c r="N245" i="11"/>
  <c r="F245" i="11"/>
  <c r="AC244" i="11"/>
  <c r="AB244" i="11"/>
  <c r="AA244" i="11"/>
  <c r="Z244" i="11"/>
  <c r="Y244" i="11"/>
  <c r="X244" i="11"/>
  <c r="W244" i="11"/>
  <c r="V244" i="11"/>
  <c r="U244" i="11"/>
  <c r="T244" i="11"/>
  <c r="S244" i="11"/>
  <c r="R244" i="11"/>
  <c r="Q244" i="11"/>
  <c r="P244" i="11"/>
  <c r="O244" i="11"/>
  <c r="N244" i="11"/>
  <c r="M244" i="11"/>
  <c r="L244" i="11"/>
  <c r="K244" i="11"/>
  <c r="F244" i="11"/>
  <c r="AC243" i="11"/>
  <c r="AB243" i="11"/>
  <c r="AA243" i="11"/>
  <c r="Z243" i="11"/>
  <c r="Y243" i="11"/>
  <c r="W243" i="11"/>
  <c r="V243" i="11"/>
  <c r="U243" i="11"/>
  <c r="T243" i="11"/>
  <c r="S243" i="11"/>
  <c r="R243" i="11"/>
  <c r="Q243" i="11"/>
  <c r="O243" i="11"/>
  <c r="N243" i="11"/>
  <c r="L243" i="11"/>
  <c r="F243" i="11"/>
  <c r="AC242" i="11"/>
  <c r="AB242" i="11"/>
  <c r="AA242" i="11"/>
  <c r="Z242" i="11"/>
  <c r="W242" i="11"/>
  <c r="R242" i="11"/>
  <c r="Q242" i="11"/>
  <c r="O242" i="11"/>
  <c r="N242" i="11"/>
  <c r="L242" i="11"/>
  <c r="F242" i="11"/>
  <c r="AC241" i="11"/>
  <c r="AB241" i="11"/>
  <c r="AA241" i="11"/>
  <c r="Z241" i="11"/>
  <c r="Y241" i="11"/>
  <c r="W241" i="11"/>
  <c r="V241" i="11"/>
  <c r="U241" i="11"/>
  <c r="T241" i="11"/>
  <c r="S241" i="11"/>
  <c r="R241" i="11"/>
  <c r="Q241" i="11"/>
  <c r="O241" i="11"/>
  <c r="N241" i="11"/>
  <c r="L241" i="11"/>
  <c r="F241" i="11"/>
  <c r="V208" i="11"/>
  <c r="V207" i="11"/>
  <c r="U206" i="11"/>
  <c r="V205" i="11"/>
  <c r="S205" i="11"/>
  <c r="V202" i="11"/>
  <c r="X247" i="11"/>
  <c r="X246" i="11"/>
  <c r="M246" i="11"/>
  <c r="K246" i="11"/>
  <c r="X243" i="11"/>
  <c r="P243" i="11"/>
  <c r="M243" i="11"/>
  <c r="P241" i="11"/>
  <c r="M241" i="11"/>
  <c r="B5" i="9"/>
  <c r="H5" i="9" s="1"/>
  <c r="I5" i="9" s="1"/>
  <c r="A7" i="9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32" i="9" s="1"/>
  <c r="A33" i="9" s="1"/>
  <c r="A34" i="9" s="1"/>
  <c r="A35" i="9" s="1"/>
  <c r="A36" i="9" s="1"/>
  <c r="J32" i="9"/>
  <c r="I32" i="9"/>
  <c r="H32" i="9"/>
  <c r="G32" i="9"/>
  <c r="B13" i="9"/>
  <c r="H23" i="9"/>
  <c r="H24" i="9"/>
  <c r="B21" i="9"/>
  <c r="B22" i="9"/>
  <c r="B23" i="9"/>
  <c r="B24" i="9"/>
  <c r="B20" i="9"/>
  <c r="B8" i="9"/>
  <c r="B9" i="9"/>
  <c r="B10" i="9"/>
  <c r="B11" i="9"/>
  <c r="B12" i="9"/>
  <c r="B7" i="9"/>
  <c r="A37" i="9" l="1"/>
  <c r="A38" i="9" s="1"/>
  <c r="A39" i="9" s="1"/>
  <c r="N12" i="13"/>
  <c r="N13" i="16" s="1"/>
  <c r="I13" i="16"/>
  <c r="R13" i="16" s="1"/>
  <c r="W13" i="16" s="1"/>
  <c r="W15" i="16" s="1"/>
  <c r="L27" i="15"/>
  <c r="Z27" i="15" s="1"/>
  <c r="L26" i="10"/>
  <c r="L28" i="15" s="1"/>
  <c r="Z28" i="15" s="1"/>
  <c r="M27" i="15"/>
  <c r="AA27" i="15" s="1"/>
  <c r="M26" i="10"/>
  <c r="M28" i="15" s="1"/>
  <c r="AA28" i="15" s="1"/>
  <c r="K27" i="15"/>
  <c r="Y27" i="15" s="1"/>
  <c r="K26" i="10"/>
  <c r="K28" i="15" s="1"/>
  <c r="Y28" i="15" s="1"/>
  <c r="H25" i="10"/>
  <c r="Q41" i="8"/>
  <c r="E55" i="8" s="1"/>
  <c r="J26" i="10"/>
  <c r="J28" i="15" s="1"/>
  <c r="X28" i="15" s="1"/>
  <c r="J27" i="15"/>
  <c r="X27" i="15" s="1"/>
  <c r="M16" i="11"/>
  <c r="P16" i="11" s="1"/>
  <c r="K210" i="11"/>
  <c r="Z213" i="11"/>
  <c r="R41" i="11"/>
  <c r="R202" i="11" s="1"/>
  <c r="R213" i="11" s="1"/>
  <c r="P41" i="11"/>
  <c r="X71" i="11"/>
  <c r="Y71" i="11" s="1"/>
  <c r="X84" i="11"/>
  <c r="Y84" i="11" s="1"/>
  <c r="X85" i="11"/>
  <c r="Y85" i="11" s="1"/>
  <c r="X89" i="11"/>
  <c r="Y89" i="11" s="1"/>
  <c r="X96" i="11"/>
  <c r="Y96" i="11" s="1"/>
  <c r="X98" i="11"/>
  <c r="Y98" i="11" s="1"/>
  <c r="X102" i="11"/>
  <c r="Y102" i="11" s="1"/>
  <c r="X108" i="11"/>
  <c r="Y108" i="11" s="1"/>
  <c r="X111" i="11"/>
  <c r="Y111" i="11" s="1"/>
  <c r="X112" i="11"/>
  <c r="Y112" i="11" s="1"/>
  <c r="X117" i="11"/>
  <c r="Y117" i="11" s="1"/>
  <c r="X115" i="11"/>
  <c r="Y115" i="11" s="1"/>
  <c r="X123" i="11"/>
  <c r="Y123" i="11" s="1"/>
  <c r="X128" i="11"/>
  <c r="Y128" i="11" s="1"/>
  <c r="X134" i="11"/>
  <c r="Y134" i="11" s="1"/>
  <c r="X138" i="11"/>
  <c r="Y138" i="11" s="1"/>
  <c r="X139" i="11"/>
  <c r="Y139" i="11" s="1"/>
  <c r="X142" i="11"/>
  <c r="Y142" i="11" s="1"/>
  <c r="X144" i="11"/>
  <c r="Y144" i="11" s="1"/>
  <c r="X147" i="11"/>
  <c r="Y147" i="11" s="1"/>
  <c r="X148" i="11"/>
  <c r="Y148" i="11" s="1"/>
  <c r="X155" i="11"/>
  <c r="Y155" i="11" s="1"/>
  <c r="X156" i="11"/>
  <c r="Y156" i="11" s="1"/>
  <c r="T207" i="11"/>
  <c r="X160" i="11"/>
  <c r="Y160" i="11" s="1"/>
  <c r="X163" i="11"/>
  <c r="Y163" i="11" s="1"/>
  <c r="X161" i="11"/>
  <c r="Y161" i="11" s="1"/>
  <c r="X187" i="11"/>
  <c r="Y187" i="11" s="1"/>
  <c r="X193" i="11"/>
  <c r="Y193" i="11" s="1"/>
  <c r="T208" i="11"/>
  <c r="X157" i="11"/>
  <c r="Y157" i="11" s="1"/>
  <c r="X135" i="11"/>
  <c r="Y135" i="11" s="1"/>
  <c r="X183" i="11"/>
  <c r="Y183" i="11" s="1"/>
  <c r="X175" i="11"/>
  <c r="Y175" i="11" s="1"/>
  <c r="X167" i="11"/>
  <c r="Y167" i="11" s="1"/>
  <c r="X24" i="11"/>
  <c r="Y24" i="11" s="1"/>
  <c r="X32" i="11"/>
  <c r="Y32" i="11" s="1"/>
  <c r="X92" i="11"/>
  <c r="Y92" i="11" s="1"/>
  <c r="X132" i="11"/>
  <c r="Y132" i="11" s="1"/>
  <c r="X141" i="11"/>
  <c r="Y141" i="11" s="1"/>
  <c r="X165" i="11"/>
  <c r="Y165" i="11" s="1"/>
  <c r="X42" i="11"/>
  <c r="Y42" i="11" s="1"/>
  <c r="X64" i="11"/>
  <c r="Y64" i="11" s="1"/>
  <c r="X87" i="11"/>
  <c r="Y87" i="11" s="1"/>
  <c r="X88" i="11"/>
  <c r="Y88" i="11" s="1"/>
  <c r="X95" i="11"/>
  <c r="Y95" i="11" s="1"/>
  <c r="T205" i="11"/>
  <c r="X101" i="11"/>
  <c r="Y101" i="11" s="1"/>
  <c r="X104" i="11"/>
  <c r="Y104" i="11" s="1"/>
  <c r="X110" i="11"/>
  <c r="Y110" i="11" s="1"/>
  <c r="X114" i="11"/>
  <c r="Y114" i="11" s="1"/>
  <c r="X116" i="11"/>
  <c r="Y116" i="11" s="1"/>
  <c r="X122" i="11"/>
  <c r="Y122" i="11" s="1"/>
  <c r="X126" i="11"/>
  <c r="Y126" i="11" s="1"/>
  <c r="X127" i="11"/>
  <c r="Y127" i="11" s="1"/>
  <c r="X199" i="11"/>
  <c r="Y199" i="11" s="1"/>
  <c r="X145" i="11"/>
  <c r="Y145" i="11" s="1"/>
  <c r="K202" i="11"/>
  <c r="X153" i="11"/>
  <c r="Y153" i="11" s="1"/>
  <c r="X184" i="11"/>
  <c r="Y184" i="11" s="1"/>
  <c r="X182" i="11"/>
  <c r="Y182" i="11" s="1"/>
  <c r="X180" i="11"/>
  <c r="Y180" i="11" s="1"/>
  <c r="X178" i="11"/>
  <c r="Y178" i="11" s="1"/>
  <c r="X176" i="11"/>
  <c r="Y176" i="11" s="1"/>
  <c r="X174" i="11"/>
  <c r="Y174" i="11" s="1"/>
  <c r="X172" i="11"/>
  <c r="Y172" i="11" s="1"/>
  <c r="X170" i="11"/>
  <c r="Y170" i="11" s="1"/>
  <c r="X168" i="11"/>
  <c r="Y168" i="11" s="1"/>
  <c r="X195" i="11"/>
  <c r="Y195" i="11" s="1"/>
  <c r="X100" i="11"/>
  <c r="Y100" i="11" s="1"/>
  <c r="X40" i="11"/>
  <c r="Y40" i="11" s="1"/>
  <c r="X131" i="11"/>
  <c r="Y131" i="11" s="1"/>
  <c r="L69" i="12"/>
  <c r="L70" i="12"/>
  <c r="L75" i="12"/>
  <c r="L80" i="12"/>
  <c r="L76" i="12"/>
  <c r="U207" i="11"/>
  <c r="X158" i="11"/>
  <c r="Y158" i="11" s="1"/>
  <c r="F213" i="11"/>
  <c r="U242" i="11"/>
  <c r="U249" i="11" s="1"/>
  <c r="X39" i="11"/>
  <c r="Y39" i="11" s="1"/>
  <c r="X43" i="11"/>
  <c r="Y43" i="11" s="1"/>
  <c r="X44" i="11"/>
  <c r="Y44" i="11" s="1"/>
  <c r="X50" i="11"/>
  <c r="Y50" i="11" s="1"/>
  <c r="X54" i="11"/>
  <c r="Y54" i="11" s="1"/>
  <c r="X59" i="11"/>
  <c r="Y59" i="11" s="1"/>
  <c r="X72" i="11"/>
  <c r="Y72" i="11" s="1"/>
  <c r="X70" i="11"/>
  <c r="Y70" i="11" s="1"/>
  <c r="X73" i="11"/>
  <c r="Y73" i="11" s="1"/>
  <c r="X76" i="11"/>
  <c r="Y76" i="11" s="1"/>
  <c r="X149" i="11"/>
  <c r="Y149" i="11" s="1"/>
  <c r="X151" i="11"/>
  <c r="Y151" i="11" s="1"/>
  <c r="X49" i="11"/>
  <c r="Y49" i="11" s="1"/>
  <c r="X57" i="11"/>
  <c r="Y57" i="11" s="1"/>
  <c r="X66" i="11"/>
  <c r="Y66" i="11" s="1"/>
  <c r="X68" i="11"/>
  <c r="Y68" i="11" s="1"/>
  <c r="X137" i="11"/>
  <c r="Y137" i="11" s="1"/>
  <c r="X143" i="11"/>
  <c r="Y143" i="11" s="1"/>
  <c r="S210" i="11"/>
  <c r="X97" i="11"/>
  <c r="Y97" i="11" s="1"/>
  <c r="X9" i="11"/>
  <c r="Y9" i="11" s="1"/>
  <c r="T242" i="11"/>
  <c r="T249" i="11" s="1"/>
  <c r="X14" i="11"/>
  <c r="Y14" i="11" s="1"/>
  <c r="X18" i="11"/>
  <c r="Y18" i="11" s="1"/>
  <c r="X19" i="11"/>
  <c r="Y19" i="11" s="1"/>
  <c r="X25" i="11"/>
  <c r="Y25" i="11" s="1"/>
  <c r="X29" i="11"/>
  <c r="Y29" i="11" s="1"/>
  <c r="X31" i="11"/>
  <c r="Y31" i="11" s="1"/>
  <c r="X33" i="11"/>
  <c r="Y33" i="11" s="1"/>
  <c r="X34" i="11"/>
  <c r="Y34" i="11" s="1"/>
  <c r="X35" i="11"/>
  <c r="Y35" i="11" s="1"/>
  <c r="X94" i="11"/>
  <c r="Y94" i="11" s="1"/>
  <c r="U210" i="11"/>
  <c r="X130" i="11"/>
  <c r="Y130" i="11" s="1"/>
  <c r="X75" i="11"/>
  <c r="Y75" i="11" s="1"/>
  <c r="X37" i="11"/>
  <c r="Y37" i="11" s="1"/>
  <c r="X60" i="11"/>
  <c r="Y60" i="11" s="1"/>
  <c r="X61" i="11"/>
  <c r="Y61" i="11" s="1"/>
  <c r="X83" i="11"/>
  <c r="Y83" i="11" s="1"/>
  <c r="Y209" i="11" s="1"/>
  <c r="X93" i="11"/>
  <c r="Y93" i="11" s="1"/>
  <c r="X124" i="11"/>
  <c r="Y124" i="11" s="1"/>
  <c r="X91" i="11"/>
  <c r="Y91" i="11" s="1"/>
  <c r="S208" i="11"/>
  <c r="X74" i="11"/>
  <c r="Y74" i="11" s="1"/>
  <c r="U203" i="11"/>
  <c r="U213" i="11" s="1"/>
  <c r="X41" i="11"/>
  <c r="X202" i="11" s="1"/>
  <c r="X36" i="11"/>
  <c r="Y36" i="11" s="1"/>
  <c r="T203" i="11"/>
  <c r="X23" i="11"/>
  <c r="Y23" i="11" s="1"/>
  <c r="T206" i="11"/>
  <c r="S207" i="11"/>
  <c r="X11" i="11"/>
  <c r="Y11" i="11" s="1"/>
  <c r="X56" i="11"/>
  <c r="Y56" i="11" s="1"/>
  <c r="X58" i="11"/>
  <c r="Y58" i="11" s="1"/>
  <c r="Y208" i="11"/>
  <c r="K208" i="11"/>
  <c r="X26" i="11"/>
  <c r="Y26" i="11" s="1"/>
  <c r="K209" i="11"/>
  <c r="M209" i="11"/>
  <c r="X22" i="11"/>
  <c r="Y22" i="11" s="1"/>
  <c r="X55" i="11"/>
  <c r="Y55" i="11" s="1"/>
  <c r="X53" i="11"/>
  <c r="Y53" i="11" s="1"/>
  <c r="X52" i="11"/>
  <c r="Y52" i="11" s="1"/>
  <c r="X48" i="11"/>
  <c r="Y48" i="11" s="1"/>
  <c r="X30" i="11"/>
  <c r="Y30" i="11" s="1"/>
  <c r="X28" i="11"/>
  <c r="Y28" i="11" s="1"/>
  <c r="S203" i="11"/>
  <c r="X10" i="11"/>
  <c r="Y10" i="11" s="1"/>
  <c r="X20" i="11"/>
  <c r="Y20" i="11" s="1"/>
  <c r="X21" i="11"/>
  <c r="Y21" i="11" s="1"/>
  <c r="S242" i="11"/>
  <c r="S249" i="11" s="1"/>
  <c r="X17" i="11"/>
  <c r="Y17" i="11" s="1"/>
  <c r="X13" i="11"/>
  <c r="Y13" i="11" s="1"/>
  <c r="X12" i="11"/>
  <c r="Y12" i="11" s="1"/>
  <c r="V203" i="11"/>
  <c r="V213" i="11" s="1"/>
  <c r="V242" i="11"/>
  <c r="V249" i="11" s="1"/>
  <c r="X208" i="11"/>
  <c r="Y205" i="11"/>
  <c r="P210" i="11"/>
  <c r="AC213" i="11"/>
  <c r="M210" i="11"/>
  <c r="M205" i="11"/>
  <c r="K205" i="11"/>
  <c r="P202" i="11"/>
  <c r="K203" i="11"/>
  <c r="K242" i="11"/>
  <c r="P10" i="11"/>
  <c r="P242" i="11" s="1"/>
  <c r="M242" i="11"/>
  <c r="R249" i="11"/>
  <c r="AA249" i="11"/>
  <c r="AB8" i="11"/>
  <c r="AC8" i="11" s="1"/>
  <c r="AD8" i="11" s="1"/>
  <c r="W249" i="11"/>
  <c r="N249" i="11"/>
  <c r="AB249" i="11"/>
  <c r="O249" i="11"/>
  <c r="AC249" i="11"/>
  <c r="F249" i="11"/>
  <c r="Q249" i="11"/>
  <c r="Z249" i="11"/>
  <c r="M203" i="11"/>
  <c r="K207" i="11"/>
  <c r="K241" i="11"/>
  <c r="K243" i="11"/>
  <c r="P205" i="11"/>
  <c r="M207" i="11"/>
  <c r="X241" i="11"/>
  <c r="L245" i="11"/>
  <c r="L249" i="11" s="1"/>
  <c r="X245" i="11"/>
  <c r="X248" i="11"/>
  <c r="H26" i="10" l="1"/>
  <c r="S25" i="10"/>
  <c r="S27" i="15" s="1"/>
  <c r="H27" i="15"/>
  <c r="V27" i="15" s="1"/>
  <c r="AG27" i="15" s="1"/>
  <c r="Y207" i="11"/>
  <c r="Y206" i="11"/>
  <c r="X207" i="11"/>
  <c r="X205" i="11"/>
  <c r="X206" i="11"/>
  <c r="X209" i="11"/>
  <c r="Y210" i="11"/>
  <c r="Y41" i="11"/>
  <c r="Y202" i="11" s="1"/>
  <c r="X210" i="11"/>
  <c r="T213" i="11"/>
  <c r="Y203" i="11"/>
  <c r="S213" i="11"/>
  <c r="X242" i="11"/>
  <c r="X249" i="11" s="1"/>
  <c r="Y242" i="11"/>
  <c r="Y249" i="11" s="1"/>
  <c r="X203" i="11"/>
  <c r="P203" i="11"/>
  <c r="P208" i="11"/>
  <c r="M208" i="11"/>
  <c r="P207" i="11"/>
  <c r="P246" i="11"/>
  <c r="K206" i="11"/>
  <c r="K213" i="11" s="1"/>
  <c r="K245" i="11"/>
  <c r="K249" i="11" s="1"/>
  <c r="H28" i="15" l="1"/>
  <c r="V28" i="15" s="1"/>
  <c r="AG28" i="15" s="1"/>
  <c r="AG53" i="15" s="1"/>
  <c r="S26" i="10"/>
  <c r="S28" i="15" s="1"/>
  <c r="Y213" i="11"/>
  <c r="X213" i="11"/>
  <c r="M245" i="11"/>
  <c r="M249" i="11" s="1"/>
  <c r="M206" i="11"/>
  <c r="M213" i="11" s="1"/>
  <c r="P245" i="11" l="1"/>
  <c r="P249" i="11" s="1"/>
  <c r="P206" i="11"/>
  <c r="P213" i="11" s="1"/>
  <c r="H36" i="8" l="1"/>
  <c r="I36" i="8"/>
  <c r="J36" i="8"/>
  <c r="K36" i="8"/>
  <c r="L36" i="8"/>
  <c r="M36" i="8"/>
  <c r="N36" i="8"/>
  <c r="P36" i="8"/>
  <c r="F36" i="8"/>
  <c r="J9" i="8"/>
  <c r="F9" i="8"/>
  <c r="H8" i="8"/>
  <c r="I8" i="8"/>
  <c r="J8" i="8"/>
  <c r="K8" i="8"/>
  <c r="L8" i="8"/>
  <c r="M8" i="8"/>
  <c r="N8" i="8"/>
  <c r="P8" i="8"/>
  <c r="F8" i="8"/>
  <c r="E27" i="2"/>
  <c r="I13" i="9"/>
  <c r="F23" i="8"/>
  <c r="V71" i="1"/>
  <c r="V136" i="1"/>
  <c r="H39" i="8"/>
  <c r="I39" i="8"/>
  <c r="J39" i="8"/>
  <c r="J38" i="8"/>
  <c r="K38" i="8"/>
  <c r="L38" i="8"/>
  <c r="M38" i="8"/>
  <c r="F38" i="8"/>
  <c r="G37" i="8"/>
  <c r="H37" i="8"/>
  <c r="I37" i="8"/>
  <c r="J37" i="8"/>
  <c r="K37" i="8"/>
  <c r="L37" i="8"/>
  <c r="M37" i="8"/>
  <c r="N37" i="8"/>
  <c r="P37" i="8"/>
  <c r="F37" i="8"/>
  <c r="F35" i="8"/>
  <c r="J35" i="8"/>
  <c r="F26" i="8"/>
  <c r="J26" i="8"/>
  <c r="K26" i="8"/>
  <c r="L26" i="8"/>
  <c r="M26" i="8"/>
  <c r="J27" i="8"/>
  <c r="G28" i="8"/>
  <c r="H28" i="8"/>
  <c r="I28" i="8"/>
  <c r="J28" i="8"/>
  <c r="K28" i="8"/>
  <c r="J29" i="8"/>
  <c r="Q29" i="8" s="1"/>
  <c r="E50" i="8" s="1"/>
  <c r="H30" i="8"/>
  <c r="I30" i="8"/>
  <c r="J30" i="8"/>
  <c r="J31" i="8"/>
  <c r="N31" i="8"/>
  <c r="H32" i="8"/>
  <c r="H33" i="8"/>
  <c r="H25" i="8"/>
  <c r="I25" i="8"/>
  <c r="P25" i="8"/>
  <c r="F25" i="8"/>
  <c r="A8" i="8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7" i="7"/>
  <c r="A8" i="7" s="1"/>
  <c r="A9" i="7" s="1"/>
  <c r="A10" i="7" s="1"/>
  <c r="A11" i="7" s="1"/>
  <c r="A12" i="7" s="1"/>
  <c r="B5" i="7"/>
  <c r="C5" i="7" s="1"/>
  <c r="C7" i="1"/>
  <c r="D7" i="1" s="1"/>
  <c r="E7" i="1" s="1"/>
  <c r="F7" i="1" s="1"/>
  <c r="G7" i="1" s="1"/>
  <c r="H7" i="1" s="1"/>
  <c r="I7" i="1" s="1"/>
  <c r="J7" i="1" s="1"/>
  <c r="K7" i="1" s="1"/>
  <c r="L7" i="1" s="1"/>
  <c r="M7" i="1" s="1"/>
  <c r="N7" i="1" s="1"/>
  <c r="R7" i="1" s="1"/>
  <c r="S7" i="1" s="1"/>
  <c r="T7" i="1" s="1"/>
  <c r="U7" i="1" s="1"/>
  <c r="V7" i="1" s="1"/>
  <c r="W7" i="1" s="1"/>
  <c r="X7" i="1" s="1"/>
  <c r="Y7" i="1" s="1"/>
  <c r="Z7" i="1" s="1"/>
  <c r="AA7" i="1" s="1"/>
  <c r="B7" i="1"/>
  <c r="A9" i="2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8" i="2"/>
  <c r="C6" i="2"/>
  <c r="D6" i="2" s="1"/>
  <c r="E6" i="2" s="1"/>
  <c r="F6" i="2" s="1"/>
  <c r="G6" i="2" s="1"/>
  <c r="H6" i="2" s="1"/>
  <c r="I6" i="2" s="1"/>
  <c r="J6" i="2" s="1"/>
  <c r="K6" i="2" s="1"/>
  <c r="L6" i="2" s="1"/>
  <c r="B6" i="2"/>
  <c r="B6" i="8"/>
  <c r="C6" i="8" s="1"/>
  <c r="D6" i="8" s="1"/>
  <c r="E6" i="8" s="1"/>
  <c r="F6" i="8" s="1"/>
  <c r="G6" i="8" s="1"/>
  <c r="H6" i="8" s="1"/>
  <c r="H14" i="8"/>
  <c r="J14" i="8"/>
  <c r="H13" i="8"/>
  <c r="I13" i="8"/>
  <c r="J13" i="8"/>
  <c r="O13" i="8"/>
  <c r="F13" i="8"/>
  <c r="F12" i="8"/>
  <c r="G12" i="8"/>
  <c r="H12" i="8"/>
  <c r="I12" i="8"/>
  <c r="J12" i="8"/>
  <c r="M12" i="8"/>
  <c r="N12" i="8"/>
  <c r="F11" i="8"/>
  <c r="J182" i="1"/>
  <c r="J181" i="1"/>
  <c r="J183" i="1"/>
  <c r="H11" i="8"/>
  <c r="I11" i="8"/>
  <c r="J11" i="8"/>
  <c r="K11" i="8"/>
  <c r="L11" i="8"/>
  <c r="M11" i="8"/>
  <c r="N11" i="8"/>
  <c r="P11" i="8"/>
  <c r="S39" i="1"/>
  <c r="T89" i="1"/>
  <c r="G89" i="1"/>
  <c r="P14" i="5"/>
  <c r="P13" i="5"/>
  <c r="P12" i="5"/>
  <c r="L11" i="5"/>
  <c r="K11" i="5"/>
  <c r="J11" i="5"/>
  <c r="I11" i="5"/>
  <c r="P11" i="5" s="1"/>
  <c r="P10" i="5"/>
  <c r="P9" i="5"/>
  <c r="A9" i="5"/>
  <c r="A10" i="5" s="1"/>
  <c r="A11" i="5" s="1"/>
  <c r="A12" i="5" s="1"/>
  <c r="A13" i="5" s="1"/>
  <c r="A14" i="5" s="1"/>
  <c r="O8" i="5"/>
  <c r="N8" i="5"/>
  <c r="M8" i="5"/>
  <c r="F8" i="5"/>
  <c r="P8" i="5" s="1"/>
  <c r="A8" i="5"/>
  <c r="H7" i="5"/>
  <c r="G7" i="5"/>
  <c r="F7" i="5"/>
  <c r="E7" i="5"/>
  <c r="D7" i="5"/>
  <c r="P7" i="5" s="1"/>
  <c r="G16" i="4"/>
  <c r="H16" i="4"/>
  <c r="D5" i="7" l="1"/>
  <c r="E5" i="7" s="1"/>
  <c r="F5" i="7" s="1"/>
  <c r="G5" i="7" s="1"/>
  <c r="H5" i="7" s="1"/>
  <c r="I5" i="7" s="1"/>
  <c r="I6" i="8"/>
  <c r="J6" i="8" s="1"/>
  <c r="K6" i="8" s="1"/>
  <c r="L6" i="8" s="1"/>
  <c r="M6" i="8" s="1"/>
  <c r="N6" i="8" s="1"/>
  <c r="O6" i="8" s="1"/>
  <c r="P6" i="8" s="1"/>
  <c r="Q6" i="8" s="1"/>
  <c r="Q50" i="8"/>
  <c r="K50" i="8"/>
  <c r="Q9" i="8"/>
  <c r="Q8" i="8"/>
  <c r="G50" i="8"/>
  <c r="O50" i="8"/>
  <c r="M50" i="8"/>
  <c r="I50" i="8"/>
  <c r="Q31" i="8"/>
  <c r="E52" i="8" s="1"/>
  <c r="A41" i="8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Q39" i="8"/>
  <c r="I24" i="9" s="1"/>
  <c r="Q38" i="8"/>
  <c r="I23" i="9" s="1"/>
  <c r="Q37" i="8"/>
  <c r="I22" i="9" s="1"/>
  <c r="Q36" i="8"/>
  <c r="I21" i="9" s="1"/>
  <c r="Q35" i="8"/>
  <c r="I20" i="9" s="1"/>
  <c r="Q26" i="8"/>
  <c r="Q33" i="8"/>
  <c r="E54" i="8" s="1"/>
  <c r="Q32" i="8"/>
  <c r="E53" i="8" s="1"/>
  <c r="K53" i="8" s="1"/>
  <c r="Q30" i="8"/>
  <c r="E51" i="8" s="1"/>
  <c r="Q28" i="8"/>
  <c r="E49" i="8" s="1"/>
  <c r="Q27" i="8"/>
  <c r="E48" i="8" s="1"/>
  <c r="Q25" i="8"/>
  <c r="E46" i="8" s="1"/>
  <c r="Q12" i="8"/>
  <c r="Q14" i="8"/>
  <c r="Q13" i="8"/>
  <c r="Q11" i="8"/>
  <c r="G55" i="8"/>
  <c r="Q48" i="8" l="1"/>
  <c r="I48" i="8"/>
  <c r="K48" i="8"/>
  <c r="O48" i="8"/>
  <c r="G48" i="8"/>
  <c r="M48" i="8"/>
  <c r="Q54" i="8"/>
  <c r="K54" i="8"/>
  <c r="O52" i="8"/>
  <c r="G52" i="8"/>
  <c r="Q52" i="8"/>
  <c r="M52" i="8"/>
  <c r="K52" i="8"/>
  <c r="I52" i="8"/>
  <c r="O54" i="8"/>
  <c r="K47" i="8"/>
  <c r="E47" i="8"/>
  <c r="I54" i="8"/>
  <c r="G54" i="8"/>
  <c r="M54" i="8"/>
  <c r="K51" i="8"/>
  <c r="O51" i="8"/>
  <c r="G51" i="8"/>
  <c r="M51" i="8"/>
  <c r="Q51" i="8"/>
  <c r="I51" i="8"/>
  <c r="M53" i="8"/>
  <c r="O53" i="8"/>
  <c r="G53" i="8"/>
  <c r="I53" i="8"/>
  <c r="Q53" i="8"/>
  <c r="E56" i="8"/>
  <c r="I55" i="8"/>
  <c r="K49" i="8"/>
  <c r="M49" i="8"/>
  <c r="Q49" i="8"/>
  <c r="G49" i="8"/>
  <c r="O49" i="8"/>
  <c r="I49" i="8"/>
  <c r="A55" i="8"/>
  <c r="A56" i="8" s="1"/>
  <c r="I47" i="8"/>
  <c r="O47" i="8"/>
  <c r="M47" i="8"/>
  <c r="Q47" i="8"/>
  <c r="G47" i="8"/>
  <c r="G56" i="8" l="1"/>
  <c r="I14" i="9" s="1"/>
  <c r="I56" i="8"/>
  <c r="I15" i="9" s="1"/>
  <c r="K46" i="8"/>
  <c r="K56" i="8" s="1"/>
  <c r="I16" i="9" s="1"/>
  <c r="M46" i="8"/>
  <c r="M56" i="8" s="1"/>
  <c r="I17" i="9" s="1"/>
  <c r="Q46" i="8"/>
  <c r="Q56" i="8" s="1"/>
  <c r="I19" i="9" s="1"/>
  <c r="O46" i="8"/>
  <c r="O56" i="8" s="1"/>
  <c r="I18" i="9" s="1"/>
  <c r="E26" i="2" l="1"/>
  <c r="J26" i="2"/>
  <c r="L25" i="2"/>
  <c r="L27" i="2"/>
  <c r="E17" i="2"/>
  <c r="E13" i="2"/>
  <c r="G13" i="2"/>
  <c r="I13" i="2"/>
  <c r="J13" i="2"/>
  <c r="L13" i="2"/>
  <c r="T39" i="1"/>
  <c r="G39" i="1"/>
  <c r="T135" i="1" l="1"/>
  <c r="R43" i="1"/>
  <c r="R42" i="1"/>
  <c r="R41" i="1"/>
  <c r="R11" i="1"/>
  <c r="M124" i="1"/>
  <c r="T124" i="1" s="1"/>
  <c r="G124" i="1"/>
  <c r="U71" i="1"/>
  <c r="U136" i="1"/>
  <c r="G135" i="1"/>
  <c r="G129" i="1"/>
  <c r="M130" i="1"/>
  <c r="T130" i="1" s="1"/>
  <c r="M129" i="1"/>
  <c r="T129" i="1" s="1"/>
  <c r="M128" i="1"/>
  <c r="T128" i="1" l="1"/>
  <c r="J18" i="8"/>
  <c r="M87" i="1"/>
  <c r="G87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S22" i="1" s="1"/>
  <c r="T22" i="1" s="1"/>
  <c r="M23" i="1"/>
  <c r="M24" i="1"/>
  <c r="M25" i="1"/>
  <c r="M26" i="1"/>
  <c r="S26" i="1" s="1"/>
  <c r="T26" i="1" s="1"/>
  <c r="M27" i="1"/>
  <c r="S27" i="1" s="1"/>
  <c r="T27" i="1" s="1"/>
  <c r="M28" i="1"/>
  <c r="M29" i="1"/>
  <c r="S29" i="1" s="1"/>
  <c r="T29" i="1" s="1"/>
  <c r="M30" i="1"/>
  <c r="M31" i="1"/>
  <c r="S31" i="1" s="1"/>
  <c r="T31" i="1" s="1"/>
  <c r="M32" i="1"/>
  <c r="M33" i="1"/>
  <c r="S33" i="1" s="1"/>
  <c r="T33" i="1" s="1"/>
  <c r="M34" i="1"/>
  <c r="S34" i="1" s="1"/>
  <c r="T34" i="1" s="1"/>
  <c r="M35" i="1"/>
  <c r="S35" i="1" s="1"/>
  <c r="T35" i="1" s="1"/>
  <c r="M36" i="1"/>
  <c r="S36" i="1" s="1"/>
  <c r="T36" i="1" s="1"/>
  <c r="M37" i="1"/>
  <c r="S37" i="1" s="1"/>
  <c r="T37" i="1" s="1"/>
  <c r="M38" i="1"/>
  <c r="M40" i="1"/>
  <c r="M41" i="1"/>
  <c r="M42" i="1"/>
  <c r="S42" i="1" s="1"/>
  <c r="T42" i="1" s="1"/>
  <c r="M43" i="1"/>
  <c r="S43" i="1" s="1"/>
  <c r="T43" i="1" s="1"/>
  <c r="M44" i="1"/>
  <c r="M45" i="1"/>
  <c r="S45" i="1" s="1"/>
  <c r="T45" i="1" s="1"/>
  <c r="M46" i="1"/>
  <c r="S46" i="1" s="1"/>
  <c r="T46" i="1" s="1"/>
  <c r="M47" i="1"/>
  <c r="S47" i="1" s="1"/>
  <c r="T47" i="1" s="1"/>
  <c r="M48" i="1"/>
  <c r="S48" i="1" s="1"/>
  <c r="T48" i="1" s="1"/>
  <c r="M49" i="1"/>
  <c r="S49" i="1" s="1"/>
  <c r="T49" i="1" s="1"/>
  <c r="M50" i="1"/>
  <c r="S50" i="1" s="1"/>
  <c r="T50" i="1" s="1"/>
  <c r="M51" i="1"/>
  <c r="S51" i="1" s="1"/>
  <c r="T51" i="1" s="1"/>
  <c r="M52" i="1"/>
  <c r="S52" i="1" s="1"/>
  <c r="T52" i="1" s="1"/>
  <c r="M53" i="1"/>
  <c r="S53" i="1" s="1"/>
  <c r="T53" i="1" s="1"/>
  <c r="M54" i="1"/>
  <c r="S54" i="1" s="1"/>
  <c r="T54" i="1" s="1"/>
  <c r="M55" i="1"/>
  <c r="S55" i="1" s="1"/>
  <c r="T55" i="1" s="1"/>
  <c r="M56" i="1"/>
  <c r="S56" i="1" s="1"/>
  <c r="T56" i="1" s="1"/>
  <c r="M57" i="1"/>
  <c r="M58" i="1"/>
  <c r="M59" i="1"/>
  <c r="M60" i="1"/>
  <c r="S60" i="1" s="1"/>
  <c r="T60" i="1" s="1"/>
  <c r="M61" i="1"/>
  <c r="M62" i="1"/>
  <c r="S62" i="1" s="1"/>
  <c r="T62" i="1" s="1"/>
  <c r="M63" i="1"/>
  <c r="M64" i="1"/>
  <c r="S64" i="1" s="1"/>
  <c r="T64" i="1" s="1"/>
  <c r="M65" i="1"/>
  <c r="M66" i="1"/>
  <c r="M67" i="1"/>
  <c r="S67" i="1" s="1"/>
  <c r="T67" i="1" s="1"/>
  <c r="M68" i="1"/>
  <c r="S68" i="1" s="1"/>
  <c r="T68" i="1" s="1"/>
  <c r="M69" i="1"/>
  <c r="M70" i="1"/>
  <c r="M8" i="1"/>
  <c r="M80" i="1"/>
  <c r="G61" i="1"/>
  <c r="M126" i="1"/>
  <c r="T126" i="1" s="1"/>
  <c r="G130" i="1"/>
  <c r="M127" i="1"/>
  <c r="T127" i="1" s="1"/>
  <c r="G127" i="1"/>
  <c r="G126" i="1"/>
  <c r="G128" i="1"/>
  <c r="S44" i="1" l="1"/>
  <c r="T44" i="1" s="1"/>
  <c r="S40" i="1"/>
  <c r="T40" i="1" s="1"/>
  <c r="J17" i="8"/>
  <c r="S23" i="1"/>
  <c r="T23" i="1" s="1"/>
  <c r="H20" i="8"/>
  <c r="Q20" i="8" s="1"/>
  <c r="I11" i="9" s="1"/>
  <c r="S69" i="1"/>
  <c r="T69" i="1" s="1"/>
  <c r="N19" i="8"/>
  <c r="S65" i="1"/>
  <c r="T65" i="1" s="1"/>
  <c r="L16" i="8"/>
  <c r="S61" i="1"/>
  <c r="T61" i="1" s="1"/>
  <c r="K16" i="8"/>
  <c r="S41" i="1"/>
  <c r="T41" i="1" s="1"/>
  <c r="S32" i="1"/>
  <c r="T32" i="1" s="1"/>
  <c r="S28" i="1"/>
  <c r="T28" i="1" s="1"/>
  <c r="S63" i="1"/>
  <c r="T63" i="1" s="1"/>
  <c r="K17" i="8"/>
  <c r="S30" i="1"/>
  <c r="T30" i="1" s="1"/>
  <c r="I18" i="8"/>
  <c r="S70" i="1"/>
  <c r="T70" i="1" s="1"/>
  <c r="P16" i="8"/>
  <c r="S66" i="1"/>
  <c r="T66" i="1" s="1"/>
  <c r="V8" i="1"/>
  <c r="S8" i="1"/>
  <c r="T8" i="1" s="1"/>
  <c r="V59" i="1"/>
  <c r="S59" i="1"/>
  <c r="T59" i="1" s="1"/>
  <c r="V38" i="1"/>
  <c r="S38" i="1"/>
  <c r="T38" i="1" s="1"/>
  <c r="V18" i="1"/>
  <c r="S18" i="1"/>
  <c r="T18" i="1" s="1"/>
  <c r="V14" i="1"/>
  <c r="S14" i="1"/>
  <c r="T14" i="1" s="1"/>
  <c r="V10" i="1"/>
  <c r="S10" i="1"/>
  <c r="T10" i="1" s="1"/>
  <c r="V58" i="1"/>
  <c r="S58" i="1"/>
  <c r="T58" i="1" s="1"/>
  <c r="V25" i="1"/>
  <c r="S25" i="1"/>
  <c r="T25" i="1" s="1"/>
  <c r="V21" i="1"/>
  <c r="S21" i="1"/>
  <c r="T21" i="1" s="1"/>
  <c r="V17" i="1"/>
  <c r="S17" i="1"/>
  <c r="T17" i="1" s="1"/>
  <c r="V13" i="1"/>
  <c r="S13" i="1"/>
  <c r="T13" i="1" s="1"/>
  <c r="V9" i="1"/>
  <c r="S9" i="1"/>
  <c r="T9" i="1" s="1"/>
  <c r="V57" i="1"/>
  <c r="S57" i="1"/>
  <c r="T57" i="1" s="1"/>
  <c r="V24" i="1"/>
  <c r="S24" i="1"/>
  <c r="T24" i="1" s="1"/>
  <c r="V20" i="1"/>
  <c r="S20" i="1"/>
  <c r="T20" i="1" s="1"/>
  <c r="V16" i="1"/>
  <c r="S16" i="1"/>
  <c r="T16" i="1" s="1"/>
  <c r="V12" i="1"/>
  <c r="S12" i="1"/>
  <c r="T12" i="1" s="1"/>
  <c r="V19" i="1"/>
  <c r="S19" i="1"/>
  <c r="T19" i="1" s="1"/>
  <c r="V15" i="1"/>
  <c r="S15" i="1"/>
  <c r="T15" i="1" s="1"/>
  <c r="V11" i="1"/>
  <c r="S11" i="1"/>
  <c r="T11" i="1" s="1"/>
  <c r="T80" i="1"/>
  <c r="V80" i="1"/>
  <c r="T87" i="1"/>
  <c r="V87" i="1"/>
  <c r="M71" i="1"/>
  <c r="G43" i="1"/>
  <c r="G42" i="1"/>
  <c r="G41" i="1"/>
  <c r="M146" i="1" l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J23" i="8" s="1"/>
  <c r="M169" i="1"/>
  <c r="O23" i="8" s="1"/>
  <c r="M145" i="1"/>
  <c r="M81" i="1"/>
  <c r="M82" i="1"/>
  <c r="T82" i="1" s="1"/>
  <c r="M83" i="1"/>
  <c r="M84" i="1"/>
  <c r="M85" i="1"/>
  <c r="M86" i="1"/>
  <c r="M88" i="1"/>
  <c r="M90" i="1"/>
  <c r="M91" i="1"/>
  <c r="M92" i="1"/>
  <c r="M93" i="1"/>
  <c r="H21" i="8" s="1"/>
  <c r="Q21" i="8" s="1"/>
  <c r="I12" i="9" s="1"/>
  <c r="M94" i="1"/>
  <c r="M95" i="1"/>
  <c r="M96" i="1"/>
  <c r="M97" i="1"/>
  <c r="H17" i="8" s="1"/>
  <c r="M98" i="1"/>
  <c r="M99" i="1"/>
  <c r="M100" i="1"/>
  <c r="T100" i="1" s="1"/>
  <c r="M101" i="1"/>
  <c r="T101" i="1" s="1"/>
  <c r="M102" i="1"/>
  <c r="T102" i="1" s="1"/>
  <c r="M103" i="1"/>
  <c r="M104" i="1"/>
  <c r="M105" i="1"/>
  <c r="M106" i="1"/>
  <c r="T106" i="1" s="1"/>
  <c r="M107" i="1"/>
  <c r="T107" i="1" s="1"/>
  <c r="M108" i="1"/>
  <c r="T108" i="1" s="1"/>
  <c r="M109" i="1"/>
  <c r="T109" i="1" s="1"/>
  <c r="M110" i="1"/>
  <c r="T110" i="1" s="1"/>
  <c r="M111" i="1"/>
  <c r="T111" i="1" s="1"/>
  <c r="M112" i="1"/>
  <c r="T112" i="1" s="1"/>
  <c r="M113" i="1"/>
  <c r="T113" i="1" s="1"/>
  <c r="M114" i="1"/>
  <c r="T114" i="1" s="1"/>
  <c r="M115" i="1"/>
  <c r="M116" i="1"/>
  <c r="T116" i="1" s="1"/>
  <c r="M117" i="1"/>
  <c r="T117" i="1" s="1"/>
  <c r="M118" i="1"/>
  <c r="M119" i="1"/>
  <c r="T119" i="1" s="1"/>
  <c r="M120" i="1"/>
  <c r="T120" i="1" s="1"/>
  <c r="M121" i="1"/>
  <c r="M122" i="1"/>
  <c r="M123" i="1"/>
  <c r="M125" i="1"/>
  <c r="M131" i="1"/>
  <c r="M132" i="1"/>
  <c r="T132" i="1" s="1"/>
  <c r="M133" i="1"/>
  <c r="T133" i="1" s="1"/>
  <c r="M134" i="1"/>
  <c r="G133" i="1"/>
  <c r="T131" i="1" l="1"/>
  <c r="J16" i="8"/>
  <c r="I23" i="8"/>
  <c r="H23" i="8"/>
  <c r="Q23" i="8" s="1"/>
  <c r="H18" i="8"/>
  <c r="Q18" i="8" s="1"/>
  <c r="I9" i="9" s="1"/>
  <c r="F16" i="8"/>
  <c r="T88" i="1"/>
  <c r="G17" i="8"/>
  <c r="T134" i="1"/>
  <c r="M16" i="8"/>
  <c r="T125" i="1"/>
  <c r="J19" i="8"/>
  <c r="Q19" i="8" s="1"/>
  <c r="I10" i="9" s="1"/>
  <c r="T115" i="1"/>
  <c r="I16" i="8"/>
  <c r="T118" i="1"/>
  <c r="I17" i="8"/>
  <c r="H16" i="8"/>
  <c r="T121" i="1"/>
  <c r="V121" i="1"/>
  <c r="T97" i="1"/>
  <c r="V97" i="1"/>
  <c r="T93" i="1"/>
  <c r="V93" i="1"/>
  <c r="T83" i="1"/>
  <c r="V83" i="1"/>
  <c r="T92" i="1"/>
  <c r="V92" i="1"/>
  <c r="V82" i="1"/>
  <c r="T103" i="1"/>
  <c r="V103" i="1"/>
  <c r="T95" i="1"/>
  <c r="V95" i="1"/>
  <c r="T91" i="1"/>
  <c r="V91" i="1"/>
  <c r="T81" i="1"/>
  <c r="V81" i="1"/>
  <c r="T105" i="1"/>
  <c r="V105" i="1"/>
  <c r="T104" i="1"/>
  <c r="V104" i="1"/>
  <c r="T96" i="1"/>
  <c r="V96" i="1"/>
  <c r="T86" i="1"/>
  <c r="V86" i="1"/>
  <c r="T123" i="1"/>
  <c r="V123" i="1"/>
  <c r="T99" i="1"/>
  <c r="V99" i="1"/>
  <c r="T85" i="1"/>
  <c r="V85" i="1"/>
  <c r="T122" i="1"/>
  <c r="V122" i="1"/>
  <c r="T98" i="1"/>
  <c r="V98" i="1"/>
  <c r="T94" i="1"/>
  <c r="V94" i="1"/>
  <c r="T90" i="1"/>
  <c r="V90" i="1"/>
  <c r="T84" i="1"/>
  <c r="V84" i="1"/>
  <c r="M136" i="1"/>
  <c r="Y71" i="1"/>
  <c r="X71" i="1"/>
  <c r="S71" i="1"/>
  <c r="T71" i="1"/>
  <c r="R71" i="1"/>
  <c r="G8" i="1"/>
  <c r="Q17" i="8" l="1"/>
  <c r="I8" i="9" s="1"/>
  <c r="Q16" i="8"/>
  <c r="I7" i="9" s="1"/>
  <c r="T136" i="1"/>
  <c r="G80" i="1"/>
  <c r="G81" i="1"/>
  <c r="G82" i="1"/>
  <c r="G83" i="1"/>
  <c r="G84" i="1"/>
  <c r="G85" i="1"/>
  <c r="G86" i="1"/>
  <c r="G88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5" i="1"/>
  <c r="G131" i="1"/>
  <c r="G132" i="1"/>
  <c r="G134" i="1"/>
  <c r="G70" i="1" l="1"/>
  <c r="G146" i="1" l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45" i="1"/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40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2" i="1"/>
  <c r="G63" i="1"/>
  <c r="G64" i="1"/>
  <c r="G65" i="1"/>
  <c r="G66" i="1"/>
  <c r="G67" i="1"/>
  <c r="G68" i="1"/>
  <c r="G69" i="1"/>
  <c r="A182" i="1" l="1"/>
  <c r="A183" i="1" s="1"/>
  <c r="A146" i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L26" i="2"/>
  <c r="J25" i="2"/>
  <c r="I25" i="2"/>
  <c r="G25" i="2"/>
  <c r="J24" i="2"/>
  <c r="I24" i="2"/>
  <c r="I26" i="2" s="1"/>
  <c r="G24" i="2"/>
  <c r="G26" i="2" s="1"/>
  <c r="E21" i="2"/>
  <c r="J20" i="2"/>
  <c r="J21" i="2" s="1"/>
  <c r="J16" i="2"/>
  <c r="J17" i="2" s="1"/>
  <c r="I20" i="2"/>
  <c r="I21" i="2" s="1"/>
  <c r="G20" i="2"/>
  <c r="G21" i="2" s="1"/>
  <c r="I16" i="2"/>
  <c r="I17" i="2" s="1"/>
  <c r="G16" i="2"/>
  <c r="G17" i="2" s="1"/>
  <c r="I11" i="2"/>
  <c r="G11" i="2"/>
  <c r="E10" i="2"/>
  <c r="L10" i="2" s="1"/>
  <c r="J9" i="2" l="1"/>
  <c r="J11" i="2"/>
  <c r="I10" i="2"/>
  <c r="G10" i="2"/>
  <c r="G9" i="2"/>
  <c r="G27" i="2" s="1"/>
  <c r="I9" i="2"/>
  <c r="J27" i="2" l="1"/>
  <c r="I27" i="2"/>
  <c r="A81" i="1" l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82" i="1" l="1"/>
  <c r="A83" i="1" s="1"/>
  <c r="A84" i="1" s="1"/>
  <c r="A85" i="1" s="1"/>
  <c r="A86" i="1" s="1"/>
  <c r="A87" i="1" s="1"/>
  <c r="A88" i="1" s="1"/>
  <c r="A25" i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G222" i="1"/>
  <c r="G220" i="1"/>
  <c r="G219" i="1"/>
  <c r="G218" i="1"/>
  <c r="G217" i="1"/>
  <c r="G216" i="1"/>
  <c r="G215" i="1"/>
  <c r="G211" i="1"/>
  <c r="G209" i="1"/>
  <c r="J184" i="1"/>
  <c r="H184" i="1"/>
  <c r="G214" i="1"/>
  <c r="G213" i="1"/>
  <c r="G223" i="1"/>
  <c r="G221" i="1"/>
  <c r="A89" i="1" l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39" i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G212" i="1"/>
  <c r="M170" i="1"/>
  <c r="L37" i="9"/>
  <c r="L36" i="9"/>
</calcChain>
</file>

<file path=xl/sharedStrings.xml><?xml version="1.0" encoding="utf-8"?>
<sst xmlns="http://schemas.openxmlformats.org/spreadsheetml/2006/main" count="2936" uniqueCount="971">
  <si>
    <t>Tabel 9. Rekonstrueeritavate, ehitatavate, uuendatavate ja likvideeritavate truupide tööde mahud</t>
  </si>
  <si>
    <t>Tabel 9A. Rekonstrueeritavad truubid</t>
  </si>
  <si>
    <t>Jrk. nr</t>
  </si>
  <si>
    <t>Truubi / Purde
nr</t>
  </si>
  <si>
    <t>Ehitise lühitähis</t>
  </si>
  <si>
    <t>Veejuhtme</t>
  </si>
  <si>
    <t>Projekteerimisnormide kohane arvutuslik</t>
  </si>
  <si>
    <t>Proj. truubi / purde andmed</t>
  </si>
  <si>
    <t xml:space="preserve">Olemasoleva truubi andmed </t>
  </si>
  <si>
    <t>Märkused</t>
  </si>
  <si>
    <t>Nimetus</t>
  </si>
  <si>
    <t xml:space="preserve">Valgala        </t>
  </si>
  <si>
    <t xml:space="preserve">Asukoht pk.nr/ kaugus kr. suudmest     </t>
  </si>
  <si>
    <t>Katte/ mulde laius</t>
  </si>
  <si>
    <t>Katte/mulde kõrgusarv</t>
  </si>
  <si>
    <t>Põhja kõrgusarv sv</t>
  </si>
  <si>
    <t xml:space="preserve">Sügavus teepinnast/muldest   </t>
  </si>
  <si>
    <t>Pikkus</t>
  </si>
  <si>
    <t>Tähis</t>
  </si>
  <si>
    <t>Teekatte taastamine kruus</t>
  </si>
  <si>
    <t>Täiendav kaeve</t>
  </si>
  <si>
    <t>Veejuhtme täide (min. pinnas)</t>
  </si>
  <si>
    <t>Tähis-   post</t>
  </si>
  <si>
    <t>Puitaluse ehitamine</t>
  </si>
  <si>
    <t>Otsaku lammutus</t>
  </si>
  <si>
    <t>Lisakaeve vana truubi eemalda-miseks</t>
  </si>
  <si>
    <t>Äravoolu-moodul</t>
  </si>
  <si>
    <t>Vooluhulk</t>
  </si>
  <si>
    <t>km²</t>
  </si>
  <si>
    <r>
      <t>l/s km</t>
    </r>
    <r>
      <rPr>
        <vertAlign val="superscript"/>
        <sz val="10"/>
        <rFont val="Arial"/>
        <family val="2"/>
      </rPr>
      <t>2</t>
    </r>
  </si>
  <si>
    <t>l/s</t>
  </si>
  <si>
    <t>m</t>
  </si>
  <si>
    <t>m abs</t>
  </si>
  <si>
    <t>m³</t>
  </si>
  <si>
    <t>tk</t>
  </si>
  <si>
    <t>cm</t>
  </si>
  <si>
    <t>A</t>
  </si>
  <si>
    <t>I</t>
  </si>
  <si>
    <t>N</t>
  </si>
  <si>
    <t>P</t>
  </si>
  <si>
    <t>T</t>
  </si>
  <si>
    <t>V</t>
  </si>
  <si>
    <t>EH1</t>
  </si>
  <si>
    <t>EH3</t>
  </si>
  <si>
    <t>Kokku</t>
  </si>
  <si>
    <t>Tabel 9B. Ehitatavad truubid</t>
  </si>
  <si>
    <t>Tabel 9C. Uuendatavad truubid</t>
  </si>
  <si>
    <t>Olemasoleva truubi andmed</t>
  </si>
  <si>
    <t>Uuendamine</t>
  </si>
  <si>
    <t>Uue otsaku ehitamine</t>
  </si>
  <si>
    <t>tüüpotsak</t>
  </si>
  <si>
    <t>Tabel 9D. Likvideeritavad truubid</t>
  </si>
  <si>
    <t>Veejuhtme nimetus</t>
  </si>
  <si>
    <t>Otsaku lammu-tus</t>
  </si>
  <si>
    <t>Lisakaeve truubi eemaldami-seks</t>
  </si>
  <si>
    <t>Tabel 9E. Olemasolevasse seisukorda jäetavad truubid (vajadusel)</t>
  </si>
  <si>
    <t>Märkused:</t>
  </si>
  <si>
    <t>Kõik tabelisse 2a märgitud tööd peavad kajastuma tabelis 9 ja 10</t>
  </si>
  <si>
    <t>Eriprofiiltruupide rajamiseks tuleb projekteerida veetõrje</t>
  </si>
  <si>
    <t>Eriprofiiltruupide rajamiseks tuleb projekteerida ajutiste tõkketammide rajamine ja likvideerimine</t>
  </si>
  <si>
    <t>Tabelisse märgitud andmed on esitatud näiteks ning ei ole seotud eelnevate/järgnevate näidiskoosseisu tabelitega</t>
  </si>
  <si>
    <t>Kontrolltabel ehitiste kaupa</t>
  </si>
  <si>
    <t>Projekti väljatrükile antud tabelit ei lisata</t>
  </si>
  <si>
    <t>Sisesta siia ehitise lühitähis</t>
  </si>
  <si>
    <t>Likvideeritavad truubid</t>
  </si>
  <si>
    <t>Rekonstrueeritavad truubid</t>
  </si>
  <si>
    <t>Ehitatavad truubid</t>
  </si>
  <si>
    <t>Uuendatavad truubid</t>
  </si>
  <si>
    <t>Likvideeritavate truupide pikkused</t>
  </si>
  <si>
    <t>Rek truupide pikkused</t>
  </si>
  <si>
    <t>Ehitatavate truupide pikkused</t>
  </si>
  <si>
    <t>Uuendatavate truupide pikkused</t>
  </si>
  <si>
    <t>Ø40-PT REK</t>
  </si>
  <si>
    <t>Ø50-PT REK</t>
  </si>
  <si>
    <t>Ø60-PT REK</t>
  </si>
  <si>
    <t>Ø100-PT REK</t>
  </si>
  <si>
    <t>Kontrolltabelit täiendatakse vastavalt vajadusele</t>
  </si>
  <si>
    <t>T101</t>
  </si>
  <si>
    <t>T303</t>
  </si>
  <si>
    <t>T606</t>
  </si>
  <si>
    <t>T102</t>
  </si>
  <si>
    <t>T103</t>
  </si>
  <si>
    <t>T104</t>
  </si>
  <si>
    <t>T105</t>
  </si>
  <si>
    <t>T106</t>
  </si>
  <si>
    <t>T107</t>
  </si>
  <si>
    <t>T108</t>
  </si>
  <si>
    <t>T109</t>
  </si>
  <si>
    <t>EH5</t>
  </si>
  <si>
    <t>EH6</t>
  </si>
  <si>
    <t>EH7</t>
  </si>
  <si>
    <t>EH8</t>
  </si>
  <si>
    <t>EH9</t>
  </si>
  <si>
    <t>EH10</t>
  </si>
  <si>
    <t>EH11</t>
  </si>
  <si>
    <t>T501</t>
  </si>
  <si>
    <t>T507</t>
  </si>
  <si>
    <t>T508</t>
  </si>
  <si>
    <t>T509</t>
  </si>
  <si>
    <t>T510</t>
  </si>
  <si>
    <t>T511</t>
  </si>
  <si>
    <t>T512</t>
  </si>
  <si>
    <t>T513</t>
  </si>
  <si>
    <t>T514</t>
  </si>
  <si>
    <t>T515</t>
  </si>
  <si>
    <t>T516</t>
  </si>
  <si>
    <t>T517</t>
  </si>
  <si>
    <t>T518</t>
  </si>
  <si>
    <t>T519</t>
  </si>
  <si>
    <t>T520</t>
  </si>
  <si>
    <t>T301</t>
  </si>
  <si>
    <t>T302</t>
  </si>
  <si>
    <t>T304</t>
  </si>
  <si>
    <t>T305</t>
  </si>
  <si>
    <t>T306</t>
  </si>
  <si>
    <t>T307</t>
  </si>
  <si>
    <t>T308</t>
  </si>
  <si>
    <t>T309</t>
  </si>
  <si>
    <t>T310</t>
  </si>
  <si>
    <t>T311</t>
  </si>
  <si>
    <t>T312</t>
  </si>
  <si>
    <t>T313</t>
  </si>
  <si>
    <t>T314</t>
  </si>
  <si>
    <t>T315</t>
  </si>
  <si>
    <t>T316</t>
  </si>
  <si>
    <t>T317</t>
  </si>
  <si>
    <t>T318</t>
  </si>
  <si>
    <t>T319</t>
  </si>
  <si>
    <t>T320</t>
  </si>
  <si>
    <t>T321</t>
  </si>
  <si>
    <t>T322</t>
  </si>
  <si>
    <t>T323</t>
  </si>
  <si>
    <t>T324</t>
  </si>
  <si>
    <t>T325</t>
  </si>
  <si>
    <t>T326</t>
  </si>
  <si>
    <t>T327</t>
  </si>
  <si>
    <t>T328</t>
  </si>
  <si>
    <t>T329</t>
  </si>
  <si>
    <t>T330</t>
  </si>
  <si>
    <t>T331</t>
  </si>
  <si>
    <t>T332</t>
  </si>
  <si>
    <t>T333</t>
  </si>
  <si>
    <t>T601</t>
  </si>
  <si>
    <t>T602</t>
  </si>
  <si>
    <t>T603</t>
  </si>
  <si>
    <t>T604</t>
  </si>
  <si>
    <t>T605</t>
  </si>
  <si>
    <t>T607</t>
  </si>
  <si>
    <t>T608</t>
  </si>
  <si>
    <t>T609</t>
  </si>
  <si>
    <t>T610</t>
  </si>
  <si>
    <t>T611</t>
  </si>
  <si>
    <t>T612</t>
  </si>
  <si>
    <t>T613</t>
  </si>
  <si>
    <t>T614</t>
  </si>
  <si>
    <t>T615</t>
  </si>
  <si>
    <t>T616</t>
  </si>
  <si>
    <t>T617</t>
  </si>
  <si>
    <t>T619</t>
  </si>
  <si>
    <t>T620</t>
  </si>
  <si>
    <t>T621</t>
  </si>
  <si>
    <t>T701</t>
  </si>
  <si>
    <t>T702</t>
  </si>
  <si>
    <t>T703</t>
  </si>
  <si>
    <t>T704</t>
  </si>
  <si>
    <t>T801</t>
  </si>
  <si>
    <t>T901</t>
  </si>
  <si>
    <t>T902</t>
  </si>
  <si>
    <t>T903</t>
  </si>
  <si>
    <t>T1001</t>
  </si>
  <si>
    <t>T1101</t>
  </si>
  <si>
    <t>T110</t>
  </si>
  <si>
    <t>T111</t>
  </si>
  <si>
    <t>T112</t>
  </si>
  <si>
    <t>T113</t>
  </si>
  <si>
    <t>T114</t>
  </si>
  <si>
    <t>T115</t>
  </si>
  <si>
    <t>T334</t>
  </si>
  <si>
    <t>T201</t>
  </si>
  <si>
    <t>T335</t>
  </si>
  <si>
    <t>T336</t>
  </si>
  <si>
    <t>T337</t>
  </si>
  <si>
    <t>T338</t>
  </si>
  <si>
    <t>T339</t>
  </si>
  <si>
    <t>T340</t>
  </si>
  <si>
    <t>T341</t>
  </si>
  <si>
    <t>T342</t>
  </si>
  <si>
    <t>T343</t>
  </si>
  <si>
    <t>T345</t>
  </si>
  <si>
    <t>T346</t>
  </si>
  <si>
    <t>T347</t>
  </si>
  <si>
    <t>T348</t>
  </si>
  <si>
    <t>T349</t>
  </si>
  <si>
    <t>T350</t>
  </si>
  <si>
    <t>T351</t>
  </si>
  <si>
    <t>T352</t>
  </si>
  <si>
    <t>T353</t>
  </si>
  <si>
    <t>T354</t>
  </si>
  <si>
    <t>T355</t>
  </si>
  <si>
    <t>T356</t>
  </si>
  <si>
    <t>T357</t>
  </si>
  <si>
    <t>T358</t>
  </si>
  <si>
    <t>T359</t>
  </si>
  <si>
    <t>T360</t>
  </si>
  <si>
    <t>T521</t>
  </si>
  <si>
    <t>T522</t>
  </si>
  <si>
    <t>T523</t>
  </si>
  <si>
    <t>T524</t>
  </si>
  <si>
    <t>T525</t>
  </si>
  <si>
    <t>T526</t>
  </si>
  <si>
    <t>T527</t>
  </si>
  <si>
    <t>T528</t>
  </si>
  <si>
    <t>T622</t>
  </si>
  <si>
    <t>T623</t>
  </si>
  <si>
    <t>T624</t>
  </si>
  <si>
    <t>T625</t>
  </si>
  <si>
    <t>T904</t>
  </si>
  <si>
    <t xml:space="preserve">Tee lõikude parameetrid                                                      </t>
  </si>
  <si>
    <t>Ristprofiili number</t>
  </si>
  <si>
    <t>Piketivahemik</t>
  </si>
  <si>
    <t>Lõigu pikkus       m</t>
  </si>
  <si>
    <t>Kruus fr 0-32 mm,    Pos 6</t>
  </si>
  <si>
    <t>Geotekstiil (b=5,0m)                               NGS 4          m²</t>
  </si>
  <si>
    <t>(tee pealtlaius - katendi kihi paksused - geosünteet)</t>
  </si>
  <si>
    <t>m³/m</t>
  </si>
  <si>
    <t>Kogus           m³</t>
  </si>
  <si>
    <t xml:space="preserve"> 4,5-10-20-G        </t>
  </si>
  <si>
    <t>Mahasõidukoht</t>
  </si>
  <si>
    <t>EH 6: Kõksi - Tammelaane - Villemuse tee</t>
  </si>
  <si>
    <t>RP62</t>
  </si>
  <si>
    <t>RP61</t>
  </si>
  <si>
    <t>Mulde ehitamine</t>
  </si>
  <si>
    <t>30+70 - 31+12</t>
  </si>
  <si>
    <t>KOKKU:</t>
  </si>
  <si>
    <t xml:space="preserve">Kruus fr 0-63 mm,                 Pos 3 </t>
  </si>
  <si>
    <t xml:space="preserve"> 7-10-20-G        </t>
  </si>
  <si>
    <t>EH 7: 2. Kõksi tee</t>
  </si>
  <si>
    <t>RP71</t>
  </si>
  <si>
    <t>EH 8: Kõksi tee</t>
  </si>
  <si>
    <t>EH 9: Tammelaane tee</t>
  </si>
  <si>
    <t>RP81</t>
  </si>
  <si>
    <t>RP91</t>
  </si>
  <si>
    <t>KÕIK KOKKU:</t>
  </si>
  <si>
    <t xml:space="preserve"> 4,5-10-20-G-30        </t>
  </si>
  <si>
    <t>RP92</t>
  </si>
  <si>
    <t>T1203</t>
  </si>
  <si>
    <t>EH12</t>
  </si>
  <si>
    <t>MAO</t>
  </si>
  <si>
    <t>MAOK</t>
  </si>
  <si>
    <t>EH2</t>
  </si>
  <si>
    <t>KOK</t>
  </si>
  <si>
    <t>347-A</t>
  </si>
  <si>
    <t>363-B</t>
  </si>
  <si>
    <t>2x100</t>
  </si>
  <si>
    <t>T626</t>
  </si>
  <si>
    <t>601A</t>
  </si>
  <si>
    <t>T601A</t>
  </si>
  <si>
    <t>T602A</t>
  </si>
  <si>
    <t>T605A</t>
  </si>
  <si>
    <t>T627</t>
  </si>
  <si>
    <t>T628</t>
  </si>
  <si>
    <t>T629</t>
  </si>
  <si>
    <t>T630</t>
  </si>
  <si>
    <t>Pk6+24</t>
  </si>
  <si>
    <t>Pk1+38</t>
  </si>
  <si>
    <t>Pk0+18</t>
  </si>
  <si>
    <t>Pk2+63</t>
  </si>
  <si>
    <t>Pk5+40</t>
  </si>
  <si>
    <t>Pk5+34</t>
  </si>
  <si>
    <t>Pk9+11</t>
  </si>
  <si>
    <t>Pk8+95</t>
  </si>
  <si>
    <t>Pk12+75</t>
  </si>
  <si>
    <t>Pk16+45</t>
  </si>
  <si>
    <t>Pk20+06</t>
  </si>
  <si>
    <t>Pk23+75</t>
  </si>
  <si>
    <t>Pk23+68</t>
  </si>
  <si>
    <t>Pk33+85</t>
  </si>
  <si>
    <t>Pk0+10</t>
  </si>
  <si>
    <t>Pk44+81</t>
  </si>
  <si>
    <t>Pk52+74</t>
  </si>
  <si>
    <t>Pk52+80</t>
  </si>
  <si>
    <t>Pk54+71</t>
  </si>
  <si>
    <t>Pk60+10</t>
  </si>
  <si>
    <t>Pk3+00</t>
  </si>
  <si>
    <t>Pk6+64</t>
  </si>
  <si>
    <t>Pk10+32</t>
  </si>
  <si>
    <t>Pk10+43</t>
  </si>
  <si>
    <t>Pk3+78</t>
  </si>
  <si>
    <t>Pk3+71</t>
  </si>
  <si>
    <t>Pk1+85</t>
  </si>
  <si>
    <t>Pk32+23</t>
  </si>
  <si>
    <t>Pk0+23</t>
  </si>
  <si>
    <t>Pk2+57</t>
  </si>
  <si>
    <t>Pk12+68</t>
  </si>
  <si>
    <t>Pk16+35</t>
  </si>
  <si>
    <t>Pk19+99</t>
  </si>
  <si>
    <t>Pk27+46</t>
  </si>
  <si>
    <t>Pk33+92</t>
  </si>
  <si>
    <t>Pk40+44</t>
  </si>
  <si>
    <t>T1002</t>
  </si>
  <si>
    <t>Pk1+10</t>
  </si>
  <si>
    <t>T529</t>
  </si>
  <si>
    <t>557A</t>
  </si>
  <si>
    <t>50B6</t>
  </si>
  <si>
    <t>50B8</t>
  </si>
  <si>
    <t>100B6</t>
  </si>
  <si>
    <t>50B10</t>
  </si>
  <si>
    <t>100B10</t>
  </si>
  <si>
    <t>50B10Kap</t>
  </si>
  <si>
    <t>5B10Kap</t>
  </si>
  <si>
    <t>40P10KOK</t>
  </si>
  <si>
    <t>40P8KOK</t>
  </si>
  <si>
    <t>50P12KOK</t>
  </si>
  <si>
    <t>50B11Kap</t>
  </si>
  <si>
    <t>50P8</t>
  </si>
  <si>
    <t>50P7</t>
  </si>
  <si>
    <t>50P12</t>
  </si>
  <si>
    <t>50P10</t>
  </si>
  <si>
    <t>60P12</t>
  </si>
  <si>
    <t>100B12</t>
  </si>
  <si>
    <t>80T8</t>
  </si>
  <si>
    <t>80T12</t>
  </si>
  <si>
    <t>T530</t>
  </si>
  <si>
    <t>T531</t>
  </si>
  <si>
    <t>Pk0+20</t>
  </si>
  <si>
    <t>0+00 - 0+46</t>
  </si>
  <si>
    <t>0+46 - 30+70</t>
  </si>
  <si>
    <t>59+72 - 60+10</t>
  </si>
  <si>
    <t>31+12 - 59+72</t>
  </si>
  <si>
    <t>Tüüp M5</t>
  </si>
  <si>
    <t>0+00 - 0+15</t>
  </si>
  <si>
    <t>0+15 - 6+17</t>
  </si>
  <si>
    <t>6+17 - 7+65</t>
  </si>
  <si>
    <t>0+15 - 0+94</t>
  </si>
  <si>
    <t>Tüüp M6</t>
  </si>
  <si>
    <t>0+15 - 13+76</t>
  </si>
  <si>
    <t>Tabel 4. Rekonstrueeritavate maaparandusehitiste üldandmed</t>
  </si>
  <si>
    <t>Ehitise lühi-tähis</t>
  </si>
  <si>
    <t>Maaparandus-süsteemi kood</t>
  </si>
  <si>
    <t>Maaparandusehitise</t>
  </si>
  <si>
    <t>kood</t>
  </si>
  <si>
    <t>nimetus</t>
  </si>
  <si>
    <t>rek pindala (ha)</t>
  </si>
  <si>
    <t>rek tee (km)</t>
  </si>
  <si>
    <t>Kokku:</t>
  </si>
  <si>
    <t>004</t>
  </si>
  <si>
    <t>Villemi-Kõksi(TP-569)</t>
  </si>
  <si>
    <t>003</t>
  </si>
  <si>
    <t>HELINAMETSA</t>
  </si>
  <si>
    <t>001</t>
  </si>
  <si>
    <t>002</t>
  </si>
  <si>
    <t>102</t>
  </si>
  <si>
    <t>Kõksi - Tammelaane - Villemuse tee</t>
  </si>
  <si>
    <t>2.Kõksi tee</t>
  </si>
  <si>
    <t>Kõksi tee</t>
  </si>
  <si>
    <t>Tammelaane tee</t>
  </si>
  <si>
    <t>NAELA</t>
  </si>
  <si>
    <t>KALMETU</t>
  </si>
  <si>
    <t>Uurimistöö</t>
  </si>
  <si>
    <t>mõõt-ühik</t>
  </si>
  <si>
    <t>tegemise algus- ja lõppkuupäev</t>
  </si>
  <si>
    <t>tegija nimi</t>
  </si>
  <si>
    <t>sealhulgas</t>
  </si>
  <si>
    <t>kokku</t>
  </si>
  <si>
    <t>EH 1</t>
  </si>
  <si>
    <t>EH 3</t>
  </si>
  <si>
    <t>EH 4</t>
  </si>
  <si>
    <t>EH 5</t>
  </si>
  <si>
    <t>EH 6</t>
  </si>
  <si>
    <t>EH 7</t>
  </si>
  <si>
    <t>EH 8</t>
  </si>
  <si>
    <t>EH 9</t>
  </si>
  <si>
    <t>EH 10</t>
  </si>
  <si>
    <t>EH 11</t>
  </si>
  <si>
    <t>EH 12</t>
  </si>
  <si>
    <t>Maaparandussüsteemide tehnilise seisukorra uurimine ning vajalike mõõdistustööde
teostamine.</t>
  </si>
  <si>
    <t>ha</t>
  </si>
  <si>
    <t>13.04.23-07.07.23</t>
  </si>
  <si>
    <t>M.Elmaste ja L.Petrutis</t>
  </si>
  <si>
    <t>Maaparandussüsteemide eesvoolude tehnilise seisukorra uurimine ning vajalike
mõõdistustööde teostamine.</t>
  </si>
  <si>
    <t>km</t>
  </si>
  <si>
    <t>Kultuurtehnilised uurimistööd eesvoolude, kraavide ja teede trassidel ning
keskkonnakaitserajatistel.</t>
  </si>
  <si>
    <t>objekt</t>
  </si>
  <si>
    <t>Truupide rekonstrueerimise ja ehitamisega seotud uurimistööd</t>
  </si>
  <si>
    <t>Maaparandussüsteemi teenindava tee rekonstrueerimiseks vajalikud uurimistööd
(pinnase uurimistööd, topogeodeetilised uurimistööd)</t>
  </si>
  <si>
    <t>Mahasõidukohtade rekonstrueerimiseks ja ehitamiseks
vajalikud uurimistööd.</t>
  </si>
  <si>
    <t>Tagasipööramiskohtade rekonstrueerimiseks ja ehitamiseks
vajalikud uurimistööd.</t>
  </si>
  <si>
    <t>Uute teekraavide või nõvade rajamise vajaduse ja asukohtade uurimistööd</t>
  </si>
  <si>
    <t>Tabel 5. Uurimistööde loetelu</t>
  </si>
  <si>
    <t>Reeperi</t>
  </si>
  <si>
    <t>number</t>
  </si>
  <si>
    <t>klass</t>
  </si>
  <si>
    <t>kirjeldus</t>
  </si>
  <si>
    <t>asukoha</t>
  </si>
  <si>
    <t>kõrgusarv m</t>
  </si>
  <si>
    <t>koordinaadid</t>
  </si>
  <si>
    <t>x</t>
  </si>
  <si>
    <t>y</t>
  </si>
  <si>
    <t>Aj 1</t>
  </si>
  <si>
    <t>ajutine</t>
  </si>
  <si>
    <t>raudvarras</t>
  </si>
  <si>
    <t xml:space="preserve">Raudvarras kase tüves, Kõksi-Tammelaane-Villemuse teest paremal, vahemikus pk 2+00 kuni 2+63. </t>
  </si>
  <si>
    <t>Aj 2</t>
  </si>
  <si>
    <t xml:space="preserve">Raudvarras kuuse tüves, Kõksi-Tammelaane-Villemuse teest vasakul, vahemikus pk 16+45 kuni 17+00. </t>
  </si>
  <si>
    <t>Aj 3</t>
  </si>
  <si>
    <t xml:space="preserve">Raudvarras männi tüves, Kõksi-Tammelaane-Villemuse teest vasakul, vahemikus pk 30+00 kuni 30+91. </t>
  </si>
  <si>
    <t>Aj 4</t>
  </si>
  <si>
    <t xml:space="preserve">Raudvarras kase tüves, Kõksi-Tammelaane-Villemuse teest paremal, vahemikus pk 44+85 kuni 45+85. </t>
  </si>
  <si>
    <t>Aj 5</t>
  </si>
  <si>
    <t xml:space="preserve">Raudvarras kase tüves, Kõksi-Tammelaane-Villemuse teest paremal, vahemikus pk 58+87 kuni 59+65. </t>
  </si>
  <si>
    <t>Aj 6</t>
  </si>
  <si>
    <t>Raudvarras kase tüves, Tammelaane teest vasakul piketi 6+73 juures.</t>
  </si>
  <si>
    <t>Aj 7</t>
  </si>
  <si>
    <t xml:space="preserve">Raudvarras kase tüves, 2. Kõksi teest paremal, vahemikus pk 58+87 kuni 59+65. </t>
  </si>
  <si>
    <t>Aj 8</t>
  </si>
  <si>
    <t xml:space="preserve">Raudvarras männi tüves, eesvoolust Naela vasakul, vahemikus pk 3+00 kuni 3+78. </t>
  </si>
  <si>
    <t>Aj 9</t>
  </si>
  <si>
    <t>Eesvoolu Kalmetu truubi ots väljavoolul, pk 1+38</t>
  </si>
  <si>
    <t>Aj 10</t>
  </si>
  <si>
    <t>Eesvoolu Villemi-Kõksi (TP-569) truubi ots väljavoolul, pk 6+24</t>
  </si>
  <si>
    <t>Aj 11</t>
  </si>
  <si>
    <t>Eesvoolu Riuma truubi ots väljavoolul, pk 21+39</t>
  </si>
  <si>
    <t>Aj 12</t>
  </si>
  <si>
    <t xml:space="preserve">Raudvarras kase tüves, eesvoolust Riuma paremal, vahemikus pk 5+00 kuni 5+90. </t>
  </si>
  <si>
    <t>Aj 13</t>
  </si>
  <si>
    <t xml:space="preserve">Raudvarras kase tüves, eesvoolust Riuma vasakul, vahemikus pk 31+38 kuni 32+23. </t>
  </si>
  <si>
    <t>Kõrgusvõrk</t>
  </si>
  <si>
    <t xml:space="preserve">Tüüp 9316 </t>
  </si>
  <si>
    <t>Viljandi vald, Valma küla, Vana-Saba talu. Elamu-kõrval-hoone kirdenurga joores, hoone nurgast 0,70 m.</t>
  </si>
  <si>
    <t xml:space="preserve">Märkused: </t>
  </si>
  <si>
    <t>Koordinaadid esitatakse tasapinnaliste ristkoordinaatide süsteemis L-Est97</t>
  </si>
  <si>
    <t>Kõrgusarvud esitatakse EH2000 kõrgussüsteemis</t>
  </si>
  <si>
    <t>Tabel 6. Reeperite loetelu</t>
  </si>
  <si>
    <t>Tabel 7. Teede rajatised</t>
  </si>
  <si>
    <t>Tee rajatis</t>
  </si>
  <si>
    <t>MM - maantee mahasõidukoht</t>
  </si>
  <si>
    <t>MS - möödasõidukoht</t>
  </si>
  <si>
    <t>TP-T - T-kujuline tagasipööramise koht</t>
  </si>
  <si>
    <t>TP-S - silmusekujuline tagasipööramise koht</t>
  </si>
  <si>
    <t>M5 - mahasõidukoht (A=4,5m, R=15m L= 15m)</t>
  </si>
  <si>
    <t>M3 - mahasõidukoht (A=4,5 m, R=10 m, L=10m)</t>
  </si>
  <si>
    <t>M6 - mahasõidukoht (A=4,5m, R1=15m, R2=5m, L=15m)</t>
  </si>
  <si>
    <t>T202</t>
  </si>
  <si>
    <t>Ehitustöö kirjeldus</t>
  </si>
  <si>
    <t>Mõõtühik</t>
  </si>
  <si>
    <t>Maht</t>
  </si>
  <si>
    <t>Väljatõstetavad torud, otsakud (otsakute lammutus)</t>
  </si>
  <si>
    <r>
      <t>m</t>
    </r>
    <r>
      <rPr>
        <vertAlign val="superscript"/>
        <sz val="10"/>
        <color theme="1"/>
        <rFont val="Arial"/>
        <family val="2"/>
      </rPr>
      <t>3</t>
    </r>
  </si>
  <si>
    <t>Truupide kogused</t>
  </si>
  <si>
    <t>Projekteeritud truupide kogupikkused</t>
  </si>
  <si>
    <t>Settest puhastatavad truubid</t>
  </si>
  <si>
    <t>Truubi otsakud</t>
  </si>
  <si>
    <t>Ø50 MAO. Truubi mattotsak</t>
  </si>
  <si>
    <t>2 otsakut</t>
  </si>
  <si>
    <t>Ø50 MAOK. Truubi mattotsak kivikindlustusega</t>
  </si>
  <si>
    <t>Ø60 MAOK. Truubi mattotsak kivikindlustusega</t>
  </si>
  <si>
    <t>Ø100 KOK. Truubi kiviotsak kivikindlustusega</t>
  </si>
  <si>
    <t>Muud mahud</t>
  </si>
  <si>
    <t>Tähispost</t>
  </si>
  <si>
    <t>Teekatte taastamine (kruus)</t>
  </si>
  <si>
    <t>Veeviimarid</t>
  </si>
  <si>
    <t>plasttoru Ø30 cm, L= 8 m</t>
  </si>
  <si>
    <t>Materjali kulu otsakutele ja veeviimaritele</t>
  </si>
  <si>
    <t>Truubi otsaku</t>
  </si>
  <si>
    <t>truupide</t>
  </si>
  <si>
    <t>kivid Ø15-30 cm</t>
  </si>
  <si>
    <t>huumusmuld</t>
  </si>
  <si>
    <t>erosioonitõkkematt</t>
  </si>
  <si>
    <t>heinaseeme</t>
  </si>
  <si>
    <t>puuvaiad</t>
  </si>
  <si>
    <t>tüüp</t>
  </si>
  <si>
    <t>arv (tk)</t>
  </si>
  <si>
    <t>m³/tk</t>
  </si>
  <si>
    <t>m²/tk</t>
  </si>
  <si>
    <t>m²</t>
  </si>
  <si>
    <t>kg/tk</t>
  </si>
  <si>
    <t>kg</t>
  </si>
  <si>
    <t>tk/tk</t>
  </si>
  <si>
    <t>Ø50MAO</t>
  </si>
  <si>
    <t>Ø50MAOK</t>
  </si>
  <si>
    <t>Ø60MAOK</t>
  </si>
  <si>
    <t>Ø50KOK</t>
  </si>
  <si>
    <t>Ø60KOK</t>
  </si>
  <si>
    <t>Ø80KOK</t>
  </si>
  <si>
    <t>Ø100KOK</t>
  </si>
  <si>
    <t>Ø140KOK</t>
  </si>
  <si>
    <t>Veeviimar VV-300</t>
  </si>
  <si>
    <t>75B8</t>
  </si>
  <si>
    <t>plasttruup Ø50 cm, tüüp 50P, SN8</t>
  </si>
  <si>
    <t>plasttruup Ø60 cm, tüüp 60P, SN8</t>
  </si>
  <si>
    <t>plasttruup Ø100 cm, tüüp 100P, SN8</t>
  </si>
  <si>
    <t>plasttruup Ø140 cm, tüüp 140P, SN8</t>
  </si>
  <si>
    <t>plasttruup Ø150 cm, tüüp 150P, SN8</t>
  </si>
  <si>
    <t>plasttruup Ø80 cm, tüüp 80P, SN8</t>
  </si>
  <si>
    <t>plasttruup Ø40-150, setet kuni 1/2 Ø</t>
  </si>
  <si>
    <t>Ø50 KOK. Truubi mattotsak kivikindlustusega</t>
  </si>
  <si>
    <t>Ø140 KOK. Truubi kiviotsak kivikindlustusega</t>
  </si>
  <si>
    <t>Ø150 KOK. Truubi kiviotsak kivikindlustusega</t>
  </si>
  <si>
    <t>Ø80 KOK. Truubi mattotsak kivikindlustusega</t>
  </si>
  <si>
    <t>Ø60 KOK. Truubi mattotsak kivikindlustusega</t>
  </si>
  <si>
    <t>Puitalus</t>
  </si>
  <si>
    <t>Ø150KOK</t>
  </si>
  <si>
    <t>Mahasõidukoht tüüp MM</t>
  </si>
  <si>
    <t>Ø 50…100 (r/b, plast)</t>
  </si>
  <si>
    <t>otsakute lammutus (r/b, maok)</t>
  </si>
  <si>
    <t>Täiendav kaeve ja lisakaeve truubi eemaldamiseks</t>
  </si>
  <si>
    <t>Tabel 3. Vajalike ehitusmaterjalide ja -toodete andmed</t>
  </si>
  <si>
    <t>Ehitusmaterjali või -toote nimetus</t>
  </si>
  <si>
    <t>Kogus</t>
  </si>
  <si>
    <t>Truupide torustikud ja otsakud, veeviimarid ja kindlustised</t>
  </si>
  <si>
    <t>Kivid Ø 15-30 cm</t>
  </si>
  <si>
    <t>Geotekstiil, 2 profiil (NGS 2)</t>
  </si>
  <si>
    <r>
      <t>m</t>
    </r>
    <r>
      <rPr>
        <vertAlign val="superscript"/>
        <sz val="10"/>
        <color theme="1"/>
        <rFont val="Arial"/>
        <family val="2"/>
      </rPr>
      <t>2</t>
    </r>
  </si>
  <si>
    <t>Huumusmuld</t>
  </si>
  <si>
    <t>Erosioonitõkkematt, džuudikiust võrguga</t>
  </si>
  <si>
    <t>Heinaseeme</t>
  </si>
  <si>
    <t>Puuvaiad</t>
  </si>
  <si>
    <t>tm</t>
  </si>
  <si>
    <t>Teede ja teede rajatiste materjalid</t>
  </si>
  <si>
    <t>Toote või materjali nimetus</t>
  </si>
  <si>
    <t>Kogus kokku</t>
  </si>
  <si>
    <t>Kruus fr 0/32 (pos 6)</t>
  </si>
  <si>
    <t>Kruus fr 0/63 mm (pos 3)</t>
  </si>
  <si>
    <t>Geotekstiil, 4 profiil (NGS 4), mitte kootud, laius 5,0 m</t>
  </si>
  <si>
    <t>Liiklusmärk nr 221 "Anna teed" komplekt</t>
  </si>
  <si>
    <t>Puistematerjali mahud on profiilsed</t>
  </si>
  <si>
    <t>Geosünteetidel ei ole arvestatud ülekattemahte</t>
  </si>
  <si>
    <t>geotekstiil NG2</t>
  </si>
  <si>
    <t>Tabel 8. Kultuurtehniliste tööde ja veejuhtme kaevetööde mahud</t>
  </si>
  <si>
    <t>Keskmine</t>
  </si>
  <si>
    <t>Kaevemaht m3</t>
  </si>
  <si>
    <r>
      <t>Pinnasevalli laialiajamine m</t>
    </r>
    <r>
      <rPr>
        <vertAlign val="superscript"/>
        <sz val="10"/>
        <color theme="1"/>
        <rFont val="Arial"/>
        <family val="2"/>
      </rPr>
      <t>3</t>
    </r>
  </si>
  <si>
    <t>Pinnase paigalda-mine tee-muldesse</t>
  </si>
  <si>
    <t>Puittaimestiku raie ha</t>
  </si>
  <si>
    <t>Kändude</t>
  </si>
  <si>
    <t>Kopra-paisu likvideeri-mine</t>
  </si>
  <si>
    <t>Muu voolutakistuse likvideerimine</t>
  </si>
  <si>
    <t>Lama-puit</t>
  </si>
  <si>
    <t>Vee-viimari rajamine</t>
  </si>
  <si>
    <t>Kvartali nr</t>
  </si>
  <si>
    <t>Liigi tähis</t>
  </si>
  <si>
    <t>Põhja laius</t>
  </si>
  <si>
    <t>Nõlvus-tegur</t>
  </si>
  <si>
    <t>Sügavus</t>
  </si>
  <si>
    <t>Kaeve ristlõige</t>
  </si>
  <si>
    <t>Ekskavaatoriga</t>
  </si>
  <si>
    <t>Käsitsi</t>
  </si>
  <si>
    <t>Võsa Ø=2-8 cm</t>
  </si>
  <si>
    <t>Puistu</t>
  </si>
  <si>
    <t>Üksikute puudega maa-ala</t>
  </si>
  <si>
    <t>Juurimine</t>
  </si>
  <si>
    <t>Ära vedamine</t>
  </si>
  <si>
    <t>Sh pinnasegrupp</t>
  </si>
  <si>
    <t>I-II</t>
  </si>
  <si>
    <t>III</t>
  </si>
  <si>
    <t>Kaevest</t>
  </si>
  <si>
    <t>Vana pinnase-vall</t>
  </si>
  <si>
    <t>Madal       h ≤ 3m (MV)</t>
  </si>
  <si>
    <t xml:space="preserve">Kõrge       h ≥ 3m    (KV) </t>
  </si>
  <si>
    <t>Peen      Ø=8-15cm          (PP)</t>
  </si>
  <si>
    <t>Jäme Ø=15+cm     (JP)</t>
  </si>
  <si>
    <t>RE</t>
  </si>
  <si>
    <t>RT</t>
  </si>
  <si>
    <t>ET</t>
  </si>
  <si>
    <t>TEETRASS</t>
  </si>
  <si>
    <t>KKR</t>
  </si>
  <si>
    <t>RK</t>
  </si>
  <si>
    <t>EK</t>
  </si>
  <si>
    <t>kõik kokku</t>
  </si>
  <si>
    <t>Joonisele kantud kihtide nimetused peavad kattuma antud tabelisse märgitud liigi tähisega</t>
  </si>
  <si>
    <t>Võsa- ja puittaimestiku määratlemine:</t>
  </si>
  <si>
    <t>Veejuhtme nimetusele ei jäeta tühje lahreid, kui sama kraavi kohta esitatakse andmed kahel real</t>
  </si>
  <si>
    <t>MV</t>
  </si>
  <si>
    <t>madal võsa - puittaimede kõrgus on kuni 3 m, tüve läbimõõt 1,3 m kõrguselt mõõdetuna on 2-8 cm</t>
  </si>
  <si>
    <t>Looduslikku seisukorda jäävat kraavi tabelis ei näita</t>
  </si>
  <si>
    <t>KV</t>
  </si>
  <si>
    <t>kõrge võsa - puittaimede kõrgus on 3 m ja enam, tüve läbimõõt on 1,3 m kõrguselt mõõdetuna 2-8 cm</t>
  </si>
  <si>
    <t>Joonobjekti pikkused märgitakse täisarvuna (1 m)</t>
  </si>
  <si>
    <t>PP</t>
  </si>
  <si>
    <t>peenpuistu - puude tüve läbimõõt 1,3 m kõrguselt mõõdetuna on 8-15 cm, puuvõrade liitus on 30% ja enam</t>
  </si>
  <si>
    <r>
      <t>Kraavi keskmine sügavus ja kaeve ristlõige märgitakse täpsusega 0,1 m või m</t>
    </r>
    <r>
      <rPr>
        <vertAlign val="superscript"/>
        <sz val="10"/>
        <color theme="1"/>
        <rFont val="Arial"/>
        <family val="2"/>
      </rPr>
      <t>2</t>
    </r>
  </si>
  <si>
    <t>JP</t>
  </si>
  <si>
    <t>jämepuistu - puude tüve läbimõõt 1,3 m kõrguselt mõõdetuna on 15 cm ja enam, puuvõrade liitus on 30% ja enam</t>
  </si>
  <si>
    <r>
      <t>Kaeve- ja pinnasemahud märgitakse täisarvuna (1 m</t>
    </r>
    <r>
      <rPr>
        <vertAlign val="super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>)</t>
    </r>
  </si>
  <si>
    <t>üksikutega puudega maa-alal on puuvõrade liitus kuni 30%</t>
  </si>
  <si>
    <t>Raie- ja juurimisemahud esitatakse täpsusega 0,01 ha</t>
  </si>
  <si>
    <t>Pinnasegrupid (tabeli päisesse lisada vastavalt vajadusele):</t>
  </si>
  <si>
    <t>Pinnasegrupid vastavalt Eesti Standardile EVS:885:2005, lk 21</t>
  </si>
  <si>
    <t>Liigitähiste selgitus:</t>
  </si>
  <si>
    <t>kasvupinnas, pindmine pinnasekiht, mis anorgaanilise ainese nt liiva-, kruusa-, saviliiva- ja savisegudekõrval sisaldab huumust ja elusosa, sh turvast</t>
  </si>
  <si>
    <t>rekonstrueeritav eesvool</t>
  </si>
  <si>
    <t>rekonstrueeritav teekraav</t>
  </si>
  <si>
    <t>II</t>
  </si>
  <si>
    <t>voolav pinnas, vedelatest kuni taignaliste omadustega, veega küllastunud savipinnas, peenliivad ja möllid allpool pinnasevee taset</t>
  </si>
  <si>
    <t>UE</t>
  </si>
  <si>
    <t>uuendatav eesvool</t>
  </si>
  <si>
    <t>ehitatav teekraav</t>
  </si>
  <si>
    <t>kergelt kaevatav pinnas, mitte sidusad ja nõrgalt sidusad liivad, kruusad, liiva-kruusasegud, möllikas ja savikas liiv ning kruus</t>
  </si>
  <si>
    <t>HE</t>
  </si>
  <si>
    <t>hooldatav eesvool</t>
  </si>
  <si>
    <t>UT</t>
  </si>
  <si>
    <t>uuendatav teekraav</t>
  </si>
  <si>
    <t>IV</t>
  </si>
  <si>
    <t>keskmise raskusega kaevatav pinnas, mölline ja savine liiv ning kruus, möll ja savi, veeriste sisaldus vähem kui 30%</t>
  </si>
  <si>
    <t>EE</t>
  </si>
  <si>
    <t>ehitatav eesvool</t>
  </si>
  <si>
    <t>HT</t>
  </si>
  <si>
    <t>hooldatav teekraav</t>
  </si>
  <si>
    <t>raskelt kaevatav pinnas, sama, kui III ja IV klass, veeriste ja rahnude sisaldus enam kui 30%</t>
  </si>
  <si>
    <t>rekonstrueeritav kuivenduskraav</t>
  </si>
  <si>
    <t>ehitatav nõva</t>
  </si>
  <si>
    <t>VI</t>
  </si>
  <si>
    <t>raskelt kaevatav kalju- ja sellega võrreldav pinnas, tugevalt lõhenenud, rabe, murenenud, pehme või porsunud kaljupinnas, ka nendega võrreldavad kõvad või kõvastunud pinnased</t>
  </si>
  <si>
    <t>ehitatav kuivenduskraav</t>
  </si>
  <si>
    <t>teetrassi laiendus (kraavita pool), sh teerajatised</t>
  </si>
  <si>
    <t>VII</t>
  </si>
  <si>
    <t>murenemata kaljupinnas</t>
  </si>
  <si>
    <t>UK</t>
  </si>
  <si>
    <t>uuendatav kuivenduskraav</t>
  </si>
  <si>
    <t>keskonnakaitserajatise raieala</t>
  </si>
  <si>
    <t>Kui tabel paikneb mitmel lehel, tuleb tabeli jätkule lisada päis</t>
  </si>
  <si>
    <t>HK</t>
  </si>
  <si>
    <t>hooldatav kuivenduskraav</t>
  </si>
  <si>
    <t>Veeviimari ehitusmaterjalide kogused märgitakse tabelisse 10</t>
  </si>
  <si>
    <t>Näed kokku väärtusi, mida ehitise kohta soovid kontrollida</t>
  </si>
  <si>
    <t xml:space="preserve">kokku </t>
  </si>
  <si>
    <t>Kõik kokku</t>
  </si>
  <si>
    <t>AI412</t>
  </si>
  <si>
    <t>AI422</t>
  </si>
  <si>
    <t>AI432</t>
  </si>
  <si>
    <t>1:1.5</t>
  </si>
  <si>
    <t>AI412, AI533</t>
  </si>
  <si>
    <t>AI533</t>
  </si>
  <si>
    <t>AI533, AI534</t>
  </si>
  <si>
    <t>AI533, AI532, AI531</t>
  </si>
  <si>
    <t>AI532</t>
  </si>
  <si>
    <t>AI534</t>
  </si>
  <si>
    <t>AI531</t>
  </si>
  <si>
    <t>AI420</t>
  </si>
  <si>
    <t>AI433</t>
  </si>
  <si>
    <t>AI433, AI432</t>
  </si>
  <si>
    <t>AI432, AI422, AI417, AI411, AI403</t>
  </si>
  <si>
    <t>AI422, AI421</t>
  </si>
  <si>
    <t>AI421</t>
  </si>
  <si>
    <t>AI416</t>
  </si>
  <si>
    <t>AI422, AI417</t>
  </si>
  <si>
    <t>AI411</t>
  </si>
  <si>
    <t>AI417, AI416, AI409</t>
  </si>
  <si>
    <t>AI410</t>
  </si>
  <si>
    <t>AI403</t>
  </si>
  <si>
    <t>AI402, AI410, AI401</t>
  </si>
  <si>
    <t>305A</t>
  </si>
  <si>
    <t>AI409. AI401</t>
  </si>
  <si>
    <t>AI409</t>
  </si>
  <si>
    <t>AI401</t>
  </si>
  <si>
    <t>AI402</t>
  </si>
  <si>
    <t>AI394</t>
  </si>
  <si>
    <t>AI403, AI394, AI386, AI383</t>
  </si>
  <si>
    <t>AI386, AI385</t>
  </si>
  <si>
    <t>AI393</t>
  </si>
  <si>
    <t>AI383</t>
  </si>
  <si>
    <t>AI383, AI382</t>
  </si>
  <si>
    <t>AI382</t>
  </si>
  <si>
    <t>347-B</t>
  </si>
  <si>
    <t>347-C</t>
  </si>
  <si>
    <t>AI382, AI384</t>
  </si>
  <si>
    <t>AI384</t>
  </si>
  <si>
    <t>AI384, AI391</t>
  </si>
  <si>
    <t>AI385</t>
  </si>
  <si>
    <t>AI385, AI393, AI400</t>
  </si>
  <si>
    <t>AI400</t>
  </si>
  <si>
    <t>AI384, AI392, AI399</t>
  </si>
  <si>
    <t>AI392</t>
  </si>
  <si>
    <t>AI399</t>
  </si>
  <si>
    <t>AI399, AI400, AI408</t>
  </si>
  <si>
    <t>Ai408</t>
  </si>
  <si>
    <t>AI391</t>
  </si>
  <si>
    <t>AI381, AI380</t>
  </si>
  <si>
    <t>AI381, AI390</t>
  </si>
  <si>
    <t>AI390</t>
  </si>
  <si>
    <t>AI429, AI427</t>
  </si>
  <si>
    <t>AI426, AI427</t>
  </si>
  <si>
    <t>AI426</t>
  </si>
  <si>
    <t>AI426, AI425, AI424</t>
  </si>
  <si>
    <t>AI424</t>
  </si>
  <si>
    <t>AI425</t>
  </si>
  <si>
    <t>AI418</t>
  </si>
  <si>
    <t>AI413</t>
  </si>
  <si>
    <t>AI413, AI406</t>
  </si>
  <si>
    <t>AI413, AI406, AI397</t>
  </si>
  <si>
    <t>AI406</t>
  </si>
  <si>
    <t>AI406, AI405</t>
  </si>
  <si>
    <t>AI405</t>
  </si>
  <si>
    <t>AI405, AI534</t>
  </si>
  <si>
    <t>AI405, AI534, AI396</t>
  </si>
  <si>
    <t>534A</t>
  </si>
  <si>
    <t>AI396. AI534</t>
  </si>
  <si>
    <t>AI396</t>
  </si>
  <si>
    <t>AI389</t>
  </si>
  <si>
    <t>AI389, AI534</t>
  </si>
  <si>
    <t>AI534, AI532</t>
  </si>
  <si>
    <t>AI420, AI419, AI415, AI408</t>
  </si>
  <si>
    <t>AI419</t>
  </si>
  <si>
    <t>AI408</t>
  </si>
  <si>
    <t>AI407</t>
  </si>
  <si>
    <t>AI398</t>
  </si>
  <si>
    <t>AI431</t>
  </si>
  <si>
    <t>AI429</t>
  </si>
  <si>
    <t>AI427, AI426</t>
  </si>
  <si>
    <t>AI427</t>
  </si>
  <si>
    <t>AI397</t>
  </si>
  <si>
    <t>620B</t>
  </si>
  <si>
    <t>AI398, AI399</t>
  </si>
  <si>
    <t>620A</t>
  </si>
  <si>
    <t xml:space="preserve">AI398, AI407, AI415 </t>
  </si>
  <si>
    <t>AI381</t>
  </si>
  <si>
    <t>AI435, AI409</t>
  </si>
  <si>
    <t>Ainult likvideerida koprapaisud</t>
  </si>
  <si>
    <t>Koprapais eesvoolul. Kraavi suudme juures</t>
  </si>
  <si>
    <r>
      <t>m</t>
    </r>
    <r>
      <rPr>
        <vertAlign val="superscript"/>
        <sz val="10"/>
        <color theme="1"/>
        <rFont val="Arial"/>
        <family val="2"/>
        <charset val="186"/>
      </rPr>
      <t>2</t>
    </r>
  </si>
  <si>
    <t>339A</t>
  </si>
  <si>
    <t>340A</t>
  </si>
  <si>
    <t>AI403, AI411</t>
  </si>
  <si>
    <t>534B</t>
  </si>
  <si>
    <t>Tabel 1. Ehitatud või rekonstrueeritud maaparandusehitiste tehnilised andmed</t>
  </si>
  <si>
    <t>Maaparandussüsteemi kood</t>
  </si>
  <si>
    <t>Maaparandusehitise nimetus</t>
  </si>
  <si>
    <t>Maaparandusehitise kood</t>
  </si>
  <si>
    <t>Maaparandusehitise lühitähis</t>
  </si>
  <si>
    <t>Tehniliste andmete nimetus</t>
  </si>
  <si>
    <t>Uue ehitise või lisanduva osa andmed</t>
  </si>
  <si>
    <t>Likvi. osa andmed</t>
  </si>
  <si>
    <t>Rek. osa andmed</t>
  </si>
  <si>
    <t>1. Maaparandussüsteemi maa-ala andmed maaparandusehitise piires</t>
  </si>
  <si>
    <t>Metsamaal paikneva kuivendussüsteemi maa-ala pindala</t>
  </si>
  <si>
    <t>2. Eesvoolude ja kuivenduskraavide ning neil paiknevate rajatiste andmed</t>
  </si>
  <si>
    <t>Kuivenduskraavi pikkus</t>
  </si>
  <si>
    <t>Truupide arv</t>
  </si>
  <si>
    <t>3. Maaparandusehitisi teenindava tee andmed</t>
  </si>
  <si>
    <t>Tee nimetus</t>
  </si>
  <si>
    <t>Tee järk</t>
  </si>
  <si>
    <t>Tee number teeregistris</t>
  </si>
  <si>
    <t>Tee pikkus</t>
  </si>
  <si>
    <t>Teekraavi pikkus</t>
  </si>
  <si>
    <t>Sõiduki mahasõidukohtade arv</t>
  </si>
  <si>
    <t>Sõiduki möödasõidukohtade arv</t>
  </si>
  <si>
    <t>Sõiduki tagasipööramiskohtade arv</t>
  </si>
  <si>
    <t>Teetruupide arv</t>
  </si>
  <si>
    <t>4. Keskkonnakaitserajatiste andmed</t>
  </si>
  <si>
    <t>Settebasseinide arv</t>
  </si>
  <si>
    <t>3101740020081</t>
  </si>
  <si>
    <t>3101740020050</t>
  </si>
  <si>
    <t>3020838000030</t>
  </si>
  <si>
    <t>3101950010010</t>
  </si>
  <si>
    <t>103</t>
  </si>
  <si>
    <t>104</t>
  </si>
  <si>
    <t>RIUMA</t>
  </si>
  <si>
    <t>3020838000040</t>
  </si>
  <si>
    <t xml:space="preserve">EH 1: Villemi-Kõksi(TP-569) </t>
  </si>
  <si>
    <t>EH 10: NAELA</t>
  </si>
  <si>
    <t>8098569</t>
  </si>
  <si>
    <t>4</t>
  </si>
  <si>
    <t>Tabel 2B. Teede rekonstrueerimise- ja ehitustööde koondmahud</t>
  </si>
  <si>
    <t>I.Ettevalmistustööd</t>
  </si>
  <si>
    <t>Tee parameetrite ja -elementide mahamärkimine (telg, servad, kraavide siseservad)</t>
  </si>
  <si>
    <t>Tee rajatiste mahamärkimine</t>
  </si>
  <si>
    <t>II.Mullatööd / teemulde kujundamine</t>
  </si>
  <si>
    <t>Olemasoleva teemulde töötlemine profiili koos teekraede likvideerimisega ning mulde tihendamisega</t>
  </si>
  <si>
    <t>Teemulde ehitamine teekraavide pinnasest, koos tihendamisega</t>
  </si>
  <si>
    <t>III.Kattekonstruktsiooni rajamine</t>
  </si>
  <si>
    <t>IV.Teede rajatised</t>
  </si>
  <si>
    <t>IV. Muud tööd</t>
  </si>
  <si>
    <t>Nõuetekohase teostusmõõdistuse koostamine</t>
  </si>
  <si>
    <t>töö</t>
  </si>
  <si>
    <t>Geotekstiili 4. profiil (NGS 4), mitte kootud kangas, laiusega 5,0-8.0 m, paigaldamine tihendatud ja profileeritud muldkehale</t>
  </si>
  <si>
    <t>Kruusast teealuse ehitamine koos tihendamisega. Kruus fr 0/63 mm. Pos 3, H=20 cm. sh kruus fr 0/63 mm (Pos 3), geomeetriline maht koos hanke, pealelaadimise ja veoga</t>
  </si>
  <si>
    <t>Kruusast teekatte ehitamine koos tihendamisega. Kruus fr 0/32 mm. Pos 6, H=10 cm. sh kruus fr 0/32 mm (Pos 6), geomeetriline maht koos hanke, pealelaadimise ja veoga</t>
  </si>
  <si>
    <r>
      <t>m</t>
    </r>
    <r>
      <rPr>
        <vertAlign val="superscript"/>
        <sz val="10"/>
        <color theme="1"/>
        <rFont val="Arial"/>
        <family val="2"/>
        <charset val="186"/>
      </rPr>
      <t>3</t>
    </r>
  </si>
  <si>
    <t>Mahasõidukoht M3 geotekstiili 4. profiil (NGS 4), mitte kootud kangas, laiusega 5,0 m, paigaldamine tihendatud ja profileeritud muldkehale</t>
  </si>
  <si>
    <t>Mahasõidukoht M3 kruus fr 0/63 mm (Pos 3), geomeetriline maht koos hanke, pealelaadimise ja veoga, H=20cm</t>
  </si>
  <si>
    <t>Mahasõidukoht M3 kruus fr 0/32 mm (Pos 6), geomeetriline maht koos hanke, pealelaadimise ja veoga, H=10cm</t>
  </si>
  <si>
    <t>Mahasõidukoht M5 geotekstiili 4. profiil (NGS 4), mitte kootud kangas, laiusega 5,0 m, paigaldamine tihendatud ja profileeritud muldkehale</t>
  </si>
  <si>
    <t>Mahasõidukoht M5 kruus fr 0/63 mm (Pos 3), geomeetriline maht koos hanke, pealelaadimise ja veoga, H=20cm</t>
  </si>
  <si>
    <t>Mahasõidukoht M5 kruus fr 0/32 mm (Pos 6), geomeetriline maht koos hanke, pealelaadimise ja veoga, H=10cm</t>
  </si>
  <si>
    <t>Mahasõidukoht M5 muldkeha ja katendi ehitamine koos tihendamisega  (A=4,5m, R=15m L= 15m)</t>
  </si>
  <si>
    <t>Mahasõidukoht M3 muldkeha ja katendi ehitamine koos tihendamisega  (A=4,5m, R=10m L= 10m)</t>
  </si>
  <si>
    <t>Mahasõidukoht M6 muldkeha ja katendi ehitamine koos tihendamisega  (A=4,5m, R1=15m, R2=5m, L=15m)</t>
  </si>
  <si>
    <t>Möödasõidukoha MS muldkeha ja katendi ehitamine koos tihendamisega</t>
  </si>
  <si>
    <t>Möödasõidukoha MS geotekstiili 4. profiil (NGS 4), mitte kootud kangas, laiusega 5,0 m, paigaldamine tihendatud ja profileeritud muldkehale</t>
  </si>
  <si>
    <t>Möödasõidukoha MS kruus fr 0/63 mm (Pos 3), geomeetriline maht koos hanke, pealelaadimise ja veoga, H=20cm</t>
  </si>
  <si>
    <t>Möödasõidukoha MS kruus fr 0/32 mm (Pos 6), geomeetriline maht koos hanke, pealelaadimise ja veoga, H=10cm</t>
  </si>
  <si>
    <t>T-kujulise tagasipööramiskoha TP-T muldkeha ja katendi ehitamine koos tihendamisega</t>
  </si>
  <si>
    <t>T-kujulise tagasipööramiskoha TP-T geotekstiili 4. profiil (NGS 4), mitte kootud kangas, laiusega 5,0 m, paigaldamine tihendatud ja profileeritud muldkehale</t>
  </si>
  <si>
    <t>T-kujulise tagasipööramiskoha TP-T kruus fr 0/63 mm (Pos 3), geomeetriline maht koos hanke, pealelaadimise ja veoga, H=20cm</t>
  </si>
  <si>
    <t>T-kujulise tagasipööramiskoha TP-T  kruus fr 0/32 mm (Pos 6), geomeetriline maht koos hanke, pealelaadimise ja veoga, H=10cm</t>
  </si>
  <si>
    <t>Silmuse kujulise tagasipööramiskoha TP-S muldkeha ja katendi ehitamine koos tihendamisega</t>
  </si>
  <si>
    <t>Silmuse kujulise tagasipööramiskoha TP-S kruus fr 0/63 mm (Pos 3), geomeetriline maht koos hanke, pealelaadimise ja veoga, H=20cm</t>
  </si>
  <si>
    <t>Silmuse kujulise tagasipööramiskoha TP-S  kruus fr 0/32 mm (Pos 6), geomeetriline maht koos hanke, pealelaadimise ja veoga, H=10cm</t>
  </si>
  <si>
    <t>Silmuse kujulise tagasipööramiskoha TP-S geotekstiili 4. profiil (NGS 4), mitte kootud kangas, laiusega 7,0 m, paigaldamine tihendatud ja profileeritud muldkehale</t>
  </si>
  <si>
    <t>Kohapealne mineraalpinnas muldkeha ehitamiseks</t>
  </si>
  <si>
    <t>Juurdeveetav mineraalpinnas muldkeha ehitamiseks</t>
  </si>
  <si>
    <t>Mahasõidukoht M3 muldkeha ehitamine kraavide rajamisel saadud või juurdeveetavast pinnasest, H=30 cm</t>
  </si>
  <si>
    <t>Möödasõidukoha MS muldkeha ehitamine kraavide rajamisel saadud või juurdeveetavast pinnasest, H=30 cm</t>
  </si>
  <si>
    <t>T-kujulise tagasipööramiskoha TP-T muldkeha ehitamine juurdeveetavast või juurdeveetavast pinnasest, H=30 cm</t>
  </si>
  <si>
    <t>Silmuse kujulise tagasipööramiskoha TP-S muldkeha ehitamine juurdeveetavast või juurdeveetavast pinnasest, H=30 cm</t>
  </si>
  <si>
    <t>Tabel 2a. Kuivendussüsteemi rekonstrueerimise- ja ehitustööde koondmahud</t>
  </si>
  <si>
    <t>Madala võsa raie (MV)</t>
  </si>
  <si>
    <t>Madala võsa vedu 600 m  (MV)</t>
  </si>
  <si>
    <t>Kõrge võsa raie (KV)</t>
  </si>
  <si>
    <t>Kõrge võsa vedu 600 m (KV)</t>
  </si>
  <si>
    <t>Puittaimestiku raie, peenpuistu  (PP)</t>
  </si>
  <si>
    <t>Tüveste vedu 600 m, peenpuistu (PP)</t>
  </si>
  <si>
    <t>Puittaimestiku raie, jämepuistu (JP)</t>
  </si>
  <si>
    <t>Tüveste vedu, jämepuistu (JP)</t>
  </si>
  <si>
    <t>Tee- ja kraavitrassi ning teerajatiste alune kändude juurimine ekskavaatoriga</t>
  </si>
  <si>
    <t>Koprapaisude likvideerimine</t>
  </si>
  <si>
    <t>II.Veejuhtmete tööd</t>
  </si>
  <si>
    <t>Kraavide kaevamine ja setetest puhastamine, I-II gr. Pinnas</t>
  </si>
  <si>
    <t>Ekspluatatsioonieelne sette eemaldamine ekskavaatoriga (10% põhikaevest)</t>
  </si>
  <si>
    <t>Olemasoleva tee tasandamisjärgne teekraavide täiendav puhastamine varisenud pinnasest</t>
  </si>
  <si>
    <t>Kaeve laialiajamine (60% kaevest)</t>
  </si>
  <si>
    <t>Di=30 cm plasttorust veeviimari paigaldamine mullavalli alla, L= 8 m</t>
  </si>
  <si>
    <t>III.Truupide rekonstrueerimine ja ehitamine</t>
  </si>
  <si>
    <t>Truupide mahamärkimine</t>
  </si>
  <si>
    <t>Di=50 cm plasttruubi torustiku, tüüp 50PT, ehitamine (profileeritud plasttoru, SN8)</t>
  </si>
  <si>
    <t>Di=60 cm plasttruubi torustiku, tüüp 60PT, ehitamine (profileeritud plasttoru, SN8)</t>
  </si>
  <si>
    <t>Di=100 cm plasttruubi torustiku, tüüp 100PT, ehitamine (profileeritud plasttoru, SN8)</t>
  </si>
  <si>
    <t xml:space="preserve">Ø 50 cm plasttruubi mattotsaku ehitamine (tüüp MAO) </t>
  </si>
  <si>
    <t xml:space="preserve">Ø 50 cm plasttruubi mattotsaku kivikindlustusega ehitamine (tüüp MAOK) </t>
  </si>
  <si>
    <t xml:space="preserve">Ø 60 cm plasttruubi mattotsaku kivikindlustusega ehitamine (tüüp MAOK) </t>
  </si>
  <si>
    <t xml:space="preserve">Ø 50 cm plasttruubi kiviotsaku kivikindlustusega ehitamine (tüüp KOK) </t>
  </si>
  <si>
    <t xml:space="preserve">Ø 60 cm plasttruubi kiviotsaku kivikindlustusega ehitamine (tüüp KOK) </t>
  </si>
  <si>
    <t xml:space="preserve">Ø 100 cm plasttruubi kiviotsaku kivikindlustusega ehitamine (tüüp KOK) </t>
  </si>
  <si>
    <t>Veejuhtme täide mineraalpinnasega</t>
  </si>
  <si>
    <t>Täiendav kaeve truupide ehitamisel</t>
  </si>
  <si>
    <t xml:space="preserve">Truubitoru puitaluse ehitamine </t>
  </si>
  <si>
    <t>Kruus teekatte taastamiseks</t>
  </si>
  <si>
    <t>Tähispostid truubile</t>
  </si>
  <si>
    <t>Truubi otsakute lammutamine ja utiliseerimine</t>
  </si>
  <si>
    <t>IV.Keskkonnarajatiste rekonstrueerimine/ehitamine</t>
  </si>
  <si>
    <t>Settebasseini mahamärkimine</t>
  </si>
  <si>
    <t>Settebasseini kaevamine, I-II gr. Pinnas</t>
  </si>
  <si>
    <t>V.Muud tööd</t>
  </si>
  <si>
    <t>Uute kraavide mahamärkimine</t>
  </si>
  <si>
    <t>Di=30 cm plasttorust veeviimari otsaku ehitamine VV</t>
  </si>
  <si>
    <t>Di=80 cm plasttruubi torustiku, tüüp 80PT, ehitamine (profileeritud plasttoru, SN8)</t>
  </si>
  <si>
    <t>Di=150 cm plasttruubi torustiku, tüüp 150PT, ehitamine (profileeritud plasttoru, SN8)</t>
  </si>
  <si>
    <t>Di=140 cm plasttruubi torustiku, tüüp 140PT, ehitamine (profileeritud plasttoru, SN8)</t>
  </si>
  <si>
    <t xml:space="preserve">Ø 80 cm plasttruubi kiviotsaku kivikindlustusega ehitamine (tüüp KOK) </t>
  </si>
  <si>
    <t xml:space="preserve">Ø 140 cm plasttruubi kiviotsaku kivikindlustusega ehitamine (tüüp KOK) </t>
  </si>
  <si>
    <t xml:space="preserve">Ø 150 cm plasttruubi kiviotsaku kivikindlustusega ehitamine (tüüp KOK) </t>
  </si>
  <si>
    <t>Mahasõidukoht M6 geotekstiili 4. profiil (NGS 4), mitte kootud kangas, laiusega 5,0 m, paigaldamine tihendatud ja profileeritud muldkehale</t>
  </si>
  <si>
    <t>Mahasõidukoht M6 kruus fr 0/63 mm (Pos 3), geomeetriline maht koos hanke, pealelaadimise ja veoga, H=20cm</t>
  </si>
  <si>
    <t>Mahasõidukoht M6 kruus fr 0/32 mm (Pos 6), geomeetriline maht koos hanke, pealelaadimise ja veoga, H=10cm</t>
  </si>
  <si>
    <t>Ø 50…100 cm truubitoru (r/b, plast) väljatõstmine ja utiliseerimine</t>
  </si>
  <si>
    <t>Ø 40-150 cm truubi setetest puhastamine, setet kuni 1/2 Ø</t>
  </si>
  <si>
    <t>EH 2</t>
  </si>
  <si>
    <t>B</t>
  </si>
  <si>
    <t>C</t>
  </si>
  <si>
    <t>D</t>
  </si>
  <si>
    <t>E</t>
  </si>
  <si>
    <t>F</t>
  </si>
  <si>
    <t>G</t>
  </si>
  <si>
    <t>H</t>
  </si>
  <si>
    <t>Setteekraani paigaldamine (veejuhtmetele 109, 113, 119, 134, 142, 151, 203, 302, 310, 338, 601A, 1001).</t>
  </si>
  <si>
    <t>Tabel 13. Muude tööde mahud</t>
  </si>
  <si>
    <t>Ühiku maksumus (€)</t>
  </si>
  <si>
    <t>Hinde alus</t>
  </si>
  <si>
    <t>Töö maksumus (€)</t>
  </si>
  <si>
    <t>J</t>
  </si>
  <si>
    <t>K</t>
  </si>
  <si>
    <t>L</t>
  </si>
  <si>
    <t>M</t>
  </si>
  <si>
    <t>O</t>
  </si>
  <si>
    <t>Q</t>
  </si>
  <si>
    <t>H1</t>
  </si>
  <si>
    <t>kalk</t>
  </si>
  <si>
    <t>H-7</t>
  </si>
  <si>
    <t>A-89</t>
  </si>
  <si>
    <t>T-123</t>
  </si>
  <si>
    <t>A-91</t>
  </si>
  <si>
    <t>S-73</t>
  </si>
  <si>
    <t>S-74</t>
  </si>
  <si>
    <t>S-76</t>
  </si>
  <si>
    <t>Osamaksumused kokku:</t>
  </si>
  <si>
    <t>Kogumaksumus:</t>
  </si>
  <si>
    <t>Tabel 14A. Kuivendussüsteemi rekonstrueerimise- ja ehitustööde ligikaudne maksumus</t>
  </si>
  <si>
    <r>
      <t>Töö maksumus (</t>
    </r>
    <r>
      <rPr>
        <sz val="10"/>
        <color theme="1"/>
        <rFont val="Calibri"/>
        <family val="2"/>
      </rPr>
      <t>€</t>
    </r>
    <r>
      <rPr>
        <sz val="10"/>
        <color theme="1"/>
        <rFont val="Arial"/>
        <family val="2"/>
        <charset val="186"/>
      </rPr>
      <t>)</t>
    </r>
  </si>
  <si>
    <t>A-90</t>
  </si>
  <si>
    <t>T-959</t>
  </si>
  <si>
    <t>Kuivendussüsteem kokku:</t>
  </si>
  <si>
    <t>Rekonstrueeritava tee koondpikkus</t>
  </si>
  <si>
    <t>Tabel 12. Keskkonnakaitserajatiste rajamise tööde mahud</t>
  </si>
  <si>
    <t>Settebasseini, tuletõrjetiigi või puhastuslodu</t>
  </si>
  <si>
    <t>Maa-pinna kõrgus-arv</t>
  </si>
  <si>
    <t>Sisse-voolava kraavi põhja kõrgus-arv</t>
  </si>
  <si>
    <t xml:space="preserve">SB tüüp / rajatise tähis </t>
  </si>
  <si>
    <t xml:space="preserve">Põhja kõrgusarv </t>
  </si>
  <si>
    <t xml:space="preserve">Sügavus maa-pinnast </t>
  </si>
  <si>
    <t>Mõõdud</t>
  </si>
  <si>
    <t>Raadius</t>
  </si>
  <si>
    <t>Sette-süvise maht</t>
  </si>
  <si>
    <t xml:space="preserve">Kaeve-maht,      gr I-II </t>
  </si>
  <si>
    <t>Kaeve laialiaja-mine</t>
  </si>
  <si>
    <t>Raiutava platsi mõõt</t>
  </si>
  <si>
    <t>Võsa</t>
  </si>
  <si>
    <t>Juuri-mine</t>
  </si>
  <si>
    <t>Ära veda-mine</t>
  </si>
  <si>
    <t>Põhjast</t>
  </si>
  <si>
    <t>Maapinnalt</t>
  </si>
  <si>
    <t>Nimi / nr</t>
  </si>
  <si>
    <t>Asukoht</t>
  </si>
  <si>
    <t xml:space="preserve">Pikkus </t>
  </si>
  <si>
    <t>Laius</t>
  </si>
  <si>
    <t>Madal</t>
  </si>
  <si>
    <t>Kõrge</t>
  </si>
  <si>
    <t>Peen</t>
  </si>
  <si>
    <t>Jäme</t>
  </si>
  <si>
    <r>
      <t>m</t>
    </r>
    <r>
      <rPr>
        <vertAlign val="superscript"/>
        <sz val="10"/>
        <rFont val="Arial"/>
        <family val="2"/>
      </rPr>
      <t>2</t>
    </r>
  </si>
  <si>
    <r>
      <t>m</t>
    </r>
    <r>
      <rPr>
        <vertAlign val="superscript"/>
        <sz val="10"/>
        <rFont val="Arial"/>
        <family val="2"/>
      </rPr>
      <t>3</t>
    </r>
  </si>
  <si>
    <t>R</t>
  </si>
  <si>
    <t>S</t>
  </si>
  <si>
    <t>U</t>
  </si>
  <si>
    <t>W</t>
  </si>
  <si>
    <t>X</t>
  </si>
  <si>
    <t>Y</t>
  </si>
  <si>
    <t>Z</t>
  </si>
  <si>
    <t>Settebasseinid rajada enne veejuhtmete kaevetööde algust, kaevetööde järgselt ette näha settebasseinide setetest puhastamine</t>
  </si>
  <si>
    <t>SB31</t>
  </si>
  <si>
    <t>SB32</t>
  </si>
  <si>
    <t>Kraav 310, AI423</t>
  </si>
  <si>
    <t>1:2</t>
  </si>
  <si>
    <t>25x56</t>
  </si>
  <si>
    <t>AI423</t>
  </si>
  <si>
    <t>Sette eemaldamine settebasseinist pärast kraavide valmimist, 3 korda</t>
  </si>
  <si>
    <t>H-13</t>
  </si>
  <si>
    <t>T-36-3</t>
  </si>
  <si>
    <t>T-19-3</t>
  </si>
  <si>
    <t>T-22</t>
  </si>
  <si>
    <t>A-112</t>
  </si>
  <si>
    <t>T-329</t>
  </si>
  <si>
    <t>A-43</t>
  </si>
  <si>
    <t>S-117/2</t>
  </si>
  <si>
    <t>S-75</t>
  </si>
  <si>
    <t>S-86</t>
  </si>
  <si>
    <t>S-85</t>
  </si>
  <si>
    <t>S-101,kalk</t>
  </si>
  <si>
    <t>S-118</t>
  </si>
  <si>
    <t>S-108</t>
  </si>
  <si>
    <t>A-35</t>
  </si>
  <si>
    <t>S-276</t>
  </si>
  <si>
    <t>S-287</t>
  </si>
  <si>
    <t>H-71</t>
  </si>
  <si>
    <t>S-113</t>
  </si>
  <si>
    <t>S-106</t>
  </si>
  <si>
    <t>S-104</t>
  </si>
  <si>
    <t>T-962</t>
  </si>
  <si>
    <t>T-884, V-45</t>
  </si>
  <si>
    <t>Mahasõidukoht MM muldkeha ja katendi ehitamine koos tihendamisega (vastavalt lisas esitatud projektile)</t>
  </si>
  <si>
    <t>Käibemaks 20%:</t>
  </si>
  <si>
    <t>Mahasõudukoha tüüp MM materjalid on esitatud lisas 7.</t>
  </si>
  <si>
    <t>SB-0</t>
  </si>
  <si>
    <t>Setteekraanid</t>
  </si>
  <si>
    <t>Põhupakid  45x45x65cm</t>
  </si>
  <si>
    <t>Puitvaiad h=180cm Ø7.5cm</t>
  </si>
  <si>
    <t>Laud 22x150mm</t>
  </si>
  <si>
    <t>Kivid, veerised Ø30cm</t>
  </si>
  <si>
    <t>Geotekstiil NGS 2</t>
  </si>
  <si>
    <t>Tabel 10. Truupide ja veeviimarite koguste ja ehitusmaterjalide kogused</t>
  </si>
  <si>
    <t>Tabel 11. Rekonstrueeritavate teede katendite mahud ristprofiilide lõikes</t>
  </si>
  <si>
    <t>Tabel 14B. Teede rekonstrueerimise- ja ehitustööde ligikaudne maksumus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</si>
</sst>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%"/>
    <numFmt numFmtId="166" formatCode="#,##0\ &quot;€&quot;"/>
  </numFmts>
  <fonts count="43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2"/>
      <color theme="1"/>
      <name val="Arial"/>
      <family val="2"/>
      <charset val="186"/>
    </font>
    <font>
      <b/>
      <sz val="10"/>
      <color theme="1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10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  <charset val="186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rgb="FF3F3F76"/>
      <name val="Arial"/>
      <family val="2"/>
    </font>
    <font>
      <sz val="10"/>
      <color theme="1"/>
      <name val="Calibri"/>
      <family val="2"/>
    </font>
    <font>
      <sz val="8"/>
      <name val="Calibri"/>
      <family val="2"/>
      <scheme val="minor"/>
    </font>
    <font>
      <b/>
      <sz val="12"/>
      <name val="Arial"/>
      <family val="2"/>
      <charset val="186"/>
    </font>
    <font>
      <b/>
      <sz val="11"/>
      <name val="Arial"/>
      <family val="2"/>
      <charset val="186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Arial"/>
      <family val="2"/>
      <charset val="186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sz val="10"/>
      <color theme="1"/>
      <name val="Arial"/>
      <family val="2"/>
      <charset val="186"/>
    </font>
    <font>
      <vertAlign val="superscript"/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9" tint="-0.249977111117893"/>
      <name val="Arial"/>
      <family val="2"/>
    </font>
    <font>
      <b/>
      <sz val="11"/>
      <color theme="1"/>
      <name val="Calibri"/>
      <family val="2"/>
      <charset val="186"/>
      <scheme val="minor"/>
    </font>
    <font>
      <vertAlign val="superscript"/>
      <sz val="10"/>
      <color theme="1"/>
      <name val="Arial"/>
      <family val="2"/>
      <charset val="186"/>
    </font>
    <font>
      <b/>
      <sz val="10"/>
      <color rgb="FFFF0000"/>
      <name val="Arial"/>
      <family val="2"/>
    </font>
    <font>
      <sz val="10"/>
      <name val="Arial"/>
      <family val="2"/>
      <charset val="186"/>
    </font>
    <font>
      <sz val="9"/>
      <color theme="1"/>
      <name val="Arial"/>
      <family val="2"/>
      <charset val="186"/>
    </font>
    <font>
      <b/>
      <sz val="10"/>
      <name val="Arial"/>
      <family val="2"/>
      <charset val="186"/>
    </font>
    <font>
      <b/>
      <sz val="11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9"/>
      <color theme="1"/>
      <name val="Arial"/>
      <family val="2"/>
    </font>
    <font>
      <b/>
      <i/>
      <sz val="10"/>
      <name val="Arial"/>
      <family val="2"/>
    </font>
    <font>
      <sz val="9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rgb="FFFF0000"/>
      <name val="Arial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6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2" fillId="0" borderId="0"/>
  </cellStyleXfs>
  <cellXfs count="432">
    <xf numFmtId="0" fontId="0" fillId="0" borderId="0" xfId="0"/>
    <xf numFmtId="0" fontId="4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8" fillId="0" borderId="0" xfId="0" applyFont="1"/>
    <xf numFmtId="2" fontId="8" fillId="0" borderId="17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/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8" fillId="0" borderId="0" xfId="0" applyFont="1" applyAlignment="1">
      <alignment horizontal="left" vertical="center"/>
    </xf>
    <xf numFmtId="0" fontId="0" fillId="0" borderId="33" xfId="0" applyBorder="1"/>
    <xf numFmtId="0" fontId="8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1" xfId="1" applyFont="1" applyFill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0" fillId="3" borderId="0" xfId="0" applyFill="1"/>
    <xf numFmtId="0" fontId="4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164" fontId="8" fillId="3" borderId="17" xfId="0" applyNumberFormat="1" applyFont="1" applyFill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2" fontId="8" fillId="3" borderId="17" xfId="0" applyNumberFormat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/>
    </xf>
    <xf numFmtId="1" fontId="4" fillId="0" borderId="17" xfId="0" applyNumberFormat="1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1" fontId="10" fillId="0" borderId="17" xfId="0" applyNumberFormat="1" applyFont="1" applyBorder="1" applyAlignment="1">
      <alignment horizont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/>
    <xf numFmtId="0" fontId="4" fillId="0" borderId="0" xfId="0" applyFont="1" applyAlignment="1">
      <alignment horizontal="left" vertical="center"/>
    </xf>
    <xf numFmtId="0" fontId="10" fillId="0" borderId="17" xfId="0" applyFont="1" applyBorder="1" applyAlignment="1">
      <alignment horizontal="center" vertical="center"/>
    </xf>
    <xf numFmtId="2" fontId="4" fillId="0" borderId="17" xfId="0" applyNumberFormat="1" applyFont="1" applyBorder="1" applyAlignment="1">
      <alignment horizontal="center"/>
    </xf>
    <xf numFmtId="0" fontId="10" fillId="3" borderId="17" xfId="0" applyFont="1" applyFill="1" applyBorder="1" applyAlignment="1">
      <alignment horizontal="center" wrapText="1"/>
    </xf>
    <xf numFmtId="0" fontId="18" fillId="0" borderId="0" xfId="0" applyFont="1"/>
    <xf numFmtId="0" fontId="19" fillId="3" borderId="17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164" fontId="8" fillId="0" borderId="17" xfId="0" applyNumberFormat="1" applyFont="1" applyBorder="1" applyAlignment="1">
      <alignment horizontal="center" vertical="center"/>
    </xf>
    <xf numFmtId="1" fontId="8" fillId="3" borderId="17" xfId="0" applyNumberFormat="1" applyFont="1" applyFill="1" applyBorder="1" applyAlignment="1">
      <alignment horizontal="center" vertical="center"/>
    </xf>
    <xf numFmtId="1" fontId="8" fillId="0" borderId="17" xfId="0" applyNumberFormat="1" applyFont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 wrapText="1"/>
    </xf>
    <xf numFmtId="0" fontId="20" fillId="0" borderId="0" xfId="0" applyFont="1"/>
    <xf numFmtId="1" fontId="4" fillId="0" borderId="17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2" fontId="4" fillId="0" borderId="17" xfId="0" applyNumberFormat="1" applyFont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0" fontId="21" fillId="0" borderId="0" xfId="0" applyFont="1"/>
    <xf numFmtId="0" fontId="8" fillId="0" borderId="17" xfId="0" applyFont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2" fillId="0" borderId="0" xfId="0" applyFont="1"/>
    <xf numFmtId="0" fontId="23" fillId="0" borderId="0" xfId="0" applyFont="1"/>
    <xf numFmtId="0" fontId="0" fillId="0" borderId="0" xfId="0" applyAlignment="1">
      <alignment vertical="center"/>
    </xf>
    <xf numFmtId="0" fontId="24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7" fillId="0" borderId="17" xfId="0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4" borderId="17" xfId="0" applyFont="1" applyFill="1" applyBorder="1" applyAlignment="1">
      <alignment horizontal="center"/>
    </xf>
    <xf numFmtId="164" fontId="4" fillId="0" borderId="17" xfId="0" applyNumberFormat="1" applyFont="1" applyBorder="1" applyAlignment="1">
      <alignment horizontal="center"/>
    </xf>
    <xf numFmtId="164" fontId="4" fillId="4" borderId="17" xfId="0" applyNumberFormat="1" applyFont="1" applyFill="1" applyBorder="1" applyAlignment="1">
      <alignment horizontal="center"/>
    </xf>
    <xf numFmtId="0" fontId="3" fillId="0" borderId="0" xfId="0" applyFont="1" applyAlignment="1">
      <alignment vertical="center"/>
    </xf>
    <xf numFmtId="49" fontId="8" fillId="3" borderId="17" xfId="0" applyNumberFormat="1" applyFont="1" applyFill="1" applyBorder="1" applyAlignment="1">
      <alignment horizontal="center" vertical="center"/>
    </xf>
    <xf numFmtId="49" fontId="8" fillId="0" borderId="17" xfId="0" applyNumberFormat="1" applyFont="1" applyBorder="1" applyAlignment="1">
      <alignment horizontal="center" vertical="center"/>
    </xf>
    <xf numFmtId="49" fontId="8" fillId="4" borderId="17" xfId="0" applyNumberFormat="1" applyFont="1" applyFill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8" fillId="0" borderId="17" xfId="0" applyFont="1" applyBorder="1" applyAlignment="1">
      <alignment vertical="center"/>
    </xf>
    <xf numFmtId="1" fontId="3" fillId="0" borderId="17" xfId="0" applyNumberFormat="1" applyFont="1" applyBorder="1" applyAlignment="1">
      <alignment horizontal="center" vertical="center"/>
    </xf>
    <xf numFmtId="1" fontId="10" fillId="4" borderId="17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1" fontId="8" fillId="0" borderId="17" xfId="0" applyNumberFormat="1" applyFont="1" applyBorder="1" applyAlignment="1">
      <alignment horizontal="center" vertical="center" wrapText="1"/>
    </xf>
    <xf numFmtId="1" fontId="3" fillId="0" borderId="17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49" fontId="0" fillId="0" borderId="0" xfId="0" applyNumberFormat="1"/>
    <xf numFmtId="0" fontId="26" fillId="0" borderId="0" xfId="0" applyFont="1"/>
    <xf numFmtId="0" fontId="8" fillId="5" borderId="25" xfId="0" applyFont="1" applyFill="1" applyBorder="1" applyAlignment="1">
      <alignment horizontal="center" vertical="center"/>
    </xf>
    <xf numFmtId="1" fontId="8" fillId="0" borderId="25" xfId="0" applyNumberFormat="1" applyFont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1" fontId="8" fillId="0" borderId="2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7" fillId="0" borderId="0" xfId="0" applyFont="1"/>
    <xf numFmtId="0" fontId="8" fillId="0" borderId="0" xfId="0" applyFont="1" applyAlignment="1">
      <alignment horizontal="left"/>
    </xf>
    <xf numFmtId="0" fontId="1" fillId="5" borderId="1" xfId="1" applyFill="1"/>
    <xf numFmtId="0" fontId="29" fillId="0" borderId="0" xfId="0" applyFont="1"/>
    <xf numFmtId="0" fontId="8" fillId="5" borderId="21" xfId="0" applyFont="1" applyFill="1" applyBorder="1" applyAlignment="1">
      <alignment horizontal="center" vertical="center" wrapText="1"/>
    </xf>
    <xf numFmtId="0" fontId="27" fillId="5" borderId="50" xfId="0" applyFont="1" applyFill="1" applyBorder="1" applyAlignment="1">
      <alignment horizontal="center" vertical="center"/>
    </xf>
    <xf numFmtId="0" fontId="27" fillId="5" borderId="15" xfId="0" applyFont="1" applyFill="1" applyBorder="1" applyAlignment="1">
      <alignment horizontal="center" vertical="center"/>
    </xf>
    <xf numFmtId="1" fontId="27" fillId="5" borderId="15" xfId="0" applyNumberFormat="1" applyFont="1" applyFill="1" applyBorder="1" applyAlignment="1">
      <alignment horizontal="center" vertical="center"/>
    </xf>
    <xf numFmtId="0" fontId="27" fillId="5" borderId="26" xfId="0" applyFont="1" applyFill="1" applyBorder="1" applyAlignment="1">
      <alignment horizontal="center" vertical="center"/>
    </xf>
    <xf numFmtId="0" fontId="28" fillId="0" borderId="17" xfId="0" applyFont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49" fontId="4" fillId="3" borderId="17" xfId="0" applyNumberFormat="1" applyFont="1" applyFill="1" applyBorder="1" applyAlignment="1">
      <alignment horizontal="center" vertical="center"/>
    </xf>
    <xf numFmtId="1" fontId="4" fillId="3" borderId="17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1" fontId="24" fillId="0" borderId="17" xfId="0" applyNumberFormat="1" applyFont="1" applyBorder="1" applyAlignment="1">
      <alignment horizontal="center" vertical="center"/>
    </xf>
    <xf numFmtId="2" fontId="24" fillId="0" borderId="17" xfId="0" applyNumberFormat="1" applyFont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 wrapText="1"/>
    </xf>
    <xf numFmtId="1" fontId="10" fillId="0" borderId="0" xfId="0" applyNumberFormat="1" applyFont="1" applyAlignment="1">
      <alignment vertical="center"/>
    </xf>
    <xf numFmtId="0" fontId="8" fillId="4" borderId="41" xfId="0" applyFont="1" applyFill="1" applyBorder="1" applyAlignment="1">
      <alignment horizontal="center" vertical="center"/>
    </xf>
    <xf numFmtId="0" fontId="8" fillId="4" borderId="37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2" fontId="8" fillId="0" borderId="17" xfId="0" applyNumberFormat="1" applyFont="1" applyBorder="1" applyAlignment="1">
      <alignment vertical="center"/>
    </xf>
    <xf numFmtId="1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2" fontId="8" fillId="0" borderId="0" xfId="0" applyNumberFormat="1" applyFont="1"/>
    <xf numFmtId="0" fontId="8" fillId="0" borderId="17" xfId="0" applyFont="1" applyBorder="1"/>
    <xf numFmtId="2" fontId="8" fillId="0" borderId="17" xfId="0" applyNumberFormat="1" applyFont="1" applyBorder="1"/>
    <xf numFmtId="0" fontId="31" fillId="0" borderId="17" xfId="0" applyFont="1" applyBorder="1" applyAlignment="1">
      <alignment horizontal="center" vertical="center"/>
    </xf>
    <xf numFmtId="0" fontId="8" fillId="0" borderId="37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4" borderId="41" xfId="0" applyFont="1" applyFill="1" applyBorder="1" applyAlignment="1">
      <alignment vertical="center"/>
    </xf>
    <xf numFmtId="0" fontId="8" fillId="4" borderId="19" xfId="0" applyFont="1" applyFill="1" applyBorder="1" applyAlignment="1">
      <alignment vertical="center"/>
    </xf>
    <xf numFmtId="165" fontId="0" fillId="0" borderId="0" xfId="0" applyNumberFormat="1"/>
    <xf numFmtId="0" fontId="8" fillId="4" borderId="51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8" fillId="0" borderId="46" xfId="0" applyFont="1" applyBorder="1"/>
    <xf numFmtId="0" fontId="8" fillId="4" borderId="46" xfId="0" applyFont="1" applyFill="1" applyBorder="1" applyAlignment="1">
      <alignment vertical="center"/>
    </xf>
    <xf numFmtId="0" fontId="8" fillId="4" borderId="47" xfId="0" applyFont="1" applyFill="1" applyBorder="1" applyAlignment="1">
      <alignment vertical="center"/>
    </xf>
    <xf numFmtId="1" fontId="8" fillId="0" borderId="0" xfId="0" applyNumberFormat="1" applyFont="1"/>
    <xf numFmtId="0" fontId="19" fillId="0" borderId="17" xfId="0" applyFont="1" applyBorder="1" applyAlignment="1">
      <alignment horizontal="center"/>
    </xf>
    <xf numFmtId="0" fontId="33" fillId="0" borderId="17" xfId="0" applyFont="1" applyBorder="1" applyAlignment="1">
      <alignment horizontal="center" vertical="center"/>
    </xf>
    <xf numFmtId="1" fontId="32" fillId="0" borderId="17" xfId="0" applyNumberFormat="1" applyFont="1" applyBorder="1" applyAlignment="1">
      <alignment horizontal="center" vertical="center"/>
    </xf>
    <xf numFmtId="1" fontId="34" fillId="0" borderId="17" xfId="0" applyNumberFormat="1" applyFont="1" applyBorder="1" applyAlignment="1">
      <alignment horizontal="center" vertical="center"/>
    </xf>
    <xf numFmtId="0" fontId="33" fillId="0" borderId="17" xfId="0" applyFont="1" applyBorder="1" applyAlignment="1">
      <alignment horizontal="center"/>
    </xf>
    <xf numFmtId="1" fontId="19" fillId="0" borderId="17" xfId="0" applyNumberFormat="1" applyFont="1" applyBorder="1" applyAlignment="1">
      <alignment horizontal="center" vertical="center"/>
    </xf>
    <xf numFmtId="0" fontId="19" fillId="0" borderId="17" xfId="0" applyFont="1" applyBorder="1" applyAlignment="1">
      <alignment vertical="center"/>
    </xf>
    <xf numFmtId="0" fontId="8" fillId="0" borderId="17" xfId="0" applyFont="1" applyBorder="1" applyAlignment="1">
      <alignment horizontal="center"/>
    </xf>
    <xf numFmtId="0" fontId="19" fillId="0" borderId="1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0" fontId="35" fillId="0" borderId="0" xfId="0" applyFont="1" applyAlignment="1">
      <alignment horizontal="center" vertical="center"/>
    </xf>
    <xf numFmtId="0" fontId="36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1" fontId="3" fillId="0" borderId="0" xfId="0" applyNumberFormat="1" applyFont="1" applyAlignment="1">
      <alignment horizontal="center" vertical="center"/>
    </xf>
    <xf numFmtId="2" fontId="19" fillId="0" borderId="17" xfId="0" applyNumberFormat="1" applyFont="1" applyBorder="1" applyAlignment="1">
      <alignment horizontal="center" vertical="center"/>
    </xf>
    <xf numFmtId="0" fontId="8" fillId="4" borderId="55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19" fillId="0" borderId="51" xfId="0" applyFont="1" applyBorder="1" applyAlignment="1">
      <alignment horizontal="center" vertical="center"/>
    </xf>
    <xf numFmtId="0" fontId="19" fillId="4" borderId="55" xfId="0" applyFont="1" applyFill="1" applyBorder="1" applyAlignment="1">
      <alignment horizontal="center" vertical="center"/>
    </xf>
    <xf numFmtId="1" fontId="3" fillId="4" borderId="55" xfId="0" applyNumberFormat="1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/>
    </xf>
    <xf numFmtId="166" fontId="3" fillId="0" borderId="17" xfId="0" applyNumberFormat="1" applyFont="1" applyBorder="1" applyAlignment="1">
      <alignment horizontal="center"/>
    </xf>
    <xf numFmtId="0" fontId="37" fillId="0" borderId="17" xfId="0" applyFont="1" applyBorder="1" applyAlignment="1">
      <alignment horizontal="center" vertical="center"/>
    </xf>
    <xf numFmtId="1" fontId="6" fillId="0" borderId="17" xfId="0" applyNumberFormat="1" applyFont="1" applyBorder="1" applyAlignment="1">
      <alignment horizontal="center" vertical="center"/>
    </xf>
    <xf numFmtId="1" fontId="38" fillId="0" borderId="17" xfId="0" applyNumberFormat="1" applyFont="1" applyBorder="1" applyAlignment="1">
      <alignment horizontal="center" vertical="center"/>
    </xf>
    <xf numFmtId="0" fontId="39" fillId="0" borderId="17" xfId="0" applyFont="1" applyBorder="1" applyAlignment="1">
      <alignment horizontal="center"/>
    </xf>
    <xf numFmtId="1" fontId="3" fillId="0" borderId="17" xfId="0" applyNumberFormat="1" applyFont="1" applyBorder="1" applyAlignment="1">
      <alignment horizontal="center"/>
    </xf>
    <xf numFmtId="166" fontId="27" fillId="0" borderId="17" xfId="0" applyNumberFormat="1" applyFont="1" applyBorder="1" applyAlignment="1">
      <alignment horizontal="center" vertical="center"/>
    </xf>
    <xf numFmtId="1" fontId="29" fillId="0" borderId="17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/>
    </xf>
    <xf numFmtId="0" fontId="4" fillId="4" borderId="55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8" fillId="5" borderId="55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/>
    </xf>
    <xf numFmtId="0" fontId="19" fillId="0" borderId="58" xfId="0" applyFont="1" applyBorder="1" applyAlignment="1">
      <alignment horizontal="center" vertical="center"/>
    </xf>
    <xf numFmtId="0" fontId="19" fillId="3" borderId="34" xfId="0" applyFont="1" applyFill="1" applyBorder="1" applyAlignment="1">
      <alignment horizontal="center" vertical="center"/>
    </xf>
    <xf numFmtId="0" fontId="19" fillId="0" borderId="59" xfId="0" applyFont="1" applyBorder="1" applyAlignment="1">
      <alignment horizontal="center" vertical="center"/>
    </xf>
    <xf numFmtId="0" fontId="0" fillId="0" borderId="59" xfId="0" applyBorder="1" applyAlignment="1">
      <alignment horizontal="center"/>
    </xf>
    <xf numFmtId="0" fontId="0" fillId="0" borderId="60" xfId="0" applyBorder="1"/>
    <xf numFmtId="0" fontId="19" fillId="0" borderId="56" xfId="0" applyFont="1" applyBorder="1" applyAlignment="1">
      <alignment horizontal="center" vertical="center"/>
    </xf>
    <xf numFmtId="0" fontId="19" fillId="0" borderId="54" xfId="0" applyFont="1" applyBorder="1" applyAlignment="1">
      <alignment horizontal="center" vertical="center"/>
    </xf>
    <xf numFmtId="2" fontId="3" fillId="4" borderId="55" xfId="0" applyNumberFormat="1" applyFont="1" applyFill="1" applyBorder="1" applyAlignment="1">
      <alignment horizontal="center" vertical="center"/>
    </xf>
    <xf numFmtId="2" fontId="19" fillId="4" borderId="50" xfId="0" applyNumberFormat="1" applyFont="1" applyFill="1" applyBorder="1" applyAlignment="1">
      <alignment horizontal="center" vertical="center"/>
    </xf>
    <xf numFmtId="0" fontId="0" fillId="4" borderId="55" xfId="0" applyFill="1" applyBorder="1"/>
    <xf numFmtId="0" fontId="9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0" fontId="41" fillId="0" borderId="0" xfId="0" applyFont="1"/>
    <xf numFmtId="0" fontId="42" fillId="0" borderId="0" xfId="0" applyFont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/>
    <xf numFmtId="0" fontId="0" fillId="0" borderId="22" xfId="0" applyBorder="1"/>
    <xf numFmtId="49" fontId="19" fillId="0" borderId="17" xfId="0" applyNumberFormat="1" applyFont="1" applyBorder="1" applyAlignment="1">
      <alignment horizontal="center" vertical="center"/>
    </xf>
    <xf numFmtId="0" fontId="40" fillId="0" borderId="17" xfId="0" applyFont="1" applyBorder="1" applyAlignment="1">
      <alignment horizontal="center" vertical="center"/>
    </xf>
    <xf numFmtId="0" fontId="27" fillId="0" borderId="0" xfId="0" applyFont="1"/>
    <xf numFmtId="2" fontId="8" fillId="0" borderId="21" xfId="0" applyNumberFormat="1" applyFont="1" applyBorder="1" applyAlignment="1">
      <alignment horizontal="center" vertical="center"/>
    </xf>
    <xf numFmtId="2" fontId="19" fillId="0" borderId="17" xfId="0" applyNumberFormat="1" applyFont="1" applyBorder="1" applyAlignment="1">
      <alignment horizontal="center" vertical="center" wrapText="1"/>
    </xf>
    <xf numFmtId="1" fontId="27" fillId="0" borderId="17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/>
    </xf>
    <xf numFmtId="0" fontId="3" fillId="4" borderId="17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/>
    </xf>
    <xf numFmtId="49" fontId="8" fillId="0" borderId="17" xfId="0" applyNumberFormat="1" applyFont="1" applyBorder="1" applyAlignment="1">
      <alignment horizontal="center"/>
    </xf>
    <xf numFmtId="0" fontId="3" fillId="0" borderId="17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8" fillId="4" borderId="17" xfId="0" applyFont="1" applyFill="1" applyBorder="1" applyAlignment="1">
      <alignment horizontal="left"/>
    </xf>
    <xf numFmtId="0" fontId="8" fillId="4" borderId="41" xfId="0" applyFont="1" applyFill="1" applyBorder="1" applyAlignment="1">
      <alignment horizontal="left"/>
    </xf>
    <xf numFmtId="0" fontId="8" fillId="4" borderId="17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left" vertical="center"/>
    </xf>
    <xf numFmtId="49" fontId="8" fillId="4" borderId="17" xfId="0" applyNumberFormat="1" applyFont="1" applyFill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49" fontId="8" fillId="4" borderId="21" xfId="0" applyNumberFormat="1" applyFont="1" applyFill="1" applyBorder="1" applyAlignment="1">
      <alignment horizontal="center"/>
    </xf>
    <xf numFmtId="0" fontId="8" fillId="0" borderId="41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8" fillId="0" borderId="41" xfId="0" applyFont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8" fillId="0" borderId="41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17" xfId="0" applyFont="1" applyBorder="1" applyAlignment="1">
      <alignment wrapText="1"/>
    </xf>
    <xf numFmtId="0" fontId="8" fillId="0" borderId="41" xfId="0" applyFont="1" applyBorder="1" applyAlignment="1">
      <alignment horizontal="left" wrapText="1"/>
    </xf>
    <xf numFmtId="0" fontId="8" fillId="0" borderId="37" xfId="0" applyFont="1" applyBorder="1" applyAlignment="1">
      <alignment horizontal="left" wrapText="1"/>
    </xf>
    <xf numFmtId="0" fontId="8" fillId="0" borderId="19" xfId="0" applyFont="1" applyBorder="1" applyAlignment="1">
      <alignment horizontal="left" wrapText="1"/>
    </xf>
    <xf numFmtId="0" fontId="4" fillId="0" borderId="17" xfId="2" applyFont="1" applyBorder="1" applyAlignment="1">
      <alignment horizontal="left" wrapText="1"/>
    </xf>
    <xf numFmtId="0" fontId="3" fillId="6" borderId="17" xfId="0" applyFont="1" applyFill="1" applyBorder="1" applyAlignment="1">
      <alignment horizontal="left"/>
    </xf>
    <xf numFmtId="0" fontId="4" fillId="0" borderId="17" xfId="0" applyFont="1" applyBorder="1" applyAlignment="1">
      <alignment horizontal="left" wrapText="1"/>
    </xf>
    <xf numFmtId="0" fontId="19" fillId="0" borderId="17" xfId="0" applyFont="1" applyBorder="1" applyAlignment="1">
      <alignment horizontal="left"/>
    </xf>
    <xf numFmtId="0" fontId="10" fillId="6" borderId="17" xfId="0" applyFont="1" applyFill="1" applyBorder="1" applyAlignment="1">
      <alignment horizontal="left"/>
    </xf>
    <xf numFmtId="0" fontId="4" fillId="0" borderId="41" xfId="2" applyFont="1" applyBorder="1" applyAlignment="1">
      <alignment horizontal="left" wrapText="1"/>
    </xf>
    <xf numFmtId="0" fontId="4" fillId="0" borderId="37" xfId="2" applyFont="1" applyBorder="1" applyAlignment="1">
      <alignment horizontal="left" wrapText="1"/>
    </xf>
    <xf numFmtId="0" fontId="4" fillId="0" borderId="19" xfId="2" applyFont="1" applyBorder="1" applyAlignment="1">
      <alignment horizontal="left" wrapText="1"/>
    </xf>
    <xf numFmtId="0" fontId="8" fillId="0" borderId="17" xfId="0" applyFont="1" applyBorder="1"/>
    <xf numFmtId="0" fontId="8" fillId="0" borderId="1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9" fillId="0" borderId="17" xfId="0" applyFont="1" applyBorder="1" applyAlignment="1">
      <alignment horizontal="left" wrapText="1"/>
    </xf>
    <xf numFmtId="0" fontId="24" fillId="6" borderId="17" xfId="0" applyFont="1" applyFill="1" applyBorder="1" applyAlignment="1">
      <alignment horizontal="left"/>
    </xf>
    <xf numFmtId="0" fontId="19" fillId="0" borderId="17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/>
    </xf>
    <xf numFmtId="0" fontId="32" fillId="0" borderId="17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/>
    </xf>
    <xf numFmtId="0" fontId="32" fillId="0" borderId="17" xfId="2" applyBorder="1" applyAlignment="1">
      <alignment vertical="center" wrapText="1"/>
    </xf>
    <xf numFmtId="0" fontId="32" fillId="0" borderId="17" xfId="2" applyBorder="1" applyAlignment="1">
      <alignment horizontal="left" wrapText="1"/>
    </xf>
    <xf numFmtId="0" fontId="32" fillId="0" borderId="17" xfId="2" applyBorder="1" applyAlignment="1">
      <alignment horizontal="left" vertical="center" wrapText="1"/>
    </xf>
    <xf numFmtId="0" fontId="34" fillId="0" borderId="17" xfId="2" applyFont="1" applyBorder="1" applyAlignment="1">
      <alignment horizontal="left" vertical="center" wrapText="1"/>
    </xf>
    <xf numFmtId="0" fontId="34" fillId="0" borderId="17" xfId="2" applyFont="1" applyBorder="1" applyAlignment="1">
      <alignment horizontal="left" vertical="center"/>
    </xf>
    <xf numFmtId="0" fontId="19" fillId="0" borderId="17" xfId="0" applyFont="1" applyBorder="1" applyAlignment="1">
      <alignment wrapText="1"/>
    </xf>
    <xf numFmtId="0" fontId="8" fillId="4" borderId="17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1" fontId="4" fillId="0" borderId="41" xfId="0" applyNumberFormat="1" applyFont="1" applyBorder="1" applyAlignment="1">
      <alignment horizontal="center" vertical="center"/>
    </xf>
    <xf numFmtId="1" fontId="4" fillId="0" borderId="19" xfId="0" applyNumberFormat="1" applyFont="1" applyBorder="1" applyAlignment="1">
      <alignment horizontal="center" vertical="center"/>
    </xf>
    <xf numFmtId="1" fontId="4" fillId="0" borderId="41" xfId="0" applyNumberFormat="1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27" fillId="5" borderId="7" xfId="0" applyFont="1" applyFill="1" applyBorder="1" applyAlignment="1">
      <alignment horizontal="center" vertical="center"/>
    </xf>
    <xf numFmtId="0" fontId="27" fillId="5" borderId="50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8" fillId="3" borderId="17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13" fillId="0" borderId="34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36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3" fillId="0" borderId="38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4" fillId="4" borderId="17" xfId="0" applyFont="1" applyFill="1" applyBorder="1" applyAlignment="1">
      <alignment horizontal="center"/>
    </xf>
    <xf numFmtId="0" fontId="10" fillId="4" borderId="17" xfId="0" applyFont="1" applyFill="1" applyBorder="1" applyAlignment="1">
      <alignment horizontal="center"/>
    </xf>
    <xf numFmtId="0" fontId="4" fillId="0" borderId="17" xfId="0" applyFont="1" applyBorder="1" applyAlignment="1">
      <alignment horizontal="center" vertical="top"/>
    </xf>
    <xf numFmtId="0" fontId="4" fillId="0" borderId="17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center"/>
    </xf>
    <xf numFmtId="0" fontId="4" fillId="3" borderId="17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3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4" fillId="4" borderId="52" xfId="0" applyFont="1" applyFill="1" applyBorder="1" applyAlignment="1">
      <alignment horizontal="center" vertical="center" wrapText="1"/>
    </xf>
    <xf numFmtId="0" fontId="4" fillId="4" borderId="53" xfId="0" applyFont="1" applyFill="1" applyBorder="1" applyAlignment="1">
      <alignment horizontal="center" vertical="center" wrapText="1"/>
    </xf>
    <xf numFmtId="0" fontId="4" fillId="4" borderId="54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/>
    </xf>
    <xf numFmtId="0" fontId="4" fillId="4" borderId="50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58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26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61" xfId="0" applyFont="1" applyFill="1" applyBorder="1" applyAlignment="1">
      <alignment horizontal="center" vertical="center" wrapText="1"/>
    </xf>
    <xf numFmtId="0" fontId="4" fillId="4" borderId="57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8" fillId="5" borderId="60" xfId="0" applyFont="1" applyFill="1" applyBorder="1" applyAlignment="1">
      <alignment horizontal="center" vertical="center" wrapText="1"/>
    </xf>
    <xf numFmtId="0" fontId="8" fillId="5" borderId="27" xfId="0" applyFont="1" applyFill="1" applyBorder="1" applyAlignment="1">
      <alignment horizontal="center" vertical="center" wrapText="1"/>
    </xf>
    <xf numFmtId="0" fontId="8" fillId="5" borderId="57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/>
    </xf>
    <xf numFmtId="0" fontId="3" fillId="4" borderId="50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4" borderId="52" xfId="0" applyFont="1" applyFill="1" applyBorder="1" applyAlignment="1">
      <alignment horizontal="center" vertical="center" wrapText="1"/>
    </xf>
    <xf numFmtId="0" fontId="8" fillId="4" borderId="53" xfId="0" applyFont="1" applyFill="1" applyBorder="1" applyAlignment="1">
      <alignment horizontal="center" vertical="center" wrapText="1"/>
    </xf>
    <xf numFmtId="0" fontId="8" fillId="4" borderId="54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/>
    </xf>
    <xf numFmtId="0" fontId="4" fillId="4" borderId="52" xfId="0" applyFont="1" applyFill="1" applyBorder="1" applyAlignment="1">
      <alignment horizontal="center" vertical="center"/>
    </xf>
    <xf numFmtId="0" fontId="4" fillId="4" borderId="53" xfId="0" applyFont="1" applyFill="1" applyBorder="1" applyAlignment="1">
      <alignment horizontal="center" vertical="center"/>
    </xf>
    <xf numFmtId="0" fontId="4" fillId="4" borderId="54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 wrapText="1"/>
    </xf>
    <xf numFmtId="0" fontId="10" fillId="0" borderId="17" xfId="0" applyFont="1" applyBorder="1" applyAlignment="1">
      <alignment horizontal="center" vertical="center"/>
    </xf>
    <xf numFmtId="0" fontId="10" fillId="0" borderId="17" xfId="2" applyFont="1" applyBorder="1" applyAlignment="1">
      <alignment horizontal="right" wrapText="1"/>
    </xf>
    <xf numFmtId="0" fontId="8" fillId="0" borderId="17" xfId="0" applyFont="1" applyBorder="1" applyAlignment="1">
      <alignment horizontal="left" wrapText="1"/>
    </xf>
    <xf numFmtId="0" fontId="3" fillId="0" borderId="17" xfId="0" applyFont="1" applyBorder="1" applyAlignment="1">
      <alignment horizontal="right"/>
    </xf>
    <xf numFmtId="0" fontId="27" fillId="0" borderId="17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4" fillId="0" borderId="17" xfId="2" applyFont="1" applyBorder="1" applyAlignment="1">
      <alignment horizontal="left" vertical="center" wrapText="1"/>
    </xf>
    <xf numFmtId="0" fontId="3" fillId="0" borderId="17" xfId="0" applyFont="1" applyBorder="1" applyAlignment="1">
      <alignment horizontal="right" wrapText="1"/>
    </xf>
    <xf numFmtId="0" fontId="4" fillId="0" borderId="17" xfId="2" applyFont="1" applyBorder="1" applyAlignment="1">
      <alignment vertical="center" wrapText="1"/>
    </xf>
    <xf numFmtId="0" fontId="10" fillId="0" borderId="17" xfId="2" applyFont="1" applyBorder="1" applyAlignment="1">
      <alignment horizontal="right" vertical="center" wrapText="1"/>
    </xf>
    <xf numFmtId="0" fontId="40" fillId="0" borderId="17" xfId="0" applyFont="1" applyBorder="1" applyAlignment="1">
      <alignment horizontal="right" wrapText="1"/>
    </xf>
    <xf numFmtId="0" fontId="24" fillId="0" borderId="41" xfId="0" applyFont="1" applyBorder="1" applyAlignment="1">
      <alignment horizontal="center" vertical="center"/>
    </xf>
    <xf numFmtId="0" fontId="24" fillId="0" borderId="37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</cellXfs>
  <cellStyles count="3">
    <cellStyle name="Input" xfId="1" builtinId="20"/>
    <cellStyle name="Normal" xfId="0" builtinId="0"/>
    <cellStyle name="Normal 2 2" xfId="2" xr:uid="{AFD1B6E0-F747-4C24-AD8E-6F4E50F1C4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ihkel\Desktop\T&#246;&#246;d\b%20Villemi%20K&#245;ksi%20231443\Uurimist&#246;&#246;d\I%20Seletuskiri%20ja%20tabelid\Uurimist&#246;&#246;de%20tabelid%20Villemi%20K&#245;ksi.xlsx" TargetMode="External"/><Relationship Id="rId1" Type="http://schemas.openxmlformats.org/officeDocument/2006/relationships/externalLinkPath" Target="/Users/mihkel/Desktop/T&#246;&#246;d/b%20Villemi%20K&#245;ksi%20231443/Uurimist&#246;&#246;d/I%20Seletuskiri%20ja%20tabelid/Uurimist&#246;&#246;de%20tabelid%20Villemi%20K&#245;ks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1"/>
      <sheetName val="T2"/>
      <sheetName val="T3"/>
      <sheetName val="T4"/>
    </sheetNames>
    <sheetDataSet>
      <sheetData sheetId="0">
        <row r="6">
          <cell r="G6">
            <v>231.6</v>
          </cell>
        </row>
        <row r="7">
          <cell r="G7">
            <v>11</v>
          </cell>
        </row>
        <row r="8">
          <cell r="G8">
            <v>709.9</v>
          </cell>
          <cell r="H8">
            <v>1.03</v>
          </cell>
        </row>
        <row r="9">
          <cell r="G9">
            <v>4.8</v>
          </cell>
        </row>
        <row r="10">
          <cell r="G10">
            <v>490.9</v>
          </cell>
        </row>
        <row r="11">
          <cell r="I11">
            <v>6.01</v>
          </cell>
        </row>
        <row r="12">
          <cell r="I12">
            <v>1.45</v>
          </cell>
        </row>
        <row r="13">
          <cell r="I13">
            <v>0.09</v>
          </cell>
        </row>
        <row r="14">
          <cell r="I14">
            <v>0.67</v>
          </cell>
        </row>
        <row r="15">
          <cell r="H15">
            <v>0.53</v>
          </cell>
        </row>
        <row r="16">
          <cell r="H16">
            <v>0.92</v>
          </cell>
        </row>
        <row r="17">
          <cell r="H17">
            <v>3.33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8B966-B4D0-4C4F-BE69-B845924DDD4C}">
  <dimension ref="A1:AI182"/>
  <sheetViews>
    <sheetView zoomScale="70" zoomScaleNormal="70" workbookViewId="0">
      <selection activeCell="A7" sqref="A7:D7"/>
    </sheetView>
  </sheetViews>
  <sheetFormatPr defaultRowHeight="14.25" x14ac:dyDescent="0.2"/>
  <cols>
    <col min="1" max="1" width="9.140625" style="80"/>
    <col min="2" max="2" width="12.5703125" style="80" customWidth="1"/>
    <col min="3" max="3" width="6.7109375" style="80" customWidth="1"/>
    <col min="4" max="4" width="6.28515625" style="80" customWidth="1"/>
    <col min="5" max="5" width="9.140625" style="80"/>
    <col min="6" max="6" width="11.85546875" style="80" customWidth="1"/>
    <col min="7" max="7" width="9" style="80" customWidth="1"/>
    <col min="8" max="17" width="11.28515625" style="80" customWidth="1"/>
    <col min="18" max="16384" width="9.140625" style="80"/>
  </cols>
  <sheetData>
    <row r="1" spans="1:35" ht="15.75" x14ac:dyDescent="0.25">
      <c r="A1" s="72" t="s">
        <v>724</v>
      </c>
    </row>
    <row r="2" spans="1:35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</row>
    <row r="3" spans="1:35" x14ac:dyDescent="0.2">
      <c r="A3" s="233" t="s">
        <v>725</v>
      </c>
      <c r="B3" s="233"/>
      <c r="C3" s="233"/>
      <c r="D3" s="233"/>
      <c r="E3" s="233"/>
      <c r="F3" s="237" t="s">
        <v>750</v>
      </c>
      <c r="G3" s="237"/>
      <c r="H3" s="237"/>
      <c r="I3" s="237" t="s">
        <v>751</v>
      </c>
      <c r="J3" s="237"/>
      <c r="K3" s="237"/>
      <c r="L3" s="237" t="s">
        <v>752</v>
      </c>
      <c r="M3" s="237"/>
      <c r="N3" s="237"/>
      <c r="O3" s="237" t="s">
        <v>751</v>
      </c>
      <c r="P3" s="237"/>
      <c r="Q3" s="237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</row>
    <row r="4" spans="1:35" x14ac:dyDescent="0.2">
      <c r="A4" s="233" t="s">
        <v>726</v>
      </c>
      <c r="B4" s="233"/>
      <c r="C4" s="233"/>
      <c r="D4" s="233"/>
      <c r="E4" s="233"/>
      <c r="F4" s="237" t="s">
        <v>346</v>
      </c>
      <c r="G4" s="237"/>
      <c r="H4" s="237"/>
      <c r="I4" s="237" t="s">
        <v>348</v>
      </c>
      <c r="J4" s="237"/>
      <c r="K4" s="237"/>
      <c r="L4" s="237" t="s">
        <v>346</v>
      </c>
      <c r="M4" s="237"/>
      <c r="N4" s="237"/>
      <c r="O4" s="237" t="s">
        <v>346</v>
      </c>
      <c r="P4" s="237"/>
      <c r="Q4" s="237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</row>
    <row r="5" spans="1:35" x14ac:dyDescent="0.2">
      <c r="A5" s="233" t="s">
        <v>727</v>
      </c>
      <c r="B5" s="233"/>
      <c r="C5" s="233"/>
      <c r="D5" s="233"/>
      <c r="E5" s="233"/>
      <c r="F5" s="237" t="s">
        <v>345</v>
      </c>
      <c r="G5" s="237"/>
      <c r="H5" s="237"/>
      <c r="I5" s="237" t="s">
        <v>347</v>
      </c>
      <c r="J5" s="237"/>
      <c r="K5" s="237"/>
      <c r="L5" s="237" t="s">
        <v>349</v>
      </c>
      <c r="M5" s="237"/>
      <c r="N5" s="237"/>
      <c r="O5" s="237" t="s">
        <v>350</v>
      </c>
      <c r="P5" s="237"/>
      <c r="Q5" s="237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</row>
    <row r="6" spans="1:35" x14ac:dyDescent="0.2">
      <c r="A6" s="233" t="s">
        <v>728</v>
      </c>
      <c r="B6" s="233"/>
      <c r="C6" s="233"/>
      <c r="D6" s="233"/>
      <c r="E6" s="233"/>
      <c r="F6" s="157"/>
      <c r="G6" s="155" t="s">
        <v>42</v>
      </c>
      <c r="H6" s="158"/>
      <c r="I6" s="157"/>
      <c r="J6" s="155" t="s">
        <v>249</v>
      </c>
      <c r="K6" s="158"/>
      <c r="L6" s="157"/>
      <c r="M6" s="155" t="s">
        <v>43</v>
      </c>
      <c r="N6" s="158"/>
      <c r="O6" s="157"/>
      <c r="P6" s="155" t="s">
        <v>88</v>
      </c>
      <c r="Q6" s="158"/>
      <c r="R6" s="156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</row>
    <row r="7" spans="1:35" ht="51" customHeight="1" x14ac:dyDescent="0.2">
      <c r="A7" s="235" t="s">
        <v>729</v>
      </c>
      <c r="B7" s="235"/>
      <c r="C7" s="235"/>
      <c r="D7" s="235"/>
      <c r="E7" s="82" t="s">
        <v>444</v>
      </c>
      <c r="F7" s="76" t="s">
        <v>730</v>
      </c>
      <c r="G7" s="76" t="s">
        <v>731</v>
      </c>
      <c r="H7" s="76" t="s">
        <v>732</v>
      </c>
      <c r="I7" s="76" t="s">
        <v>730</v>
      </c>
      <c r="J7" s="76" t="s">
        <v>731</v>
      </c>
      <c r="K7" s="76" t="s">
        <v>732</v>
      </c>
      <c r="L7" s="76" t="s">
        <v>730</v>
      </c>
      <c r="M7" s="76" t="s">
        <v>731</v>
      </c>
      <c r="N7" s="76" t="s">
        <v>732</v>
      </c>
      <c r="O7" s="76" t="s">
        <v>730</v>
      </c>
      <c r="P7" s="76" t="s">
        <v>731</v>
      </c>
      <c r="Q7" s="76" t="s">
        <v>732</v>
      </c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</row>
    <row r="8" spans="1:35" x14ac:dyDescent="0.2">
      <c r="A8" s="231" t="s">
        <v>733</v>
      </c>
      <c r="B8" s="231"/>
      <c r="C8" s="231"/>
      <c r="D8" s="231"/>
      <c r="E8" s="231"/>
      <c r="F8" s="249"/>
      <c r="G8" s="250"/>
      <c r="H8" s="250"/>
      <c r="I8" s="250"/>
      <c r="J8" s="250"/>
      <c r="K8" s="250"/>
      <c r="L8" s="250"/>
      <c r="M8" s="250"/>
      <c r="N8" s="250"/>
      <c r="O8" s="250"/>
      <c r="P8" s="250"/>
      <c r="Q8" s="251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</row>
    <row r="9" spans="1:35" x14ac:dyDescent="0.2">
      <c r="A9" s="231"/>
      <c r="B9" s="231"/>
      <c r="C9" s="231"/>
      <c r="D9" s="231"/>
      <c r="E9" s="231"/>
      <c r="F9" s="252"/>
      <c r="G9" s="253"/>
      <c r="H9" s="253"/>
      <c r="I9" s="253"/>
      <c r="J9" s="253"/>
      <c r="K9" s="253"/>
      <c r="L9" s="253"/>
      <c r="M9" s="253"/>
      <c r="N9" s="253"/>
      <c r="O9" s="253"/>
      <c r="P9" s="253"/>
      <c r="Q9" s="254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</row>
    <row r="10" spans="1:35" ht="28.5" customHeight="1" x14ac:dyDescent="0.2">
      <c r="A10" s="232" t="s">
        <v>734</v>
      </c>
      <c r="B10" s="232"/>
      <c r="C10" s="232"/>
      <c r="D10" s="232"/>
      <c r="E10" s="6" t="s">
        <v>376</v>
      </c>
      <c r="F10" s="6"/>
      <c r="G10" s="6"/>
      <c r="H10" s="6">
        <v>182.8</v>
      </c>
      <c r="I10" s="6"/>
      <c r="J10" s="6"/>
      <c r="K10" s="68">
        <v>11</v>
      </c>
      <c r="L10" s="6"/>
      <c r="M10" s="6"/>
      <c r="N10" s="6">
        <v>709.9</v>
      </c>
      <c r="O10" s="6"/>
      <c r="P10" s="6"/>
      <c r="Q10" s="68">
        <v>460</v>
      </c>
      <c r="R10" s="122"/>
      <c r="S10" s="12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</row>
    <row r="11" spans="1:35" ht="26.25" customHeight="1" x14ac:dyDescent="0.2">
      <c r="A11" s="231" t="s">
        <v>735</v>
      </c>
      <c r="B11" s="231"/>
      <c r="C11" s="231"/>
      <c r="D11" s="231"/>
      <c r="E11" s="231"/>
      <c r="F11" s="246"/>
      <c r="G11" s="247"/>
      <c r="H11" s="247"/>
      <c r="I11" s="247"/>
      <c r="J11" s="247"/>
      <c r="K11" s="247"/>
      <c r="L11" s="247"/>
      <c r="M11" s="247"/>
      <c r="N11" s="247"/>
      <c r="O11" s="247"/>
      <c r="P11" s="247"/>
      <c r="Q11" s="248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</row>
    <row r="12" spans="1:35" x14ac:dyDescent="0.2">
      <c r="A12" s="244" t="s">
        <v>736</v>
      </c>
      <c r="B12" s="245"/>
      <c r="C12" s="149" t="s">
        <v>567</v>
      </c>
      <c r="D12" s="150" t="s">
        <v>566</v>
      </c>
      <c r="E12" s="6" t="s">
        <v>380</v>
      </c>
      <c r="F12" s="13"/>
      <c r="G12" s="13"/>
      <c r="H12" s="13">
        <f>SUMIFS('T8'!$F$9:$F$201,'T8'!$E$9:$E$201,'T1'!$D$12,'T8'!$C$9:$C$201,'T1'!$G$6)/1000</f>
        <v>13.872999999999999</v>
      </c>
      <c r="I12" s="13">
        <f>SUMIFS('T8'!$F$9:$F$201,'T8'!$E$9:$E$201,'T1'!$C$12,'T8'!$C$9:$C$201,'T1'!$J$6)/1000</f>
        <v>0.14499999999999999</v>
      </c>
      <c r="J12" s="13"/>
      <c r="K12" s="13">
        <f>SUMIFS('T8'!$F$9:$F$201,'T8'!$E$9:$E$201,'T1'!$D$12,'T8'!$C$9:$C$201,'T1'!$J$6)/1000</f>
        <v>0.32600000000000001</v>
      </c>
      <c r="L12" s="13"/>
      <c r="M12" s="13"/>
      <c r="N12" s="13">
        <f>SUMIFS('T8'!$F$9:$F$201,'T8'!$E$9:$E$201,'T1'!$D$12,'T8'!$C$9:$C$201,'T1'!$M$6)/1000</f>
        <v>27.605</v>
      </c>
      <c r="O12" s="13"/>
      <c r="P12" s="13"/>
      <c r="Q12" s="13">
        <f>SUMIFS('T8'!$F$9:$F$201,'T8'!$E$9:$E$201,'T1'!$D$12,'T8'!$C$9:$C$201,'T1'!$P$6)/1000</f>
        <v>22.363</v>
      </c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</row>
    <row r="13" spans="1:35" x14ac:dyDescent="0.2">
      <c r="A13" s="236" t="s">
        <v>737</v>
      </c>
      <c r="B13" s="236"/>
      <c r="C13" s="236"/>
      <c r="D13" s="236"/>
      <c r="E13" s="6" t="s">
        <v>34</v>
      </c>
      <c r="F13" s="70">
        <f>COUNTIF('T9'!$C$80:$C$135,'T1'!G6)</f>
        <v>8</v>
      </c>
      <c r="G13" s="70"/>
      <c r="H13" s="70">
        <f>COUNTIF('T9'!$C$8:$C$70,'T1'!G6)</f>
        <v>4</v>
      </c>
      <c r="I13" s="70">
        <f>COUNTIF('T9'!$C$80:$C$135,'T1'!J6)</f>
        <v>2</v>
      </c>
      <c r="J13" s="70"/>
      <c r="K13" s="70"/>
      <c r="L13" s="70">
        <f>COUNTIF('T9'!$C$80:$C$135,'T1'!M6)</f>
        <v>25</v>
      </c>
      <c r="M13" s="70">
        <f>COUNTIF('T9'!$C$181:$C$183,'T1'!M6)</f>
        <v>2</v>
      </c>
      <c r="N13" s="70">
        <f>COUNTIF('T9'!$C$8:$C$70,'T1'!M6)</f>
        <v>16</v>
      </c>
      <c r="O13" s="70">
        <f>COUNTIF('T9'!$C$80:$C$135,'T1'!P6)</f>
        <v>10</v>
      </c>
      <c r="P13" s="70"/>
      <c r="Q13" s="70">
        <f>COUNTIF('T9'!$C$8:$C$70,'T1'!P6)</f>
        <v>12</v>
      </c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</row>
    <row r="14" spans="1:35" ht="26.25" customHeight="1" x14ac:dyDescent="0.2">
      <c r="A14" s="225" t="s">
        <v>738</v>
      </c>
      <c r="B14" s="225"/>
      <c r="C14" s="225"/>
      <c r="D14" s="225"/>
      <c r="E14" s="146"/>
      <c r="F14" s="238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40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</row>
    <row r="15" spans="1:35" x14ac:dyDescent="0.2">
      <c r="A15" s="226" t="s">
        <v>739</v>
      </c>
      <c r="B15" s="226"/>
      <c r="C15" s="226"/>
      <c r="D15" s="226"/>
      <c r="E15" s="226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</row>
    <row r="16" spans="1:35" x14ac:dyDescent="0.2">
      <c r="A16" s="226" t="s">
        <v>740</v>
      </c>
      <c r="B16" s="226"/>
      <c r="C16" s="226"/>
      <c r="D16" s="226"/>
      <c r="E16" s="226"/>
      <c r="F16" s="229"/>
      <c r="G16" s="229"/>
      <c r="H16" s="229"/>
      <c r="I16" s="229"/>
      <c r="J16" s="229"/>
      <c r="K16" s="229"/>
      <c r="L16" s="229"/>
      <c r="M16" s="229"/>
      <c r="N16" s="229"/>
      <c r="O16" s="229"/>
      <c r="P16" s="229"/>
      <c r="Q16" s="229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</row>
    <row r="17" spans="1:35" x14ac:dyDescent="0.2">
      <c r="A17" s="226" t="s">
        <v>741</v>
      </c>
      <c r="B17" s="226"/>
      <c r="C17" s="226"/>
      <c r="D17" s="226"/>
      <c r="E17" s="226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</row>
    <row r="18" spans="1:35" x14ac:dyDescent="0.2">
      <c r="A18" s="226" t="s">
        <v>742</v>
      </c>
      <c r="B18" s="226"/>
      <c r="C18" s="226"/>
      <c r="D18" s="226"/>
      <c r="E18" s="6" t="s">
        <v>380</v>
      </c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</row>
    <row r="19" spans="1:35" x14ac:dyDescent="0.2">
      <c r="A19" s="242" t="s">
        <v>743</v>
      </c>
      <c r="B19" s="243"/>
      <c r="C19" s="146" t="s">
        <v>563</v>
      </c>
      <c r="D19" s="146" t="s">
        <v>562</v>
      </c>
      <c r="E19" s="6" t="s">
        <v>380</v>
      </c>
      <c r="F19" s="13"/>
      <c r="G19" s="13"/>
      <c r="H19" s="13"/>
      <c r="I19" s="13"/>
      <c r="J19" s="13"/>
      <c r="K19" s="13"/>
      <c r="L19" s="13"/>
      <c r="M19" s="13"/>
      <c r="N19" s="13">
        <f>SUMIFS('T8'!$F$9:$F$201,'T8'!$E$9:$E$201,'T1'!$D$19,'T8'!$C$9:$C$201,'T1'!$M$6)/1000</f>
        <v>0.38900000000000001</v>
      </c>
      <c r="O19" s="13"/>
      <c r="P19" s="13"/>
      <c r="Q19" s="13">
        <f>SUMIFS('T8'!$F$9:$F$201,'T8'!$E$9:$E$201,'T1'!$D$19,'T8'!$C$9:$C$201,'T1'!$P$6)/1000</f>
        <v>0.40600000000000003</v>
      </c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</row>
    <row r="20" spans="1:35" x14ac:dyDescent="0.2">
      <c r="A20" s="226" t="s">
        <v>744</v>
      </c>
      <c r="B20" s="226"/>
      <c r="C20" s="226"/>
      <c r="D20" s="226"/>
      <c r="E20" s="6" t="s">
        <v>34</v>
      </c>
      <c r="F20" s="70">
        <v>1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</row>
    <row r="21" spans="1:35" x14ac:dyDescent="0.2">
      <c r="A21" s="226" t="s">
        <v>745</v>
      </c>
      <c r="B21" s="226"/>
      <c r="C21" s="226"/>
      <c r="D21" s="226"/>
      <c r="E21" s="6" t="s">
        <v>34</v>
      </c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</row>
    <row r="22" spans="1:35" x14ac:dyDescent="0.2">
      <c r="A22" s="226" t="s">
        <v>746</v>
      </c>
      <c r="B22" s="226"/>
      <c r="C22" s="226"/>
      <c r="D22" s="226"/>
      <c r="E22" s="6" t="s">
        <v>34</v>
      </c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</row>
    <row r="23" spans="1:35" x14ac:dyDescent="0.2">
      <c r="A23" s="226" t="s">
        <v>747</v>
      </c>
      <c r="B23" s="226"/>
      <c r="C23" s="226"/>
      <c r="D23" s="226"/>
      <c r="E23" s="6" t="s">
        <v>34</v>
      </c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</row>
    <row r="24" spans="1:35" ht="27" customHeight="1" x14ac:dyDescent="0.2">
      <c r="A24" s="225" t="s">
        <v>748</v>
      </c>
      <c r="B24" s="225"/>
      <c r="C24" s="225"/>
      <c r="D24" s="225"/>
      <c r="E24" s="146"/>
      <c r="F24" s="238"/>
      <c r="G24" s="239"/>
      <c r="H24" s="239"/>
      <c r="I24" s="239"/>
      <c r="J24" s="239"/>
      <c r="K24" s="239"/>
      <c r="L24" s="239"/>
      <c r="M24" s="239"/>
      <c r="N24" s="239"/>
      <c r="O24" s="239"/>
      <c r="P24" s="239"/>
      <c r="Q24" s="240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</row>
    <row r="25" spans="1:35" x14ac:dyDescent="0.2">
      <c r="A25" s="226" t="s">
        <v>749</v>
      </c>
      <c r="B25" s="226"/>
      <c r="C25" s="226"/>
      <c r="D25" s="226"/>
      <c r="E25" s="6" t="s">
        <v>34</v>
      </c>
      <c r="F25" s="70"/>
      <c r="G25" s="70"/>
      <c r="H25" s="70"/>
      <c r="I25" s="13"/>
      <c r="J25" s="13"/>
      <c r="K25" s="13"/>
      <c r="L25" s="70">
        <v>1</v>
      </c>
      <c r="M25" s="70"/>
      <c r="N25" s="70">
        <v>1</v>
      </c>
      <c r="O25" s="70"/>
      <c r="P25" s="70"/>
      <c r="Q25" s="70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</row>
    <row r="26" spans="1:35" x14ac:dyDescent="0.2">
      <c r="A26" s="122"/>
      <c r="B26" s="122"/>
      <c r="C26" s="122"/>
      <c r="D26" s="122"/>
      <c r="E26" s="18"/>
      <c r="F26" s="143"/>
      <c r="G26" s="143"/>
      <c r="H26" s="143"/>
      <c r="I26" s="144"/>
      <c r="J26" s="144"/>
      <c r="K26" s="144"/>
      <c r="L26" s="144"/>
      <c r="M26" s="144"/>
      <c r="N26" s="144"/>
      <c r="O26" s="145"/>
      <c r="P26" s="145"/>
      <c r="Q26" s="145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</row>
    <row r="27" spans="1:35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</row>
    <row r="28" spans="1:35" x14ac:dyDescent="0.2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</row>
    <row r="29" spans="1:35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</row>
    <row r="30" spans="1:35" x14ac:dyDescent="0.2">
      <c r="A30" s="233" t="s">
        <v>725</v>
      </c>
      <c r="B30" s="233"/>
      <c r="C30" s="233"/>
      <c r="D30" s="233"/>
      <c r="E30" s="233"/>
      <c r="F30" s="237" t="s">
        <v>751</v>
      </c>
      <c r="G30" s="237"/>
      <c r="H30" s="237"/>
      <c r="I30" s="237" t="s">
        <v>751</v>
      </c>
      <c r="J30" s="237"/>
      <c r="K30" s="237"/>
      <c r="L30" s="237" t="s">
        <v>751</v>
      </c>
      <c r="M30" s="237"/>
      <c r="N30" s="237"/>
      <c r="O30" s="237" t="s">
        <v>752</v>
      </c>
      <c r="P30" s="237"/>
      <c r="Q30" s="237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</row>
    <row r="31" spans="1:35" x14ac:dyDescent="0.2">
      <c r="A31" s="233" t="s">
        <v>726</v>
      </c>
      <c r="B31" s="233"/>
      <c r="C31" s="233"/>
      <c r="D31" s="233"/>
      <c r="E31" s="233"/>
      <c r="F31" s="237" t="s">
        <v>352</v>
      </c>
      <c r="G31" s="237"/>
      <c r="H31" s="237"/>
      <c r="I31" s="237" t="s">
        <v>353</v>
      </c>
      <c r="J31" s="237"/>
      <c r="K31" s="237"/>
      <c r="L31" s="237" t="s">
        <v>354</v>
      </c>
      <c r="M31" s="237"/>
      <c r="N31" s="237"/>
      <c r="O31" s="237" t="s">
        <v>355</v>
      </c>
      <c r="P31" s="237"/>
      <c r="Q31" s="237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</row>
    <row r="32" spans="1:35" x14ac:dyDescent="0.2">
      <c r="A32" s="233" t="s">
        <v>727</v>
      </c>
      <c r="B32" s="233"/>
      <c r="C32" s="233"/>
      <c r="D32" s="233"/>
      <c r="E32" s="233"/>
      <c r="F32" s="241" t="s">
        <v>351</v>
      </c>
      <c r="G32" s="241"/>
      <c r="H32" s="241"/>
      <c r="I32" s="241" t="s">
        <v>754</v>
      </c>
      <c r="J32" s="241"/>
      <c r="K32" s="241"/>
      <c r="L32" s="241" t="s">
        <v>755</v>
      </c>
      <c r="M32" s="241"/>
      <c r="N32" s="241"/>
      <c r="O32" s="241" t="s">
        <v>351</v>
      </c>
      <c r="P32" s="241"/>
      <c r="Q32" s="241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</row>
    <row r="33" spans="1:32" x14ac:dyDescent="0.2">
      <c r="A33" s="233" t="s">
        <v>728</v>
      </c>
      <c r="B33" s="233"/>
      <c r="C33" s="233"/>
      <c r="D33" s="233"/>
      <c r="E33" s="234"/>
      <c r="F33" s="139"/>
      <c r="G33" s="140" t="s">
        <v>89</v>
      </c>
      <c r="H33" s="141"/>
      <c r="I33" s="139"/>
      <c r="J33" s="140" t="s">
        <v>90</v>
      </c>
      <c r="K33" s="141"/>
      <c r="L33" s="139"/>
      <c r="M33" s="140" t="s">
        <v>91</v>
      </c>
      <c r="N33" s="141"/>
      <c r="O33" s="139"/>
      <c r="P33" s="140" t="s">
        <v>92</v>
      </c>
      <c r="Q33" s="15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</row>
    <row r="34" spans="1:32" ht="38.25" x14ac:dyDescent="0.2">
      <c r="A34" s="235" t="s">
        <v>729</v>
      </c>
      <c r="B34" s="235"/>
      <c r="C34" s="235"/>
      <c r="D34" s="235"/>
      <c r="E34" s="82" t="s">
        <v>444</v>
      </c>
      <c r="F34" s="154" t="s">
        <v>730</v>
      </c>
      <c r="G34" s="154" t="s">
        <v>731</v>
      </c>
      <c r="H34" s="154" t="s">
        <v>732</v>
      </c>
      <c r="I34" s="154" t="s">
        <v>730</v>
      </c>
      <c r="J34" s="154" t="s">
        <v>731</v>
      </c>
      <c r="K34" s="154" t="s">
        <v>732</v>
      </c>
      <c r="L34" s="154" t="s">
        <v>730</v>
      </c>
      <c r="M34" s="154" t="s">
        <v>731</v>
      </c>
      <c r="N34" s="154" t="s">
        <v>732</v>
      </c>
      <c r="O34" s="154" t="s">
        <v>730</v>
      </c>
      <c r="P34" s="154" t="s">
        <v>731</v>
      </c>
      <c r="Q34" s="154" t="s">
        <v>732</v>
      </c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</row>
    <row r="35" spans="1:32" x14ac:dyDescent="0.2">
      <c r="A35" s="231" t="s">
        <v>733</v>
      </c>
      <c r="B35" s="231"/>
      <c r="C35" s="231"/>
      <c r="D35" s="231"/>
      <c r="E35" s="231"/>
      <c r="F35" s="249"/>
      <c r="G35" s="250"/>
      <c r="H35" s="250"/>
      <c r="I35" s="250"/>
      <c r="J35" s="250"/>
      <c r="K35" s="250"/>
      <c r="L35" s="250"/>
      <c r="M35" s="250"/>
      <c r="N35" s="250"/>
      <c r="O35" s="250"/>
      <c r="P35" s="250"/>
      <c r="Q35" s="251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</row>
    <row r="36" spans="1:32" x14ac:dyDescent="0.2">
      <c r="A36" s="231"/>
      <c r="B36" s="231"/>
      <c r="C36" s="231"/>
      <c r="D36" s="231"/>
      <c r="E36" s="231"/>
      <c r="F36" s="252"/>
      <c r="G36" s="253"/>
      <c r="H36" s="253"/>
      <c r="I36" s="253"/>
      <c r="J36" s="253"/>
      <c r="K36" s="253"/>
      <c r="L36" s="253"/>
      <c r="M36" s="253"/>
      <c r="N36" s="253"/>
      <c r="O36" s="253"/>
      <c r="P36" s="253"/>
      <c r="Q36" s="254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</row>
    <row r="37" spans="1:32" ht="21.75" customHeight="1" x14ac:dyDescent="0.2">
      <c r="A37" s="232" t="s">
        <v>734</v>
      </c>
      <c r="B37" s="232"/>
      <c r="C37" s="232"/>
      <c r="D37" s="232"/>
      <c r="E37" s="6" t="s">
        <v>376</v>
      </c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</row>
    <row r="38" spans="1:32" ht="23.25" customHeight="1" x14ac:dyDescent="0.2">
      <c r="A38" s="231" t="s">
        <v>735</v>
      </c>
      <c r="B38" s="231"/>
      <c r="C38" s="231"/>
      <c r="D38" s="231"/>
      <c r="E38" s="231"/>
      <c r="F38" s="246"/>
      <c r="G38" s="247"/>
      <c r="H38" s="247"/>
      <c r="I38" s="247"/>
      <c r="J38" s="247"/>
      <c r="K38" s="247"/>
      <c r="L38" s="247"/>
      <c r="M38" s="247"/>
      <c r="N38" s="247"/>
      <c r="O38" s="247"/>
      <c r="P38" s="247"/>
      <c r="Q38" s="248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</row>
    <row r="39" spans="1:32" x14ac:dyDescent="0.2">
      <c r="A39" s="236" t="s">
        <v>736</v>
      </c>
      <c r="B39" s="236"/>
      <c r="C39" s="236"/>
      <c r="D39" s="236"/>
      <c r="E39" s="6" t="s">
        <v>380</v>
      </c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</row>
    <row r="40" spans="1:32" x14ac:dyDescent="0.2">
      <c r="A40" s="236" t="s">
        <v>737</v>
      </c>
      <c r="B40" s="236"/>
      <c r="C40" s="236"/>
      <c r="D40" s="236"/>
      <c r="E40" s="6" t="s">
        <v>34</v>
      </c>
      <c r="F40" s="70"/>
      <c r="G40" s="70"/>
      <c r="H40" s="70"/>
      <c r="I40" s="70"/>
      <c r="J40" s="70"/>
      <c r="K40" s="70"/>
      <c r="L40" s="13"/>
      <c r="M40" s="13"/>
      <c r="N40" s="13"/>
      <c r="O40" s="70"/>
      <c r="P40" s="70"/>
      <c r="Q40" s="70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</row>
    <row r="41" spans="1:32" ht="27.75" customHeight="1" x14ac:dyDescent="0.2">
      <c r="A41" s="225" t="s">
        <v>738</v>
      </c>
      <c r="B41" s="225"/>
      <c r="C41" s="225"/>
      <c r="D41" s="225"/>
      <c r="E41" s="146"/>
      <c r="F41" s="238"/>
      <c r="G41" s="239"/>
      <c r="H41" s="239"/>
      <c r="I41" s="239"/>
      <c r="J41" s="239"/>
      <c r="K41" s="239"/>
      <c r="L41" s="239"/>
      <c r="M41" s="239"/>
      <c r="N41" s="239"/>
      <c r="O41" s="239"/>
      <c r="P41" s="239"/>
      <c r="Q41" s="240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</row>
    <row r="42" spans="1:32" x14ac:dyDescent="0.2">
      <c r="A42" s="226" t="s">
        <v>739</v>
      </c>
      <c r="B42" s="226"/>
      <c r="C42" s="226"/>
      <c r="D42" s="226"/>
      <c r="E42" s="226"/>
      <c r="F42" s="229" t="s">
        <v>352</v>
      </c>
      <c r="G42" s="229"/>
      <c r="H42" s="229"/>
      <c r="I42" s="229" t="s">
        <v>353</v>
      </c>
      <c r="J42" s="229"/>
      <c r="K42" s="229"/>
      <c r="L42" s="229" t="s">
        <v>354</v>
      </c>
      <c r="M42" s="229"/>
      <c r="N42" s="229"/>
      <c r="O42" s="229" t="s">
        <v>355</v>
      </c>
      <c r="P42" s="229"/>
      <c r="Q42" s="229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</row>
    <row r="43" spans="1:32" x14ac:dyDescent="0.2">
      <c r="A43" s="226" t="s">
        <v>740</v>
      </c>
      <c r="B43" s="226"/>
      <c r="C43" s="226"/>
      <c r="D43" s="226"/>
      <c r="E43" s="226"/>
      <c r="F43" s="229">
        <v>3</v>
      </c>
      <c r="G43" s="229"/>
      <c r="H43" s="229"/>
      <c r="I43" s="229">
        <v>4</v>
      </c>
      <c r="J43" s="229"/>
      <c r="K43" s="229"/>
      <c r="L43" s="230" t="s">
        <v>761</v>
      </c>
      <c r="M43" s="230"/>
      <c r="N43" s="230"/>
      <c r="O43" s="229">
        <v>4</v>
      </c>
      <c r="P43" s="229"/>
      <c r="Q43" s="229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</row>
    <row r="44" spans="1:32" x14ac:dyDescent="0.2">
      <c r="A44" s="226" t="s">
        <v>741</v>
      </c>
      <c r="B44" s="226"/>
      <c r="C44" s="226"/>
      <c r="D44" s="226"/>
      <c r="E44" s="226"/>
      <c r="F44" s="229">
        <v>5013494</v>
      </c>
      <c r="G44" s="229"/>
      <c r="H44" s="229"/>
      <c r="I44" s="229">
        <v>4825991</v>
      </c>
      <c r="J44" s="229"/>
      <c r="K44" s="229"/>
      <c r="L44" s="230" t="s">
        <v>760</v>
      </c>
      <c r="M44" s="230"/>
      <c r="N44" s="230"/>
      <c r="O44" s="229">
        <v>4786366</v>
      </c>
      <c r="P44" s="229"/>
      <c r="Q44" s="229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</row>
    <row r="45" spans="1:32" x14ac:dyDescent="0.2">
      <c r="A45" s="226" t="s">
        <v>742</v>
      </c>
      <c r="B45" s="226"/>
      <c r="C45" s="226"/>
      <c r="D45" s="226"/>
      <c r="E45" s="6" t="s">
        <v>380</v>
      </c>
      <c r="F45" s="13"/>
      <c r="G45" s="13"/>
      <c r="H45" s="13">
        <f>'T11'!E13/1000</f>
        <v>6.01</v>
      </c>
      <c r="I45" s="13"/>
      <c r="J45" s="13"/>
      <c r="K45" s="13">
        <f>'T11'!E17/1000</f>
        <v>1.3759999999999999</v>
      </c>
      <c r="L45" s="13"/>
      <c r="M45" s="13"/>
      <c r="N45" s="13">
        <f>'T11'!E21/1000</f>
        <v>9.4E-2</v>
      </c>
      <c r="O45" s="13"/>
      <c r="P45" s="13"/>
      <c r="Q45" s="13">
        <f>'T11'!E26/1000</f>
        <v>0.76500000000000001</v>
      </c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</row>
    <row r="46" spans="1:32" x14ac:dyDescent="0.2">
      <c r="A46" s="242" t="s">
        <v>743</v>
      </c>
      <c r="B46" s="243"/>
      <c r="C46" s="146" t="s">
        <v>563</v>
      </c>
      <c r="D46" s="146" t="s">
        <v>562</v>
      </c>
      <c r="E46" s="6" t="s">
        <v>380</v>
      </c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>
        <f>SUMIFS('T8'!$F$9:$F$201,'T8'!$E$9:$E$201,'T1'!$D$46,'T8'!$C$9:$C$201,'T1'!$P$33)/1000</f>
        <v>0.38</v>
      </c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</row>
    <row r="47" spans="1:32" x14ac:dyDescent="0.2">
      <c r="A47" s="226" t="s">
        <v>744</v>
      </c>
      <c r="B47" s="226"/>
      <c r="C47" s="226"/>
      <c r="D47" s="226"/>
      <c r="E47" s="6" t="s">
        <v>34</v>
      </c>
      <c r="F47" s="70">
        <v>25</v>
      </c>
      <c r="G47" s="13"/>
      <c r="H47" s="70">
        <v>2</v>
      </c>
      <c r="I47" s="70">
        <v>7</v>
      </c>
      <c r="J47" s="13"/>
      <c r="K47" s="70">
        <v>1</v>
      </c>
      <c r="L47" s="70">
        <v>2</v>
      </c>
      <c r="M47" s="70"/>
      <c r="N47" s="70">
        <v>1</v>
      </c>
      <c r="O47" s="70">
        <v>3</v>
      </c>
      <c r="P47" s="13"/>
      <c r="Q47" s="70">
        <v>1</v>
      </c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</row>
    <row r="48" spans="1:32" x14ac:dyDescent="0.2">
      <c r="A48" s="226" t="s">
        <v>745</v>
      </c>
      <c r="B48" s="226"/>
      <c r="C48" s="226"/>
      <c r="D48" s="226"/>
      <c r="E48" s="6" t="s">
        <v>34</v>
      </c>
      <c r="F48" s="13"/>
      <c r="G48" s="13"/>
      <c r="H48" s="13"/>
      <c r="I48" s="70">
        <v>1</v>
      </c>
      <c r="J48" s="13"/>
      <c r="K48" s="70"/>
      <c r="L48" s="70"/>
      <c r="M48" s="70"/>
      <c r="N48" s="70"/>
      <c r="O48" s="13"/>
      <c r="P48" s="13"/>
      <c r="Q48" s="13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</row>
    <row r="49" spans="1:35" x14ac:dyDescent="0.2">
      <c r="A49" s="226" t="s">
        <v>746</v>
      </c>
      <c r="B49" s="226"/>
      <c r="C49" s="226"/>
      <c r="D49" s="226"/>
      <c r="E49" s="6" t="s">
        <v>34</v>
      </c>
      <c r="F49" s="13"/>
      <c r="G49" s="13"/>
      <c r="H49" s="13"/>
      <c r="I49" s="13"/>
      <c r="J49" s="13"/>
      <c r="K49" s="70">
        <v>1</v>
      </c>
      <c r="L49" s="70"/>
      <c r="M49" s="70"/>
      <c r="N49" s="70"/>
      <c r="O49" s="70">
        <v>1</v>
      </c>
      <c r="P49" s="13"/>
      <c r="Q49" s="13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</row>
    <row r="50" spans="1:35" x14ac:dyDescent="0.2">
      <c r="A50" s="226" t="s">
        <v>747</v>
      </c>
      <c r="B50" s="226"/>
      <c r="C50" s="226"/>
      <c r="D50" s="226"/>
      <c r="E50" s="6" t="s">
        <v>34</v>
      </c>
      <c r="F50" s="70">
        <f>COUNTIF('T9'!$C$80:$C$135,'T1'!G33)</f>
        <v>9</v>
      </c>
      <c r="G50" s="70">
        <f>COUNTIF('T9'!$C$181:$C$183,'T1'!G33)</f>
        <v>1</v>
      </c>
      <c r="H50" s="70">
        <f>COUNTIF('T9'!$C$8:$C$70,'T1'!G33)</f>
        <v>21</v>
      </c>
      <c r="I50" s="13"/>
      <c r="J50" s="13"/>
      <c r="K50" s="70">
        <f>COUNTIF('T9'!$C$8:$C$70,'T1'!J33)</f>
        <v>4</v>
      </c>
      <c r="L50" s="70"/>
      <c r="M50" s="70"/>
      <c r="N50" s="70">
        <f>COUNTIF('T9'!$C$8:$C$70,'T1'!M33)</f>
        <v>1</v>
      </c>
      <c r="O50" s="70">
        <f>COUNTIF('T9'!$C$80:$C$135,'T1'!P33)</f>
        <v>1</v>
      </c>
      <c r="P50" s="13"/>
      <c r="Q50" s="70">
        <f>COUNTIF('T9'!$C$8:$C$70,'T1'!P33)</f>
        <v>3</v>
      </c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</row>
    <row r="51" spans="1:35" x14ac:dyDescent="0.2">
      <c r="A51" s="225" t="s">
        <v>748</v>
      </c>
      <c r="B51" s="225"/>
      <c r="C51" s="225"/>
      <c r="D51" s="225"/>
      <c r="E51" s="146"/>
      <c r="F51" s="238"/>
      <c r="G51" s="239"/>
      <c r="H51" s="239"/>
      <c r="I51" s="239"/>
      <c r="J51" s="239"/>
      <c r="K51" s="239"/>
      <c r="L51" s="239"/>
      <c r="M51" s="239"/>
      <c r="N51" s="239"/>
      <c r="O51" s="239"/>
      <c r="P51" s="239"/>
      <c r="Q51" s="240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</row>
    <row r="52" spans="1:35" x14ac:dyDescent="0.2">
      <c r="A52" s="226" t="s">
        <v>749</v>
      </c>
      <c r="B52" s="226"/>
      <c r="C52" s="226"/>
      <c r="D52" s="226"/>
      <c r="E52" s="6" t="s">
        <v>34</v>
      </c>
      <c r="F52" s="13"/>
      <c r="G52" s="13"/>
      <c r="H52" s="13"/>
      <c r="I52" s="13"/>
      <c r="J52" s="13"/>
      <c r="K52" s="13"/>
      <c r="L52" s="147"/>
      <c r="M52" s="147"/>
      <c r="N52" s="147"/>
      <c r="O52" s="70"/>
      <c r="P52" s="70"/>
      <c r="Q52" s="70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</row>
    <row r="53" spans="1:35" x14ac:dyDescent="0.2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</row>
    <row r="54" spans="1:35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</row>
    <row r="55" spans="1:35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</row>
    <row r="56" spans="1:35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</row>
    <row r="57" spans="1:35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</row>
    <row r="58" spans="1:35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</row>
    <row r="59" spans="1:35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</row>
    <row r="60" spans="1:35" x14ac:dyDescent="0.2">
      <c r="A60" s="233" t="s">
        <v>725</v>
      </c>
      <c r="B60" s="233"/>
      <c r="C60" s="233"/>
      <c r="D60" s="233"/>
      <c r="E60" s="233"/>
      <c r="F60" s="237" t="s">
        <v>753</v>
      </c>
      <c r="G60" s="237"/>
      <c r="H60" s="237"/>
      <c r="I60" s="237" t="s">
        <v>757</v>
      </c>
      <c r="J60" s="237"/>
      <c r="K60" s="237"/>
      <c r="L60" s="227" t="s">
        <v>44</v>
      </c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</row>
    <row r="61" spans="1:35" x14ac:dyDescent="0.2">
      <c r="A61" s="233" t="s">
        <v>726</v>
      </c>
      <c r="B61" s="233"/>
      <c r="C61" s="233"/>
      <c r="D61" s="233"/>
      <c r="E61" s="233"/>
      <c r="F61" s="237" t="s">
        <v>356</v>
      </c>
      <c r="G61" s="237"/>
      <c r="H61" s="237"/>
      <c r="I61" s="237" t="s">
        <v>756</v>
      </c>
      <c r="J61" s="237"/>
      <c r="K61" s="237"/>
      <c r="L61" s="227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</row>
    <row r="62" spans="1:35" x14ac:dyDescent="0.2">
      <c r="A62" s="233" t="s">
        <v>727</v>
      </c>
      <c r="B62" s="233"/>
      <c r="C62" s="233"/>
      <c r="D62" s="233"/>
      <c r="E62" s="233"/>
      <c r="F62" s="241" t="s">
        <v>347</v>
      </c>
      <c r="G62" s="241"/>
      <c r="H62" s="241"/>
      <c r="I62" s="241" t="s">
        <v>349</v>
      </c>
      <c r="J62" s="241"/>
      <c r="K62" s="241"/>
      <c r="L62" s="227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</row>
    <row r="63" spans="1:35" x14ac:dyDescent="0.2">
      <c r="A63" s="233" t="s">
        <v>728</v>
      </c>
      <c r="B63" s="233"/>
      <c r="C63" s="233"/>
      <c r="D63" s="233"/>
      <c r="E63" s="234"/>
      <c r="F63" s="151"/>
      <c r="G63" s="140" t="s">
        <v>93</v>
      </c>
      <c r="H63" s="141"/>
      <c r="I63" s="139"/>
      <c r="J63" s="140" t="s">
        <v>246</v>
      </c>
      <c r="K63" s="152"/>
      <c r="L63" s="228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</row>
    <row r="64" spans="1:35" ht="38.25" x14ac:dyDescent="0.2">
      <c r="A64" s="235" t="s">
        <v>729</v>
      </c>
      <c r="B64" s="235"/>
      <c r="C64" s="235"/>
      <c r="D64" s="235"/>
      <c r="E64" s="82" t="s">
        <v>444</v>
      </c>
      <c r="F64" s="154" t="s">
        <v>730</v>
      </c>
      <c r="G64" s="154" t="s">
        <v>731</v>
      </c>
      <c r="H64" s="154" t="s">
        <v>732</v>
      </c>
      <c r="I64" s="154" t="s">
        <v>730</v>
      </c>
      <c r="J64" s="154" t="s">
        <v>731</v>
      </c>
      <c r="K64" s="154" t="s">
        <v>732</v>
      </c>
      <c r="L64" s="227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</row>
    <row r="65" spans="1:29" x14ac:dyDescent="0.2">
      <c r="A65" s="231" t="s">
        <v>733</v>
      </c>
      <c r="B65" s="231"/>
      <c r="C65" s="231"/>
      <c r="D65" s="231"/>
      <c r="E65" s="231"/>
      <c r="F65" s="249"/>
      <c r="G65" s="250"/>
      <c r="H65" s="250"/>
      <c r="I65" s="250"/>
      <c r="J65" s="250"/>
      <c r="K65" s="250"/>
      <c r="L65" s="251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</row>
    <row r="66" spans="1:29" x14ac:dyDescent="0.2">
      <c r="A66" s="231"/>
      <c r="B66" s="231"/>
      <c r="C66" s="231"/>
      <c r="D66" s="231"/>
      <c r="E66" s="231"/>
      <c r="F66" s="252"/>
      <c r="G66" s="253"/>
      <c r="H66" s="253"/>
      <c r="I66" s="253"/>
      <c r="J66" s="253"/>
      <c r="K66" s="253"/>
      <c r="L66" s="254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</row>
    <row r="67" spans="1:29" ht="24.75" customHeight="1" x14ac:dyDescent="0.2">
      <c r="A67" s="232" t="s">
        <v>734</v>
      </c>
      <c r="B67" s="232"/>
      <c r="C67" s="232"/>
      <c r="D67" s="232"/>
      <c r="E67" s="6" t="s">
        <v>376</v>
      </c>
      <c r="F67" s="6"/>
      <c r="G67" s="6"/>
      <c r="H67" s="6"/>
      <c r="I67" s="6"/>
      <c r="J67" s="6"/>
      <c r="K67" s="6"/>
      <c r="L67" s="8">
        <f>SUM(F10:Q10)+SUM(F37:Q37)+SUM(F67:K67)</f>
        <v>1363.7</v>
      </c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</row>
    <row r="68" spans="1:29" ht="30.75" customHeight="1" x14ac:dyDescent="0.2">
      <c r="A68" s="231" t="s">
        <v>735</v>
      </c>
      <c r="B68" s="231"/>
      <c r="C68" s="231"/>
      <c r="D68" s="231"/>
      <c r="E68" s="231"/>
      <c r="F68" s="246"/>
      <c r="G68" s="247"/>
      <c r="H68" s="247"/>
      <c r="I68" s="247"/>
      <c r="J68" s="247"/>
      <c r="K68" s="247"/>
      <c r="L68" s="248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</row>
    <row r="69" spans="1:29" x14ac:dyDescent="0.2">
      <c r="A69" s="236" t="s">
        <v>736</v>
      </c>
      <c r="B69" s="236"/>
      <c r="C69" s="236"/>
      <c r="D69" s="236"/>
      <c r="E69" s="6" t="s">
        <v>380</v>
      </c>
      <c r="F69" s="13"/>
      <c r="G69" s="13"/>
      <c r="H69" s="13"/>
      <c r="I69" s="13"/>
      <c r="J69" s="13"/>
      <c r="K69" s="13"/>
      <c r="L69" s="78">
        <f>SUM(F12:Q12)+SUM(F39:Q39)+SUM(F69:K69)</f>
        <v>64.311999999999998</v>
      </c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</row>
    <row r="70" spans="1:29" x14ac:dyDescent="0.2">
      <c r="A70" s="236" t="s">
        <v>737</v>
      </c>
      <c r="B70" s="236"/>
      <c r="C70" s="236"/>
      <c r="D70" s="236"/>
      <c r="E70" s="6" t="s">
        <v>34</v>
      </c>
      <c r="F70" s="70">
        <f>COUNTIF('T9'!$C$80:$C$135,'T1'!G63)</f>
        <v>1</v>
      </c>
      <c r="G70" s="70"/>
      <c r="H70" s="70">
        <f>COUNTIF('T9'!$C$8:$C$70,'T1'!G63)</f>
        <v>1</v>
      </c>
      <c r="I70" s="13"/>
      <c r="J70" s="13"/>
      <c r="K70" s="70">
        <f>COUNTIF('T9'!$C$8:$C$70,'T1'!J63)</f>
        <v>1</v>
      </c>
      <c r="L70" s="102">
        <f>SUM(F13:Q13)+SUM(F40:Q40)+SUM(F70:K70)</f>
        <v>82</v>
      </c>
      <c r="M70" s="12"/>
      <c r="N70" s="159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</row>
    <row r="71" spans="1:29" ht="22.5" customHeight="1" x14ac:dyDescent="0.2">
      <c r="A71" s="225" t="s">
        <v>738</v>
      </c>
      <c r="B71" s="225"/>
      <c r="C71" s="225"/>
      <c r="D71" s="225"/>
      <c r="E71" s="146"/>
      <c r="F71" s="246"/>
      <c r="G71" s="247"/>
      <c r="H71" s="247"/>
      <c r="I71" s="247"/>
      <c r="J71" s="247"/>
      <c r="K71" s="247"/>
      <c r="L71" s="248"/>
      <c r="M71" s="12"/>
      <c r="N71" s="12"/>
      <c r="O71" s="159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</row>
    <row r="72" spans="1:29" x14ac:dyDescent="0.2">
      <c r="A72" s="226" t="s">
        <v>739</v>
      </c>
      <c r="B72" s="226"/>
      <c r="C72" s="226"/>
      <c r="D72" s="226"/>
      <c r="E72" s="226"/>
      <c r="F72" s="229"/>
      <c r="G72" s="229"/>
      <c r="H72" s="229"/>
      <c r="I72" s="229"/>
      <c r="J72" s="229"/>
      <c r="K72" s="229"/>
      <c r="L72" s="8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</row>
    <row r="73" spans="1:29" x14ac:dyDescent="0.2">
      <c r="A73" s="226" t="s">
        <v>740</v>
      </c>
      <c r="B73" s="226"/>
      <c r="C73" s="226"/>
      <c r="D73" s="226"/>
      <c r="E73" s="226"/>
      <c r="F73" s="229"/>
      <c r="G73" s="229"/>
      <c r="H73" s="229"/>
      <c r="I73" s="230"/>
      <c r="J73" s="230"/>
      <c r="K73" s="230"/>
      <c r="L73" s="8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</row>
    <row r="74" spans="1:29" x14ac:dyDescent="0.2">
      <c r="A74" s="226" t="s">
        <v>741</v>
      </c>
      <c r="B74" s="226"/>
      <c r="C74" s="226"/>
      <c r="D74" s="226"/>
      <c r="E74" s="226"/>
      <c r="F74" s="229"/>
      <c r="G74" s="229"/>
      <c r="H74" s="229"/>
      <c r="I74" s="230"/>
      <c r="J74" s="230"/>
      <c r="K74" s="230"/>
      <c r="L74" s="148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</row>
    <row r="75" spans="1:29" x14ac:dyDescent="0.2">
      <c r="A75" s="226" t="s">
        <v>742</v>
      </c>
      <c r="B75" s="226"/>
      <c r="C75" s="226"/>
      <c r="D75" s="226"/>
      <c r="E75" s="6" t="s">
        <v>380</v>
      </c>
      <c r="F75" s="142"/>
      <c r="G75" s="142"/>
      <c r="H75" s="142"/>
      <c r="I75" s="142"/>
      <c r="J75" s="142"/>
      <c r="K75" s="13"/>
      <c r="L75" s="78">
        <f t="shared" ref="L75:L80" si="0">SUM(F18:Q18)+SUM(F45:Q45)+SUM(F75:K75)</f>
        <v>8.2449999999999992</v>
      </c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</row>
    <row r="76" spans="1:29" x14ac:dyDescent="0.2">
      <c r="A76" s="242" t="s">
        <v>743</v>
      </c>
      <c r="B76" s="243"/>
      <c r="C76" s="146" t="s">
        <v>563</v>
      </c>
      <c r="D76" s="146" t="s">
        <v>562</v>
      </c>
      <c r="E76" s="6" t="s">
        <v>380</v>
      </c>
      <c r="F76" s="13"/>
      <c r="G76" s="13"/>
      <c r="H76" s="13"/>
      <c r="I76" s="13"/>
      <c r="J76" s="13"/>
      <c r="K76" s="13"/>
      <c r="L76" s="78">
        <f t="shared" si="0"/>
        <v>1.175</v>
      </c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</row>
    <row r="77" spans="1:29" x14ac:dyDescent="0.2">
      <c r="A77" s="226" t="s">
        <v>744</v>
      </c>
      <c r="B77" s="226"/>
      <c r="C77" s="226"/>
      <c r="D77" s="226"/>
      <c r="E77" s="6" t="s">
        <v>34</v>
      </c>
      <c r="F77" s="70">
        <v>1</v>
      </c>
      <c r="G77" s="13"/>
      <c r="H77" s="13"/>
      <c r="I77" s="70"/>
      <c r="J77" s="70"/>
      <c r="K77" s="70"/>
      <c r="L77" s="102">
        <f t="shared" si="0"/>
        <v>44</v>
      </c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</row>
    <row r="78" spans="1:29" x14ac:dyDescent="0.2">
      <c r="A78" s="226" t="s">
        <v>745</v>
      </c>
      <c r="B78" s="226"/>
      <c r="C78" s="226"/>
      <c r="D78" s="226"/>
      <c r="E78" s="6" t="s">
        <v>34</v>
      </c>
      <c r="F78" s="13"/>
      <c r="G78" s="13"/>
      <c r="H78" s="13"/>
      <c r="I78" s="70"/>
      <c r="J78" s="70"/>
      <c r="K78" s="70"/>
      <c r="L78" s="102">
        <f t="shared" si="0"/>
        <v>1</v>
      </c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</row>
    <row r="79" spans="1:29" x14ac:dyDescent="0.2">
      <c r="A79" s="226" t="s">
        <v>746</v>
      </c>
      <c r="B79" s="226"/>
      <c r="C79" s="226"/>
      <c r="D79" s="226"/>
      <c r="E79" s="6" t="s">
        <v>34</v>
      </c>
      <c r="F79" s="13"/>
      <c r="G79" s="13"/>
      <c r="H79" s="13"/>
      <c r="I79" s="70"/>
      <c r="J79" s="70"/>
      <c r="K79" s="70"/>
      <c r="L79" s="102">
        <f t="shared" si="0"/>
        <v>2</v>
      </c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</row>
    <row r="80" spans="1:29" x14ac:dyDescent="0.2">
      <c r="A80" s="226" t="s">
        <v>747</v>
      </c>
      <c r="B80" s="226"/>
      <c r="C80" s="226"/>
      <c r="D80" s="226"/>
      <c r="E80" s="6" t="s">
        <v>34</v>
      </c>
      <c r="F80" s="13"/>
      <c r="G80" s="13"/>
      <c r="H80" s="13"/>
      <c r="I80" s="70"/>
      <c r="J80" s="70"/>
      <c r="K80" s="70"/>
      <c r="L80" s="102">
        <f t="shared" si="0"/>
        <v>40</v>
      </c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</row>
    <row r="81" spans="1:35" x14ac:dyDescent="0.2">
      <c r="A81" s="225" t="s">
        <v>748</v>
      </c>
      <c r="B81" s="225"/>
      <c r="C81" s="225"/>
      <c r="D81" s="225"/>
      <c r="E81" s="146"/>
      <c r="F81" s="246"/>
      <c r="G81" s="247"/>
      <c r="H81" s="247"/>
      <c r="I81" s="247"/>
      <c r="J81" s="247"/>
      <c r="K81" s="247"/>
      <c r="L81" s="248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</row>
    <row r="82" spans="1:35" x14ac:dyDescent="0.2">
      <c r="A82" s="226" t="s">
        <v>749</v>
      </c>
      <c r="B82" s="226"/>
      <c r="C82" s="226"/>
      <c r="D82" s="226"/>
      <c r="E82" s="6" t="s">
        <v>34</v>
      </c>
      <c r="F82" s="13"/>
      <c r="G82" s="13"/>
      <c r="H82" s="13"/>
      <c r="I82" s="147"/>
      <c r="J82" s="147"/>
      <c r="K82" s="147"/>
      <c r="L82" s="102">
        <f>SUM(F25:Q25)+SUM(F52:Q52)+SUM(F82:K82)</f>
        <v>2</v>
      </c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1:35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</row>
    <row r="84" spans="1:35" x14ac:dyDescent="0.2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</row>
    <row r="85" spans="1:35" x14ac:dyDescent="0.2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</row>
    <row r="86" spans="1:35" x14ac:dyDescent="0.2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</row>
    <row r="87" spans="1:35" x14ac:dyDescent="0.2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</row>
    <row r="88" spans="1:35" x14ac:dyDescent="0.2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</row>
    <row r="89" spans="1:35" x14ac:dyDescent="0.2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</row>
    <row r="90" spans="1:35" x14ac:dyDescent="0.2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</row>
    <row r="91" spans="1:35" x14ac:dyDescent="0.2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</row>
    <row r="92" spans="1:35" x14ac:dyDescent="0.2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</row>
    <row r="93" spans="1:35" x14ac:dyDescent="0.2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</row>
    <row r="94" spans="1:35" x14ac:dyDescent="0.2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</row>
    <row r="95" spans="1:35" x14ac:dyDescent="0.2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</row>
    <row r="96" spans="1:35" x14ac:dyDescent="0.2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</row>
    <row r="97" spans="1:35" x14ac:dyDescent="0.2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</row>
    <row r="98" spans="1:35" x14ac:dyDescent="0.2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</row>
    <row r="99" spans="1:35" x14ac:dyDescent="0.2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</row>
    <row r="100" spans="1:35" x14ac:dyDescent="0.2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</row>
    <row r="101" spans="1:35" x14ac:dyDescent="0.2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</row>
    <row r="102" spans="1:35" x14ac:dyDescent="0.2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</row>
    <row r="103" spans="1:35" x14ac:dyDescent="0.2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</row>
    <row r="104" spans="1:35" x14ac:dyDescent="0.2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</row>
    <row r="105" spans="1:35" x14ac:dyDescent="0.2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</row>
    <row r="106" spans="1:35" x14ac:dyDescent="0.2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</row>
    <row r="107" spans="1:35" x14ac:dyDescent="0.2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</row>
    <row r="108" spans="1:35" x14ac:dyDescent="0.2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</row>
    <row r="109" spans="1:35" x14ac:dyDescent="0.2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</row>
    <row r="110" spans="1:35" x14ac:dyDescent="0.2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</row>
    <row r="111" spans="1:35" x14ac:dyDescent="0.2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</row>
    <row r="112" spans="1:35" x14ac:dyDescent="0.2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</row>
    <row r="113" spans="1:35" x14ac:dyDescent="0.2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</row>
    <row r="114" spans="1:35" x14ac:dyDescent="0.2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</row>
    <row r="115" spans="1:35" x14ac:dyDescent="0.2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</row>
    <row r="116" spans="1:35" x14ac:dyDescent="0.2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</row>
    <row r="117" spans="1:35" x14ac:dyDescent="0.2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</row>
    <row r="118" spans="1:35" x14ac:dyDescent="0.2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</row>
    <row r="119" spans="1:35" x14ac:dyDescent="0.2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</row>
    <row r="120" spans="1:35" x14ac:dyDescent="0.2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</row>
    <row r="121" spans="1:35" x14ac:dyDescent="0.2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</row>
    <row r="122" spans="1:35" x14ac:dyDescent="0.2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</row>
    <row r="123" spans="1:35" x14ac:dyDescent="0.2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</row>
    <row r="124" spans="1:35" x14ac:dyDescent="0.2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</row>
    <row r="125" spans="1:35" x14ac:dyDescent="0.2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</row>
    <row r="126" spans="1:35" x14ac:dyDescent="0.2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</row>
    <row r="127" spans="1:35" x14ac:dyDescent="0.2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</row>
    <row r="128" spans="1:35" x14ac:dyDescent="0.2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</row>
    <row r="129" spans="1:35" x14ac:dyDescent="0.2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</row>
    <row r="130" spans="1:35" x14ac:dyDescent="0.2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</row>
    <row r="131" spans="1:35" x14ac:dyDescent="0.2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</row>
    <row r="132" spans="1:35" x14ac:dyDescent="0.2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</row>
    <row r="133" spans="1:35" x14ac:dyDescent="0.2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</row>
    <row r="134" spans="1:35" x14ac:dyDescent="0.2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</row>
    <row r="135" spans="1:35" x14ac:dyDescent="0.2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</row>
    <row r="136" spans="1:35" x14ac:dyDescent="0.2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</row>
    <row r="137" spans="1:35" x14ac:dyDescent="0.2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</row>
    <row r="138" spans="1:35" x14ac:dyDescent="0.2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</row>
    <row r="139" spans="1:35" x14ac:dyDescent="0.2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</row>
    <row r="140" spans="1:35" x14ac:dyDescent="0.2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</row>
    <row r="141" spans="1:35" x14ac:dyDescent="0.2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</row>
    <row r="142" spans="1:35" x14ac:dyDescent="0.2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</row>
    <row r="143" spans="1:35" x14ac:dyDescent="0.2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</row>
    <row r="144" spans="1:35" x14ac:dyDescent="0.2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</row>
    <row r="145" spans="1:35" x14ac:dyDescent="0.2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</row>
    <row r="146" spans="1:35" x14ac:dyDescent="0.2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</row>
    <row r="147" spans="1:35" x14ac:dyDescent="0.2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</row>
    <row r="148" spans="1:35" x14ac:dyDescent="0.2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</row>
    <row r="149" spans="1:35" x14ac:dyDescent="0.2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</row>
    <row r="150" spans="1:35" x14ac:dyDescent="0.2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</row>
    <row r="151" spans="1:35" x14ac:dyDescent="0.2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</row>
    <row r="152" spans="1:35" x14ac:dyDescent="0.2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</row>
    <row r="153" spans="1:35" x14ac:dyDescent="0.2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</row>
    <row r="154" spans="1:35" x14ac:dyDescent="0.2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</row>
    <row r="155" spans="1:35" x14ac:dyDescent="0.2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</row>
    <row r="156" spans="1:35" x14ac:dyDescent="0.2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</row>
    <row r="157" spans="1:35" x14ac:dyDescent="0.2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</row>
    <row r="158" spans="1:35" x14ac:dyDescent="0.2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</row>
    <row r="159" spans="1:35" x14ac:dyDescent="0.2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</row>
    <row r="160" spans="1:35" x14ac:dyDescent="0.2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</row>
    <row r="161" spans="1:35" x14ac:dyDescent="0.2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</row>
    <row r="162" spans="1:35" x14ac:dyDescent="0.2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</row>
    <row r="163" spans="1:35" x14ac:dyDescent="0.2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</row>
    <row r="164" spans="1:35" x14ac:dyDescent="0.2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</row>
    <row r="165" spans="1:35" x14ac:dyDescent="0.2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</row>
    <row r="166" spans="1:35" x14ac:dyDescent="0.2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</row>
    <row r="167" spans="1:35" x14ac:dyDescent="0.2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</row>
    <row r="168" spans="1:35" x14ac:dyDescent="0.2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</row>
    <row r="169" spans="1:35" x14ac:dyDescent="0.2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</row>
    <row r="170" spans="1:35" x14ac:dyDescent="0.2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</row>
    <row r="171" spans="1:35" x14ac:dyDescent="0.2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</row>
    <row r="172" spans="1:35" x14ac:dyDescent="0.2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</row>
    <row r="173" spans="1:35" x14ac:dyDescent="0.2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</row>
    <row r="174" spans="1:35" x14ac:dyDescent="0.2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</row>
    <row r="175" spans="1:35" x14ac:dyDescent="0.2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</row>
    <row r="176" spans="1:35" x14ac:dyDescent="0.2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</row>
    <row r="177" spans="1:35" x14ac:dyDescent="0.2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</row>
    <row r="178" spans="1:35" x14ac:dyDescent="0.2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</row>
    <row r="179" spans="1:35" x14ac:dyDescent="0.2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</row>
    <row r="180" spans="1:35" x14ac:dyDescent="0.2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</row>
    <row r="181" spans="1:35" x14ac:dyDescent="0.2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</row>
    <row r="182" spans="1:35" x14ac:dyDescent="0.2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</row>
  </sheetData>
  <mergeCells count="139">
    <mergeCell ref="A76:B76"/>
    <mergeCell ref="F65:L66"/>
    <mergeCell ref="F68:L68"/>
    <mergeCell ref="F71:L71"/>
    <mergeCell ref="A24:D24"/>
    <mergeCell ref="A25:D25"/>
    <mergeCell ref="A18:D18"/>
    <mergeCell ref="A20:D20"/>
    <mergeCell ref="A21:D21"/>
    <mergeCell ref="A22:D22"/>
    <mergeCell ref="A23:D23"/>
    <mergeCell ref="A31:E31"/>
    <mergeCell ref="L31:N31"/>
    <mergeCell ref="A32:E32"/>
    <mergeCell ref="F32:H32"/>
    <mergeCell ref="I32:K32"/>
    <mergeCell ref="L32:N32"/>
    <mergeCell ref="F81:L81"/>
    <mergeCell ref="O32:Q32"/>
    <mergeCell ref="O42:Q42"/>
    <mergeCell ref="O43:Q43"/>
    <mergeCell ref="O44:Q44"/>
    <mergeCell ref="F35:Q36"/>
    <mergeCell ref="F38:Q38"/>
    <mergeCell ref="F41:Q41"/>
    <mergeCell ref="O3:Q3"/>
    <mergeCell ref="O4:Q4"/>
    <mergeCell ref="O5:Q5"/>
    <mergeCell ref="O15:Q15"/>
    <mergeCell ref="O16:Q16"/>
    <mergeCell ref="O17:Q17"/>
    <mergeCell ref="O30:Q30"/>
    <mergeCell ref="O31:Q31"/>
    <mergeCell ref="L15:N15"/>
    <mergeCell ref="F16:H16"/>
    <mergeCell ref="I16:K16"/>
    <mergeCell ref="F17:H17"/>
    <mergeCell ref="I17:K17"/>
    <mergeCell ref="L16:N16"/>
    <mergeCell ref="F31:H31"/>
    <mergeCell ref="I31:K31"/>
    <mergeCell ref="A10:D10"/>
    <mergeCell ref="A11:E11"/>
    <mergeCell ref="F11:Q11"/>
    <mergeCell ref="F5:H5"/>
    <mergeCell ref="I5:K5"/>
    <mergeCell ref="A6:E6"/>
    <mergeCell ref="L3:N3"/>
    <mergeCell ref="L4:N4"/>
    <mergeCell ref="L5:N5"/>
    <mergeCell ref="A3:E3"/>
    <mergeCell ref="F3:H3"/>
    <mergeCell ref="I3:K3"/>
    <mergeCell ref="A4:E4"/>
    <mergeCell ref="F4:H4"/>
    <mergeCell ref="I4:K4"/>
    <mergeCell ref="A5:E5"/>
    <mergeCell ref="A7:D7"/>
    <mergeCell ref="A8:E9"/>
    <mergeCell ref="F8:Q9"/>
    <mergeCell ref="A12:B12"/>
    <mergeCell ref="A19:B19"/>
    <mergeCell ref="F14:Q14"/>
    <mergeCell ref="F24:Q24"/>
    <mergeCell ref="L17:N17"/>
    <mergeCell ref="A14:D14"/>
    <mergeCell ref="F30:H30"/>
    <mergeCell ref="I30:K30"/>
    <mergeCell ref="L30:N30"/>
    <mergeCell ref="A15:E15"/>
    <mergeCell ref="F15:H15"/>
    <mergeCell ref="I15:K15"/>
    <mergeCell ref="A13:D13"/>
    <mergeCell ref="A30:E30"/>
    <mergeCell ref="A16:E16"/>
    <mergeCell ref="A17:E17"/>
    <mergeCell ref="I44:K44"/>
    <mergeCell ref="L44:N44"/>
    <mergeCell ref="A41:D41"/>
    <mergeCell ref="A42:E42"/>
    <mergeCell ref="F42:H42"/>
    <mergeCell ref="I42:K42"/>
    <mergeCell ref="L42:N42"/>
    <mergeCell ref="A33:E33"/>
    <mergeCell ref="A39:D39"/>
    <mergeCell ref="A40:D40"/>
    <mergeCell ref="A34:D34"/>
    <mergeCell ref="A35:E36"/>
    <mergeCell ref="A37:D37"/>
    <mergeCell ref="A38:E38"/>
    <mergeCell ref="I43:K43"/>
    <mergeCell ref="L43:N43"/>
    <mergeCell ref="A45:D45"/>
    <mergeCell ref="A47:D47"/>
    <mergeCell ref="A48:D48"/>
    <mergeCell ref="A49:D49"/>
    <mergeCell ref="A50:D50"/>
    <mergeCell ref="A43:E43"/>
    <mergeCell ref="F43:H43"/>
    <mergeCell ref="A51:D51"/>
    <mergeCell ref="A52:D52"/>
    <mergeCell ref="A44:E44"/>
    <mergeCell ref="F44:H44"/>
    <mergeCell ref="A46:B46"/>
    <mergeCell ref="A71:D71"/>
    <mergeCell ref="A60:E60"/>
    <mergeCell ref="F60:H60"/>
    <mergeCell ref="I60:K60"/>
    <mergeCell ref="F51:Q51"/>
    <mergeCell ref="A61:E61"/>
    <mergeCell ref="F61:H61"/>
    <mergeCell ref="I61:K61"/>
    <mergeCell ref="A62:E62"/>
    <mergeCell ref="F62:H62"/>
    <mergeCell ref="I62:K62"/>
    <mergeCell ref="A81:D81"/>
    <mergeCell ref="A82:D82"/>
    <mergeCell ref="L60:L64"/>
    <mergeCell ref="A75:D75"/>
    <mergeCell ref="A77:D77"/>
    <mergeCell ref="A78:D78"/>
    <mergeCell ref="A79:D79"/>
    <mergeCell ref="A80:D80"/>
    <mergeCell ref="A73:E73"/>
    <mergeCell ref="F73:H73"/>
    <mergeCell ref="I73:K73"/>
    <mergeCell ref="A74:E74"/>
    <mergeCell ref="F74:H74"/>
    <mergeCell ref="I74:K74"/>
    <mergeCell ref="A72:E72"/>
    <mergeCell ref="A65:E66"/>
    <mergeCell ref="A67:D67"/>
    <mergeCell ref="A68:E68"/>
    <mergeCell ref="A63:E63"/>
    <mergeCell ref="A64:D64"/>
    <mergeCell ref="F72:H72"/>
    <mergeCell ref="I72:K72"/>
    <mergeCell ref="A69:D69"/>
    <mergeCell ref="A70:D70"/>
  </mergeCells>
  <phoneticPr fontId="14" type="noConversion"/>
  <pageMargins left="0.7" right="0.7" top="0.75" bottom="0.75" header="0.3" footer="0.3"/>
  <pageSetup paperSize="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CC433-9795-46AD-AB79-6C418936A254}">
  <dimension ref="A1:AP225"/>
  <sheetViews>
    <sheetView topLeftCell="A93" zoomScale="70" zoomScaleNormal="70" workbookViewId="0">
      <selection activeCell="A175" sqref="A175:J184"/>
    </sheetView>
  </sheetViews>
  <sheetFormatPr defaultRowHeight="15" x14ac:dyDescent="0.25"/>
  <cols>
    <col min="1" max="1" width="3.7109375" customWidth="1"/>
    <col min="2" max="3" width="7.5703125" customWidth="1"/>
    <col min="4" max="4" width="7.42578125" customWidth="1"/>
    <col min="5" max="5" width="7" customWidth="1"/>
    <col min="7" max="7" width="9.42578125" customWidth="1"/>
    <col min="9" max="9" width="8.140625" customWidth="1"/>
    <col min="10" max="10" width="10.85546875" customWidth="1"/>
    <col min="11" max="11" width="9.42578125" customWidth="1"/>
    <col min="12" max="12" width="10" customWidth="1"/>
    <col min="13" max="13" width="7" customWidth="1"/>
    <col min="14" max="14" width="4" customWidth="1"/>
    <col min="15" max="15" width="3" customWidth="1"/>
    <col min="16" max="16" width="3.140625" customWidth="1"/>
    <col min="17" max="17" width="7" customWidth="1"/>
    <col min="18" max="18" width="10.42578125" customWidth="1"/>
    <col min="19" max="19" width="9" customWidth="1"/>
    <col min="20" max="20" width="7.85546875" customWidth="1"/>
    <col min="21" max="21" width="6.85546875" customWidth="1"/>
    <col min="23" max="23" width="10.140625" customWidth="1"/>
    <col min="27" max="27" width="15.5703125" customWidth="1"/>
  </cols>
  <sheetData>
    <row r="1" spans="1:33" ht="15.75" x14ac:dyDescent="0.25">
      <c r="A1" s="10" t="s">
        <v>0</v>
      </c>
    </row>
    <row r="2" spans="1:33" x14ac:dyDescent="0.25">
      <c r="A2" s="303" t="s">
        <v>1</v>
      </c>
      <c r="B2" s="303"/>
      <c r="C2" s="303"/>
      <c r="D2" s="303"/>
      <c r="E2" s="303"/>
      <c r="F2" s="303"/>
      <c r="G2" s="303"/>
      <c r="H2" s="11"/>
      <c r="I2" s="11"/>
      <c r="J2" s="11"/>
    </row>
    <row r="3" spans="1:33" ht="15" customHeight="1" x14ac:dyDescent="0.25">
      <c r="A3" s="294" t="s">
        <v>2</v>
      </c>
      <c r="B3" s="294" t="s">
        <v>3</v>
      </c>
      <c r="C3" s="294" t="s">
        <v>4</v>
      </c>
      <c r="D3" s="271" t="s">
        <v>5</v>
      </c>
      <c r="E3" s="271"/>
      <c r="F3" s="294" t="s">
        <v>6</v>
      </c>
      <c r="G3" s="294"/>
      <c r="H3" s="294" t="s">
        <v>7</v>
      </c>
      <c r="I3" s="294"/>
      <c r="J3" s="294"/>
      <c r="K3" s="294"/>
      <c r="L3" s="294"/>
      <c r="M3" s="294"/>
      <c r="N3" s="294"/>
      <c r="O3" s="294"/>
      <c r="P3" s="294"/>
      <c r="Q3" s="294"/>
      <c r="R3" s="294"/>
      <c r="S3" s="294"/>
      <c r="T3" s="294"/>
      <c r="U3" s="294"/>
      <c r="V3" s="294"/>
      <c r="W3" s="271" t="s">
        <v>8</v>
      </c>
      <c r="X3" s="271"/>
      <c r="Y3" s="271"/>
      <c r="Z3" s="271"/>
      <c r="AA3" s="271" t="s">
        <v>9</v>
      </c>
      <c r="AB3" s="1"/>
    </row>
    <row r="4" spans="1:33" ht="18.75" customHeight="1" x14ac:dyDescent="0.25">
      <c r="A4" s="294"/>
      <c r="B4" s="294"/>
      <c r="C4" s="294"/>
      <c r="D4" s="271" t="s">
        <v>10</v>
      </c>
      <c r="E4" s="294" t="s">
        <v>11</v>
      </c>
      <c r="F4" s="294"/>
      <c r="G4" s="294"/>
      <c r="H4" s="294" t="s">
        <v>12</v>
      </c>
      <c r="I4" s="294" t="s">
        <v>13</v>
      </c>
      <c r="J4" s="294" t="s">
        <v>14</v>
      </c>
      <c r="K4" s="294" t="s">
        <v>15</v>
      </c>
      <c r="L4" s="294" t="s">
        <v>16</v>
      </c>
      <c r="M4" s="294" t="s">
        <v>17</v>
      </c>
      <c r="N4" s="294" t="s">
        <v>18</v>
      </c>
      <c r="O4" s="294"/>
      <c r="P4" s="294"/>
      <c r="Q4" s="294"/>
      <c r="R4" s="294" t="s">
        <v>19</v>
      </c>
      <c r="S4" s="294" t="s">
        <v>20</v>
      </c>
      <c r="T4" s="294" t="s">
        <v>21</v>
      </c>
      <c r="U4" s="294" t="s">
        <v>22</v>
      </c>
      <c r="V4" s="294" t="s">
        <v>23</v>
      </c>
      <c r="W4" s="271" t="s">
        <v>18</v>
      </c>
      <c r="X4" s="271" t="s">
        <v>17</v>
      </c>
      <c r="Y4" s="294" t="s">
        <v>24</v>
      </c>
      <c r="Z4" s="294" t="s">
        <v>25</v>
      </c>
      <c r="AA4" s="271"/>
    </row>
    <row r="5" spans="1:33" ht="42.75" customHeight="1" x14ac:dyDescent="0.25">
      <c r="A5" s="294"/>
      <c r="B5" s="294"/>
      <c r="C5" s="294"/>
      <c r="D5" s="271"/>
      <c r="E5" s="294"/>
      <c r="F5" s="48" t="s">
        <v>26</v>
      </c>
      <c r="G5" s="36" t="s">
        <v>27</v>
      </c>
      <c r="H5" s="294"/>
      <c r="I5" s="294"/>
      <c r="J5" s="294"/>
      <c r="K5" s="294"/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71"/>
      <c r="X5" s="271"/>
      <c r="Y5" s="294"/>
      <c r="Z5" s="294"/>
      <c r="AA5" s="271"/>
    </row>
    <row r="6" spans="1:33" ht="17.25" customHeight="1" x14ac:dyDescent="0.25">
      <c r="A6" s="294"/>
      <c r="B6" s="294"/>
      <c r="C6" s="294"/>
      <c r="D6" s="271"/>
      <c r="E6" s="36" t="s">
        <v>28</v>
      </c>
      <c r="F6" s="36" t="s">
        <v>29</v>
      </c>
      <c r="G6" s="36" t="s">
        <v>30</v>
      </c>
      <c r="H6" s="36" t="s">
        <v>31</v>
      </c>
      <c r="I6" s="36" t="s">
        <v>31</v>
      </c>
      <c r="J6" s="36" t="s">
        <v>32</v>
      </c>
      <c r="K6" s="36" t="s">
        <v>31</v>
      </c>
      <c r="L6" s="36" t="s">
        <v>31</v>
      </c>
      <c r="M6" s="36" t="s">
        <v>31</v>
      </c>
      <c r="N6" s="294"/>
      <c r="O6" s="294"/>
      <c r="P6" s="294"/>
      <c r="Q6" s="294"/>
      <c r="R6" s="36" t="s">
        <v>33</v>
      </c>
      <c r="S6" s="36" t="s">
        <v>33</v>
      </c>
      <c r="T6" s="36" t="s">
        <v>33</v>
      </c>
      <c r="U6" s="36" t="s">
        <v>34</v>
      </c>
      <c r="V6" s="36" t="s">
        <v>31</v>
      </c>
      <c r="W6" s="36" t="s">
        <v>35</v>
      </c>
      <c r="X6" s="36" t="s">
        <v>31</v>
      </c>
      <c r="Y6" s="36" t="s">
        <v>33</v>
      </c>
      <c r="Z6" s="36" t="s">
        <v>33</v>
      </c>
      <c r="AA6" s="271"/>
    </row>
    <row r="7" spans="1:33" x14ac:dyDescent="0.25">
      <c r="A7" s="49" t="s">
        <v>36</v>
      </c>
      <c r="B7" s="50" t="str">
        <f>CHAR(CODE(A7)+1)</f>
        <v>B</v>
      </c>
      <c r="C7" s="50" t="str">
        <f t="shared" ref="C7:L7" si="0">CHAR(CODE(B7)+1)</f>
        <v>C</v>
      </c>
      <c r="D7" s="50" t="str">
        <f t="shared" si="0"/>
        <v>D</v>
      </c>
      <c r="E7" s="50" t="str">
        <f t="shared" si="0"/>
        <v>E</v>
      </c>
      <c r="F7" s="50" t="str">
        <f t="shared" si="0"/>
        <v>F</v>
      </c>
      <c r="G7" s="50" t="str">
        <f t="shared" si="0"/>
        <v>G</v>
      </c>
      <c r="H7" s="50" t="str">
        <f t="shared" si="0"/>
        <v>H</v>
      </c>
      <c r="I7" s="50" t="str">
        <f t="shared" si="0"/>
        <v>I</v>
      </c>
      <c r="J7" s="50" t="str">
        <f t="shared" si="0"/>
        <v>J</v>
      </c>
      <c r="K7" s="50" t="str">
        <f t="shared" si="0"/>
        <v>K</v>
      </c>
      <c r="L7" s="50" t="str">
        <f t="shared" si="0"/>
        <v>L</v>
      </c>
      <c r="M7" s="50" t="str">
        <f>CHAR(CODE(L7)+1)</f>
        <v>M</v>
      </c>
      <c r="N7" s="270" t="str">
        <f>CHAR(CODE(M7)+1)</f>
        <v>N</v>
      </c>
      <c r="O7" s="270"/>
      <c r="P7" s="270"/>
      <c r="Q7" s="270"/>
      <c r="R7" s="50" t="str">
        <f>CHAR(CODE(N7)+1)</f>
        <v>O</v>
      </c>
      <c r="S7" s="50" t="str">
        <f>CHAR(CODE(R7)+1)</f>
        <v>P</v>
      </c>
      <c r="T7" s="50" t="str">
        <f t="shared" ref="T7:AA7" si="1">CHAR(CODE(S7)+1)</f>
        <v>Q</v>
      </c>
      <c r="U7" s="50" t="str">
        <f t="shared" si="1"/>
        <v>R</v>
      </c>
      <c r="V7" s="50" t="str">
        <f t="shared" si="1"/>
        <v>S</v>
      </c>
      <c r="W7" s="50" t="str">
        <f t="shared" si="1"/>
        <v>T</v>
      </c>
      <c r="X7" s="50" t="str">
        <f t="shared" si="1"/>
        <v>U</v>
      </c>
      <c r="Y7" s="50" t="str">
        <f t="shared" si="1"/>
        <v>V</v>
      </c>
      <c r="Z7" s="50" t="str">
        <f t="shared" si="1"/>
        <v>W</v>
      </c>
      <c r="AA7" s="50" t="str">
        <f t="shared" si="1"/>
        <v>X</v>
      </c>
      <c r="AB7" s="4"/>
      <c r="AC7" s="4"/>
      <c r="AD7" s="4"/>
      <c r="AE7" s="4"/>
      <c r="AF7" s="4"/>
      <c r="AG7" s="4"/>
    </row>
    <row r="8" spans="1:33" s="47" customFormat="1" x14ac:dyDescent="0.25">
      <c r="A8" s="46">
        <v>1</v>
      </c>
      <c r="B8" s="46" t="s">
        <v>82</v>
      </c>
      <c r="C8" s="97" t="s">
        <v>42</v>
      </c>
      <c r="D8" s="66">
        <v>141</v>
      </c>
      <c r="E8" s="46">
        <v>0.6</v>
      </c>
      <c r="F8" s="46">
        <v>203</v>
      </c>
      <c r="G8" s="69">
        <f>+E8*F8</f>
        <v>121.8</v>
      </c>
      <c r="H8" s="46">
        <v>541</v>
      </c>
      <c r="I8" s="46">
        <v>4.5</v>
      </c>
      <c r="J8" s="46"/>
      <c r="K8" s="46"/>
      <c r="L8" s="46"/>
      <c r="M8" s="46">
        <f>P8</f>
        <v>10</v>
      </c>
      <c r="N8" s="46">
        <v>50</v>
      </c>
      <c r="O8" s="46" t="s">
        <v>39</v>
      </c>
      <c r="P8" s="46">
        <v>10</v>
      </c>
      <c r="Q8" s="46" t="s">
        <v>247</v>
      </c>
      <c r="R8" s="46"/>
      <c r="S8" s="46">
        <f>M8</f>
        <v>10</v>
      </c>
      <c r="T8" s="46">
        <f t="shared" ref="T8:T13" si="2">S8</f>
        <v>10</v>
      </c>
      <c r="U8" s="46"/>
      <c r="V8" s="46">
        <f t="shared" ref="V8:V13" si="3">M8</f>
        <v>10</v>
      </c>
      <c r="W8" s="46" t="s">
        <v>303</v>
      </c>
      <c r="X8" s="46">
        <v>6</v>
      </c>
      <c r="Y8" s="46"/>
      <c r="Z8" s="46"/>
      <c r="AA8" s="46"/>
    </row>
    <row r="9" spans="1:33" x14ac:dyDescent="0.25">
      <c r="A9" s="6">
        <f t="shared" ref="A9:A70" si="4">+A8+1</f>
        <v>2</v>
      </c>
      <c r="B9" s="6" t="s">
        <v>83</v>
      </c>
      <c r="C9" s="98" t="s">
        <v>42</v>
      </c>
      <c r="D9" s="67">
        <v>141</v>
      </c>
      <c r="E9" s="6">
        <v>0.8</v>
      </c>
      <c r="F9" s="46">
        <v>203</v>
      </c>
      <c r="G9" s="69">
        <f t="shared" ref="G9:G70" si="5">+E9*F9</f>
        <v>162.4</v>
      </c>
      <c r="H9" s="6">
        <v>9</v>
      </c>
      <c r="I9" s="6">
        <v>4.5</v>
      </c>
      <c r="J9" s="6"/>
      <c r="K9" s="6"/>
      <c r="L9" s="6"/>
      <c r="M9" s="46">
        <f t="shared" ref="M9:M70" si="6">P9</f>
        <v>10</v>
      </c>
      <c r="N9" s="6">
        <v>50</v>
      </c>
      <c r="O9" s="6" t="s">
        <v>39</v>
      </c>
      <c r="P9" s="6">
        <v>10</v>
      </c>
      <c r="Q9" s="6" t="s">
        <v>247</v>
      </c>
      <c r="R9" s="6"/>
      <c r="S9" s="6">
        <f t="shared" ref="S9:S70" si="7">M9</f>
        <v>10</v>
      </c>
      <c r="T9" s="6">
        <f t="shared" si="2"/>
        <v>10</v>
      </c>
      <c r="U9" s="6"/>
      <c r="V9" s="6">
        <f t="shared" si="3"/>
        <v>10</v>
      </c>
      <c r="W9" s="6" t="s">
        <v>306</v>
      </c>
      <c r="X9" s="6">
        <v>10</v>
      </c>
      <c r="Y9" s="6"/>
      <c r="Z9" s="6"/>
      <c r="AA9" s="6"/>
    </row>
    <row r="10" spans="1:33" x14ac:dyDescent="0.25">
      <c r="A10" s="6">
        <f t="shared" si="4"/>
        <v>3</v>
      </c>
      <c r="B10" s="6" t="s">
        <v>84</v>
      </c>
      <c r="C10" s="98" t="s">
        <v>42</v>
      </c>
      <c r="D10" s="67">
        <v>147</v>
      </c>
      <c r="E10" s="6">
        <v>0.4</v>
      </c>
      <c r="F10" s="46">
        <v>203</v>
      </c>
      <c r="G10" s="69">
        <f t="shared" si="5"/>
        <v>81.2</v>
      </c>
      <c r="H10" s="6">
        <v>135</v>
      </c>
      <c r="I10" s="6">
        <v>4.5</v>
      </c>
      <c r="J10" s="6"/>
      <c r="K10" s="6"/>
      <c r="L10" s="6"/>
      <c r="M10" s="46">
        <f t="shared" si="6"/>
        <v>10</v>
      </c>
      <c r="N10" s="6">
        <v>50</v>
      </c>
      <c r="O10" s="6" t="s">
        <v>39</v>
      </c>
      <c r="P10" s="6">
        <v>10</v>
      </c>
      <c r="Q10" s="6" t="s">
        <v>247</v>
      </c>
      <c r="R10" s="6"/>
      <c r="S10" s="6">
        <f t="shared" si="7"/>
        <v>10</v>
      </c>
      <c r="T10" s="6">
        <f t="shared" si="2"/>
        <v>10</v>
      </c>
      <c r="U10" s="6"/>
      <c r="V10" s="6">
        <f t="shared" si="3"/>
        <v>10</v>
      </c>
      <c r="W10" s="6" t="s">
        <v>303</v>
      </c>
      <c r="X10" s="6">
        <v>6</v>
      </c>
      <c r="Y10" s="6"/>
      <c r="Z10" s="6"/>
      <c r="AA10" s="6"/>
    </row>
    <row r="11" spans="1:33" s="47" customFormat="1" x14ac:dyDescent="0.25">
      <c r="A11" s="46">
        <f t="shared" si="4"/>
        <v>4</v>
      </c>
      <c r="B11" s="46" t="s">
        <v>85</v>
      </c>
      <c r="C11" s="97" t="s">
        <v>42</v>
      </c>
      <c r="D11" s="66">
        <v>163</v>
      </c>
      <c r="E11" s="46">
        <v>0.3</v>
      </c>
      <c r="F11" s="46">
        <v>203</v>
      </c>
      <c r="G11" s="69">
        <f t="shared" si="5"/>
        <v>60.9</v>
      </c>
      <c r="H11" s="46">
        <v>10</v>
      </c>
      <c r="I11" s="46">
        <v>4.5</v>
      </c>
      <c r="J11" s="46"/>
      <c r="K11" s="46"/>
      <c r="L11" s="46"/>
      <c r="M11" s="46">
        <f t="shared" si="6"/>
        <v>12</v>
      </c>
      <c r="N11" s="46">
        <v>50</v>
      </c>
      <c r="O11" s="46" t="s">
        <v>39</v>
      </c>
      <c r="P11" s="46">
        <v>12</v>
      </c>
      <c r="Q11" s="46" t="s">
        <v>248</v>
      </c>
      <c r="R11" s="46">
        <f>X11*4.5*0.2</f>
        <v>9</v>
      </c>
      <c r="S11" s="46">
        <f t="shared" si="7"/>
        <v>12</v>
      </c>
      <c r="T11" s="46">
        <f t="shared" si="2"/>
        <v>12</v>
      </c>
      <c r="U11" s="46">
        <v>2</v>
      </c>
      <c r="V11" s="46">
        <f t="shared" si="3"/>
        <v>12</v>
      </c>
      <c r="W11" s="46" t="s">
        <v>308</v>
      </c>
      <c r="X11" s="46">
        <v>10</v>
      </c>
      <c r="Y11" s="46">
        <v>2</v>
      </c>
      <c r="Z11" s="46"/>
      <c r="AA11" s="46"/>
    </row>
    <row r="12" spans="1:33" s="47" customFormat="1" x14ac:dyDescent="0.25">
      <c r="A12" s="46">
        <f t="shared" si="4"/>
        <v>5</v>
      </c>
      <c r="B12" s="46" t="s">
        <v>110</v>
      </c>
      <c r="C12" s="97" t="s">
        <v>43</v>
      </c>
      <c r="D12" s="66">
        <v>301</v>
      </c>
      <c r="E12" s="46">
        <v>0.2</v>
      </c>
      <c r="F12" s="46">
        <v>203</v>
      </c>
      <c r="G12" s="69">
        <f t="shared" si="5"/>
        <v>40.6</v>
      </c>
      <c r="H12" s="46">
        <v>9</v>
      </c>
      <c r="I12" s="46">
        <v>4.5</v>
      </c>
      <c r="J12" s="46"/>
      <c r="K12" s="46"/>
      <c r="L12" s="46"/>
      <c r="M12" s="46">
        <f t="shared" si="6"/>
        <v>10</v>
      </c>
      <c r="N12" s="46">
        <v>50</v>
      </c>
      <c r="O12" s="46" t="s">
        <v>39</v>
      </c>
      <c r="P12" s="46">
        <v>10</v>
      </c>
      <c r="Q12" s="46" t="s">
        <v>247</v>
      </c>
      <c r="R12" s="46"/>
      <c r="S12" s="46">
        <f t="shared" si="7"/>
        <v>10</v>
      </c>
      <c r="T12" s="46">
        <f t="shared" si="2"/>
        <v>10</v>
      </c>
      <c r="U12" s="46"/>
      <c r="V12" s="46">
        <f t="shared" si="3"/>
        <v>10</v>
      </c>
      <c r="W12" s="46" t="s">
        <v>304</v>
      </c>
      <c r="X12" s="46">
        <v>8</v>
      </c>
      <c r="Y12" s="46"/>
      <c r="Z12" s="46"/>
      <c r="AA12" s="46"/>
    </row>
    <row r="13" spans="1:33" x14ac:dyDescent="0.25">
      <c r="A13" s="6">
        <f t="shared" si="4"/>
        <v>6</v>
      </c>
      <c r="B13" s="6" t="s">
        <v>111</v>
      </c>
      <c r="C13" s="98" t="s">
        <v>43</v>
      </c>
      <c r="D13" s="67">
        <v>303</v>
      </c>
      <c r="E13" s="6">
        <v>0.1</v>
      </c>
      <c r="F13" s="46">
        <v>203</v>
      </c>
      <c r="G13" s="69">
        <f t="shared" si="5"/>
        <v>20.3</v>
      </c>
      <c r="H13" s="6">
        <v>6</v>
      </c>
      <c r="I13" s="6">
        <v>4.5</v>
      </c>
      <c r="J13" s="6"/>
      <c r="K13" s="6"/>
      <c r="L13" s="6"/>
      <c r="M13" s="46">
        <f t="shared" si="6"/>
        <v>10</v>
      </c>
      <c r="N13" s="6">
        <v>50</v>
      </c>
      <c r="O13" s="6" t="s">
        <v>39</v>
      </c>
      <c r="P13" s="6">
        <v>10</v>
      </c>
      <c r="Q13" s="6" t="s">
        <v>247</v>
      </c>
      <c r="R13" s="6"/>
      <c r="S13" s="6">
        <f t="shared" si="7"/>
        <v>10</v>
      </c>
      <c r="T13" s="6">
        <f t="shared" si="2"/>
        <v>10</v>
      </c>
      <c r="U13" s="6"/>
      <c r="V13" s="6">
        <f t="shared" si="3"/>
        <v>10</v>
      </c>
      <c r="W13" s="6" t="s">
        <v>304</v>
      </c>
      <c r="X13" s="6">
        <v>8</v>
      </c>
      <c r="Y13" s="6"/>
      <c r="Z13" s="6"/>
      <c r="AA13" s="6"/>
    </row>
    <row r="14" spans="1:33" x14ac:dyDescent="0.25">
      <c r="A14" s="6">
        <f t="shared" si="4"/>
        <v>7</v>
      </c>
      <c r="B14" s="6" t="s">
        <v>78</v>
      </c>
      <c r="C14" s="98" t="s">
        <v>43</v>
      </c>
      <c r="D14" s="67">
        <v>303</v>
      </c>
      <c r="E14" s="431">
        <v>0.1</v>
      </c>
      <c r="F14" s="46">
        <v>203</v>
      </c>
      <c r="G14" s="69">
        <f t="shared" si="5"/>
        <v>20.3</v>
      </c>
      <c r="H14" s="6">
        <v>128</v>
      </c>
      <c r="I14" s="6">
        <v>4.5</v>
      </c>
      <c r="J14" s="6"/>
      <c r="K14" s="6"/>
      <c r="L14" s="6"/>
      <c r="M14" s="46">
        <f t="shared" si="6"/>
        <v>10</v>
      </c>
      <c r="N14" s="6">
        <v>50</v>
      </c>
      <c r="O14" s="6" t="s">
        <v>39</v>
      </c>
      <c r="P14" s="6">
        <v>10</v>
      </c>
      <c r="Q14" s="6" t="s">
        <v>247</v>
      </c>
      <c r="R14" s="6"/>
      <c r="S14" s="6">
        <f t="shared" si="7"/>
        <v>10</v>
      </c>
      <c r="T14" s="6">
        <f t="shared" ref="T14:T26" si="8">S14</f>
        <v>10</v>
      </c>
      <c r="U14" s="6"/>
      <c r="V14" s="6">
        <f t="shared" ref="V14:V21" si="9">M14</f>
        <v>10</v>
      </c>
      <c r="W14" s="6" t="s">
        <v>304</v>
      </c>
      <c r="X14" s="6">
        <v>8</v>
      </c>
      <c r="Y14" s="6"/>
      <c r="Z14" s="6"/>
      <c r="AA14" s="6"/>
    </row>
    <row r="15" spans="1:33" x14ac:dyDescent="0.25">
      <c r="A15" s="6">
        <f t="shared" si="4"/>
        <v>8</v>
      </c>
      <c r="B15" s="6" t="s">
        <v>116</v>
      </c>
      <c r="C15" s="98" t="s">
        <v>43</v>
      </c>
      <c r="D15" s="67">
        <v>310</v>
      </c>
      <c r="E15" s="431">
        <v>13.8</v>
      </c>
      <c r="F15" s="46">
        <v>203</v>
      </c>
      <c r="G15" s="69">
        <f t="shared" si="5"/>
        <v>2801.4</v>
      </c>
      <c r="H15" s="6">
        <v>568</v>
      </c>
      <c r="I15" s="6">
        <v>4.5</v>
      </c>
      <c r="J15" s="6"/>
      <c r="K15" s="6"/>
      <c r="L15" s="6"/>
      <c r="M15" s="46">
        <f t="shared" si="6"/>
        <v>10</v>
      </c>
      <c r="N15" s="6">
        <v>150</v>
      </c>
      <c r="O15" s="6" t="s">
        <v>39</v>
      </c>
      <c r="P15" s="6">
        <v>10</v>
      </c>
      <c r="Q15" s="6" t="s">
        <v>250</v>
      </c>
      <c r="R15" s="6"/>
      <c r="S15" s="6">
        <f t="shared" si="7"/>
        <v>10</v>
      </c>
      <c r="T15" s="6">
        <f t="shared" si="8"/>
        <v>10</v>
      </c>
      <c r="U15" s="6"/>
      <c r="V15" s="6">
        <f t="shared" si="9"/>
        <v>10</v>
      </c>
      <c r="W15" s="6" t="s">
        <v>304</v>
      </c>
      <c r="X15" s="6">
        <v>8</v>
      </c>
      <c r="Y15" s="6"/>
      <c r="Z15" s="6"/>
      <c r="AA15" s="6"/>
    </row>
    <row r="16" spans="1:33" x14ac:dyDescent="0.25">
      <c r="A16" s="6">
        <f t="shared" si="4"/>
        <v>9</v>
      </c>
      <c r="B16" s="6" t="s">
        <v>117</v>
      </c>
      <c r="C16" s="98" t="s">
        <v>43</v>
      </c>
      <c r="D16" s="67">
        <v>316</v>
      </c>
      <c r="E16" s="431">
        <v>0.5</v>
      </c>
      <c r="F16" s="46">
        <v>203</v>
      </c>
      <c r="G16" s="69">
        <f t="shared" si="5"/>
        <v>101.5</v>
      </c>
      <c r="H16" s="6">
        <v>484</v>
      </c>
      <c r="I16" s="6">
        <v>4.5</v>
      </c>
      <c r="J16" s="6"/>
      <c r="K16" s="6"/>
      <c r="L16" s="6"/>
      <c r="M16" s="46">
        <f t="shared" si="6"/>
        <v>10</v>
      </c>
      <c r="N16" s="6">
        <v>50</v>
      </c>
      <c r="O16" s="6" t="s">
        <v>39</v>
      </c>
      <c r="P16" s="6">
        <v>10</v>
      </c>
      <c r="Q16" s="6" t="s">
        <v>247</v>
      </c>
      <c r="R16" s="6"/>
      <c r="S16" s="6">
        <f t="shared" si="7"/>
        <v>10</v>
      </c>
      <c r="T16" s="6">
        <f t="shared" si="8"/>
        <v>10</v>
      </c>
      <c r="U16" s="6"/>
      <c r="V16" s="6">
        <f t="shared" si="9"/>
        <v>10</v>
      </c>
      <c r="W16" s="6" t="s">
        <v>304</v>
      </c>
      <c r="X16" s="6">
        <v>8</v>
      </c>
      <c r="Y16" s="6"/>
      <c r="Z16" s="6"/>
      <c r="AA16" s="6"/>
    </row>
    <row r="17" spans="1:27" x14ac:dyDescent="0.25">
      <c r="A17" s="6">
        <f t="shared" si="4"/>
        <v>10</v>
      </c>
      <c r="B17" s="6" t="s">
        <v>118</v>
      </c>
      <c r="C17" s="98" t="s">
        <v>43</v>
      </c>
      <c r="D17" s="67">
        <v>318</v>
      </c>
      <c r="E17" s="431">
        <v>0.1</v>
      </c>
      <c r="F17" s="46">
        <v>203</v>
      </c>
      <c r="G17" s="69">
        <f t="shared" si="5"/>
        <v>20.3</v>
      </c>
      <c r="H17" s="6">
        <v>6</v>
      </c>
      <c r="I17" s="6">
        <v>4.5</v>
      </c>
      <c r="J17" s="6"/>
      <c r="K17" s="6"/>
      <c r="L17" s="6"/>
      <c r="M17" s="46">
        <f t="shared" si="6"/>
        <v>10</v>
      </c>
      <c r="N17" s="6">
        <v>50</v>
      </c>
      <c r="O17" s="6" t="s">
        <v>39</v>
      </c>
      <c r="P17" s="6">
        <v>10</v>
      </c>
      <c r="Q17" s="6" t="s">
        <v>247</v>
      </c>
      <c r="R17" s="6"/>
      <c r="S17" s="6">
        <f t="shared" si="7"/>
        <v>10</v>
      </c>
      <c r="T17" s="6">
        <f t="shared" si="8"/>
        <v>10</v>
      </c>
      <c r="U17" s="6"/>
      <c r="V17" s="6">
        <f t="shared" si="9"/>
        <v>10</v>
      </c>
      <c r="W17" s="6" t="s">
        <v>304</v>
      </c>
      <c r="X17" s="6">
        <v>8</v>
      </c>
      <c r="Y17" s="6"/>
      <c r="Z17" s="6"/>
      <c r="AA17" s="6"/>
    </row>
    <row r="18" spans="1:27" x14ac:dyDescent="0.25">
      <c r="A18" s="6">
        <f t="shared" si="4"/>
        <v>11</v>
      </c>
      <c r="B18" s="6" t="s">
        <v>119</v>
      </c>
      <c r="C18" s="98" t="s">
        <v>43</v>
      </c>
      <c r="D18" s="67">
        <v>322</v>
      </c>
      <c r="E18" s="431">
        <v>0.5</v>
      </c>
      <c r="F18" s="46">
        <v>203</v>
      </c>
      <c r="G18" s="69">
        <f t="shared" si="5"/>
        <v>101.5</v>
      </c>
      <c r="H18" s="6">
        <v>316</v>
      </c>
      <c r="I18" s="6">
        <v>4.5</v>
      </c>
      <c r="J18" s="6"/>
      <c r="K18" s="6"/>
      <c r="L18" s="6"/>
      <c r="M18" s="46">
        <f t="shared" si="6"/>
        <v>10</v>
      </c>
      <c r="N18" s="6">
        <v>50</v>
      </c>
      <c r="O18" s="6" t="s">
        <v>39</v>
      </c>
      <c r="P18" s="6">
        <v>10</v>
      </c>
      <c r="Q18" s="6" t="s">
        <v>247</v>
      </c>
      <c r="R18" s="6"/>
      <c r="S18" s="6">
        <f t="shared" si="7"/>
        <v>10</v>
      </c>
      <c r="T18" s="6">
        <f t="shared" si="8"/>
        <v>10</v>
      </c>
      <c r="U18" s="6"/>
      <c r="V18" s="6">
        <f t="shared" si="9"/>
        <v>10</v>
      </c>
      <c r="W18" s="6" t="s">
        <v>304</v>
      </c>
      <c r="X18" s="6">
        <v>8</v>
      </c>
      <c r="Y18" s="6"/>
      <c r="Z18" s="6"/>
      <c r="AA18" s="6"/>
    </row>
    <row r="19" spans="1:27" x14ac:dyDescent="0.25">
      <c r="A19" s="6">
        <f t="shared" si="4"/>
        <v>12</v>
      </c>
      <c r="B19" s="6" t="s">
        <v>120</v>
      </c>
      <c r="C19" s="98" t="s">
        <v>43</v>
      </c>
      <c r="D19" s="67">
        <v>323</v>
      </c>
      <c r="E19" s="431">
        <v>0.1</v>
      </c>
      <c r="F19" s="46">
        <v>203</v>
      </c>
      <c r="G19" s="69">
        <f t="shared" si="5"/>
        <v>20.3</v>
      </c>
      <c r="H19" s="6">
        <v>6</v>
      </c>
      <c r="I19" s="6">
        <v>4.5</v>
      </c>
      <c r="J19" s="6"/>
      <c r="K19" s="6"/>
      <c r="L19" s="6"/>
      <c r="M19" s="46">
        <f t="shared" si="6"/>
        <v>10</v>
      </c>
      <c r="N19" s="6">
        <v>50</v>
      </c>
      <c r="O19" s="6" t="s">
        <v>39</v>
      </c>
      <c r="P19" s="6">
        <v>10</v>
      </c>
      <c r="Q19" s="6" t="s">
        <v>247</v>
      </c>
      <c r="R19" s="6"/>
      <c r="S19" s="6">
        <f t="shared" si="7"/>
        <v>10</v>
      </c>
      <c r="T19" s="6">
        <f t="shared" si="8"/>
        <v>10</v>
      </c>
      <c r="U19" s="6"/>
      <c r="V19" s="6">
        <f t="shared" si="9"/>
        <v>10</v>
      </c>
      <c r="W19" s="6" t="s">
        <v>304</v>
      </c>
      <c r="X19" s="6">
        <v>8</v>
      </c>
      <c r="Y19" s="6"/>
      <c r="Z19" s="6"/>
      <c r="AA19" s="6"/>
    </row>
    <row r="20" spans="1:27" x14ac:dyDescent="0.25">
      <c r="A20" s="6">
        <f t="shared" si="4"/>
        <v>13</v>
      </c>
      <c r="B20" s="6" t="s">
        <v>122</v>
      </c>
      <c r="C20" s="98" t="s">
        <v>43</v>
      </c>
      <c r="D20" s="67">
        <v>325</v>
      </c>
      <c r="E20" s="431">
        <v>0.8</v>
      </c>
      <c r="F20" s="46">
        <v>203</v>
      </c>
      <c r="G20" s="69">
        <f t="shared" si="5"/>
        <v>162.4</v>
      </c>
      <c r="H20" s="6">
        <v>126</v>
      </c>
      <c r="I20" s="6">
        <v>4.5</v>
      </c>
      <c r="J20" s="6"/>
      <c r="K20" s="6"/>
      <c r="L20" s="6"/>
      <c r="M20" s="46">
        <f t="shared" si="6"/>
        <v>10</v>
      </c>
      <c r="N20" s="6">
        <v>50</v>
      </c>
      <c r="O20" s="6" t="s">
        <v>39</v>
      </c>
      <c r="P20" s="6">
        <v>10</v>
      </c>
      <c r="Q20" s="6" t="s">
        <v>247</v>
      </c>
      <c r="R20" s="6"/>
      <c r="S20" s="6">
        <f t="shared" si="7"/>
        <v>10</v>
      </c>
      <c r="T20" s="6">
        <f t="shared" si="8"/>
        <v>10</v>
      </c>
      <c r="U20" s="6"/>
      <c r="V20" s="6">
        <f t="shared" si="9"/>
        <v>10</v>
      </c>
      <c r="W20" s="6" t="s">
        <v>304</v>
      </c>
      <c r="X20" s="6">
        <v>8</v>
      </c>
      <c r="Y20" s="6"/>
      <c r="Z20" s="6"/>
      <c r="AA20" s="6"/>
    </row>
    <row r="21" spans="1:27" x14ac:dyDescent="0.25">
      <c r="A21" s="6">
        <f t="shared" si="4"/>
        <v>14</v>
      </c>
      <c r="B21" s="6" t="s">
        <v>126</v>
      </c>
      <c r="C21" s="6" t="s">
        <v>43</v>
      </c>
      <c r="D21" s="67">
        <v>336</v>
      </c>
      <c r="E21" s="431">
        <v>0.2</v>
      </c>
      <c r="F21" s="46">
        <v>203</v>
      </c>
      <c r="G21" s="69">
        <f t="shared" si="5"/>
        <v>40.6</v>
      </c>
      <c r="H21" s="6">
        <v>6</v>
      </c>
      <c r="I21" s="6">
        <v>4.5</v>
      </c>
      <c r="J21" s="6"/>
      <c r="K21" s="6"/>
      <c r="L21" s="6"/>
      <c r="M21" s="46">
        <f t="shared" si="6"/>
        <v>10</v>
      </c>
      <c r="N21" s="6">
        <v>50</v>
      </c>
      <c r="O21" s="6" t="s">
        <v>39</v>
      </c>
      <c r="P21" s="6">
        <v>10</v>
      </c>
      <c r="Q21" s="6" t="s">
        <v>247</v>
      </c>
      <c r="R21" s="6"/>
      <c r="S21" s="6">
        <f t="shared" si="7"/>
        <v>10</v>
      </c>
      <c r="T21" s="6">
        <f t="shared" si="8"/>
        <v>10</v>
      </c>
      <c r="U21" s="6"/>
      <c r="V21" s="6">
        <f t="shared" si="9"/>
        <v>10</v>
      </c>
      <c r="W21" s="6" t="s">
        <v>304</v>
      </c>
      <c r="X21" s="6">
        <v>8</v>
      </c>
      <c r="Y21" s="6"/>
      <c r="Z21" s="6"/>
      <c r="AA21" s="6"/>
    </row>
    <row r="22" spans="1:27" x14ac:dyDescent="0.25">
      <c r="A22" s="6">
        <f t="shared" si="4"/>
        <v>15</v>
      </c>
      <c r="B22" s="6" t="s">
        <v>127</v>
      </c>
      <c r="C22" s="6" t="s">
        <v>43</v>
      </c>
      <c r="D22" s="67">
        <v>332</v>
      </c>
      <c r="E22" s="431">
        <v>0.2</v>
      </c>
      <c r="F22" s="46">
        <v>203</v>
      </c>
      <c r="G22" s="69">
        <f t="shared" si="5"/>
        <v>40.6</v>
      </c>
      <c r="H22" s="6">
        <v>6</v>
      </c>
      <c r="I22" s="6">
        <v>4.5</v>
      </c>
      <c r="J22" s="6"/>
      <c r="K22" s="6"/>
      <c r="L22" s="6"/>
      <c r="M22" s="46">
        <f t="shared" si="6"/>
        <v>10</v>
      </c>
      <c r="N22" s="6">
        <v>50</v>
      </c>
      <c r="O22" s="6" t="s">
        <v>39</v>
      </c>
      <c r="P22" s="6">
        <v>10</v>
      </c>
      <c r="Q22" s="6" t="s">
        <v>247</v>
      </c>
      <c r="R22" s="6"/>
      <c r="S22" s="6">
        <f t="shared" si="7"/>
        <v>10</v>
      </c>
      <c r="T22" s="6">
        <f t="shared" si="8"/>
        <v>10</v>
      </c>
      <c r="U22" s="6"/>
      <c r="V22" s="6"/>
      <c r="W22" s="6" t="s">
        <v>304</v>
      </c>
      <c r="X22" s="6">
        <v>8</v>
      </c>
      <c r="Y22" s="6"/>
      <c r="Z22" s="6"/>
      <c r="AA22" s="6"/>
    </row>
    <row r="23" spans="1:27" x14ac:dyDescent="0.25">
      <c r="A23" s="6">
        <f t="shared" si="4"/>
        <v>16</v>
      </c>
      <c r="B23" s="6" t="s">
        <v>132</v>
      </c>
      <c r="C23" s="6" t="s">
        <v>43</v>
      </c>
      <c r="D23" s="67">
        <v>338</v>
      </c>
      <c r="E23" s="431">
        <v>10.199999999999999</v>
      </c>
      <c r="F23" s="46">
        <v>203</v>
      </c>
      <c r="G23" s="69">
        <f t="shared" si="5"/>
        <v>2070.6</v>
      </c>
      <c r="H23" s="6">
        <v>2299</v>
      </c>
      <c r="I23" s="6">
        <v>4.5</v>
      </c>
      <c r="J23" s="6"/>
      <c r="K23" s="6"/>
      <c r="L23" s="6"/>
      <c r="M23" s="46">
        <f t="shared" si="6"/>
        <v>10</v>
      </c>
      <c r="N23" s="6">
        <v>140</v>
      </c>
      <c r="O23" s="6" t="s">
        <v>39</v>
      </c>
      <c r="P23" s="6">
        <v>10</v>
      </c>
      <c r="Q23" s="6" t="s">
        <v>250</v>
      </c>
      <c r="R23" s="6"/>
      <c r="S23" s="6">
        <f t="shared" si="7"/>
        <v>10</v>
      </c>
      <c r="T23" s="6">
        <f t="shared" si="8"/>
        <v>10</v>
      </c>
      <c r="U23" s="6"/>
      <c r="V23" s="6"/>
      <c r="W23" s="6" t="s">
        <v>305</v>
      </c>
      <c r="X23" s="6">
        <v>6</v>
      </c>
      <c r="Y23" s="6"/>
      <c r="Z23" s="6"/>
      <c r="AA23" s="6"/>
    </row>
    <row r="24" spans="1:27" x14ac:dyDescent="0.25">
      <c r="A24" s="6">
        <f t="shared" si="4"/>
        <v>17</v>
      </c>
      <c r="B24" s="6" t="s">
        <v>137</v>
      </c>
      <c r="C24" s="6" t="s">
        <v>43</v>
      </c>
      <c r="D24" s="67">
        <v>351</v>
      </c>
      <c r="E24" s="6">
        <v>2.2999999999999998</v>
      </c>
      <c r="F24" s="46">
        <v>203</v>
      </c>
      <c r="G24" s="69">
        <f t="shared" si="5"/>
        <v>466.9</v>
      </c>
      <c r="H24" s="6">
        <v>7</v>
      </c>
      <c r="I24" s="6">
        <v>4.5</v>
      </c>
      <c r="J24" s="6"/>
      <c r="K24" s="6"/>
      <c r="L24" s="6"/>
      <c r="M24" s="46">
        <f t="shared" si="6"/>
        <v>10</v>
      </c>
      <c r="N24" s="6">
        <v>80</v>
      </c>
      <c r="O24" s="6" t="s">
        <v>39</v>
      </c>
      <c r="P24" s="6">
        <v>10</v>
      </c>
      <c r="Q24" s="6" t="s">
        <v>250</v>
      </c>
      <c r="R24" s="6"/>
      <c r="S24" s="6">
        <f t="shared" si="7"/>
        <v>10</v>
      </c>
      <c r="T24" s="6">
        <f t="shared" si="8"/>
        <v>10</v>
      </c>
      <c r="U24" s="6"/>
      <c r="V24" s="6">
        <f>M24</f>
        <v>10</v>
      </c>
      <c r="W24" s="6" t="s">
        <v>304</v>
      </c>
      <c r="X24" s="6">
        <v>8</v>
      </c>
      <c r="Y24" s="6"/>
      <c r="Z24" s="6"/>
      <c r="AA24" s="6"/>
    </row>
    <row r="25" spans="1:27" x14ac:dyDescent="0.25">
      <c r="A25" s="6">
        <f t="shared" si="4"/>
        <v>18</v>
      </c>
      <c r="B25" s="6" t="s">
        <v>139</v>
      </c>
      <c r="C25" s="6" t="s">
        <v>43</v>
      </c>
      <c r="D25" s="6">
        <v>361</v>
      </c>
      <c r="E25" s="6">
        <v>0.5</v>
      </c>
      <c r="F25" s="46">
        <v>203</v>
      </c>
      <c r="G25" s="69">
        <f t="shared" si="5"/>
        <v>101.5</v>
      </c>
      <c r="H25" s="6">
        <v>365</v>
      </c>
      <c r="I25" s="6">
        <v>4.5</v>
      </c>
      <c r="J25" s="6"/>
      <c r="K25" s="6"/>
      <c r="L25" s="6"/>
      <c r="M25" s="46">
        <f t="shared" si="6"/>
        <v>10</v>
      </c>
      <c r="N25" s="6">
        <v>50</v>
      </c>
      <c r="O25" s="6" t="s">
        <v>39</v>
      </c>
      <c r="P25" s="6">
        <v>10</v>
      </c>
      <c r="Q25" s="6" t="s">
        <v>247</v>
      </c>
      <c r="R25" s="6"/>
      <c r="S25" s="6">
        <f t="shared" si="7"/>
        <v>10</v>
      </c>
      <c r="T25" s="6">
        <f t="shared" si="8"/>
        <v>10</v>
      </c>
      <c r="U25" s="6"/>
      <c r="V25" s="6">
        <f>M25</f>
        <v>10</v>
      </c>
      <c r="W25" s="6" t="s">
        <v>304</v>
      </c>
      <c r="X25" s="6">
        <v>8</v>
      </c>
      <c r="Y25" s="6"/>
      <c r="Z25" s="6"/>
      <c r="AA25" s="6"/>
    </row>
    <row r="26" spans="1:27" x14ac:dyDescent="0.25">
      <c r="A26" s="6">
        <f t="shared" si="4"/>
        <v>19</v>
      </c>
      <c r="B26" s="6" t="s">
        <v>140</v>
      </c>
      <c r="C26" s="6" t="s">
        <v>43</v>
      </c>
      <c r="D26" s="6">
        <v>371</v>
      </c>
      <c r="E26" s="6">
        <v>0.1</v>
      </c>
      <c r="F26" s="46">
        <v>203</v>
      </c>
      <c r="G26" s="69">
        <f t="shared" si="5"/>
        <v>20.3</v>
      </c>
      <c r="H26" s="6">
        <v>16</v>
      </c>
      <c r="I26" s="6">
        <v>4.5</v>
      </c>
      <c r="J26" s="6"/>
      <c r="K26" s="6"/>
      <c r="L26" s="6"/>
      <c r="M26" s="46">
        <f t="shared" si="6"/>
        <v>10</v>
      </c>
      <c r="N26" s="6">
        <v>50</v>
      </c>
      <c r="O26" s="6" t="s">
        <v>39</v>
      </c>
      <c r="P26" s="6">
        <v>10</v>
      </c>
      <c r="Q26" s="6" t="s">
        <v>247</v>
      </c>
      <c r="R26" s="6"/>
      <c r="S26" s="6">
        <f t="shared" si="7"/>
        <v>10</v>
      </c>
      <c r="T26" s="6">
        <f t="shared" si="8"/>
        <v>10</v>
      </c>
      <c r="U26" s="6"/>
      <c r="V26" s="6"/>
      <c r="W26" s="6" t="s">
        <v>304</v>
      </c>
      <c r="X26" s="6">
        <v>8</v>
      </c>
      <c r="Y26" s="6"/>
      <c r="Z26" s="6"/>
      <c r="AA26" s="6"/>
    </row>
    <row r="27" spans="1:27" s="47" customFormat="1" x14ac:dyDescent="0.25">
      <c r="A27" s="6">
        <f t="shared" si="4"/>
        <v>20</v>
      </c>
      <c r="B27" s="46" t="s">
        <v>141</v>
      </c>
      <c r="C27" s="46" t="s">
        <v>43</v>
      </c>
      <c r="D27" s="46">
        <v>375</v>
      </c>
      <c r="E27" s="46">
        <v>0.1</v>
      </c>
      <c r="F27" s="46">
        <v>203</v>
      </c>
      <c r="G27" s="69">
        <f t="shared" si="5"/>
        <v>20.3</v>
      </c>
      <c r="H27" s="46">
        <v>927</v>
      </c>
      <c r="I27" s="46">
        <v>4.5</v>
      </c>
      <c r="J27" s="46"/>
      <c r="K27" s="46"/>
      <c r="L27" s="46"/>
      <c r="M27" s="46">
        <f t="shared" si="6"/>
        <v>10</v>
      </c>
      <c r="N27" s="46">
        <v>50</v>
      </c>
      <c r="O27" s="46" t="s">
        <v>39</v>
      </c>
      <c r="P27" s="46">
        <v>10</v>
      </c>
      <c r="Q27" s="46" t="s">
        <v>247</v>
      </c>
      <c r="R27" s="46"/>
      <c r="S27" s="46">
        <f t="shared" si="7"/>
        <v>10</v>
      </c>
      <c r="T27" s="46">
        <f>S27</f>
        <v>10</v>
      </c>
      <c r="U27" s="46"/>
      <c r="V27" s="46"/>
      <c r="W27" s="46" t="s">
        <v>304</v>
      </c>
      <c r="X27" s="46">
        <v>8</v>
      </c>
      <c r="Y27" s="46"/>
      <c r="Z27" s="46"/>
      <c r="AA27" s="46"/>
    </row>
    <row r="28" spans="1:27" s="47" customFormat="1" x14ac:dyDescent="0.25">
      <c r="A28" s="6">
        <f t="shared" si="4"/>
        <v>21</v>
      </c>
      <c r="B28" s="46" t="s">
        <v>96</v>
      </c>
      <c r="C28" s="46" t="s">
        <v>88</v>
      </c>
      <c r="D28" s="46">
        <v>510</v>
      </c>
      <c r="E28" s="46">
        <v>0.1</v>
      </c>
      <c r="F28" s="46">
        <v>203</v>
      </c>
      <c r="G28" s="69">
        <f t="shared" si="5"/>
        <v>20.3</v>
      </c>
      <c r="H28" s="46">
        <v>361</v>
      </c>
      <c r="I28" s="46">
        <v>4.5</v>
      </c>
      <c r="J28" s="46"/>
      <c r="K28" s="46"/>
      <c r="L28" s="46"/>
      <c r="M28" s="46">
        <f t="shared" si="6"/>
        <v>10</v>
      </c>
      <c r="N28" s="46">
        <v>50</v>
      </c>
      <c r="O28" s="46" t="s">
        <v>39</v>
      </c>
      <c r="P28" s="46">
        <v>10</v>
      </c>
      <c r="Q28" s="46" t="s">
        <v>247</v>
      </c>
      <c r="R28" s="46"/>
      <c r="S28" s="46">
        <f t="shared" si="7"/>
        <v>10</v>
      </c>
      <c r="T28" s="46">
        <f>S28</f>
        <v>10</v>
      </c>
      <c r="U28" s="46"/>
      <c r="V28" s="46"/>
      <c r="W28" s="46" t="s">
        <v>303</v>
      </c>
      <c r="X28" s="46">
        <v>6</v>
      </c>
      <c r="Y28" s="46"/>
      <c r="Z28" s="46"/>
      <c r="AA28" s="46"/>
    </row>
    <row r="29" spans="1:27" x14ac:dyDescent="0.25">
      <c r="A29" s="6">
        <f t="shared" si="4"/>
        <v>22</v>
      </c>
      <c r="B29" s="6" t="s">
        <v>97</v>
      </c>
      <c r="C29" s="6" t="s">
        <v>88</v>
      </c>
      <c r="D29" s="6">
        <v>517</v>
      </c>
      <c r="E29" s="6">
        <v>0.3</v>
      </c>
      <c r="F29" s="46">
        <v>203</v>
      </c>
      <c r="G29" s="69">
        <f t="shared" si="5"/>
        <v>60.9</v>
      </c>
      <c r="H29" s="6">
        <v>472</v>
      </c>
      <c r="I29" s="6">
        <v>4.5</v>
      </c>
      <c r="J29" s="6"/>
      <c r="K29" s="6"/>
      <c r="L29" s="6"/>
      <c r="M29" s="46">
        <f t="shared" si="6"/>
        <v>10</v>
      </c>
      <c r="N29" s="6">
        <v>50</v>
      </c>
      <c r="O29" s="6" t="s">
        <v>39</v>
      </c>
      <c r="P29" s="6">
        <v>10</v>
      </c>
      <c r="Q29" s="6" t="s">
        <v>247</v>
      </c>
      <c r="R29" s="6"/>
      <c r="S29" s="6">
        <f t="shared" si="7"/>
        <v>10</v>
      </c>
      <c r="T29" s="6">
        <f t="shared" ref="T29:T37" si="10">S29</f>
        <v>10</v>
      </c>
      <c r="U29" s="6"/>
      <c r="V29" s="6"/>
      <c r="W29" s="6" t="s">
        <v>303</v>
      </c>
      <c r="X29" s="6">
        <v>6</v>
      </c>
      <c r="Y29" s="6"/>
      <c r="Z29" s="6"/>
      <c r="AA29" s="6"/>
    </row>
    <row r="30" spans="1:27" x14ac:dyDescent="0.25">
      <c r="A30" s="6">
        <f t="shared" si="4"/>
        <v>23</v>
      </c>
      <c r="B30" s="6" t="s">
        <v>98</v>
      </c>
      <c r="C30" s="6" t="s">
        <v>88</v>
      </c>
      <c r="D30" s="6">
        <v>518</v>
      </c>
      <c r="E30" s="6">
        <v>3.5</v>
      </c>
      <c r="F30" s="46">
        <v>203</v>
      </c>
      <c r="G30" s="69">
        <f t="shared" si="5"/>
        <v>710.5</v>
      </c>
      <c r="H30" s="6"/>
      <c r="I30" s="6">
        <v>4.5</v>
      </c>
      <c r="J30" s="6"/>
      <c r="K30" s="6"/>
      <c r="L30" s="6"/>
      <c r="M30" s="46">
        <f t="shared" si="6"/>
        <v>10</v>
      </c>
      <c r="N30" s="6">
        <v>80</v>
      </c>
      <c r="O30" s="6" t="s">
        <v>39</v>
      </c>
      <c r="P30" s="6">
        <v>10</v>
      </c>
      <c r="Q30" s="6" t="s">
        <v>250</v>
      </c>
      <c r="R30" s="6"/>
      <c r="S30" s="6">
        <f t="shared" si="7"/>
        <v>10</v>
      </c>
      <c r="T30" s="6">
        <f t="shared" si="10"/>
        <v>10</v>
      </c>
      <c r="U30" s="6"/>
      <c r="V30" s="6"/>
      <c r="W30" s="6" t="s">
        <v>304</v>
      </c>
      <c r="X30" s="6">
        <v>8</v>
      </c>
      <c r="Y30" s="6"/>
      <c r="Z30" s="6"/>
      <c r="AA30" s="6"/>
    </row>
    <row r="31" spans="1:27" x14ac:dyDescent="0.25">
      <c r="A31" s="6">
        <f t="shared" si="4"/>
        <v>24</v>
      </c>
      <c r="B31" s="6" t="s">
        <v>99</v>
      </c>
      <c r="C31" s="6" t="s">
        <v>88</v>
      </c>
      <c r="D31" s="6"/>
      <c r="E31" s="6">
        <v>0.2</v>
      </c>
      <c r="F31" s="46">
        <v>203</v>
      </c>
      <c r="G31" s="69">
        <f t="shared" si="5"/>
        <v>40.6</v>
      </c>
      <c r="H31" s="6"/>
      <c r="I31" s="6">
        <v>4.5</v>
      </c>
      <c r="J31" s="6"/>
      <c r="K31" s="6"/>
      <c r="L31" s="6"/>
      <c r="M31" s="46">
        <f t="shared" si="6"/>
        <v>10</v>
      </c>
      <c r="N31" s="6">
        <v>50</v>
      </c>
      <c r="O31" s="6" t="s">
        <v>39</v>
      </c>
      <c r="P31" s="6">
        <v>10</v>
      </c>
      <c r="Q31" s="6" t="s">
        <v>247</v>
      </c>
      <c r="R31" s="6"/>
      <c r="S31" s="6">
        <f t="shared" si="7"/>
        <v>10</v>
      </c>
      <c r="T31" s="6">
        <f t="shared" si="10"/>
        <v>10</v>
      </c>
      <c r="U31" s="6"/>
      <c r="V31" s="6"/>
      <c r="W31" s="6" t="s">
        <v>304</v>
      </c>
      <c r="X31" s="6">
        <v>8</v>
      </c>
      <c r="Y31" s="6"/>
      <c r="Z31" s="6"/>
      <c r="AA31" s="6"/>
    </row>
    <row r="32" spans="1:27" x14ac:dyDescent="0.25">
      <c r="A32" s="6">
        <f t="shared" si="4"/>
        <v>25</v>
      </c>
      <c r="B32" s="6" t="s">
        <v>100</v>
      </c>
      <c r="C32" s="6" t="s">
        <v>88</v>
      </c>
      <c r="D32" s="6">
        <v>518</v>
      </c>
      <c r="E32" s="6">
        <v>1.6</v>
      </c>
      <c r="F32" s="46">
        <v>203</v>
      </c>
      <c r="G32" s="69">
        <f t="shared" si="5"/>
        <v>324.8</v>
      </c>
      <c r="H32" s="6">
        <v>359</v>
      </c>
      <c r="I32" s="6">
        <v>4.5</v>
      </c>
      <c r="J32" s="6"/>
      <c r="K32" s="6"/>
      <c r="L32" s="6"/>
      <c r="M32" s="46">
        <f t="shared" si="6"/>
        <v>10</v>
      </c>
      <c r="N32" s="6">
        <v>60</v>
      </c>
      <c r="O32" s="6" t="s">
        <v>39</v>
      </c>
      <c r="P32" s="6">
        <v>10</v>
      </c>
      <c r="Q32" s="6" t="s">
        <v>248</v>
      </c>
      <c r="R32" s="6"/>
      <c r="S32" s="6">
        <f t="shared" si="7"/>
        <v>10</v>
      </c>
      <c r="T32" s="6">
        <f t="shared" si="10"/>
        <v>10</v>
      </c>
      <c r="U32" s="6"/>
      <c r="V32" s="6"/>
      <c r="W32" s="6" t="s">
        <v>304</v>
      </c>
      <c r="X32" s="6">
        <v>8</v>
      </c>
      <c r="Y32" s="6"/>
      <c r="Z32" s="6"/>
      <c r="AA32" s="6"/>
    </row>
    <row r="33" spans="1:27" x14ac:dyDescent="0.25">
      <c r="A33" s="6">
        <f t="shared" si="4"/>
        <v>26</v>
      </c>
      <c r="B33" s="6" t="s">
        <v>101</v>
      </c>
      <c r="C33" s="6" t="s">
        <v>88</v>
      </c>
      <c r="D33" s="6">
        <v>527</v>
      </c>
      <c r="E33" s="6">
        <v>1.3</v>
      </c>
      <c r="F33" s="46">
        <v>203</v>
      </c>
      <c r="G33" s="69">
        <f t="shared" si="5"/>
        <v>263.90000000000003</v>
      </c>
      <c r="H33" s="6">
        <v>357</v>
      </c>
      <c r="I33" s="6">
        <v>4.5</v>
      </c>
      <c r="J33" s="6"/>
      <c r="K33" s="6"/>
      <c r="L33" s="6"/>
      <c r="M33" s="46">
        <f t="shared" si="6"/>
        <v>10</v>
      </c>
      <c r="N33" s="6">
        <v>60</v>
      </c>
      <c r="O33" s="6" t="s">
        <v>39</v>
      </c>
      <c r="P33" s="6">
        <v>10</v>
      </c>
      <c r="Q33" s="6" t="s">
        <v>248</v>
      </c>
      <c r="R33" s="6"/>
      <c r="S33" s="6">
        <f t="shared" si="7"/>
        <v>10</v>
      </c>
      <c r="T33" s="6">
        <f t="shared" si="10"/>
        <v>10</v>
      </c>
      <c r="U33" s="6"/>
      <c r="V33" s="6"/>
      <c r="W33" s="6" t="s">
        <v>304</v>
      </c>
      <c r="X33" s="6">
        <v>8</v>
      </c>
      <c r="Y33" s="6"/>
      <c r="Z33" s="6"/>
      <c r="AA33" s="6"/>
    </row>
    <row r="34" spans="1:27" x14ac:dyDescent="0.25">
      <c r="A34" s="6">
        <f t="shared" si="4"/>
        <v>27</v>
      </c>
      <c r="B34" s="6" t="s">
        <v>102</v>
      </c>
      <c r="C34" s="6" t="s">
        <v>88</v>
      </c>
      <c r="D34" s="6">
        <v>561</v>
      </c>
      <c r="E34" s="6">
        <v>0.1</v>
      </c>
      <c r="F34" s="46">
        <v>203</v>
      </c>
      <c r="G34" s="69">
        <f t="shared" si="5"/>
        <v>20.3</v>
      </c>
      <c r="H34" s="6"/>
      <c r="I34" s="6">
        <v>4.5</v>
      </c>
      <c r="J34" s="6"/>
      <c r="K34" s="6"/>
      <c r="L34" s="6"/>
      <c r="M34" s="46">
        <f t="shared" si="6"/>
        <v>10</v>
      </c>
      <c r="N34" s="6">
        <v>50</v>
      </c>
      <c r="O34" s="6" t="s">
        <v>39</v>
      </c>
      <c r="P34" s="6">
        <v>10</v>
      </c>
      <c r="Q34" s="6" t="s">
        <v>247</v>
      </c>
      <c r="R34" s="6"/>
      <c r="S34" s="6">
        <f t="shared" si="7"/>
        <v>10</v>
      </c>
      <c r="T34" s="6">
        <f t="shared" si="10"/>
        <v>10</v>
      </c>
      <c r="U34" s="6"/>
      <c r="V34" s="6"/>
      <c r="W34" s="6" t="s">
        <v>304</v>
      </c>
      <c r="X34" s="6">
        <v>8</v>
      </c>
      <c r="Y34" s="6"/>
      <c r="Z34" s="6"/>
      <c r="AA34" s="6"/>
    </row>
    <row r="35" spans="1:27" x14ac:dyDescent="0.25">
      <c r="A35" s="6">
        <f t="shared" si="4"/>
        <v>28</v>
      </c>
      <c r="B35" s="6" t="s">
        <v>103</v>
      </c>
      <c r="C35" s="6" t="s">
        <v>88</v>
      </c>
      <c r="D35" s="6">
        <v>563</v>
      </c>
      <c r="E35" s="6">
        <v>0.1</v>
      </c>
      <c r="F35" s="46">
        <v>203</v>
      </c>
      <c r="G35" s="69">
        <f t="shared" si="5"/>
        <v>20.3</v>
      </c>
      <c r="H35" s="6"/>
      <c r="I35" s="6">
        <v>4.5</v>
      </c>
      <c r="J35" s="6"/>
      <c r="K35" s="6"/>
      <c r="L35" s="6"/>
      <c r="M35" s="46">
        <f t="shared" si="6"/>
        <v>10</v>
      </c>
      <c r="N35" s="6">
        <v>50</v>
      </c>
      <c r="O35" s="6" t="s">
        <v>39</v>
      </c>
      <c r="P35" s="6">
        <v>10</v>
      </c>
      <c r="Q35" s="6" t="s">
        <v>247</v>
      </c>
      <c r="R35" s="6"/>
      <c r="S35" s="6">
        <f t="shared" si="7"/>
        <v>10</v>
      </c>
      <c r="T35" s="6">
        <f t="shared" si="10"/>
        <v>10</v>
      </c>
      <c r="U35" s="6"/>
      <c r="V35" s="6"/>
      <c r="W35" s="6" t="s">
        <v>304</v>
      </c>
      <c r="X35" s="6">
        <v>8</v>
      </c>
      <c r="Y35" s="6"/>
      <c r="Z35" s="6"/>
      <c r="AA35" s="6"/>
    </row>
    <row r="36" spans="1:27" x14ac:dyDescent="0.25">
      <c r="A36" s="6">
        <f t="shared" si="4"/>
        <v>29</v>
      </c>
      <c r="B36" s="6" t="s">
        <v>104</v>
      </c>
      <c r="C36" s="6" t="s">
        <v>88</v>
      </c>
      <c r="D36" s="6">
        <v>564</v>
      </c>
      <c r="E36" s="6">
        <v>0.1</v>
      </c>
      <c r="F36" s="46">
        <v>203</v>
      </c>
      <c r="G36" s="69">
        <f t="shared" si="5"/>
        <v>20.3</v>
      </c>
      <c r="H36" s="6">
        <v>718</v>
      </c>
      <c r="I36" s="6">
        <v>4.5</v>
      </c>
      <c r="J36" s="6"/>
      <c r="K36" s="6"/>
      <c r="L36" s="6"/>
      <c r="M36" s="46">
        <f t="shared" si="6"/>
        <v>10</v>
      </c>
      <c r="N36" s="6">
        <v>50</v>
      </c>
      <c r="O36" s="6" t="s">
        <v>39</v>
      </c>
      <c r="P36" s="6">
        <v>10</v>
      </c>
      <c r="Q36" s="6" t="s">
        <v>247</v>
      </c>
      <c r="R36" s="6"/>
      <c r="S36" s="6">
        <f t="shared" si="7"/>
        <v>10</v>
      </c>
      <c r="T36" s="6">
        <f t="shared" si="10"/>
        <v>10</v>
      </c>
      <c r="U36" s="6"/>
      <c r="V36" s="6"/>
      <c r="W36" s="6" t="s">
        <v>304</v>
      </c>
      <c r="X36" s="6">
        <v>8</v>
      </c>
      <c r="Y36" s="6"/>
      <c r="Z36" s="6"/>
      <c r="AA36" s="6"/>
    </row>
    <row r="37" spans="1:27" x14ac:dyDescent="0.25">
      <c r="A37" s="6">
        <f t="shared" si="4"/>
        <v>30</v>
      </c>
      <c r="B37" s="6" t="s">
        <v>108</v>
      </c>
      <c r="C37" s="6" t="s">
        <v>88</v>
      </c>
      <c r="D37" s="6">
        <v>541</v>
      </c>
      <c r="E37" s="6">
        <v>0.8</v>
      </c>
      <c r="F37" s="46">
        <v>203</v>
      </c>
      <c r="G37" s="69">
        <f t="shared" si="5"/>
        <v>162.4</v>
      </c>
      <c r="H37" s="6">
        <v>646</v>
      </c>
      <c r="I37" s="6">
        <v>4.5</v>
      </c>
      <c r="J37" s="6"/>
      <c r="K37" s="6"/>
      <c r="L37" s="6"/>
      <c r="M37" s="46">
        <f t="shared" si="6"/>
        <v>10</v>
      </c>
      <c r="N37" s="6">
        <v>50</v>
      </c>
      <c r="O37" s="6" t="s">
        <v>39</v>
      </c>
      <c r="P37" s="6">
        <v>10</v>
      </c>
      <c r="Q37" s="6" t="s">
        <v>247</v>
      </c>
      <c r="R37" s="6"/>
      <c r="S37" s="6">
        <f>M37</f>
        <v>10</v>
      </c>
      <c r="T37" s="6">
        <f t="shared" si="10"/>
        <v>10</v>
      </c>
      <c r="U37" s="6"/>
      <c r="V37" s="6"/>
      <c r="W37" s="6" t="s">
        <v>304</v>
      </c>
      <c r="X37" s="6">
        <v>8</v>
      </c>
      <c r="Y37" s="6"/>
      <c r="Z37" s="6"/>
      <c r="AA37" s="6"/>
    </row>
    <row r="38" spans="1:27" x14ac:dyDescent="0.25">
      <c r="A38" s="6">
        <f t="shared" si="4"/>
        <v>31</v>
      </c>
      <c r="B38" s="6" t="s">
        <v>109</v>
      </c>
      <c r="C38" s="6" t="s">
        <v>88</v>
      </c>
      <c r="D38" s="6">
        <v>548</v>
      </c>
      <c r="E38" s="6">
        <v>0.1</v>
      </c>
      <c r="F38" s="46">
        <v>203</v>
      </c>
      <c r="G38" s="69">
        <f t="shared" si="5"/>
        <v>20.3</v>
      </c>
      <c r="H38" s="6">
        <v>176</v>
      </c>
      <c r="I38" s="6">
        <v>4.5</v>
      </c>
      <c r="J38" s="6"/>
      <c r="K38" s="6"/>
      <c r="L38" s="6"/>
      <c r="M38" s="46">
        <f t="shared" si="6"/>
        <v>10</v>
      </c>
      <c r="N38" s="6">
        <v>50</v>
      </c>
      <c r="O38" s="6" t="s">
        <v>39</v>
      </c>
      <c r="P38" s="6">
        <v>10</v>
      </c>
      <c r="Q38" s="6" t="s">
        <v>247</v>
      </c>
      <c r="R38" s="6"/>
      <c r="S38" s="6">
        <f t="shared" si="7"/>
        <v>10</v>
      </c>
      <c r="T38" s="6">
        <f t="shared" ref="T38:T44" si="11">S38</f>
        <v>10</v>
      </c>
      <c r="U38" s="6"/>
      <c r="V38" s="6">
        <f>M38</f>
        <v>10</v>
      </c>
      <c r="W38" s="6" t="s">
        <v>304</v>
      </c>
      <c r="X38" s="6">
        <v>8</v>
      </c>
      <c r="Y38" s="6"/>
      <c r="Z38" s="6"/>
      <c r="AA38" s="6"/>
    </row>
    <row r="39" spans="1:27" s="47" customFormat="1" x14ac:dyDescent="0.25">
      <c r="A39" s="6">
        <f t="shared" si="4"/>
        <v>32</v>
      </c>
      <c r="B39" s="46" t="s">
        <v>204</v>
      </c>
      <c r="C39" s="46" t="s">
        <v>88</v>
      </c>
      <c r="D39" s="46">
        <v>555</v>
      </c>
      <c r="E39" s="46">
        <v>0.1</v>
      </c>
      <c r="F39" s="46">
        <v>203</v>
      </c>
      <c r="G39" s="69">
        <f t="shared" si="5"/>
        <v>20.3</v>
      </c>
      <c r="H39" s="46">
        <v>1123</v>
      </c>
      <c r="I39" s="46">
        <v>4.5</v>
      </c>
      <c r="J39" s="46"/>
      <c r="K39" s="46"/>
      <c r="L39" s="46"/>
      <c r="M39" s="46">
        <v>10</v>
      </c>
      <c r="N39" s="46">
        <v>50</v>
      </c>
      <c r="O39" s="46" t="s">
        <v>39</v>
      </c>
      <c r="P39" s="46">
        <v>10</v>
      </c>
      <c r="Q39" s="46" t="s">
        <v>247</v>
      </c>
      <c r="R39" s="46"/>
      <c r="S39" s="46">
        <f t="shared" si="7"/>
        <v>10</v>
      </c>
      <c r="T39" s="46">
        <f t="shared" si="11"/>
        <v>10</v>
      </c>
      <c r="U39" s="46"/>
      <c r="V39" s="46"/>
      <c r="W39" s="46" t="s">
        <v>317</v>
      </c>
      <c r="X39" s="46">
        <v>8</v>
      </c>
      <c r="Y39" s="46"/>
      <c r="Z39" s="46"/>
      <c r="AA39" s="46"/>
    </row>
    <row r="40" spans="1:27" s="47" customFormat="1" x14ac:dyDescent="0.25">
      <c r="A40" s="6">
        <f t="shared" si="4"/>
        <v>33</v>
      </c>
      <c r="B40" s="46" t="s">
        <v>142</v>
      </c>
      <c r="C40" s="46" t="s">
        <v>89</v>
      </c>
      <c r="D40" s="46" t="s">
        <v>255</v>
      </c>
      <c r="E40" s="46">
        <v>0.2</v>
      </c>
      <c r="F40" s="46">
        <v>203</v>
      </c>
      <c r="G40" s="69">
        <f t="shared" si="5"/>
        <v>40.6</v>
      </c>
      <c r="H40" s="46" t="s">
        <v>265</v>
      </c>
      <c r="I40" s="46">
        <v>4.5</v>
      </c>
      <c r="J40" s="46"/>
      <c r="K40" s="46"/>
      <c r="L40" s="46"/>
      <c r="M40" s="46">
        <f t="shared" si="6"/>
        <v>13</v>
      </c>
      <c r="N40" s="46">
        <v>60</v>
      </c>
      <c r="O40" s="46" t="s">
        <v>39</v>
      </c>
      <c r="P40" s="46">
        <v>13</v>
      </c>
      <c r="Q40" s="46" t="s">
        <v>250</v>
      </c>
      <c r="R40" s="46"/>
      <c r="S40" s="46">
        <f t="shared" si="7"/>
        <v>13</v>
      </c>
      <c r="T40" s="46">
        <f t="shared" si="11"/>
        <v>13</v>
      </c>
      <c r="U40" s="46">
        <v>2</v>
      </c>
      <c r="V40" s="46"/>
      <c r="W40" s="46" t="s">
        <v>308</v>
      </c>
      <c r="X40" s="46">
        <v>10</v>
      </c>
      <c r="Y40" s="46">
        <v>2</v>
      </c>
      <c r="Z40" s="46"/>
      <c r="AA40" s="46"/>
    </row>
    <row r="41" spans="1:27" x14ac:dyDescent="0.25">
      <c r="A41" s="6">
        <f t="shared" si="4"/>
        <v>34</v>
      </c>
      <c r="B41" s="6" t="s">
        <v>256</v>
      </c>
      <c r="C41" s="6" t="s">
        <v>89</v>
      </c>
      <c r="D41" s="6" t="s">
        <v>255</v>
      </c>
      <c r="E41" s="6">
        <v>5.4</v>
      </c>
      <c r="F41" s="46">
        <v>203</v>
      </c>
      <c r="G41" s="69">
        <f t="shared" si="5"/>
        <v>1096.2</v>
      </c>
      <c r="H41" s="6">
        <v>655</v>
      </c>
      <c r="I41" s="6">
        <v>4.5</v>
      </c>
      <c r="J41" s="6"/>
      <c r="K41" s="6"/>
      <c r="L41" s="6"/>
      <c r="M41" s="46">
        <f t="shared" si="6"/>
        <v>10</v>
      </c>
      <c r="N41" s="6">
        <v>100</v>
      </c>
      <c r="O41" s="6" t="s">
        <v>39</v>
      </c>
      <c r="P41" s="6">
        <v>10</v>
      </c>
      <c r="Q41" s="6" t="s">
        <v>250</v>
      </c>
      <c r="R41" s="6">
        <f>X41*4.5*0.2</f>
        <v>9</v>
      </c>
      <c r="S41" s="6">
        <f t="shared" si="7"/>
        <v>10</v>
      </c>
      <c r="T41" s="6">
        <f t="shared" si="11"/>
        <v>10</v>
      </c>
      <c r="U41" s="6"/>
      <c r="V41" s="6"/>
      <c r="W41" s="6" t="s">
        <v>310</v>
      </c>
      <c r="X41" s="6">
        <v>10</v>
      </c>
      <c r="Y41" s="6">
        <v>2</v>
      </c>
      <c r="Z41" s="6"/>
      <c r="AA41" s="6"/>
    </row>
    <row r="42" spans="1:27" x14ac:dyDescent="0.25">
      <c r="A42" s="6">
        <f t="shared" si="4"/>
        <v>35</v>
      </c>
      <c r="B42" s="6" t="s">
        <v>257</v>
      </c>
      <c r="C42" s="6" t="s">
        <v>89</v>
      </c>
      <c r="D42" s="6" t="s">
        <v>255</v>
      </c>
      <c r="E42" s="6">
        <v>5.5</v>
      </c>
      <c r="F42" s="46">
        <v>203</v>
      </c>
      <c r="G42" s="69">
        <f t="shared" si="5"/>
        <v>1116.5</v>
      </c>
      <c r="H42" s="6">
        <v>511</v>
      </c>
      <c r="I42" s="6">
        <v>4.5</v>
      </c>
      <c r="J42" s="6"/>
      <c r="K42" s="6"/>
      <c r="L42" s="6"/>
      <c r="M42" s="46">
        <f t="shared" si="6"/>
        <v>10</v>
      </c>
      <c r="N42" s="6">
        <v>100</v>
      </c>
      <c r="O42" s="6" t="s">
        <v>39</v>
      </c>
      <c r="P42" s="6">
        <v>10</v>
      </c>
      <c r="Q42" s="6" t="s">
        <v>250</v>
      </c>
      <c r="R42" s="6">
        <f>X42*4.5*0.2</f>
        <v>7.2</v>
      </c>
      <c r="S42" s="6">
        <f t="shared" si="7"/>
        <v>10</v>
      </c>
      <c r="T42" s="6">
        <f t="shared" si="11"/>
        <v>10</v>
      </c>
      <c r="U42" s="6"/>
      <c r="V42" s="6"/>
      <c r="W42" s="6" t="s">
        <v>311</v>
      </c>
      <c r="X42" s="6">
        <v>8</v>
      </c>
      <c r="Y42" s="6">
        <v>2</v>
      </c>
      <c r="Z42" s="6"/>
      <c r="AA42" s="6"/>
    </row>
    <row r="43" spans="1:27" x14ac:dyDescent="0.25">
      <c r="A43" s="6">
        <f t="shared" si="4"/>
        <v>36</v>
      </c>
      <c r="B43" s="6" t="s">
        <v>258</v>
      </c>
      <c r="C43" s="6" t="s">
        <v>89</v>
      </c>
      <c r="D43" s="6" t="s">
        <v>255</v>
      </c>
      <c r="E43" s="6">
        <v>5.5</v>
      </c>
      <c r="F43" s="46">
        <v>203</v>
      </c>
      <c r="G43" s="69">
        <f>+E43*F43</f>
        <v>1116.5</v>
      </c>
      <c r="H43" s="6">
        <v>213</v>
      </c>
      <c r="I43" s="6">
        <v>4.5</v>
      </c>
      <c r="J43" s="6"/>
      <c r="K43" s="70"/>
      <c r="L43" s="6"/>
      <c r="M43" s="46">
        <f t="shared" si="6"/>
        <v>10</v>
      </c>
      <c r="N43" s="6">
        <v>100</v>
      </c>
      <c r="O43" s="6" t="s">
        <v>39</v>
      </c>
      <c r="P43" s="6">
        <v>10</v>
      </c>
      <c r="Q43" s="6" t="s">
        <v>250</v>
      </c>
      <c r="R43" s="6">
        <f>X43*4.5*0.2</f>
        <v>7.2</v>
      </c>
      <c r="S43" s="6">
        <f t="shared" si="7"/>
        <v>10</v>
      </c>
      <c r="T43" s="6">
        <f t="shared" si="11"/>
        <v>10</v>
      </c>
      <c r="U43" s="6"/>
      <c r="V43" s="6"/>
      <c r="W43" s="6" t="s">
        <v>304</v>
      </c>
      <c r="X43" s="6">
        <v>8</v>
      </c>
      <c r="Y43" s="6"/>
      <c r="Z43" s="6"/>
      <c r="AA43" s="6"/>
    </row>
    <row r="44" spans="1:27" x14ac:dyDescent="0.25">
      <c r="A44" s="6">
        <f t="shared" si="4"/>
        <v>37</v>
      </c>
      <c r="B44" s="6" t="s">
        <v>143</v>
      </c>
      <c r="C44" s="6" t="s">
        <v>89</v>
      </c>
      <c r="D44" s="6">
        <v>501</v>
      </c>
      <c r="E44" s="6">
        <v>0.7</v>
      </c>
      <c r="F44" s="46">
        <v>203</v>
      </c>
      <c r="G44" s="69">
        <f t="shared" si="5"/>
        <v>142.1</v>
      </c>
      <c r="H44" s="6" t="s">
        <v>266</v>
      </c>
      <c r="I44" s="6">
        <v>4.5</v>
      </c>
      <c r="J44" s="6"/>
      <c r="K44" s="6"/>
      <c r="L44" s="6"/>
      <c r="M44" s="46">
        <f t="shared" si="6"/>
        <v>16</v>
      </c>
      <c r="N44" s="6">
        <v>50</v>
      </c>
      <c r="O44" s="6" t="s">
        <v>39</v>
      </c>
      <c r="P44" s="6">
        <v>16</v>
      </c>
      <c r="Q44" s="6" t="s">
        <v>248</v>
      </c>
      <c r="R44" s="6"/>
      <c r="S44" s="6">
        <f t="shared" si="7"/>
        <v>16</v>
      </c>
      <c r="T44" s="6">
        <f t="shared" si="11"/>
        <v>16</v>
      </c>
      <c r="U44" s="6">
        <v>2</v>
      </c>
      <c r="V44" s="6"/>
      <c r="W44" s="6" t="s">
        <v>308</v>
      </c>
      <c r="X44" s="6">
        <v>10</v>
      </c>
      <c r="Y44" s="6">
        <v>2</v>
      </c>
      <c r="Z44" s="6"/>
      <c r="AA44" s="6"/>
    </row>
    <row r="45" spans="1:27" x14ac:dyDescent="0.25">
      <c r="A45" s="6">
        <f t="shared" si="4"/>
        <v>38</v>
      </c>
      <c r="B45" s="6" t="s">
        <v>144</v>
      </c>
      <c r="C45" s="6" t="s">
        <v>89</v>
      </c>
      <c r="D45" s="6">
        <v>604</v>
      </c>
      <c r="E45" s="6">
        <v>3.9</v>
      </c>
      <c r="F45" s="46">
        <v>203</v>
      </c>
      <c r="G45" s="69">
        <f t="shared" si="5"/>
        <v>791.69999999999993</v>
      </c>
      <c r="H45" s="6" t="s">
        <v>268</v>
      </c>
      <c r="I45" s="6">
        <v>4.8</v>
      </c>
      <c r="J45" s="6"/>
      <c r="K45" s="6"/>
      <c r="L45" s="6"/>
      <c r="M45" s="46">
        <f t="shared" si="6"/>
        <v>10</v>
      </c>
      <c r="N45" s="6">
        <v>100</v>
      </c>
      <c r="O45" s="6" t="s">
        <v>39</v>
      </c>
      <c r="P45" s="6">
        <v>10</v>
      </c>
      <c r="Q45" s="6" t="s">
        <v>250</v>
      </c>
      <c r="R45" s="6"/>
      <c r="S45" s="6">
        <f t="shared" si="7"/>
        <v>10</v>
      </c>
      <c r="T45" s="6">
        <f t="shared" ref="T45:T59" si="12">S45</f>
        <v>10</v>
      </c>
      <c r="U45" s="6"/>
      <c r="V45" s="6"/>
      <c r="W45" s="6" t="s">
        <v>303</v>
      </c>
      <c r="X45" s="6">
        <v>6</v>
      </c>
      <c r="Y45" s="6"/>
      <c r="Z45" s="6"/>
      <c r="AA45" s="6"/>
    </row>
    <row r="46" spans="1:27" x14ac:dyDescent="0.25">
      <c r="A46" s="6">
        <f t="shared" si="4"/>
        <v>39</v>
      </c>
      <c r="B46" s="6" t="s">
        <v>145</v>
      </c>
      <c r="C46" s="6" t="s">
        <v>89</v>
      </c>
      <c r="D46" s="6">
        <v>603</v>
      </c>
      <c r="E46" s="6">
        <v>0.1</v>
      </c>
      <c r="F46" s="46">
        <v>203</v>
      </c>
      <c r="G46" s="69">
        <f t="shared" si="5"/>
        <v>20.3</v>
      </c>
      <c r="H46" s="6" t="s">
        <v>268</v>
      </c>
      <c r="I46" s="6">
        <v>4.8</v>
      </c>
      <c r="J46" s="6"/>
      <c r="K46" s="6"/>
      <c r="L46" s="6"/>
      <c r="M46" s="46">
        <f t="shared" si="6"/>
        <v>10</v>
      </c>
      <c r="N46" s="6">
        <v>50</v>
      </c>
      <c r="O46" s="6" t="s">
        <v>39</v>
      </c>
      <c r="P46" s="6">
        <v>10</v>
      </c>
      <c r="Q46" s="6" t="s">
        <v>248</v>
      </c>
      <c r="R46" s="6"/>
      <c r="S46" s="6">
        <f t="shared" si="7"/>
        <v>10</v>
      </c>
      <c r="T46" s="6">
        <f t="shared" si="12"/>
        <v>10</v>
      </c>
      <c r="U46" s="6"/>
      <c r="V46" s="6"/>
      <c r="W46" s="6" t="s">
        <v>303</v>
      </c>
      <c r="X46" s="6">
        <v>6</v>
      </c>
      <c r="Y46" s="6"/>
      <c r="Z46" s="6"/>
      <c r="AA46" s="6"/>
    </row>
    <row r="47" spans="1:27" x14ac:dyDescent="0.25">
      <c r="A47" s="6">
        <f t="shared" si="4"/>
        <v>40</v>
      </c>
      <c r="B47" s="6" t="s">
        <v>146</v>
      </c>
      <c r="C47" s="6" t="s">
        <v>89</v>
      </c>
      <c r="D47" s="6">
        <v>509</v>
      </c>
      <c r="E47" s="6">
        <v>0.3</v>
      </c>
      <c r="F47" s="46">
        <v>203</v>
      </c>
      <c r="G47" s="69">
        <f t="shared" si="5"/>
        <v>60.9</v>
      </c>
      <c r="H47" s="6" t="s">
        <v>267</v>
      </c>
      <c r="I47" s="6">
        <v>4.5</v>
      </c>
      <c r="J47" s="6"/>
      <c r="K47" s="6"/>
      <c r="L47" s="6"/>
      <c r="M47" s="46">
        <f t="shared" si="6"/>
        <v>14</v>
      </c>
      <c r="N47" s="6">
        <v>50</v>
      </c>
      <c r="O47" s="6" t="s">
        <v>39</v>
      </c>
      <c r="P47" s="6">
        <v>14</v>
      </c>
      <c r="Q47" s="6" t="s">
        <v>248</v>
      </c>
      <c r="R47" s="6"/>
      <c r="S47" s="6">
        <f t="shared" si="7"/>
        <v>14</v>
      </c>
      <c r="T47" s="6">
        <f t="shared" si="12"/>
        <v>14</v>
      </c>
      <c r="U47" s="6">
        <v>2</v>
      </c>
      <c r="V47" s="6"/>
      <c r="W47" s="6" t="s">
        <v>309</v>
      </c>
      <c r="X47" s="6">
        <v>10</v>
      </c>
      <c r="Y47" s="6">
        <v>2</v>
      </c>
      <c r="Z47" s="6"/>
      <c r="AA47" s="6"/>
    </row>
    <row r="48" spans="1:27" x14ac:dyDescent="0.25">
      <c r="A48" s="6">
        <f t="shared" si="4"/>
        <v>41</v>
      </c>
      <c r="B48" s="6" t="s">
        <v>79</v>
      </c>
      <c r="C48" s="6" t="s">
        <v>89</v>
      </c>
      <c r="D48" s="6">
        <v>607</v>
      </c>
      <c r="E48" s="6">
        <v>3.7</v>
      </c>
      <c r="F48" s="46">
        <v>203</v>
      </c>
      <c r="G48" s="69">
        <f t="shared" si="5"/>
        <v>751.1</v>
      </c>
      <c r="H48" s="6" t="s">
        <v>270</v>
      </c>
      <c r="I48" s="6">
        <v>4.8</v>
      </c>
      <c r="J48" s="6"/>
      <c r="K48" s="6"/>
      <c r="L48" s="6"/>
      <c r="M48" s="46">
        <f t="shared" si="6"/>
        <v>12</v>
      </c>
      <c r="N48" s="6">
        <v>100</v>
      </c>
      <c r="O48" s="6" t="s">
        <v>39</v>
      </c>
      <c r="P48" s="6">
        <v>12</v>
      </c>
      <c r="Q48" s="6" t="s">
        <v>250</v>
      </c>
      <c r="R48" s="6"/>
      <c r="S48" s="6">
        <f t="shared" si="7"/>
        <v>12</v>
      </c>
      <c r="T48" s="6">
        <f t="shared" si="12"/>
        <v>12</v>
      </c>
      <c r="U48" s="6"/>
      <c r="V48" s="6"/>
      <c r="W48" s="6" t="s">
        <v>312</v>
      </c>
      <c r="X48" s="6">
        <v>12</v>
      </c>
      <c r="Y48" s="6">
        <v>2</v>
      </c>
      <c r="Z48" s="6"/>
      <c r="AA48" s="6"/>
    </row>
    <row r="49" spans="1:27" x14ac:dyDescent="0.25">
      <c r="A49" s="6">
        <f t="shared" si="4"/>
        <v>42</v>
      </c>
      <c r="B49" s="6" t="s">
        <v>147</v>
      </c>
      <c r="C49" s="6" t="s">
        <v>89</v>
      </c>
      <c r="D49" s="6">
        <v>517</v>
      </c>
      <c r="E49" s="6">
        <v>0.7</v>
      </c>
      <c r="F49" s="46">
        <v>203</v>
      </c>
      <c r="G49" s="69">
        <f t="shared" si="5"/>
        <v>142.1</v>
      </c>
      <c r="H49" s="6" t="s">
        <v>269</v>
      </c>
      <c r="I49" s="6">
        <v>4.5</v>
      </c>
      <c r="J49" s="6"/>
      <c r="K49" s="6"/>
      <c r="L49" s="6"/>
      <c r="M49" s="46">
        <f t="shared" si="6"/>
        <v>12</v>
      </c>
      <c r="N49" s="6">
        <v>50</v>
      </c>
      <c r="O49" s="6" t="s">
        <v>39</v>
      </c>
      <c r="P49" s="6">
        <v>12</v>
      </c>
      <c r="Q49" s="6" t="s">
        <v>248</v>
      </c>
      <c r="R49" s="6"/>
      <c r="S49" s="6">
        <f t="shared" si="7"/>
        <v>12</v>
      </c>
      <c r="T49" s="6">
        <f t="shared" si="12"/>
        <v>12</v>
      </c>
      <c r="U49" s="6">
        <v>2</v>
      </c>
      <c r="V49" s="6"/>
      <c r="W49" s="6" t="s">
        <v>308</v>
      </c>
      <c r="X49" s="6">
        <v>10</v>
      </c>
      <c r="Y49" s="6">
        <v>2</v>
      </c>
      <c r="Z49" s="6"/>
      <c r="AA49" s="6"/>
    </row>
    <row r="50" spans="1:27" x14ac:dyDescent="0.25">
      <c r="A50" s="6">
        <f t="shared" si="4"/>
        <v>43</v>
      </c>
      <c r="B50" s="6" t="s">
        <v>148</v>
      </c>
      <c r="C50" s="6" t="s">
        <v>89</v>
      </c>
      <c r="D50" s="6">
        <v>519</v>
      </c>
      <c r="E50" s="6">
        <v>0.2</v>
      </c>
      <c r="F50" s="46">
        <v>203</v>
      </c>
      <c r="G50" s="69">
        <f t="shared" si="5"/>
        <v>40.6</v>
      </c>
      <c r="H50" s="6" t="s">
        <v>271</v>
      </c>
      <c r="I50" s="6">
        <v>4.5</v>
      </c>
      <c r="J50" s="6"/>
      <c r="K50" s="6"/>
      <c r="L50" s="6"/>
      <c r="M50" s="46">
        <f t="shared" si="6"/>
        <v>14</v>
      </c>
      <c r="N50" s="6">
        <v>50</v>
      </c>
      <c r="O50" s="6" t="s">
        <v>39</v>
      </c>
      <c r="P50" s="6">
        <v>14</v>
      </c>
      <c r="Q50" s="6" t="s">
        <v>248</v>
      </c>
      <c r="R50" s="6"/>
      <c r="S50" s="6">
        <f t="shared" si="7"/>
        <v>14</v>
      </c>
      <c r="T50" s="6">
        <f t="shared" si="12"/>
        <v>14</v>
      </c>
      <c r="U50" s="6">
        <v>2</v>
      </c>
      <c r="V50" s="6"/>
      <c r="W50" s="6" t="s">
        <v>308</v>
      </c>
      <c r="X50" s="6">
        <v>10</v>
      </c>
      <c r="Y50" s="6">
        <v>2</v>
      </c>
      <c r="Z50" s="6"/>
      <c r="AA50" s="6"/>
    </row>
    <row r="51" spans="1:27" x14ac:dyDescent="0.25">
      <c r="A51" s="6">
        <f t="shared" si="4"/>
        <v>44</v>
      </c>
      <c r="B51" s="6" t="s">
        <v>150</v>
      </c>
      <c r="C51" s="6" t="s">
        <v>89</v>
      </c>
      <c r="D51" s="6">
        <v>520</v>
      </c>
      <c r="E51" s="6">
        <v>0.2</v>
      </c>
      <c r="F51" s="46">
        <v>203</v>
      </c>
      <c r="G51" s="69">
        <f t="shared" si="5"/>
        <v>40.6</v>
      </c>
      <c r="H51" s="6" t="s">
        <v>272</v>
      </c>
      <c r="I51" s="6">
        <v>4.5</v>
      </c>
      <c r="J51" s="6"/>
      <c r="K51" s="6"/>
      <c r="L51" s="6"/>
      <c r="M51" s="46">
        <f t="shared" si="6"/>
        <v>12</v>
      </c>
      <c r="N51" s="6">
        <v>50</v>
      </c>
      <c r="O51" s="6" t="s">
        <v>39</v>
      </c>
      <c r="P51" s="6">
        <v>12</v>
      </c>
      <c r="Q51" s="6" t="s">
        <v>248</v>
      </c>
      <c r="R51" s="6"/>
      <c r="S51" s="6">
        <f t="shared" si="7"/>
        <v>12</v>
      </c>
      <c r="T51" s="6">
        <f t="shared" si="12"/>
        <v>12</v>
      </c>
      <c r="U51" s="6">
        <v>2</v>
      </c>
      <c r="V51" s="6"/>
      <c r="W51" s="6" t="s">
        <v>308</v>
      </c>
      <c r="X51" s="6">
        <v>10</v>
      </c>
      <c r="Y51" s="6">
        <v>2</v>
      </c>
      <c r="Z51" s="6"/>
      <c r="AA51" s="6"/>
    </row>
    <row r="52" spans="1:27" x14ac:dyDescent="0.25">
      <c r="A52" s="6">
        <f t="shared" si="4"/>
        <v>45</v>
      </c>
      <c r="B52" s="6" t="s">
        <v>151</v>
      </c>
      <c r="C52" s="6" t="s">
        <v>89</v>
      </c>
      <c r="D52" s="6">
        <v>522</v>
      </c>
      <c r="E52" s="6">
        <v>1.7</v>
      </c>
      <c r="F52" s="46">
        <v>203</v>
      </c>
      <c r="G52" s="69">
        <f t="shared" si="5"/>
        <v>345.09999999999997</v>
      </c>
      <c r="H52" s="6" t="s">
        <v>273</v>
      </c>
      <c r="I52" s="6">
        <v>4.5</v>
      </c>
      <c r="J52" s="6"/>
      <c r="K52" s="6"/>
      <c r="L52" s="6"/>
      <c r="M52" s="46">
        <f t="shared" si="6"/>
        <v>12</v>
      </c>
      <c r="N52" s="6">
        <v>60</v>
      </c>
      <c r="O52" s="6" t="s">
        <v>39</v>
      </c>
      <c r="P52" s="6">
        <v>12</v>
      </c>
      <c r="Q52" s="6" t="s">
        <v>248</v>
      </c>
      <c r="R52" s="6"/>
      <c r="S52" s="6">
        <f t="shared" si="7"/>
        <v>12</v>
      </c>
      <c r="T52" s="6">
        <f t="shared" si="12"/>
        <v>12</v>
      </c>
      <c r="U52" s="6">
        <v>2</v>
      </c>
      <c r="V52" s="6"/>
      <c r="W52" s="6" t="s">
        <v>313</v>
      </c>
      <c r="X52" s="6">
        <v>11</v>
      </c>
      <c r="Y52" s="6">
        <v>2</v>
      </c>
      <c r="Z52" s="6"/>
      <c r="AA52" s="6"/>
    </row>
    <row r="53" spans="1:27" x14ac:dyDescent="0.25">
      <c r="A53" s="6">
        <f t="shared" si="4"/>
        <v>46</v>
      </c>
      <c r="B53" s="6" t="s">
        <v>152</v>
      </c>
      <c r="C53" s="6" t="s">
        <v>89</v>
      </c>
      <c r="D53" s="6">
        <v>610</v>
      </c>
      <c r="E53" s="6">
        <v>0.1</v>
      </c>
      <c r="F53" s="46">
        <v>203</v>
      </c>
      <c r="G53" s="69">
        <f t="shared" si="5"/>
        <v>20.3</v>
      </c>
      <c r="H53" s="6" t="s">
        <v>275</v>
      </c>
      <c r="I53" s="6">
        <v>4.8</v>
      </c>
      <c r="J53" s="6"/>
      <c r="K53" s="6"/>
      <c r="L53" s="6"/>
      <c r="M53" s="46">
        <f t="shared" si="6"/>
        <v>10</v>
      </c>
      <c r="N53" s="6">
        <v>50</v>
      </c>
      <c r="O53" s="6" t="s">
        <v>39</v>
      </c>
      <c r="P53" s="6">
        <v>10</v>
      </c>
      <c r="Q53" s="6" t="s">
        <v>248</v>
      </c>
      <c r="R53" s="6"/>
      <c r="S53" s="6">
        <f t="shared" si="7"/>
        <v>10</v>
      </c>
      <c r="T53" s="6">
        <f t="shared" si="12"/>
        <v>10</v>
      </c>
      <c r="U53" s="6"/>
      <c r="V53" s="6"/>
      <c r="W53" s="6" t="s">
        <v>314</v>
      </c>
      <c r="X53" s="6">
        <v>8</v>
      </c>
      <c r="Y53" s="6"/>
      <c r="Z53" s="6"/>
      <c r="AA53" s="6"/>
    </row>
    <row r="54" spans="1:27" x14ac:dyDescent="0.25">
      <c r="A54" s="6">
        <f t="shared" si="4"/>
        <v>47</v>
      </c>
      <c r="B54" s="6" t="s">
        <v>153</v>
      </c>
      <c r="C54" s="6" t="s">
        <v>89</v>
      </c>
      <c r="D54" s="6">
        <v>529</v>
      </c>
      <c r="E54" s="6">
        <v>0.5</v>
      </c>
      <c r="F54" s="46">
        <v>203</v>
      </c>
      <c r="G54" s="69">
        <f t="shared" si="5"/>
        <v>101.5</v>
      </c>
      <c r="H54" s="6" t="s">
        <v>274</v>
      </c>
      <c r="I54" s="6">
        <v>4.5</v>
      </c>
      <c r="J54" s="6"/>
      <c r="K54" s="6"/>
      <c r="L54" s="6"/>
      <c r="M54" s="46">
        <f t="shared" si="6"/>
        <v>12</v>
      </c>
      <c r="N54" s="6">
        <v>50</v>
      </c>
      <c r="O54" s="6" t="s">
        <v>39</v>
      </c>
      <c r="P54" s="6">
        <v>12</v>
      </c>
      <c r="Q54" s="6" t="s">
        <v>248</v>
      </c>
      <c r="R54" s="6"/>
      <c r="S54" s="6">
        <f t="shared" si="7"/>
        <v>12</v>
      </c>
      <c r="T54" s="6">
        <f t="shared" si="12"/>
        <v>12</v>
      </c>
      <c r="U54" s="6">
        <v>2</v>
      </c>
      <c r="V54" s="6"/>
      <c r="W54" s="6" t="s">
        <v>313</v>
      </c>
      <c r="X54" s="6">
        <v>11</v>
      </c>
      <c r="Y54" s="6">
        <v>2</v>
      </c>
      <c r="Z54" s="6"/>
      <c r="AA54" s="6"/>
    </row>
    <row r="55" spans="1:27" x14ac:dyDescent="0.25">
      <c r="A55" s="6">
        <f t="shared" si="4"/>
        <v>48</v>
      </c>
      <c r="B55" s="6" t="s">
        <v>154</v>
      </c>
      <c r="C55" s="6" t="s">
        <v>89</v>
      </c>
      <c r="D55" s="6">
        <v>377</v>
      </c>
      <c r="E55" s="6">
        <v>0.3</v>
      </c>
      <c r="F55" s="46">
        <v>203</v>
      </c>
      <c r="G55" s="69">
        <f t="shared" si="5"/>
        <v>60.9</v>
      </c>
      <c r="H55" s="6" t="s">
        <v>276</v>
      </c>
      <c r="I55" s="6">
        <v>4.5</v>
      </c>
      <c r="J55" s="6"/>
      <c r="K55" s="6"/>
      <c r="L55" s="6"/>
      <c r="M55" s="46">
        <f t="shared" si="6"/>
        <v>12</v>
      </c>
      <c r="N55" s="6">
        <v>50</v>
      </c>
      <c r="O55" s="6" t="s">
        <v>39</v>
      </c>
      <c r="P55" s="6">
        <v>12</v>
      </c>
      <c r="Q55" s="6" t="s">
        <v>248</v>
      </c>
      <c r="R55" s="6"/>
      <c r="S55" s="6">
        <f t="shared" si="7"/>
        <v>12</v>
      </c>
      <c r="T55" s="6">
        <f t="shared" si="12"/>
        <v>12</v>
      </c>
      <c r="U55" s="6">
        <v>2</v>
      </c>
      <c r="V55" s="6"/>
      <c r="W55" s="6" t="s">
        <v>315</v>
      </c>
      <c r="X55" s="6">
        <v>7</v>
      </c>
      <c r="Y55" s="6"/>
      <c r="Z55" s="6"/>
      <c r="AA55" s="6"/>
    </row>
    <row r="56" spans="1:27" x14ac:dyDescent="0.25">
      <c r="A56" s="6">
        <f t="shared" si="4"/>
        <v>49</v>
      </c>
      <c r="B56" s="6" t="s">
        <v>155</v>
      </c>
      <c r="C56" s="6" t="s">
        <v>89</v>
      </c>
      <c r="D56" s="6">
        <v>620</v>
      </c>
      <c r="E56" s="6">
        <v>0.1</v>
      </c>
      <c r="F56" s="46">
        <v>203</v>
      </c>
      <c r="G56" s="69">
        <f t="shared" si="5"/>
        <v>20.3</v>
      </c>
      <c r="H56" s="6" t="s">
        <v>278</v>
      </c>
      <c r="I56" s="6">
        <v>4.5</v>
      </c>
      <c r="J56" s="6"/>
      <c r="K56" s="6"/>
      <c r="L56" s="6"/>
      <c r="M56" s="46">
        <f t="shared" si="6"/>
        <v>10</v>
      </c>
      <c r="N56" s="6">
        <v>50</v>
      </c>
      <c r="O56" s="6" t="s">
        <v>39</v>
      </c>
      <c r="P56" s="6">
        <v>10</v>
      </c>
      <c r="Q56" s="6" t="s">
        <v>248</v>
      </c>
      <c r="R56" s="6"/>
      <c r="S56" s="6">
        <f t="shared" si="7"/>
        <v>10</v>
      </c>
      <c r="T56" s="6">
        <f t="shared" si="12"/>
        <v>10</v>
      </c>
      <c r="U56" s="6"/>
      <c r="V56" s="6"/>
      <c r="W56" s="6" t="s">
        <v>304</v>
      </c>
      <c r="X56" s="6">
        <v>8</v>
      </c>
      <c r="Y56" s="6"/>
      <c r="Z56" s="6"/>
      <c r="AA56" s="6"/>
    </row>
    <row r="57" spans="1:27" x14ac:dyDescent="0.25">
      <c r="A57" s="6">
        <f t="shared" si="4"/>
        <v>50</v>
      </c>
      <c r="B57" s="6" t="s">
        <v>156</v>
      </c>
      <c r="C57" s="6" t="s">
        <v>89</v>
      </c>
      <c r="D57" s="6">
        <v>361</v>
      </c>
      <c r="E57" s="6">
        <v>0.2</v>
      </c>
      <c r="F57" s="46">
        <v>203</v>
      </c>
      <c r="G57" s="69">
        <f t="shared" si="5"/>
        <v>40.6</v>
      </c>
      <c r="H57" s="6" t="s">
        <v>279</v>
      </c>
      <c r="I57" s="6">
        <v>4.5</v>
      </c>
      <c r="J57" s="6"/>
      <c r="K57" s="6"/>
      <c r="L57" s="6"/>
      <c r="M57" s="46">
        <f t="shared" si="6"/>
        <v>12</v>
      </c>
      <c r="N57" s="6">
        <v>50</v>
      </c>
      <c r="O57" s="6" t="s">
        <v>39</v>
      </c>
      <c r="P57" s="6">
        <v>12</v>
      </c>
      <c r="Q57" s="6" t="s">
        <v>248</v>
      </c>
      <c r="R57" s="6"/>
      <c r="S57" s="6">
        <f t="shared" si="7"/>
        <v>12</v>
      </c>
      <c r="T57" s="6">
        <f t="shared" si="12"/>
        <v>12</v>
      </c>
      <c r="U57" s="6">
        <v>2</v>
      </c>
      <c r="V57" s="6">
        <f>M57</f>
        <v>12</v>
      </c>
      <c r="W57" s="6" t="s">
        <v>316</v>
      </c>
      <c r="X57" s="6">
        <v>12</v>
      </c>
      <c r="Y57" s="6"/>
      <c r="Z57" s="6"/>
      <c r="AA57" s="6"/>
    </row>
    <row r="58" spans="1:27" x14ac:dyDescent="0.25">
      <c r="A58" s="6">
        <f t="shared" si="4"/>
        <v>51</v>
      </c>
      <c r="B58" s="6" t="s">
        <v>157</v>
      </c>
      <c r="C58" s="6" t="s">
        <v>89</v>
      </c>
      <c r="D58" s="6">
        <v>623</v>
      </c>
      <c r="E58" s="6">
        <v>0.2</v>
      </c>
      <c r="F58" s="46">
        <v>203</v>
      </c>
      <c r="G58" s="69">
        <f t="shared" si="5"/>
        <v>40.6</v>
      </c>
      <c r="H58" s="6" t="s">
        <v>280</v>
      </c>
      <c r="I58" s="6">
        <v>4.5</v>
      </c>
      <c r="J58" s="6"/>
      <c r="K58" s="6"/>
      <c r="L58" s="6"/>
      <c r="M58" s="46">
        <f t="shared" si="6"/>
        <v>10</v>
      </c>
      <c r="N58" s="6">
        <v>50</v>
      </c>
      <c r="O58" s="6" t="s">
        <v>39</v>
      </c>
      <c r="P58" s="6">
        <v>10</v>
      </c>
      <c r="Q58" s="6" t="s">
        <v>248</v>
      </c>
      <c r="R58" s="6"/>
      <c r="S58" s="6">
        <f t="shared" si="7"/>
        <v>10</v>
      </c>
      <c r="T58" s="6">
        <f t="shared" si="12"/>
        <v>10</v>
      </c>
      <c r="U58" s="6"/>
      <c r="V58" s="6">
        <f>M58</f>
        <v>10</v>
      </c>
      <c r="W58" s="6" t="s">
        <v>314</v>
      </c>
      <c r="X58" s="6">
        <v>8</v>
      </c>
      <c r="Y58" s="6"/>
      <c r="Z58" s="6"/>
      <c r="AA58" s="6"/>
    </row>
    <row r="59" spans="1:27" x14ac:dyDescent="0.25">
      <c r="A59" s="6">
        <f t="shared" si="4"/>
        <v>52</v>
      </c>
      <c r="B59" s="6" t="s">
        <v>158</v>
      </c>
      <c r="C59" s="6" t="s">
        <v>89</v>
      </c>
      <c r="D59" s="6">
        <v>353</v>
      </c>
      <c r="E59" s="6">
        <v>2.2000000000000002</v>
      </c>
      <c r="F59" s="46">
        <v>203</v>
      </c>
      <c r="G59" s="69">
        <f t="shared" si="5"/>
        <v>446.6</v>
      </c>
      <c r="H59" s="6" t="s">
        <v>281</v>
      </c>
      <c r="I59" s="6">
        <v>4.5</v>
      </c>
      <c r="J59" s="6"/>
      <c r="K59" s="6"/>
      <c r="L59" s="6"/>
      <c r="M59" s="46">
        <f t="shared" si="6"/>
        <v>12</v>
      </c>
      <c r="N59" s="6">
        <v>60</v>
      </c>
      <c r="O59" s="6" t="s">
        <v>39</v>
      </c>
      <c r="P59" s="6">
        <v>12</v>
      </c>
      <c r="Q59" s="6" t="s">
        <v>248</v>
      </c>
      <c r="R59" s="6"/>
      <c r="S59" s="6">
        <f t="shared" si="7"/>
        <v>12</v>
      </c>
      <c r="T59" s="6">
        <f t="shared" si="12"/>
        <v>12</v>
      </c>
      <c r="U59" s="6">
        <v>2</v>
      </c>
      <c r="V59" s="6">
        <f>M59</f>
        <v>12</v>
      </c>
      <c r="W59" s="6" t="s">
        <v>319</v>
      </c>
      <c r="X59" s="6">
        <v>12</v>
      </c>
      <c r="Y59" s="6"/>
      <c r="Z59" s="6"/>
      <c r="AA59" s="6"/>
    </row>
    <row r="60" spans="1:27" s="47" customFormat="1" x14ac:dyDescent="0.25">
      <c r="A60" s="6">
        <f t="shared" si="4"/>
        <v>53</v>
      </c>
      <c r="B60" s="46" t="s">
        <v>160</v>
      </c>
      <c r="C60" s="46" t="s">
        <v>89</v>
      </c>
      <c r="D60" s="46">
        <v>331</v>
      </c>
      <c r="E60" s="46">
        <v>0.1</v>
      </c>
      <c r="F60" s="46">
        <v>203</v>
      </c>
      <c r="G60" s="69">
        <f t="shared" si="5"/>
        <v>20.3</v>
      </c>
      <c r="H60" s="46" t="s">
        <v>282</v>
      </c>
      <c r="I60" s="46">
        <v>4.5</v>
      </c>
      <c r="J60" s="46"/>
      <c r="K60" s="46"/>
      <c r="L60" s="46"/>
      <c r="M60" s="46">
        <f t="shared" si="6"/>
        <v>12</v>
      </c>
      <c r="N60" s="46">
        <v>50</v>
      </c>
      <c r="O60" s="46" t="s">
        <v>39</v>
      </c>
      <c r="P60" s="46">
        <v>12</v>
      </c>
      <c r="Q60" s="46" t="s">
        <v>248</v>
      </c>
      <c r="R60" s="46"/>
      <c r="S60" s="46">
        <f t="shared" si="7"/>
        <v>12</v>
      </c>
      <c r="T60" s="46">
        <f t="shared" ref="T60:T70" si="13">S60</f>
        <v>12</v>
      </c>
      <c r="U60" s="46"/>
      <c r="V60" s="46"/>
      <c r="W60" s="46" t="s">
        <v>304</v>
      </c>
      <c r="X60" s="46">
        <v>8</v>
      </c>
      <c r="Y60" s="46"/>
      <c r="Z60" s="46"/>
      <c r="AA60" s="46"/>
    </row>
    <row r="61" spans="1:27" s="47" customFormat="1" x14ac:dyDescent="0.25">
      <c r="A61" s="6">
        <f t="shared" si="4"/>
        <v>54</v>
      </c>
      <c r="B61" s="46" t="s">
        <v>161</v>
      </c>
      <c r="C61" s="46" t="s">
        <v>90</v>
      </c>
      <c r="D61" s="46">
        <v>701</v>
      </c>
      <c r="E61" s="46">
        <v>0.3</v>
      </c>
      <c r="F61" s="46">
        <v>203</v>
      </c>
      <c r="G61" s="69">
        <f>+E61*F61</f>
        <v>60.9</v>
      </c>
      <c r="H61" s="46" t="s">
        <v>283</v>
      </c>
      <c r="I61" s="46">
        <v>4.5</v>
      </c>
      <c r="J61" s="46"/>
      <c r="K61" s="46"/>
      <c r="L61" s="46"/>
      <c r="M61" s="46">
        <f t="shared" si="6"/>
        <v>10</v>
      </c>
      <c r="N61" s="46">
        <v>50</v>
      </c>
      <c r="O61" s="46" t="s">
        <v>39</v>
      </c>
      <c r="P61" s="46">
        <v>10</v>
      </c>
      <c r="Q61" s="46" t="s">
        <v>248</v>
      </c>
      <c r="R61" s="46"/>
      <c r="S61" s="46">
        <f t="shared" si="7"/>
        <v>10</v>
      </c>
      <c r="T61" s="46">
        <f t="shared" si="13"/>
        <v>10</v>
      </c>
      <c r="U61" s="46"/>
      <c r="V61" s="46"/>
      <c r="W61" s="46" t="s">
        <v>316</v>
      </c>
      <c r="X61" s="46">
        <v>12</v>
      </c>
      <c r="Y61" s="46"/>
      <c r="Z61" s="46"/>
      <c r="AA61" s="46"/>
    </row>
    <row r="62" spans="1:27" x14ac:dyDescent="0.25">
      <c r="A62" s="6">
        <f t="shared" si="4"/>
        <v>55</v>
      </c>
      <c r="B62" s="6" t="s">
        <v>162</v>
      </c>
      <c r="C62" s="6" t="s">
        <v>90</v>
      </c>
      <c r="D62" s="6">
        <v>701</v>
      </c>
      <c r="E62" s="6">
        <v>0.8</v>
      </c>
      <c r="F62" s="46">
        <v>203</v>
      </c>
      <c r="G62" s="69">
        <f t="shared" si="5"/>
        <v>162.4</v>
      </c>
      <c r="H62" s="6" t="s">
        <v>284</v>
      </c>
      <c r="I62" s="6">
        <v>4.5</v>
      </c>
      <c r="J62" s="6"/>
      <c r="K62" s="6"/>
      <c r="L62" s="6"/>
      <c r="M62" s="46">
        <f t="shared" si="6"/>
        <v>10</v>
      </c>
      <c r="N62" s="6">
        <v>50</v>
      </c>
      <c r="O62" s="6" t="s">
        <v>39</v>
      </c>
      <c r="P62" s="6">
        <v>10</v>
      </c>
      <c r="Q62" s="6" t="s">
        <v>248</v>
      </c>
      <c r="R62" s="6"/>
      <c r="S62" s="6">
        <f t="shared" si="7"/>
        <v>10</v>
      </c>
      <c r="T62" s="6">
        <f t="shared" si="13"/>
        <v>10</v>
      </c>
      <c r="U62" s="6"/>
      <c r="V62" s="6"/>
      <c r="W62" s="6" t="s">
        <v>318</v>
      </c>
      <c r="X62" s="6">
        <v>12</v>
      </c>
      <c r="Y62" s="6"/>
      <c r="Z62" s="6"/>
      <c r="AA62" s="6"/>
    </row>
    <row r="63" spans="1:27" x14ac:dyDescent="0.25">
      <c r="A63" s="6">
        <f t="shared" si="4"/>
        <v>56</v>
      </c>
      <c r="B63" s="6" t="s">
        <v>163</v>
      </c>
      <c r="C63" s="6" t="s">
        <v>90</v>
      </c>
      <c r="D63" s="6">
        <v>701</v>
      </c>
      <c r="E63" s="6">
        <v>1.1000000000000001</v>
      </c>
      <c r="F63" s="46">
        <v>203</v>
      </c>
      <c r="G63" s="69">
        <f t="shared" si="5"/>
        <v>223.3</v>
      </c>
      <c r="H63" s="6" t="s">
        <v>285</v>
      </c>
      <c r="I63" s="6">
        <v>4.5</v>
      </c>
      <c r="J63" s="6"/>
      <c r="K63" s="6"/>
      <c r="L63" s="6"/>
      <c r="M63" s="46">
        <f t="shared" si="6"/>
        <v>10</v>
      </c>
      <c r="N63" s="6">
        <v>60</v>
      </c>
      <c r="O63" s="6" t="s">
        <v>39</v>
      </c>
      <c r="P63" s="6">
        <v>10</v>
      </c>
      <c r="Q63" s="6" t="s">
        <v>248</v>
      </c>
      <c r="R63" s="6"/>
      <c r="S63" s="6">
        <f>M63</f>
        <v>10</v>
      </c>
      <c r="T63" s="6">
        <f t="shared" si="13"/>
        <v>10</v>
      </c>
      <c r="U63" s="6"/>
      <c r="V63" s="6"/>
      <c r="W63" s="6" t="s">
        <v>320</v>
      </c>
      <c r="X63" s="6">
        <v>8</v>
      </c>
      <c r="Y63" s="6"/>
      <c r="Z63" s="6"/>
      <c r="AA63" s="6"/>
    </row>
    <row r="64" spans="1:27" s="47" customFormat="1" x14ac:dyDescent="0.25">
      <c r="A64" s="6">
        <f t="shared" si="4"/>
        <v>57</v>
      </c>
      <c r="B64" s="46" t="s">
        <v>164</v>
      </c>
      <c r="C64" s="46" t="s">
        <v>90</v>
      </c>
      <c r="D64" s="46">
        <v>556</v>
      </c>
      <c r="E64" s="46">
        <v>1.3</v>
      </c>
      <c r="F64" s="46">
        <v>203</v>
      </c>
      <c r="G64" s="69">
        <f t="shared" si="5"/>
        <v>263.90000000000003</v>
      </c>
      <c r="H64" s="46" t="s">
        <v>286</v>
      </c>
      <c r="I64" s="46">
        <v>4.5</v>
      </c>
      <c r="J64" s="46"/>
      <c r="K64" s="46"/>
      <c r="L64" s="46"/>
      <c r="M64" s="46">
        <f t="shared" si="6"/>
        <v>12</v>
      </c>
      <c r="N64" s="46">
        <v>60</v>
      </c>
      <c r="O64" s="46" t="s">
        <v>39</v>
      </c>
      <c r="P64" s="46">
        <v>12</v>
      </c>
      <c r="Q64" s="46" t="s">
        <v>248</v>
      </c>
      <c r="R64" s="46"/>
      <c r="S64" s="46">
        <f t="shared" si="7"/>
        <v>12</v>
      </c>
      <c r="T64" s="46">
        <f t="shared" si="13"/>
        <v>12</v>
      </c>
      <c r="U64" s="46">
        <v>2</v>
      </c>
      <c r="V64" s="46"/>
      <c r="W64" s="46" t="s">
        <v>321</v>
      </c>
      <c r="X64" s="46">
        <v>12</v>
      </c>
      <c r="Y64" s="46"/>
      <c r="Z64" s="46"/>
      <c r="AA64" s="46"/>
    </row>
    <row r="65" spans="1:27" s="47" customFormat="1" x14ac:dyDescent="0.25">
      <c r="A65" s="6">
        <f t="shared" si="4"/>
        <v>58</v>
      </c>
      <c r="B65" s="46" t="s">
        <v>165</v>
      </c>
      <c r="C65" s="46" t="s">
        <v>91</v>
      </c>
      <c r="D65" s="46">
        <v>621</v>
      </c>
      <c r="E65" s="46">
        <v>0.1</v>
      </c>
      <c r="F65" s="46">
        <v>203</v>
      </c>
      <c r="G65" s="69">
        <f t="shared" si="5"/>
        <v>20.3</v>
      </c>
      <c r="H65" s="46" t="s">
        <v>324</v>
      </c>
      <c r="I65" s="46">
        <v>9</v>
      </c>
      <c r="J65" s="46"/>
      <c r="K65" s="46"/>
      <c r="L65" s="46"/>
      <c r="M65" s="46">
        <f t="shared" si="6"/>
        <v>12</v>
      </c>
      <c r="N65" s="46">
        <v>50</v>
      </c>
      <c r="O65" s="46" t="s">
        <v>39</v>
      </c>
      <c r="P65" s="46">
        <v>12</v>
      </c>
      <c r="Q65" s="46" t="s">
        <v>248</v>
      </c>
      <c r="R65" s="46"/>
      <c r="S65" s="46">
        <f t="shared" si="7"/>
        <v>12</v>
      </c>
      <c r="T65" s="46">
        <f t="shared" si="13"/>
        <v>12</v>
      </c>
      <c r="U65" s="46">
        <v>2</v>
      </c>
      <c r="V65" s="46"/>
      <c r="W65" s="46" t="s">
        <v>316</v>
      </c>
      <c r="X65" s="46">
        <v>12</v>
      </c>
      <c r="Y65" s="46"/>
      <c r="Z65" s="46"/>
      <c r="AA65" s="46"/>
    </row>
    <row r="66" spans="1:27" s="47" customFormat="1" x14ac:dyDescent="0.25">
      <c r="A66" s="6">
        <f t="shared" si="4"/>
        <v>59</v>
      </c>
      <c r="B66" s="46" t="s">
        <v>166</v>
      </c>
      <c r="C66" s="46" t="s">
        <v>92</v>
      </c>
      <c r="D66" s="46">
        <v>618</v>
      </c>
      <c r="E66" s="46">
        <v>0.1</v>
      </c>
      <c r="F66" s="46">
        <v>203</v>
      </c>
      <c r="G66" s="69">
        <f t="shared" si="5"/>
        <v>20.3</v>
      </c>
      <c r="H66" s="46" t="s">
        <v>277</v>
      </c>
      <c r="I66" s="46">
        <v>7.5</v>
      </c>
      <c r="J66" s="46"/>
      <c r="K66" s="46"/>
      <c r="L66" s="46"/>
      <c r="M66" s="46">
        <f t="shared" si="6"/>
        <v>14</v>
      </c>
      <c r="N66" s="46">
        <v>50</v>
      </c>
      <c r="O66" s="46" t="s">
        <v>39</v>
      </c>
      <c r="P66" s="46">
        <v>14</v>
      </c>
      <c r="Q66" s="46" t="s">
        <v>248</v>
      </c>
      <c r="R66" s="46"/>
      <c r="S66" s="46">
        <f t="shared" si="7"/>
        <v>14</v>
      </c>
      <c r="T66" s="46">
        <f t="shared" si="13"/>
        <v>14</v>
      </c>
      <c r="U66" s="46">
        <v>2</v>
      </c>
      <c r="V66" s="46"/>
      <c r="W66" s="46" t="s">
        <v>307</v>
      </c>
      <c r="X66" s="46">
        <v>10</v>
      </c>
      <c r="Y66" s="46"/>
      <c r="Z66" s="46"/>
      <c r="AA66" s="46"/>
    </row>
    <row r="67" spans="1:27" x14ac:dyDescent="0.25">
      <c r="A67" s="6">
        <f t="shared" si="4"/>
        <v>60</v>
      </c>
      <c r="B67" s="6" t="s">
        <v>167</v>
      </c>
      <c r="C67" s="6" t="s">
        <v>92</v>
      </c>
      <c r="D67" s="6">
        <v>901</v>
      </c>
      <c r="E67" s="6">
        <v>0.1</v>
      </c>
      <c r="F67" s="46">
        <v>203</v>
      </c>
      <c r="G67" s="69">
        <f t="shared" si="5"/>
        <v>20.3</v>
      </c>
      <c r="H67" s="6" t="s">
        <v>288</v>
      </c>
      <c r="I67" s="6">
        <v>4.8</v>
      </c>
      <c r="J67" s="6"/>
      <c r="K67" s="6"/>
      <c r="L67" s="6"/>
      <c r="M67" s="46">
        <f t="shared" si="6"/>
        <v>10</v>
      </c>
      <c r="N67" s="6">
        <v>50</v>
      </c>
      <c r="O67" s="6" t="s">
        <v>39</v>
      </c>
      <c r="P67" s="6">
        <v>10</v>
      </c>
      <c r="Q67" s="6" t="s">
        <v>248</v>
      </c>
      <c r="R67" s="6"/>
      <c r="S67" s="6">
        <f t="shared" si="7"/>
        <v>10</v>
      </c>
      <c r="T67" s="6">
        <f t="shared" si="13"/>
        <v>10</v>
      </c>
      <c r="U67" s="6"/>
      <c r="V67" s="6"/>
      <c r="W67" s="6" t="s">
        <v>317</v>
      </c>
      <c r="X67" s="6">
        <v>10</v>
      </c>
      <c r="Y67" s="6"/>
      <c r="Z67" s="6"/>
      <c r="AA67" s="6"/>
    </row>
    <row r="68" spans="1:27" s="47" customFormat="1" x14ac:dyDescent="0.25">
      <c r="A68" s="6">
        <f t="shared" si="4"/>
        <v>61</v>
      </c>
      <c r="B68" s="46" t="s">
        <v>168</v>
      </c>
      <c r="C68" s="46" t="s">
        <v>92</v>
      </c>
      <c r="D68" s="46">
        <v>375</v>
      </c>
      <c r="E68" s="46">
        <v>0.7</v>
      </c>
      <c r="F68" s="46">
        <v>203</v>
      </c>
      <c r="G68" s="69">
        <f t="shared" si="5"/>
        <v>142.1</v>
      </c>
      <c r="H68" s="46" t="s">
        <v>287</v>
      </c>
      <c r="I68" s="46">
        <v>4.5</v>
      </c>
      <c r="J68" s="46"/>
      <c r="K68" s="46"/>
      <c r="L68" s="46"/>
      <c r="M68" s="46">
        <f t="shared" si="6"/>
        <v>14</v>
      </c>
      <c r="N68" s="46">
        <v>50</v>
      </c>
      <c r="O68" s="46" t="s">
        <v>39</v>
      </c>
      <c r="P68" s="46">
        <v>14</v>
      </c>
      <c r="Q68" s="46" t="s">
        <v>248</v>
      </c>
      <c r="R68" s="46"/>
      <c r="S68" s="46">
        <f t="shared" si="7"/>
        <v>14</v>
      </c>
      <c r="T68" s="46">
        <f t="shared" si="13"/>
        <v>14</v>
      </c>
      <c r="U68" s="46">
        <v>2</v>
      </c>
      <c r="V68" s="46"/>
      <c r="W68" s="46" t="s">
        <v>316</v>
      </c>
      <c r="X68" s="46">
        <v>12</v>
      </c>
      <c r="Y68" s="46"/>
      <c r="Z68" s="46"/>
      <c r="AA68" s="46"/>
    </row>
    <row r="69" spans="1:27" s="47" customFormat="1" x14ac:dyDescent="0.25">
      <c r="A69" s="6">
        <f t="shared" si="4"/>
        <v>62</v>
      </c>
      <c r="B69" s="46" t="s">
        <v>169</v>
      </c>
      <c r="C69" s="46" t="s">
        <v>93</v>
      </c>
      <c r="D69" s="46">
        <v>1001</v>
      </c>
      <c r="E69" s="46">
        <v>1.2</v>
      </c>
      <c r="F69" s="46">
        <v>203</v>
      </c>
      <c r="G69" s="69">
        <f t="shared" si="5"/>
        <v>243.6</v>
      </c>
      <c r="H69" s="46" t="s">
        <v>289</v>
      </c>
      <c r="I69" s="46">
        <v>4.5</v>
      </c>
      <c r="J69" s="46"/>
      <c r="K69" s="46"/>
      <c r="L69" s="46"/>
      <c r="M69" s="46">
        <f t="shared" si="6"/>
        <v>10</v>
      </c>
      <c r="N69" s="46">
        <v>100</v>
      </c>
      <c r="O69" s="46" t="s">
        <v>39</v>
      </c>
      <c r="P69" s="46">
        <v>10</v>
      </c>
      <c r="Q69" s="46" t="s">
        <v>250</v>
      </c>
      <c r="R69" s="46"/>
      <c r="S69" s="46">
        <f t="shared" si="7"/>
        <v>10</v>
      </c>
      <c r="T69" s="46">
        <f t="shared" si="13"/>
        <v>10</v>
      </c>
      <c r="U69" s="46"/>
      <c r="V69" s="46"/>
      <c r="W69" s="46" t="s">
        <v>307</v>
      </c>
      <c r="X69" s="46">
        <v>10</v>
      </c>
      <c r="Y69" s="46"/>
      <c r="Z69" s="46"/>
      <c r="AA69" s="46"/>
    </row>
    <row r="70" spans="1:27" s="47" customFormat="1" x14ac:dyDescent="0.25">
      <c r="A70" s="6">
        <f t="shared" si="4"/>
        <v>63</v>
      </c>
      <c r="B70" s="46" t="s">
        <v>245</v>
      </c>
      <c r="C70" s="46" t="s">
        <v>246</v>
      </c>
      <c r="D70" s="46">
        <v>1201</v>
      </c>
      <c r="E70" s="46">
        <v>0.4</v>
      </c>
      <c r="F70" s="46">
        <v>203</v>
      </c>
      <c r="G70" s="69">
        <f t="shared" si="5"/>
        <v>81.2</v>
      </c>
      <c r="H70" s="46" t="s">
        <v>290</v>
      </c>
      <c r="I70" s="46">
        <v>4.5</v>
      </c>
      <c r="J70" s="46"/>
      <c r="K70" s="46"/>
      <c r="L70" s="46"/>
      <c r="M70" s="46">
        <f t="shared" si="6"/>
        <v>10</v>
      </c>
      <c r="N70" s="46">
        <v>50</v>
      </c>
      <c r="O70" s="46" t="s">
        <v>39</v>
      </c>
      <c r="P70" s="46">
        <v>10</v>
      </c>
      <c r="Q70" s="46" t="s">
        <v>247</v>
      </c>
      <c r="R70" s="46"/>
      <c r="S70" s="46">
        <f t="shared" si="7"/>
        <v>10</v>
      </c>
      <c r="T70" s="46">
        <f t="shared" si="13"/>
        <v>10</v>
      </c>
      <c r="U70" s="46"/>
      <c r="V70" s="46"/>
      <c r="W70" s="46" t="s">
        <v>304</v>
      </c>
      <c r="X70" s="46">
        <v>8</v>
      </c>
      <c r="Y70" s="46"/>
      <c r="Z70" s="46"/>
      <c r="AA70" s="46"/>
    </row>
    <row r="71" spans="1:27" ht="15" customHeight="1" x14ac:dyDescent="0.25">
      <c r="A71" s="286" t="s">
        <v>44</v>
      </c>
      <c r="B71" s="286"/>
      <c r="C71" s="8"/>
      <c r="D71" s="8"/>
      <c r="E71" s="8"/>
      <c r="F71" s="8"/>
      <c r="G71" s="8"/>
      <c r="H71" s="8"/>
      <c r="I71" s="8"/>
      <c r="J71" s="8"/>
      <c r="K71" s="8"/>
      <c r="L71" s="8"/>
      <c r="M71" s="8">
        <f>SUM(M8:M70)</f>
        <v>679</v>
      </c>
      <c r="N71" s="8"/>
      <c r="O71" s="8"/>
      <c r="P71" s="8"/>
      <c r="Q71" s="8"/>
      <c r="R71" s="8">
        <f>SUM(R8:R70)</f>
        <v>32.4</v>
      </c>
      <c r="S71" s="8">
        <f>SUM(S8:S70)</f>
        <v>679</v>
      </c>
      <c r="T71" s="8">
        <f>SUM(T8:T70)</f>
        <v>679</v>
      </c>
      <c r="U71" s="8">
        <f>SUM(U8:U70)</f>
        <v>32</v>
      </c>
      <c r="V71" s="8">
        <f>SUM(V8:V70)</f>
        <v>206</v>
      </c>
      <c r="W71" s="8"/>
      <c r="X71" s="8">
        <f>SUM(X8:X70)</f>
        <v>551</v>
      </c>
      <c r="Y71" s="8">
        <f>SUM(Y8:Y70)</f>
        <v>24</v>
      </c>
      <c r="Z71" s="8"/>
      <c r="AA71" s="8"/>
    </row>
    <row r="72" spans="1:27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</row>
    <row r="73" spans="1:27" x14ac:dyDescent="0.2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</row>
    <row r="74" spans="1:27" x14ac:dyDescent="0.25">
      <c r="A74" s="303" t="s">
        <v>45</v>
      </c>
      <c r="B74" s="303"/>
      <c r="C74" s="303"/>
      <c r="D74" s="303"/>
      <c r="E74" s="303"/>
      <c r="F74" s="303"/>
      <c r="G74" s="303"/>
      <c r="H74" s="11"/>
      <c r="I74" s="11"/>
      <c r="J74" s="11"/>
    </row>
    <row r="75" spans="1:27" x14ac:dyDescent="0.25">
      <c r="A75" s="294" t="s">
        <v>2</v>
      </c>
      <c r="B75" s="294" t="s">
        <v>3</v>
      </c>
      <c r="C75" s="294" t="s">
        <v>4</v>
      </c>
      <c r="D75" s="271" t="s">
        <v>5</v>
      </c>
      <c r="E75" s="271"/>
      <c r="F75" s="294" t="s">
        <v>6</v>
      </c>
      <c r="G75" s="294"/>
      <c r="H75" s="294" t="s">
        <v>7</v>
      </c>
      <c r="I75" s="294"/>
      <c r="J75" s="294"/>
      <c r="K75" s="294"/>
      <c r="L75" s="294"/>
      <c r="M75" s="294"/>
      <c r="N75" s="294"/>
      <c r="O75" s="294"/>
      <c r="P75" s="294"/>
      <c r="Q75" s="294"/>
      <c r="R75" s="294"/>
      <c r="S75" s="294"/>
      <c r="T75" s="294"/>
      <c r="U75" s="294"/>
      <c r="V75" s="294"/>
      <c r="W75" s="271" t="s">
        <v>9</v>
      </c>
    </row>
    <row r="76" spans="1:27" x14ac:dyDescent="0.25">
      <c r="A76" s="294"/>
      <c r="B76" s="294"/>
      <c r="C76" s="294"/>
      <c r="D76" s="271" t="s">
        <v>10</v>
      </c>
      <c r="E76" s="294" t="s">
        <v>11</v>
      </c>
      <c r="F76" s="294"/>
      <c r="G76" s="294"/>
      <c r="H76" s="294" t="s">
        <v>12</v>
      </c>
      <c r="I76" s="294" t="s">
        <v>13</v>
      </c>
      <c r="J76" s="294" t="s">
        <v>14</v>
      </c>
      <c r="K76" s="294" t="s">
        <v>15</v>
      </c>
      <c r="L76" s="294" t="s">
        <v>16</v>
      </c>
      <c r="M76" s="294" t="s">
        <v>17</v>
      </c>
      <c r="N76" s="294" t="s">
        <v>18</v>
      </c>
      <c r="O76" s="294"/>
      <c r="P76" s="294"/>
      <c r="Q76" s="294"/>
      <c r="R76" s="294" t="s">
        <v>19</v>
      </c>
      <c r="S76" s="294" t="s">
        <v>20</v>
      </c>
      <c r="T76" s="294" t="s">
        <v>21</v>
      </c>
      <c r="U76" s="294" t="s">
        <v>22</v>
      </c>
      <c r="V76" s="294" t="s">
        <v>23</v>
      </c>
      <c r="W76" s="271"/>
    </row>
    <row r="77" spans="1:27" ht="45.75" customHeight="1" x14ac:dyDescent="0.25">
      <c r="A77" s="294"/>
      <c r="B77" s="294"/>
      <c r="C77" s="294"/>
      <c r="D77" s="271"/>
      <c r="E77" s="294"/>
      <c r="F77" s="48" t="s">
        <v>26</v>
      </c>
      <c r="G77" s="36" t="s">
        <v>27</v>
      </c>
      <c r="H77" s="294"/>
      <c r="I77" s="294"/>
      <c r="J77" s="294"/>
      <c r="K77" s="294"/>
      <c r="L77" s="294"/>
      <c r="M77" s="294"/>
      <c r="N77" s="294"/>
      <c r="O77" s="294"/>
      <c r="P77" s="294"/>
      <c r="Q77" s="294"/>
      <c r="R77" s="294"/>
      <c r="S77" s="294"/>
      <c r="T77" s="294"/>
      <c r="U77" s="294"/>
      <c r="V77" s="294"/>
      <c r="W77" s="271"/>
    </row>
    <row r="78" spans="1:27" x14ac:dyDescent="0.25">
      <c r="A78" s="294"/>
      <c r="B78" s="294"/>
      <c r="C78" s="294"/>
      <c r="D78" s="271"/>
      <c r="E78" s="36" t="s">
        <v>28</v>
      </c>
      <c r="F78" s="36" t="s">
        <v>29</v>
      </c>
      <c r="G78" s="36" t="s">
        <v>30</v>
      </c>
      <c r="H78" s="36" t="s">
        <v>31</v>
      </c>
      <c r="I78" s="36" t="s">
        <v>31</v>
      </c>
      <c r="J78" s="36" t="s">
        <v>32</v>
      </c>
      <c r="K78" s="36" t="s">
        <v>31</v>
      </c>
      <c r="L78" s="36" t="s">
        <v>31</v>
      </c>
      <c r="M78" s="36" t="s">
        <v>31</v>
      </c>
      <c r="N78" s="294"/>
      <c r="O78" s="294"/>
      <c r="P78" s="294"/>
      <c r="Q78" s="294"/>
      <c r="R78" s="36" t="s">
        <v>33</v>
      </c>
      <c r="S78" s="36" t="s">
        <v>33</v>
      </c>
      <c r="T78" s="36" t="s">
        <v>33</v>
      </c>
      <c r="U78" s="36" t="s">
        <v>34</v>
      </c>
      <c r="V78" s="36" t="s">
        <v>31</v>
      </c>
      <c r="W78" s="271"/>
    </row>
    <row r="79" spans="1:27" x14ac:dyDescent="0.25">
      <c r="A79" s="49" t="s">
        <v>36</v>
      </c>
      <c r="B79" s="50" t="str">
        <f>CHAR(CODE(A79)+1)</f>
        <v>B</v>
      </c>
      <c r="C79" s="50" t="str">
        <f t="shared" ref="C79:M79" si="14">CHAR(CODE(B79)+1)</f>
        <v>C</v>
      </c>
      <c r="D79" s="50" t="str">
        <f t="shared" si="14"/>
        <v>D</v>
      </c>
      <c r="E79" s="50" t="str">
        <f t="shared" si="14"/>
        <v>E</v>
      </c>
      <c r="F79" s="50" t="str">
        <f t="shared" si="14"/>
        <v>F</v>
      </c>
      <c r="G79" s="50" t="str">
        <f t="shared" si="14"/>
        <v>G</v>
      </c>
      <c r="H79" s="50" t="str">
        <f t="shared" si="14"/>
        <v>H</v>
      </c>
      <c r="I79" s="50" t="str">
        <f t="shared" si="14"/>
        <v>I</v>
      </c>
      <c r="J79" s="50" t="str">
        <f t="shared" si="14"/>
        <v>J</v>
      </c>
      <c r="K79" s="50" t="str">
        <f t="shared" si="14"/>
        <v>K</v>
      </c>
      <c r="L79" s="50" t="str">
        <f t="shared" si="14"/>
        <v>L</v>
      </c>
      <c r="M79" s="50" t="str">
        <f t="shared" si="14"/>
        <v>M</v>
      </c>
      <c r="N79" s="270" t="str">
        <f>CHAR(CODE(M79)+1)</f>
        <v>N</v>
      </c>
      <c r="O79" s="270"/>
      <c r="P79" s="270"/>
      <c r="Q79" s="270"/>
      <c r="R79" s="50" t="str">
        <f>CHAR(CODE(N79)+1)</f>
        <v>O</v>
      </c>
      <c r="S79" s="50" t="str">
        <f>CHAR(CODE(R79)+1)</f>
        <v>P</v>
      </c>
      <c r="T79" s="50" t="str">
        <f>CHAR(CODE(S79)+1)</f>
        <v>Q</v>
      </c>
      <c r="U79" s="50" t="str">
        <f>CHAR(CODE(T79)+1)</f>
        <v>R</v>
      </c>
      <c r="V79" s="50" t="str">
        <f>CHAR(CODE(U79)+1)</f>
        <v>S</v>
      </c>
      <c r="W79" s="50" t="str">
        <f>CHAR(CODE(V79)+1)</f>
        <v>T</v>
      </c>
    </row>
    <row r="80" spans="1:27" x14ac:dyDescent="0.25">
      <c r="A80" s="70">
        <v>1</v>
      </c>
      <c r="B80" s="6" t="s">
        <v>86</v>
      </c>
      <c r="C80" s="6" t="s">
        <v>42</v>
      </c>
      <c r="D80" s="6">
        <v>109</v>
      </c>
      <c r="E80" s="6">
        <v>0.1</v>
      </c>
      <c r="F80" s="6">
        <v>203</v>
      </c>
      <c r="G80" s="70">
        <f t="shared" ref="G80:G135" si="15">+E80*F80</f>
        <v>20.3</v>
      </c>
      <c r="H80" s="6">
        <v>575</v>
      </c>
      <c r="I80" s="6">
        <v>4.5</v>
      </c>
      <c r="J80" s="6"/>
      <c r="K80" s="6"/>
      <c r="L80" s="13"/>
      <c r="M80" s="6">
        <f>P80</f>
        <v>10</v>
      </c>
      <c r="N80" s="6">
        <v>50</v>
      </c>
      <c r="O80" s="6" t="s">
        <v>39</v>
      </c>
      <c r="P80" s="6">
        <v>10</v>
      </c>
      <c r="Q80" s="6" t="s">
        <v>247</v>
      </c>
      <c r="R80" s="6"/>
      <c r="S80" s="6"/>
      <c r="T80" s="6">
        <f>M80</f>
        <v>10</v>
      </c>
      <c r="U80" s="6"/>
      <c r="V80" s="6">
        <f>M80</f>
        <v>10</v>
      </c>
      <c r="W80" s="6"/>
    </row>
    <row r="81" spans="1:23" x14ac:dyDescent="0.25">
      <c r="A81" s="70">
        <f t="shared" ref="A81:A135" si="16">A80+1</f>
        <v>2</v>
      </c>
      <c r="B81" s="6" t="s">
        <v>87</v>
      </c>
      <c r="C81" s="6" t="s">
        <v>42</v>
      </c>
      <c r="D81" s="6">
        <v>113</v>
      </c>
      <c r="E81" s="6">
        <v>0.1</v>
      </c>
      <c r="F81" s="6">
        <v>203</v>
      </c>
      <c r="G81" s="70">
        <f t="shared" si="15"/>
        <v>20.3</v>
      </c>
      <c r="H81" s="6">
        <v>562</v>
      </c>
      <c r="I81" s="6">
        <v>4.5</v>
      </c>
      <c r="J81" s="6"/>
      <c r="K81" s="6"/>
      <c r="L81" s="13"/>
      <c r="M81" s="6">
        <f t="shared" ref="M81:M134" si="17">P81</f>
        <v>10</v>
      </c>
      <c r="N81" s="6">
        <v>50</v>
      </c>
      <c r="O81" s="6" t="s">
        <v>39</v>
      </c>
      <c r="P81" s="6">
        <v>10</v>
      </c>
      <c r="Q81" s="6" t="s">
        <v>247</v>
      </c>
      <c r="R81" s="6"/>
      <c r="S81" s="6"/>
      <c r="T81" s="6">
        <f t="shared" ref="T81:T135" si="18">M81</f>
        <v>10</v>
      </c>
      <c r="U81" s="6"/>
      <c r="V81" s="6">
        <f t="shared" ref="V81:V87" si="19">M81</f>
        <v>10</v>
      </c>
      <c r="W81" s="6"/>
    </row>
    <row r="82" spans="1:23" x14ac:dyDescent="0.25">
      <c r="A82" s="70">
        <f t="shared" si="16"/>
        <v>3</v>
      </c>
      <c r="B82" s="6" t="s">
        <v>171</v>
      </c>
      <c r="C82" s="6" t="s">
        <v>42</v>
      </c>
      <c r="D82" s="6">
        <v>119</v>
      </c>
      <c r="E82" s="6">
        <v>0.2</v>
      </c>
      <c r="F82" s="6">
        <v>203</v>
      </c>
      <c r="G82" s="70">
        <f t="shared" si="15"/>
        <v>40.6</v>
      </c>
      <c r="H82" s="6">
        <v>463</v>
      </c>
      <c r="I82" s="6">
        <v>4.5</v>
      </c>
      <c r="J82" s="6"/>
      <c r="K82" s="6"/>
      <c r="L82" s="13"/>
      <c r="M82" s="6">
        <f t="shared" si="17"/>
        <v>10</v>
      </c>
      <c r="N82" s="6">
        <v>50</v>
      </c>
      <c r="O82" s="6" t="s">
        <v>39</v>
      </c>
      <c r="P82" s="6">
        <v>10</v>
      </c>
      <c r="Q82" s="6" t="s">
        <v>247</v>
      </c>
      <c r="R82" s="6"/>
      <c r="S82" s="6"/>
      <c r="T82" s="6">
        <f>M82</f>
        <v>10</v>
      </c>
      <c r="U82" s="6"/>
      <c r="V82" s="6">
        <f t="shared" si="19"/>
        <v>10</v>
      </c>
      <c r="W82" s="6"/>
    </row>
    <row r="83" spans="1:23" x14ac:dyDescent="0.25">
      <c r="A83" s="70">
        <f t="shared" si="16"/>
        <v>4</v>
      </c>
      <c r="B83" s="6" t="s">
        <v>172</v>
      </c>
      <c r="C83" s="6" t="s">
        <v>42</v>
      </c>
      <c r="D83" s="6">
        <v>168</v>
      </c>
      <c r="E83" s="6">
        <v>0.1</v>
      </c>
      <c r="F83" s="6">
        <v>203</v>
      </c>
      <c r="G83" s="70">
        <f t="shared" si="15"/>
        <v>20.3</v>
      </c>
      <c r="H83" s="6">
        <v>311</v>
      </c>
      <c r="I83" s="6">
        <v>4.5</v>
      </c>
      <c r="J83" s="6"/>
      <c r="K83" s="6"/>
      <c r="L83" s="13"/>
      <c r="M83" s="6">
        <f t="shared" si="17"/>
        <v>10</v>
      </c>
      <c r="N83" s="6">
        <v>50</v>
      </c>
      <c r="O83" s="6" t="s">
        <v>39</v>
      </c>
      <c r="P83" s="6">
        <v>10</v>
      </c>
      <c r="Q83" s="6" t="s">
        <v>247</v>
      </c>
      <c r="R83" s="6"/>
      <c r="S83" s="6"/>
      <c r="T83" s="6">
        <f t="shared" si="18"/>
        <v>10</v>
      </c>
      <c r="U83" s="6"/>
      <c r="V83" s="6">
        <f t="shared" si="19"/>
        <v>10</v>
      </c>
      <c r="W83" s="6"/>
    </row>
    <row r="84" spans="1:23" x14ac:dyDescent="0.25">
      <c r="A84" s="70">
        <f t="shared" si="16"/>
        <v>5</v>
      </c>
      <c r="B84" s="6" t="s">
        <v>173</v>
      </c>
      <c r="C84" s="6" t="s">
        <v>42</v>
      </c>
      <c r="D84" s="6">
        <v>174</v>
      </c>
      <c r="E84" s="6">
        <v>0.1</v>
      </c>
      <c r="F84" s="6">
        <v>203</v>
      </c>
      <c r="G84" s="70">
        <f t="shared" si="15"/>
        <v>20.3</v>
      </c>
      <c r="H84" s="6">
        <v>231</v>
      </c>
      <c r="I84" s="6">
        <v>4.5</v>
      </c>
      <c r="J84" s="6"/>
      <c r="K84" s="6"/>
      <c r="L84" s="13"/>
      <c r="M84" s="6">
        <f t="shared" si="17"/>
        <v>10</v>
      </c>
      <c r="N84" s="6">
        <v>50</v>
      </c>
      <c r="O84" s="6" t="s">
        <v>39</v>
      </c>
      <c r="P84" s="6">
        <v>10</v>
      </c>
      <c r="Q84" s="6" t="s">
        <v>247</v>
      </c>
      <c r="R84" s="6"/>
      <c r="S84" s="6"/>
      <c r="T84" s="6">
        <f t="shared" si="18"/>
        <v>10</v>
      </c>
      <c r="U84" s="6"/>
      <c r="V84" s="6">
        <f t="shared" si="19"/>
        <v>10</v>
      </c>
      <c r="W84" s="6"/>
    </row>
    <row r="85" spans="1:23" x14ac:dyDescent="0.25">
      <c r="A85" s="70">
        <f t="shared" si="16"/>
        <v>6</v>
      </c>
      <c r="B85" s="6" t="s">
        <v>174</v>
      </c>
      <c r="C85" s="6" t="s">
        <v>42</v>
      </c>
      <c r="D85" s="6">
        <v>178</v>
      </c>
      <c r="E85" s="6">
        <v>0.1</v>
      </c>
      <c r="F85" s="6">
        <v>203</v>
      </c>
      <c r="G85" s="70">
        <f t="shared" si="15"/>
        <v>20.3</v>
      </c>
      <c r="H85" s="6">
        <v>196</v>
      </c>
      <c r="I85" s="6">
        <v>4.5</v>
      </c>
      <c r="J85" s="6"/>
      <c r="K85" s="6"/>
      <c r="L85" s="13"/>
      <c r="M85" s="6">
        <f t="shared" si="17"/>
        <v>10</v>
      </c>
      <c r="N85" s="6">
        <v>50</v>
      </c>
      <c r="O85" s="6" t="s">
        <v>39</v>
      </c>
      <c r="P85" s="6">
        <v>10</v>
      </c>
      <c r="Q85" s="6" t="s">
        <v>247</v>
      </c>
      <c r="R85" s="6"/>
      <c r="S85" s="6"/>
      <c r="T85" s="6">
        <f t="shared" si="18"/>
        <v>10</v>
      </c>
      <c r="U85" s="6"/>
      <c r="V85" s="6">
        <f t="shared" si="19"/>
        <v>10</v>
      </c>
      <c r="W85" s="6"/>
    </row>
    <row r="86" spans="1:23" x14ac:dyDescent="0.25">
      <c r="A86" s="70">
        <f t="shared" si="16"/>
        <v>7</v>
      </c>
      <c r="B86" s="6" t="s">
        <v>175</v>
      </c>
      <c r="C86" s="6" t="s">
        <v>42</v>
      </c>
      <c r="D86" s="6">
        <v>182</v>
      </c>
      <c r="E86" s="6">
        <v>0.3</v>
      </c>
      <c r="F86" s="6">
        <v>203</v>
      </c>
      <c r="G86" s="70">
        <f t="shared" si="15"/>
        <v>60.9</v>
      </c>
      <c r="H86" s="6">
        <v>173</v>
      </c>
      <c r="I86" s="6">
        <v>4.5</v>
      </c>
      <c r="J86" s="6"/>
      <c r="K86" s="6"/>
      <c r="L86" s="13"/>
      <c r="M86" s="6">
        <f t="shared" si="17"/>
        <v>10</v>
      </c>
      <c r="N86" s="6">
        <v>50</v>
      </c>
      <c r="O86" s="6" t="s">
        <v>39</v>
      </c>
      <c r="P86" s="6">
        <v>10</v>
      </c>
      <c r="Q86" s="6" t="s">
        <v>247</v>
      </c>
      <c r="R86" s="6"/>
      <c r="S86" s="6"/>
      <c r="T86" s="6">
        <f t="shared" si="18"/>
        <v>10</v>
      </c>
      <c r="U86" s="6"/>
      <c r="V86" s="6">
        <f t="shared" si="19"/>
        <v>10</v>
      </c>
      <c r="W86" s="6"/>
    </row>
    <row r="87" spans="1:23" s="47" customFormat="1" x14ac:dyDescent="0.25">
      <c r="A87" s="70">
        <f t="shared" si="16"/>
        <v>8</v>
      </c>
      <c r="B87" s="46" t="s">
        <v>176</v>
      </c>
      <c r="C87" s="46" t="s">
        <v>42</v>
      </c>
      <c r="D87" s="46">
        <v>186</v>
      </c>
      <c r="E87" s="46">
        <v>0.3</v>
      </c>
      <c r="F87" s="46">
        <v>203</v>
      </c>
      <c r="G87" s="69">
        <f t="shared" si="15"/>
        <v>60.9</v>
      </c>
      <c r="H87" s="46">
        <v>7</v>
      </c>
      <c r="I87" s="46">
        <v>4.8</v>
      </c>
      <c r="J87" s="46"/>
      <c r="K87" s="46"/>
      <c r="L87" s="53"/>
      <c r="M87" s="46">
        <f>P87</f>
        <v>10</v>
      </c>
      <c r="N87" s="46">
        <v>50</v>
      </c>
      <c r="O87" s="46" t="s">
        <v>39</v>
      </c>
      <c r="P87" s="46">
        <v>10</v>
      </c>
      <c r="Q87" s="46" t="s">
        <v>248</v>
      </c>
      <c r="R87" s="46"/>
      <c r="S87" s="46"/>
      <c r="T87" s="46">
        <f t="shared" si="18"/>
        <v>10</v>
      </c>
      <c r="U87" s="46"/>
      <c r="V87" s="46">
        <f t="shared" si="19"/>
        <v>10</v>
      </c>
      <c r="W87" s="46"/>
    </row>
    <row r="88" spans="1:23" s="47" customFormat="1" x14ac:dyDescent="0.25">
      <c r="A88" s="70">
        <f t="shared" si="16"/>
        <v>9</v>
      </c>
      <c r="B88" s="46" t="s">
        <v>178</v>
      </c>
      <c r="C88" s="46" t="s">
        <v>249</v>
      </c>
      <c r="D88" s="45">
        <v>555</v>
      </c>
      <c r="E88" s="46">
        <v>1.5</v>
      </c>
      <c r="F88" s="46">
        <v>203</v>
      </c>
      <c r="G88" s="69">
        <f t="shared" si="15"/>
        <v>304.5</v>
      </c>
      <c r="H88" s="46">
        <v>15</v>
      </c>
      <c r="I88" s="46">
        <v>4.5</v>
      </c>
      <c r="J88" s="46"/>
      <c r="K88" s="46"/>
      <c r="L88" s="46"/>
      <c r="M88" s="46">
        <f t="shared" si="17"/>
        <v>10</v>
      </c>
      <c r="N88" s="46">
        <v>60</v>
      </c>
      <c r="O88" s="46" t="s">
        <v>39</v>
      </c>
      <c r="P88" s="46">
        <v>10</v>
      </c>
      <c r="Q88" s="46" t="s">
        <v>248</v>
      </c>
      <c r="R88" s="46"/>
      <c r="S88" s="46"/>
      <c r="T88" s="46">
        <f t="shared" si="18"/>
        <v>10</v>
      </c>
      <c r="U88" s="46"/>
      <c r="V88" s="46"/>
      <c r="W88" s="46"/>
    </row>
    <row r="89" spans="1:23" x14ac:dyDescent="0.25">
      <c r="A89" s="70">
        <f t="shared" si="16"/>
        <v>10</v>
      </c>
      <c r="B89" s="6" t="s">
        <v>442</v>
      </c>
      <c r="C89" s="6" t="s">
        <v>249</v>
      </c>
      <c r="D89" s="8">
        <v>205</v>
      </c>
      <c r="E89" s="6">
        <v>1.6</v>
      </c>
      <c r="F89" s="6">
        <v>203</v>
      </c>
      <c r="G89" s="70">
        <f t="shared" si="15"/>
        <v>324.8</v>
      </c>
      <c r="H89" s="6">
        <v>135</v>
      </c>
      <c r="I89" s="6">
        <v>4.5</v>
      </c>
      <c r="J89" s="6"/>
      <c r="K89" s="6"/>
      <c r="L89" s="6"/>
      <c r="M89" s="6">
        <v>10</v>
      </c>
      <c r="N89" s="6">
        <v>60</v>
      </c>
      <c r="O89" s="6" t="s">
        <v>39</v>
      </c>
      <c r="P89" s="6">
        <v>10</v>
      </c>
      <c r="Q89" s="6" t="s">
        <v>248</v>
      </c>
      <c r="R89" s="6"/>
      <c r="S89" s="6"/>
      <c r="T89" s="6">
        <f t="shared" si="18"/>
        <v>10</v>
      </c>
      <c r="U89" s="6"/>
      <c r="V89" s="6"/>
      <c r="W89" s="6"/>
    </row>
    <row r="90" spans="1:23" s="47" customFormat="1" x14ac:dyDescent="0.25">
      <c r="A90" s="70">
        <f t="shared" si="16"/>
        <v>11</v>
      </c>
      <c r="B90" s="46" t="s">
        <v>179</v>
      </c>
      <c r="C90" s="46" t="s">
        <v>43</v>
      </c>
      <c r="D90" s="46">
        <v>314</v>
      </c>
      <c r="E90" s="46">
        <v>0.3</v>
      </c>
      <c r="F90" s="46">
        <v>203</v>
      </c>
      <c r="G90" s="69">
        <f t="shared" si="15"/>
        <v>60.9</v>
      </c>
      <c r="H90" s="46">
        <v>8</v>
      </c>
      <c r="I90" s="46">
        <v>4.5</v>
      </c>
      <c r="J90" s="46"/>
      <c r="K90" s="46"/>
      <c r="L90" s="46"/>
      <c r="M90" s="46">
        <f t="shared" si="17"/>
        <v>10</v>
      </c>
      <c r="N90" s="46">
        <v>50</v>
      </c>
      <c r="O90" s="46" t="s">
        <v>39</v>
      </c>
      <c r="P90" s="46">
        <v>10</v>
      </c>
      <c r="Q90" s="46" t="s">
        <v>247</v>
      </c>
      <c r="R90" s="46"/>
      <c r="S90" s="46"/>
      <c r="T90" s="46">
        <f t="shared" si="18"/>
        <v>10</v>
      </c>
      <c r="U90" s="46"/>
      <c r="V90" s="46">
        <f>M90</f>
        <v>10</v>
      </c>
      <c r="W90" s="46"/>
    </row>
    <row r="91" spans="1:23" x14ac:dyDescent="0.25">
      <c r="A91" s="70">
        <f t="shared" si="16"/>
        <v>12</v>
      </c>
      <c r="B91" s="6" t="s">
        <v>180</v>
      </c>
      <c r="C91" s="6" t="s">
        <v>43</v>
      </c>
      <c r="D91" s="6">
        <v>316</v>
      </c>
      <c r="E91" s="6">
        <v>0.6</v>
      </c>
      <c r="F91" s="46">
        <v>203</v>
      </c>
      <c r="G91" s="69">
        <f t="shared" si="15"/>
        <v>121.8</v>
      </c>
      <c r="H91" s="6">
        <v>8</v>
      </c>
      <c r="I91" s="6">
        <v>4.5</v>
      </c>
      <c r="J91" s="6"/>
      <c r="K91" s="6"/>
      <c r="L91" s="6"/>
      <c r="M91" s="6">
        <f t="shared" si="17"/>
        <v>10</v>
      </c>
      <c r="N91" s="6">
        <v>50</v>
      </c>
      <c r="O91" s="6" t="s">
        <v>39</v>
      </c>
      <c r="P91" s="6">
        <v>10</v>
      </c>
      <c r="Q91" s="6" t="s">
        <v>247</v>
      </c>
      <c r="R91" s="6"/>
      <c r="S91" s="6"/>
      <c r="T91" s="6">
        <f t="shared" si="18"/>
        <v>10</v>
      </c>
      <c r="U91" s="6"/>
      <c r="V91" s="6">
        <f>M91</f>
        <v>10</v>
      </c>
      <c r="W91" s="6"/>
    </row>
    <row r="92" spans="1:23" x14ac:dyDescent="0.25">
      <c r="A92" s="70">
        <f t="shared" si="16"/>
        <v>13</v>
      </c>
      <c r="B92" s="6" t="s">
        <v>181</v>
      </c>
      <c r="C92" s="6" t="s">
        <v>43</v>
      </c>
      <c r="D92" s="6">
        <v>317</v>
      </c>
      <c r="E92" s="431">
        <v>0.1</v>
      </c>
      <c r="F92" s="46">
        <v>203</v>
      </c>
      <c r="G92" s="69">
        <f t="shared" si="15"/>
        <v>20.3</v>
      </c>
      <c r="H92" s="6">
        <v>8</v>
      </c>
      <c r="I92" s="6">
        <v>4.5</v>
      </c>
      <c r="J92" s="6"/>
      <c r="K92" s="6"/>
      <c r="L92" s="6"/>
      <c r="M92" s="6">
        <f t="shared" si="17"/>
        <v>10</v>
      </c>
      <c r="N92" s="6">
        <v>50</v>
      </c>
      <c r="O92" s="6" t="s">
        <v>39</v>
      </c>
      <c r="P92" s="6">
        <v>10</v>
      </c>
      <c r="Q92" s="6" t="s">
        <v>247</v>
      </c>
      <c r="R92" s="6"/>
      <c r="S92" s="6"/>
      <c r="T92" s="6">
        <f t="shared" si="18"/>
        <v>10</v>
      </c>
      <c r="U92" s="6"/>
      <c r="V92" s="6">
        <f t="shared" ref="V92:V99" si="20">M92</f>
        <v>10</v>
      </c>
      <c r="W92" s="6"/>
    </row>
    <row r="93" spans="1:23" x14ac:dyDescent="0.25">
      <c r="A93" s="70">
        <f t="shared" si="16"/>
        <v>14</v>
      </c>
      <c r="B93" s="6" t="s">
        <v>182</v>
      </c>
      <c r="C93" s="6" t="s">
        <v>43</v>
      </c>
      <c r="D93" s="6">
        <v>310</v>
      </c>
      <c r="E93" s="431">
        <v>13.1</v>
      </c>
      <c r="F93" s="46">
        <v>203</v>
      </c>
      <c r="G93" s="69">
        <f t="shared" si="15"/>
        <v>2659.2999999999997</v>
      </c>
      <c r="H93" s="6">
        <v>1357</v>
      </c>
      <c r="I93" s="6">
        <v>4.5</v>
      </c>
      <c r="J93" s="6"/>
      <c r="K93" s="6"/>
      <c r="L93" s="6"/>
      <c r="M93" s="6">
        <f t="shared" si="17"/>
        <v>10</v>
      </c>
      <c r="N93" s="6">
        <v>150</v>
      </c>
      <c r="O93" s="6" t="s">
        <v>39</v>
      </c>
      <c r="P93" s="6">
        <v>10</v>
      </c>
      <c r="Q93" s="6" t="s">
        <v>250</v>
      </c>
      <c r="R93" s="6"/>
      <c r="S93" s="6"/>
      <c r="T93" s="6">
        <f t="shared" si="18"/>
        <v>10</v>
      </c>
      <c r="U93" s="6"/>
      <c r="V93" s="6">
        <f t="shared" si="20"/>
        <v>10</v>
      </c>
      <c r="W93" s="6"/>
    </row>
    <row r="94" spans="1:23" x14ac:dyDescent="0.25">
      <c r="A94" s="70">
        <f t="shared" si="16"/>
        <v>15</v>
      </c>
      <c r="B94" s="6" t="s">
        <v>183</v>
      </c>
      <c r="C94" s="6" t="s">
        <v>43</v>
      </c>
      <c r="D94" s="6">
        <v>322</v>
      </c>
      <c r="E94" s="431">
        <v>0.5</v>
      </c>
      <c r="F94" s="46">
        <v>203</v>
      </c>
      <c r="G94" s="69">
        <f t="shared" si="15"/>
        <v>101.5</v>
      </c>
      <c r="H94" s="6">
        <v>8</v>
      </c>
      <c r="I94" s="6">
        <v>4.5</v>
      </c>
      <c r="J94" s="6"/>
      <c r="K94" s="6"/>
      <c r="L94" s="6"/>
      <c r="M94" s="6">
        <f t="shared" si="17"/>
        <v>10</v>
      </c>
      <c r="N94" s="6">
        <v>50</v>
      </c>
      <c r="O94" s="6" t="s">
        <v>39</v>
      </c>
      <c r="P94" s="6">
        <v>10</v>
      </c>
      <c r="Q94" s="6" t="s">
        <v>247</v>
      </c>
      <c r="R94" s="6"/>
      <c r="S94" s="6"/>
      <c r="T94" s="6">
        <f t="shared" si="18"/>
        <v>10</v>
      </c>
      <c r="U94" s="6"/>
      <c r="V94" s="6">
        <f t="shared" si="20"/>
        <v>10</v>
      </c>
      <c r="W94" s="6"/>
    </row>
    <row r="95" spans="1:23" x14ac:dyDescent="0.25">
      <c r="A95" s="69">
        <f t="shared" si="16"/>
        <v>16</v>
      </c>
      <c r="B95" s="6" t="s">
        <v>184</v>
      </c>
      <c r="C95" s="6" t="s">
        <v>43</v>
      </c>
      <c r="D95" s="6">
        <v>310</v>
      </c>
      <c r="E95" s="431">
        <v>12.5</v>
      </c>
      <c r="F95" s="46">
        <v>203</v>
      </c>
      <c r="G95" s="69">
        <f t="shared" si="15"/>
        <v>2537.5</v>
      </c>
      <c r="H95" s="6">
        <v>1779</v>
      </c>
      <c r="I95" s="6">
        <v>4.5</v>
      </c>
      <c r="J95" s="6"/>
      <c r="K95" s="6"/>
      <c r="L95" s="6"/>
      <c r="M95" s="6">
        <f t="shared" si="17"/>
        <v>10</v>
      </c>
      <c r="N95" s="6">
        <v>150</v>
      </c>
      <c r="O95" s="6" t="s">
        <v>39</v>
      </c>
      <c r="P95" s="6">
        <v>10</v>
      </c>
      <c r="Q95" s="6" t="s">
        <v>250</v>
      </c>
      <c r="R95" s="6"/>
      <c r="S95" s="6"/>
      <c r="T95" s="6">
        <f t="shared" si="18"/>
        <v>10</v>
      </c>
      <c r="U95" s="6"/>
      <c r="V95" s="6">
        <f t="shared" si="20"/>
        <v>10</v>
      </c>
      <c r="W95" s="6"/>
    </row>
    <row r="96" spans="1:23" x14ac:dyDescent="0.25">
      <c r="A96" s="69">
        <f t="shared" si="16"/>
        <v>17</v>
      </c>
      <c r="B96" s="6" t="s">
        <v>185</v>
      </c>
      <c r="C96" s="6" t="s">
        <v>43</v>
      </c>
      <c r="D96" s="6">
        <v>325</v>
      </c>
      <c r="E96" s="431">
        <v>0.8</v>
      </c>
      <c r="F96" s="46">
        <v>203</v>
      </c>
      <c r="G96" s="69">
        <f t="shared" si="15"/>
        <v>162.4</v>
      </c>
      <c r="H96" s="6">
        <v>8</v>
      </c>
      <c r="I96" s="6">
        <v>4.5</v>
      </c>
      <c r="J96" s="6"/>
      <c r="K96" s="6"/>
      <c r="L96" s="6"/>
      <c r="M96" s="6">
        <f t="shared" si="17"/>
        <v>10</v>
      </c>
      <c r="N96" s="6">
        <v>50</v>
      </c>
      <c r="O96" s="6" t="s">
        <v>39</v>
      </c>
      <c r="P96" s="6">
        <v>10</v>
      </c>
      <c r="Q96" s="6" t="s">
        <v>247</v>
      </c>
      <c r="R96" s="6"/>
      <c r="S96" s="6"/>
      <c r="T96" s="6">
        <f t="shared" si="18"/>
        <v>10</v>
      </c>
      <c r="U96" s="6"/>
      <c r="V96" s="6">
        <f t="shared" si="20"/>
        <v>10</v>
      </c>
      <c r="W96" s="6"/>
    </row>
    <row r="97" spans="1:23" x14ac:dyDescent="0.25">
      <c r="A97" s="69">
        <f t="shared" si="16"/>
        <v>18</v>
      </c>
      <c r="B97" s="6" t="s">
        <v>186</v>
      </c>
      <c r="C97" s="6" t="s">
        <v>43</v>
      </c>
      <c r="D97" s="6">
        <v>335</v>
      </c>
      <c r="E97" s="431">
        <v>1.9</v>
      </c>
      <c r="F97" s="46">
        <v>203</v>
      </c>
      <c r="G97" s="69">
        <f t="shared" si="15"/>
        <v>385.7</v>
      </c>
      <c r="H97" s="6">
        <v>8</v>
      </c>
      <c r="I97" s="6">
        <v>4.5</v>
      </c>
      <c r="J97" s="6"/>
      <c r="K97" s="6"/>
      <c r="L97" s="6"/>
      <c r="M97" s="6">
        <f t="shared" si="17"/>
        <v>10</v>
      </c>
      <c r="N97" s="6">
        <v>60</v>
      </c>
      <c r="O97" s="6" t="s">
        <v>39</v>
      </c>
      <c r="P97" s="6">
        <v>10</v>
      </c>
      <c r="Q97" s="6" t="s">
        <v>248</v>
      </c>
      <c r="R97" s="6"/>
      <c r="S97" s="6"/>
      <c r="T97" s="6">
        <f t="shared" si="18"/>
        <v>10</v>
      </c>
      <c r="U97" s="6"/>
      <c r="V97" s="6">
        <f t="shared" si="20"/>
        <v>10</v>
      </c>
      <c r="W97" s="6"/>
    </row>
    <row r="98" spans="1:23" x14ac:dyDescent="0.25">
      <c r="A98" s="69">
        <f t="shared" si="16"/>
        <v>19</v>
      </c>
      <c r="B98" s="6" t="s">
        <v>187</v>
      </c>
      <c r="C98" s="6" t="s">
        <v>43</v>
      </c>
      <c r="D98" s="6">
        <v>310</v>
      </c>
      <c r="E98" s="431">
        <v>10.9</v>
      </c>
      <c r="F98" s="46">
        <v>203</v>
      </c>
      <c r="G98" s="69">
        <f t="shared" si="15"/>
        <v>2212.7000000000003</v>
      </c>
      <c r="H98" s="6">
        <v>2184</v>
      </c>
      <c r="I98" s="6">
        <v>4.5</v>
      </c>
      <c r="J98" s="6"/>
      <c r="K98" s="6"/>
      <c r="L98" s="6"/>
      <c r="M98" s="6">
        <f t="shared" si="17"/>
        <v>10</v>
      </c>
      <c r="N98" s="6">
        <v>150</v>
      </c>
      <c r="O98" s="6" t="s">
        <v>39</v>
      </c>
      <c r="P98" s="6">
        <v>10</v>
      </c>
      <c r="Q98" s="6" t="s">
        <v>250</v>
      </c>
      <c r="R98" s="6"/>
      <c r="S98" s="6"/>
      <c r="T98" s="6">
        <f t="shared" si="18"/>
        <v>10</v>
      </c>
      <c r="U98" s="6"/>
      <c r="V98" s="6">
        <f t="shared" si="20"/>
        <v>10</v>
      </c>
      <c r="W98" s="6"/>
    </row>
    <row r="99" spans="1:23" x14ac:dyDescent="0.25">
      <c r="A99" s="69">
        <f t="shared" si="16"/>
        <v>20</v>
      </c>
      <c r="B99" s="6" t="s">
        <v>188</v>
      </c>
      <c r="C99" s="6" t="s">
        <v>43</v>
      </c>
      <c r="D99" s="6">
        <v>336</v>
      </c>
      <c r="E99" s="431">
        <v>0.2</v>
      </c>
      <c r="F99" s="46">
        <v>203</v>
      </c>
      <c r="G99" s="69">
        <f t="shared" si="15"/>
        <v>40.6</v>
      </c>
      <c r="H99" s="6">
        <v>48</v>
      </c>
      <c r="I99" s="6">
        <v>4.5</v>
      </c>
      <c r="J99" s="6"/>
      <c r="K99" s="6"/>
      <c r="L99" s="6"/>
      <c r="M99" s="6">
        <f t="shared" si="17"/>
        <v>10</v>
      </c>
      <c r="N99" s="6">
        <v>50</v>
      </c>
      <c r="O99" s="6" t="s">
        <v>39</v>
      </c>
      <c r="P99" s="6">
        <v>10</v>
      </c>
      <c r="Q99" s="6" t="s">
        <v>247</v>
      </c>
      <c r="R99" s="6"/>
      <c r="S99" s="6"/>
      <c r="T99" s="6">
        <f t="shared" si="18"/>
        <v>10</v>
      </c>
      <c r="U99" s="6"/>
      <c r="V99" s="6">
        <f t="shared" si="20"/>
        <v>10</v>
      </c>
      <c r="W99" s="6"/>
    </row>
    <row r="100" spans="1:23" x14ac:dyDescent="0.25">
      <c r="A100" s="69">
        <f t="shared" si="16"/>
        <v>21</v>
      </c>
      <c r="B100" s="6" t="s">
        <v>189</v>
      </c>
      <c r="C100" s="6" t="s">
        <v>43</v>
      </c>
      <c r="D100" s="6">
        <v>337</v>
      </c>
      <c r="E100" s="6">
        <v>0.2</v>
      </c>
      <c r="F100" s="46">
        <v>203</v>
      </c>
      <c r="G100" s="69">
        <f t="shared" si="15"/>
        <v>40.6</v>
      </c>
      <c r="H100" s="6">
        <v>270</v>
      </c>
      <c r="I100" s="6">
        <v>4.5</v>
      </c>
      <c r="J100" s="6"/>
      <c r="K100" s="6"/>
      <c r="L100" s="6"/>
      <c r="M100" s="6">
        <f t="shared" si="17"/>
        <v>10</v>
      </c>
      <c r="N100" s="6">
        <v>50</v>
      </c>
      <c r="O100" s="6" t="s">
        <v>39</v>
      </c>
      <c r="P100" s="6">
        <v>10</v>
      </c>
      <c r="Q100" s="6" t="s">
        <v>247</v>
      </c>
      <c r="R100" s="6"/>
      <c r="S100" s="6"/>
      <c r="T100" s="6">
        <f t="shared" si="18"/>
        <v>10</v>
      </c>
      <c r="U100" s="6"/>
      <c r="V100" s="6"/>
      <c r="W100" s="6"/>
    </row>
    <row r="101" spans="1:23" x14ac:dyDescent="0.25">
      <c r="A101" s="69">
        <f t="shared" si="16"/>
        <v>22</v>
      </c>
      <c r="B101" s="6" t="s">
        <v>190</v>
      </c>
      <c r="C101" s="6" t="s">
        <v>43</v>
      </c>
      <c r="D101" s="6">
        <v>339</v>
      </c>
      <c r="E101" s="6">
        <v>0.2</v>
      </c>
      <c r="F101" s="46">
        <v>203</v>
      </c>
      <c r="G101" s="69">
        <f t="shared" si="15"/>
        <v>40.6</v>
      </c>
      <c r="H101" s="6">
        <v>7</v>
      </c>
      <c r="I101" s="6">
        <v>4.5</v>
      </c>
      <c r="J101" s="6"/>
      <c r="K101" s="6"/>
      <c r="L101" s="6"/>
      <c r="M101" s="6">
        <f t="shared" si="17"/>
        <v>10</v>
      </c>
      <c r="N101" s="6">
        <v>50</v>
      </c>
      <c r="O101" s="6" t="s">
        <v>39</v>
      </c>
      <c r="P101" s="6">
        <v>10</v>
      </c>
      <c r="Q101" s="6" t="s">
        <v>247</v>
      </c>
      <c r="R101" s="6"/>
      <c r="S101" s="6"/>
      <c r="T101" s="6">
        <f t="shared" si="18"/>
        <v>10</v>
      </c>
      <c r="U101" s="6"/>
      <c r="V101" s="6"/>
      <c r="W101" s="6"/>
    </row>
    <row r="102" spans="1:23" x14ac:dyDescent="0.25">
      <c r="A102" s="69">
        <f t="shared" si="16"/>
        <v>23</v>
      </c>
      <c r="B102" s="6" t="s">
        <v>191</v>
      </c>
      <c r="C102" s="6" t="s">
        <v>43</v>
      </c>
      <c r="D102" s="6">
        <v>343</v>
      </c>
      <c r="E102" s="6">
        <v>0.1</v>
      </c>
      <c r="F102" s="46">
        <v>203</v>
      </c>
      <c r="G102" s="69">
        <f t="shared" si="15"/>
        <v>20.3</v>
      </c>
      <c r="H102" s="6">
        <v>8</v>
      </c>
      <c r="I102" s="6">
        <v>4.5</v>
      </c>
      <c r="J102" s="6"/>
      <c r="K102" s="6"/>
      <c r="L102" s="6"/>
      <c r="M102" s="6">
        <f t="shared" si="17"/>
        <v>10</v>
      </c>
      <c r="N102" s="6">
        <v>50</v>
      </c>
      <c r="O102" s="6" t="s">
        <v>39</v>
      </c>
      <c r="P102" s="6">
        <v>10</v>
      </c>
      <c r="Q102" s="6" t="s">
        <v>247</v>
      </c>
      <c r="R102" s="6"/>
      <c r="S102" s="6"/>
      <c r="T102" s="6">
        <f t="shared" si="18"/>
        <v>10</v>
      </c>
      <c r="U102" s="6"/>
      <c r="V102" s="6"/>
      <c r="W102" s="6"/>
    </row>
    <row r="103" spans="1:23" x14ac:dyDescent="0.25">
      <c r="A103" s="69">
        <f t="shared" si="16"/>
        <v>24</v>
      </c>
      <c r="B103" s="6" t="s">
        <v>192</v>
      </c>
      <c r="C103" s="6" t="s">
        <v>43</v>
      </c>
      <c r="D103" s="6" t="s">
        <v>251</v>
      </c>
      <c r="E103" s="6">
        <v>3.5</v>
      </c>
      <c r="F103" s="46">
        <v>203</v>
      </c>
      <c r="G103" s="69">
        <f t="shared" si="15"/>
        <v>710.5</v>
      </c>
      <c r="H103" s="6">
        <v>442</v>
      </c>
      <c r="I103" s="6">
        <v>4.5</v>
      </c>
      <c r="J103" s="6"/>
      <c r="K103" s="6"/>
      <c r="L103" s="6"/>
      <c r="M103" s="6">
        <f t="shared" si="17"/>
        <v>10</v>
      </c>
      <c r="N103" s="6">
        <v>80</v>
      </c>
      <c r="O103" s="6" t="s">
        <v>39</v>
      </c>
      <c r="P103" s="6">
        <v>10</v>
      </c>
      <c r="Q103" s="6" t="s">
        <v>250</v>
      </c>
      <c r="R103" s="6"/>
      <c r="S103" s="6"/>
      <c r="T103" s="6">
        <f t="shared" si="18"/>
        <v>10</v>
      </c>
      <c r="U103" s="6"/>
      <c r="V103" s="6">
        <f>M103</f>
        <v>10</v>
      </c>
      <c r="W103" s="6"/>
    </row>
    <row r="104" spans="1:23" x14ac:dyDescent="0.25">
      <c r="A104" s="69">
        <f t="shared" si="16"/>
        <v>25</v>
      </c>
      <c r="B104" s="6" t="s">
        <v>193</v>
      </c>
      <c r="C104" s="6" t="s">
        <v>43</v>
      </c>
      <c r="D104" s="6">
        <v>356</v>
      </c>
      <c r="E104" s="6">
        <v>0.1</v>
      </c>
      <c r="F104" s="46">
        <v>203</v>
      </c>
      <c r="G104" s="69">
        <f t="shared" si="15"/>
        <v>20.3</v>
      </c>
      <c r="H104" s="6">
        <v>6</v>
      </c>
      <c r="I104" s="6">
        <v>4.5</v>
      </c>
      <c r="J104" s="6"/>
      <c r="K104" s="6"/>
      <c r="L104" s="6"/>
      <c r="M104" s="6">
        <f t="shared" si="17"/>
        <v>10</v>
      </c>
      <c r="N104" s="6">
        <v>50</v>
      </c>
      <c r="O104" s="6" t="s">
        <v>39</v>
      </c>
      <c r="P104" s="6">
        <v>10</v>
      </c>
      <c r="Q104" s="6" t="s">
        <v>247</v>
      </c>
      <c r="R104" s="6"/>
      <c r="S104" s="6"/>
      <c r="T104" s="6">
        <f t="shared" si="18"/>
        <v>10</v>
      </c>
      <c r="U104" s="6"/>
      <c r="V104" s="6">
        <f>M104</f>
        <v>10</v>
      </c>
      <c r="W104" s="6"/>
    </row>
    <row r="105" spans="1:23" x14ac:dyDescent="0.25">
      <c r="A105" s="69">
        <f t="shared" si="16"/>
        <v>26</v>
      </c>
      <c r="B105" s="6" t="s">
        <v>194</v>
      </c>
      <c r="C105" s="6" t="s">
        <v>43</v>
      </c>
      <c r="D105" s="6">
        <v>353</v>
      </c>
      <c r="E105" s="6">
        <v>2.2000000000000002</v>
      </c>
      <c r="F105" s="46">
        <v>203</v>
      </c>
      <c r="G105" s="69">
        <f t="shared" si="15"/>
        <v>446.6</v>
      </c>
      <c r="H105" s="6">
        <v>386</v>
      </c>
      <c r="I105" s="6">
        <v>4.5</v>
      </c>
      <c r="J105" s="6"/>
      <c r="K105" s="6"/>
      <c r="L105" s="6"/>
      <c r="M105" s="6">
        <f t="shared" si="17"/>
        <v>10</v>
      </c>
      <c r="N105" s="6">
        <v>80</v>
      </c>
      <c r="O105" s="6" t="s">
        <v>39</v>
      </c>
      <c r="P105" s="6">
        <v>10</v>
      </c>
      <c r="Q105" s="6" t="s">
        <v>250</v>
      </c>
      <c r="R105" s="6"/>
      <c r="S105" s="6"/>
      <c r="T105" s="6">
        <f t="shared" si="18"/>
        <v>10</v>
      </c>
      <c r="U105" s="6"/>
      <c r="V105" s="6">
        <f>M105</f>
        <v>10</v>
      </c>
      <c r="W105" s="6"/>
    </row>
    <row r="106" spans="1:23" x14ac:dyDescent="0.25">
      <c r="A106" s="69">
        <f t="shared" si="16"/>
        <v>27</v>
      </c>
      <c r="B106" s="6" t="s">
        <v>195</v>
      </c>
      <c r="C106" s="6" t="s">
        <v>43</v>
      </c>
      <c r="D106" s="6">
        <v>361</v>
      </c>
      <c r="E106" s="6">
        <v>0.3</v>
      </c>
      <c r="F106" s="46">
        <v>203</v>
      </c>
      <c r="G106" s="69">
        <f t="shared" si="15"/>
        <v>60.9</v>
      </c>
      <c r="H106" s="6">
        <v>559</v>
      </c>
      <c r="I106" s="6">
        <v>4.5</v>
      </c>
      <c r="J106" s="6"/>
      <c r="K106" s="6"/>
      <c r="L106" s="6"/>
      <c r="M106" s="6">
        <f t="shared" si="17"/>
        <v>10</v>
      </c>
      <c r="N106" s="6">
        <v>50</v>
      </c>
      <c r="O106" s="6" t="s">
        <v>39</v>
      </c>
      <c r="P106" s="6">
        <v>10</v>
      </c>
      <c r="Q106" s="6" t="s">
        <v>247</v>
      </c>
      <c r="R106" s="6"/>
      <c r="S106" s="6"/>
      <c r="T106" s="6">
        <f t="shared" si="18"/>
        <v>10</v>
      </c>
      <c r="U106" s="6"/>
      <c r="V106" s="6"/>
      <c r="W106" s="6"/>
    </row>
    <row r="107" spans="1:23" x14ac:dyDescent="0.25">
      <c r="A107" s="69">
        <f t="shared" si="16"/>
        <v>28</v>
      </c>
      <c r="B107" s="6" t="s">
        <v>196</v>
      </c>
      <c r="C107" s="6" t="s">
        <v>43</v>
      </c>
      <c r="D107" s="6" t="s">
        <v>252</v>
      </c>
      <c r="E107" s="6">
        <v>0.1</v>
      </c>
      <c r="F107" s="46">
        <v>203</v>
      </c>
      <c r="G107" s="69">
        <f t="shared" si="15"/>
        <v>20.3</v>
      </c>
      <c r="H107" s="6">
        <v>8</v>
      </c>
      <c r="I107" s="6">
        <v>4.5</v>
      </c>
      <c r="J107" s="6"/>
      <c r="K107" s="6"/>
      <c r="L107" s="6"/>
      <c r="M107" s="6">
        <f t="shared" si="17"/>
        <v>10</v>
      </c>
      <c r="N107" s="6">
        <v>50</v>
      </c>
      <c r="O107" s="6" t="s">
        <v>39</v>
      </c>
      <c r="P107" s="6">
        <v>10</v>
      </c>
      <c r="Q107" s="6" t="s">
        <v>247</v>
      </c>
      <c r="R107" s="6"/>
      <c r="S107" s="6"/>
      <c r="T107" s="6">
        <f t="shared" si="18"/>
        <v>10</v>
      </c>
      <c r="U107" s="6"/>
      <c r="V107" s="6"/>
      <c r="W107" s="6"/>
    </row>
    <row r="108" spans="1:23" x14ac:dyDescent="0.25">
      <c r="A108" s="69">
        <f t="shared" si="16"/>
        <v>29</v>
      </c>
      <c r="B108" s="6" t="s">
        <v>197</v>
      </c>
      <c r="C108" s="6" t="s">
        <v>43</v>
      </c>
      <c r="D108" s="6">
        <v>365</v>
      </c>
      <c r="E108" s="6">
        <v>0.3</v>
      </c>
      <c r="F108" s="46">
        <v>203</v>
      </c>
      <c r="G108" s="69">
        <f t="shared" si="15"/>
        <v>60.9</v>
      </c>
      <c r="H108" s="6">
        <v>592</v>
      </c>
      <c r="I108" s="6">
        <v>4.5</v>
      </c>
      <c r="J108" s="6"/>
      <c r="K108" s="6"/>
      <c r="L108" s="6"/>
      <c r="M108" s="6">
        <f t="shared" si="17"/>
        <v>10</v>
      </c>
      <c r="N108" s="6">
        <v>50</v>
      </c>
      <c r="O108" s="6" t="s">
        <v>39</v>
      </c>
      <c r="P108" s="6">
        <v>10</v>
      </c>
      <c r="Q108" s="6" t="s">
        <v>247</v>
      </c>
      <c r="R108" s="6"/>
      <c r="S108" s="6"/>
      <c r="T108" s="6">
        <f t="shared" si="18"/>
        <v>10</v>
      </c>
      <c r="U108" s="6"/>
      <c r="V108" s="6"/>
      <c r="W108" s="6"/>
    </row>
    <row r="109" spans="1:23" x14ac:dyDescent="0.25">
      <c r="A109" s="69">
        <f t="shared" si="16"/>
        <v>30</v>
      </c>
      <c r="B109" s="6" t="s">
        <v>198</v>
      </c>
      <c r="C109" s="6" t="s">
        <v>43</v>
      </c>
      <c r="D109" s="6">
        <v>374</v>
      </c>
      <c r="E109" s="6">
        <v>0.1</v>
      </c>
      <c r="F109" s="46">
        <v>203</v>
      </c>
      <c r="G109" s="69">
        <f t="shared" si="15"/>
        <v>20.3</v>
      </c>
      <c r="H109" s="6">
        <v>8</v>
      </c>
      <c r="I109" s="6">
        <v>4.5</v>
      </c>
      <c r="J109" s="6"/>
      <c r="K109" s="6"/>
      <c r="L109" s="6"/>
      <c r="M109" s="6">
        <f t="shared" si="17"/>
        <v>10</v>
      </c>
      <c r="N109" s="6">
        <v>50</v>
      </c>
      <c r="O109" s="6" t="s">
        <v>39</v>
      </c>
      <c r="P109" s="6">
        <v>10</v>
      </c>
      <c r="Q109" s="6" t="s">
        <v>247</v>
      </c>
      <c r="R109" s="6"/>
      <c r="S109" s="6"/>
      <c r="T109" s="6">
        <f t="shared" si="18"/>
        <v>10</v>
      </c>
      <c r="U109" s="6"/>
      <c r="V109" s="6"/>
      <c r="W109" s="6"/>
    </row>
    <row r="110" spans="1:23" x14ac:dyDescent="0.25">
      <c r="A110" s="69">
        <f t="shared" si="16"/>
        <v>31</v>
      </c>
      <c r="B110" s="6" t="s">
        <v>199</v>
      </c>
      <c r="C110" s="6" t="s">
        <v>43</v>
      </c>
      <c r="D110" s="6">
        <v>375</v>
      </c>
      <c r="E110" s="6">
        <v>0.8</v>
      </c>
      <c r="F110" s="46">
        <v>203</v>
      </c>
      <c r="G110" s="69">
        <f t="shared" si="15"/>
        <v>162.4</v>
      </c>
      <c r="H110" s="6">
        <v>8</v>
      </c>
      <c r="I110" s="6">
        <v>4.5</v>
      </c>
      <c r="J110" s="6"/>
      <c r="K110" s="6"/>
      <c r="L110" s="6"/>
      <c r="M110" s="6">
        <f t="shared" si="17"/>
        <v>10</v>
      </c>
      <c r="N110" s="6">
        <v>50</v>
      </c>
      <c r="O110" s="6" t="s">
        <v>39</v>
      </c>
      <c r="P110" s="6">
        <v>10</v>
      </c>
      <c r="Q110" s="6" t="s">
        <v>247</v>
      </c>
      <c r="R110" s="6"/>
      <c r="S110" s="6"/>
      <c r="T110" s="6">
        <f t="shared" si="18"/>
        <v>10</v>
      </c>
      <c r="U110" s="6"/>
      <c r="V110" s="6"/>
      <c r="W110" s="6"/>
    </row>
    <row r="111" spans="1:23" x14ac:dyDescent="0.25">
      <c r="A111" s="69">
        <f t="shared" si="16"/>
        <v>32</v>
      </c>
      <c r="B111" s="6" t="s">
        <v>200</v>
      </c>
      <c r="C111" s="6" t="s">
        <v>43</v>
      </c>
      <c r="D111" s="6">
        <v>375</v>
      </c>
      <c r="E111" s="6">
        <v>0.6</v>
      </c>
      <c r="F111" s="46">
        <v>203</v>
      </c>
      <c r="G111" s="69">
        <f t="shared" si="15"/>
        <v>121.8</v>
      </c>
      <c r="H111" s="6">
        <v>456</v>
      </c>
      <c r="I111" s="6">
        <v>4.5</v>
      </c>
      <c r="J111" s="6"/>
      <c r="K111" s="6"/>
      <c r="L111" s="6"/>
      <c r="M111" s="6">
        <f t="shared" si="17"/>
        <v>10</v>
      </c>
      <c r="N111" s="6">
        <v>50</v>
      </c>
      <c r="O111" s="6" t="s">
        <v>39</v>
      </c>
      <c r="P111" s="6">
        <v>10</v>
      </c>
      <c r="Q111" s="6" t="s">
        <v>247</v>
      </c>
      <c r="R111" s="6"/>
      <c r="S111" s="6"/>
      <c r="T111" s="6">
        <f t="shared" si="18"/>
        <v>10</v>
      </c>
      <c r="U111" s="6"/>
      <c r="V111" s="6"/>
      <c r="W111" s="6"/>
    </row>
    <row r="112" spans="1:23" x14ac:dyDescent="0.25">
      <c r="A112" s="69">
        <f t="shared" si="16"/>
        <v>33</v>
      </c>
      <c r="B112" s="6" t="s">
        <v>201</v>
      </c>
      <c r="C112" s="6" t="s">
        <v>43</v>
      </c>
      <c r="D112" s="6">
        <v>377</v>
      </c>
      <c r="E112" s="6">
        <v>0.3</v>
      </c>
      <c r="F112" s="46">
        <v>203</v>
      </c>
      <c r="G112" s="69">
        <f t="shared" si="15"/>
        <v>60.9</v>
      </c>
      <c r="H112" s="6">
        <v>7</v>
      </c>
      <c r="I112" s="6">
        <v>4.5</v>
      </c>
      <c r="J112" s="6"/>
      <c r="K112" s="6"/>
      <c r="L112" s="6"/>
      <c r="M112" s="6">
        <f t="shared" si="17"/>
        <v>10</v>
      </c>
      <c r="N112" s="6">
        <v>50</v>
      </c>
      <c r="O112" s="6" t="s">
        <v>39</v>
      </c>
      <c r="P112" s="6">
        <v>10</v>
      </c>
      <c r="Q112" s="6" t="s">
        <v>247</v>
      </c>
      <c r="R112" s="6"/>
      <c r="S112" s="6"/>
      <c r="T112" s="6">
        <f t="shared" si="18"/>
        <v>10</v>
      </c>
      <c r="U112" s="6"/>
      <c r="V112" s="6"/>
      <c r="W112" s="6"/>
    </row>
    <row r="113" spans="1:23" x14ac:dyDescent="0.25">
      <c r="A113" s="69">
        <f t="shared" si="16"/>
        <v>34</v>
      </c>
      <c r="B113" s="6" t="s">
        <v>202</v>
      </c>
      <c r="C113" s="6" t="s">
        <v>43</v>
      </c>
      <c r="D113" s="6">
        <v>378</v>
      </c>
      <c r="E113" s="6">
        <v>0.1</v>
      </c>
      <c r="F113" s="46">
        <v>203</v>
      </c>
      <c r="G113" s="69">
        <f t="shared" si="15"/>
        <v>20.3</v>
      </c>
      <c r="H113" s="6">
        <v>8</v>
      </c>
      <c r="I113" s="6">
        <v>4.5</v>
      </c>
      <c r="J113" s="6"/>
      <c r="K113" s="6"/>
      <c r="L113" s="6"/>
      <c r="M113" s="6">
        <f t="shared" si="17"/>
        <v>10</v>
      </c>
      <c r="N113" s="6">
        <v>50</v>
      </c>
      <c r="O113" s="6" t="s">
        <v>39</v>
      </c>
      <c r="P113" s="6">
        <v>10</v>
      </c>
      <c r="Q113" s="6" t="s">
        <v>247</v>
      </c>
      <c r="R113" s="6"/>
      <c r="S113" s="6"/>
      <c r="T113" s="6">
        <f t="shared" si="18"/>
        <v>10</v>
      </c>
      <c r="U113" s="6"/>
      <c r="V113" s="6"/>
      <c r="W113" s="6"/>
    </row>
    <row r="114" spans="1:23" s="47" customFormat="1" x14ac:dyDescent="0.25">
      <c r="A114" s="69">
        <f t="shared" si="16"/>
        <v>35</v>
      </c>
      <c r="B114" s="46" t="s">
        <v>203</v>
      </c>
      <c r="C114" s="46" t="s">
        <v>43</v>
      </c>
      <c r="D114" s="46">
        <v>379</v>
      </c>
      <c r="E114" s="46">
        <v>0.1</v>
      </c>
      <c r="F114" s="46">
        <v>203</v>
      </c>
      <c r="G114" s="69">
        <f t="shared" si="15"/>
        <v>20.3</v>
      </c>
      <c r="H114" s="46">
        <v>356</v>
      </c>
      <c r="I114" s="46">
        <v>4.5</v>
      </c>
      <c r="J114" s="46"/>
      <c r="K114" s="46"/>
      <c r="L114" s="46"/>
      <c r="M114" s="46">
        <f t="shared" si="17"/>
        <v>10</v>
      </c>
      <c r="N114" s="46">
        <v>50</v>
      </c>
      <c r="O114" s="46" t="s">
        <v>39</v>
      </c>
      <c r="P114" s="46">
        <v>10</v>
      </c>
      <c r="Q114" s="46" t="s">
        <v>247</v>
      </c>
      <c r="R114" s="46"/>
      <c r="S114" s="46"/>
      <c r="T114" s="46">
        <f t="shared" si="18"/>
        <v>10</v>
      </c>
      <c r="U114" s="46"/>
      <c r="V114" s="46"/>
      <c r="W114" s="46"/>
    </row>
    <row r="115" spans="1:23" s="47" customFormat="1" x14ac:dyDescent="0.25">
      <c r="A115" s="69">
        <f t="shared" si="16"/>
        <v>36</v>
      </c>
      <c r="B115" s="46" t="s">
        <v>205</v>
      </c>
      <c r="C115" s="46" t="s">
        <v>88</v>
      </c>
      <c r="D115" s="46">
        <v>517</v>
      </c>
      <c r="E115" s="46">
        <v>0.7</v>
      </c>
      <c r="F115" s="46">
        <v>203</v>
      </c>
      <c r="G115" s="69">
        <f t="shared" si="15"/>
        <v>142.1</v>
      </c>
      <c r="H115" s="46">
        <v>452</v>
      </c>
      <c r="I115" s="46">
        <v>4.5</v>
      </c>
      <c r="J115" s="46"/>
      <c r="K115" s="46"/>
      <c r="L115" s="46"/>
      <c r="M115" s="46">
        <f t="shared" si="17"/>
        <v>10</v>
      </c>
      <c r="N115" s="46">
        <v>50</v>
      </c>
      <c r="O115" s="46" t="s">
        <v>39</v>
      </c>
      <c r="P115" s="46">
        <v>10</v>
      </c>
      <c r="Q115" s="46" t="s">
        <v>247</v>
      </c>
      <c r="R115" s="46"/>
      <c r="S115" s="46"/>
      <c r="T115" s="46">
        <f t="shared" si="18"/>
        <v>10</v>
      </c>
      <c r="U115" s="46"/>
      <c r="V115" s="46"/>
      <c r="W115" s="46"/>
    </row>
    <row r="116" spans="1:23" x14ac:dyDescent="0.25">
      <c r="A116" s="69">
        <f t="shared" si="16"/>
        <v>37</v>
      </c>
      <c r="B116" s="6" t="s">
        <v>206</v>
      </c>
      <c r="C116" s="6" t="s">
        <v>88</v>
      </c>
      <c r="D116" s="6">
        <v>510</v>
      </c>
      <c r="E116" s="6">
        <v>0.3</v>
      </c>
      <c r="F116" s="46">
        <v>203</v>
      </c>
      <c r="G116" s="69">
        <f t="shared" si="15"/>
        <v>60.9</v>
      </c>
      <c r="H116" s="6">
        <v>768</v>
      </c>
      <c r="I116" s="6">
        <v>4.5</v>
      </c>
      <c r="J116" s="6"/>
      <c r="K116" s="6"/>
      <c r="L116" s="6"/>
      <c r="M116" s="6">
        <f t="shared" si="17"/>
        <v>10</v>
      </c>
      <c r="N116" s="6">
        <v>50</v>
      </c>
      <c r="O116" s="6" t="s">
        <v>39</v>
      </c>
      <c r="P116" s="6">
        <v>10</v>
      </c>
      <c r="Q116" s="6" t="s">
        <v>247</v>
      </c>
      <c r="R116" s="6"/>
      <c r="S116" s="6"/>
      <c r="T116" s="6">
        <f t="shared" si="18"/>
        <v>10</v>
      </c>
      <c r="U116" s="6"/>
      <c r="V116" s="6"/>
      <c r="W116" s="6"/>
    </row>
    <row r="117" spans="1:23" x14ac:dyDescent="0.25">
      <c r="A117" s="69">
        <f t="shared" si="16"/>
        <v>38</v>
      </c>
      <c r="B117" s="6" t="s">
        <v>207</v>
      </c>
      <c r="C117" s="6" t="s">
        <v>88</v>
      </c>
      <c r="D117" s="6">
        <v>519</v>
      </c>
      <c r="E117" s="6">
        <v>0.1</v>
      </c>
      <c r="F117" s="46">
        <v>203</v>
      </c>
      <c r="G117" s="69">
        <f t="shared" si="15"/>
        <v>20.3</v>
      </c>
      <c r="H117" s="6">
        <v>599</v>
      </c>
      <c r="I117" s="6">
        <v>4.5</v>
      </c>
      <c r="J117" s="6"/>
      <c r="K117" s="6"/>
      <c r="L117" s="6"/>
      <c r="M117" s="6">
        <f t="shared" si="17"/>
        <v>10</v>
      </c>
      <c r="N117" s="6">
        <v>50</v>
      </c>
      <c r="O117" s="6" t="s">
        <v>39</v>
      </c>
      <c r="P117" s="6">
        <v>10</v>
      </c>
      <c r="Q117" s="6" t="s">
        <v>247</v>
      </c>
      <c r="R117" s="6"/>
      <c r="S117" s="6"/>
      <c r="T117" s="6">
        <f t="shared" si="18"/>
        <v>10</v>
      </c>
      <c r="U117" s="6"/>
      <c r="V117" s="6"/>
      <c r="W117" s="6"/>
    </row>
    <row r="118" spans="1:23" x14ac:dyDescent="0.25">
      <c r="A118" s="69">
        <f t="shared" si="16"/>
        <v>39</v>
      </c>
      <c r="B118" s="6" t="s">
        <v>208</v>
      </c>
      <c r="C118" s="6" t="s">
        <v>88</v>
      </c>
      <c r="D118" s="6">
        <v>526</v>
      </c>
      <c r="E118" s="6">
        <v>1.5</v>
      </c>
      <c r="F118" s="46">
        <v>203</v>
      </c>
      <c r="G118" s="69">
        <f t="shared" si="15"/>
        <v>304.5</v>
      </c>
      <c r="H118" s="6">
        <v>8</v>
      </c>
      <c r="I118" s="6">
        <v>4.5</v>
      </c>
      <c r="J118" s="6"/>
      <c r="K118" s="6"/>
      <c r="L118" s="6"/>
      <c r="M118" s="6">
        <f t="shared" si="17"/>
        <v>10</v>
      </c>
      <c r="N118" s="6">
        <v>60</v>
      </c>
      <c r="O118" s="6" t="s">
        <v>39</v>
      </c>
      <c r="P118" s="6">
        <v>10</v>
      </c>
      <c r="Q118" s="6" t="s">
        <v>248</v>
      </c>
      <c r="R118" s="6"/>
      <c r="S118" s="6"/>
      <c r="T118" s="6">
        <f t="shared" si="18"/>
        <v>10</v>
      </c>
      <c r="U118" s="6"/>
      <c r="V118" s="6"/>
      <c r="W118" s="6"/>
    </row>
    <row r="119" spans="1:23" x14ac:dyDescent="0.25">
      <c r="A119" s="69">
        <f t="shared" si="16"/>
        <v>40</v>
      </c>
      <c r="B119" s="6" t="s">
        <v>209</v>
      </c>
      <c r="C119" s="6" t="s">
        <v>88</v>
      </c>
      <c r="D119" s="6">
        <v>527</v>
      </c>
      <c r="E119" s="6">
        <v>1.2</v>
      </c>
      <c r="F119" s="46">
        <v>203</v>
      </c>
      <c r="G119" s="69">
        <f t="shared" si="15"/>
        <v>243.6</v>
      </c>
      <c r="H119" s="6">
        <v>724</v>
      </c>
      <c r="I119" s="6">
        <v>4.5</v>
      </c>
      <c r="J119" s="6"/>
      <c r="K119" s="6"/>
      <c r="L119" s="6"/>
      <c r="M119" s="6">
        <f t="shared" si="17"/>
        <v>10</v>
      </c>
      <c r="N119" s="6">
        <v>60</v>
      </c>
      <c r="O119" s="6" t="s">
        <v>39</v>
      </c>
      <c r="P119" s="6">
        <v>10</v>
      </c>
      <c r="Q119" s="6" t="s">
        <v>248</v>
      </c>
      <c r="R119" s="6"/>
      <c r="S119" s="6"/>
      <c r="T119" s="6">
        <f t="shared" si="18"/>
        <v>10</v>
      </c>
      <c r="U119" s="6"/>
      <c r="V119" s="6"/>
      <c r="W119" s="6"/>
    </row>
    <row r="120" spans="1:23" x14ac:dyDescent="0.25">
      <c r="A120" s="69">
        <f t="shared" si="16"/>
        <v>41</v>
      </c>
      <c r="B120" s="6" t="s">
        <v>210</v>
      </c>
      <c r="C120" s="6" t="s">
        <v>88</v>
      </c>
      <c r="D120" s="6">
        <v>531</v>
      </c>
      <c r="E120" s="6">
        <v>1.5</v>
      </c>
      <c r="F120" s="46">
        <v>203</v>
      </c>
      <c r="G120" s="69">
        <f t="shared" si="15"/>
        <v>304.5</v>
      </c>
      <c r="H120" s="6">
        <v>359</v>
      </c>
      <c r="I120" s="6">
        <v>4.5</v>
      </c>
      <c r="J120" s="6"/>
      <c r="K120" s="6"/>
      <c r="L120" s="6"/>
      <c r="M120" s="6">
        <f t="shared" si="17"/>
        <v>10</v>
      </c>
      <c r="N120" s="6">
        <v>60</v>
      </c>
      <c r="O120" s="6" t="s">
        <v>39</v>
      </c>
      <c r="P120" s="6">
        <v>10</v>
      </c>
      <c r="Q120" s="6" t="s">
        <v>248</v>
      </c>
      <c r="R120" s="6"/>
      <c r="S120" s="6"/>
      <c r="T120" s="6">
        <f t="shared" si="18"/>
        <v>10</v>
      </c>
      <c r="U120" s="6"/>
      <c r="V120" s="6"/>
      <c r="W120" s="6"/>
    </row>
    <row r="121" spans="1:23" x14ac:dyDescent="0.25">
      <c r="A121" s="69">
        <f t="shared" si="16"/>
        <v>42</v>
      </c>
      <c r="B121" s="6" t="s">
        <v>211</v>
      </c>
      <c r="C121" s="6" t="s">
        <v>88</v>
      </c>
      <c r="D121" s="6">
        <v>547</v>
      </c>
      <c r="E121" s="6">
        <v>0.5</v>
      </c>
      <c r="F121" s="46">
        <v>203</v>
      </c>
      <c r="G121" s="69">
        <f t="shared" si="15"/>
        <v>101.5</v>
      </c>
      <c r="H121" s="6">
        <v>367</v>
      </c>
      <c r="I121" s="6">
        <v>4.5</v>
      </c>
      <c r="J121" s="6"/>
      <c r="K121" s="6"/>
      <c r="L121" s="6"/>
      <c r="M121" s="6">
        <f t="shared" si="17"/>
        <v>10</v>
      </c>
      <c r="N121" s="6">
        <v>50</v>
      </c>
      <c r="O121" s="6" t="s">
        <v>39</v>
      </c>
      <c r="P121" s="6">
        <v>10</v>
      </c>
      <c r="Q121" s="6" t="s">
        <v>247</v>
      </c>
      <c r="R121" s="6"/>
      <c r="S121" s="6"/>
      <c r="T121" s="6">
        <f t="shared" si="18"/>
        <v>10</v>
      </c>
      <c r="U121" s="6"/>
      <c r="V121" s="6">
        <f>M121</f>
        <v>10</v>
      </c>
      <c r="W121" s="6"/>
    </row>
    <row r="122" spans="1:23" x14ac:dyDescent="0.25">
      <c r="A122" s="69">
        <f t="shared" si="16"/>
        <v>43</v>
      </c>
      <c r="B122" s="6" t="s">
        <v>301</v>
      </c>
      <c r="C122" s="6" t="s">
        <v>88</v>
      </c>
      <c r="D122" s="6">
        <v>551</v>
      </c>
      <c r="E122" s="6">
        <v>0.2</v>
      </c>
      <c r="F122" s="46">
        <v>203</v>
      </c>
      <c r="G122" s="69">
        <f t="shared" si="15"/>
        <v>40.6</v>
      </c>
      <c r="H122" s="6">
        <v>178</v>
      </c>
      <c r="I122" s="6">
        <v>4.5</v>
      </c>
      <c r="J122" s="6"/>
      <c r="K122" s="6"/>
      <c r="L122" s="6"/>
      <c r="M122" s="6">
        <f t="shared" si="17"/>
        <v>10</v>
      </c>
      <c r="N122" s="6">
        <v>50</v>
      </c>
      <c r="O122" s="6" t="s">
        <v>39</v>
      </c>
      <c r="P122" s="6">
        <v>10</v>
      </c>
      <c r="Q122" s="6" t="s">
        <v>247</v>
      </c>
      <c r="R122" s="6"/>
      <c r="S122" s="6"/>
      <c r="T122" s="6">
        <f t="shared" si="18"/>
        <v>10</v>
      </c>
      <c r="U122" s="6"/>
      <c r="V122" s="6">
        <f>M122</f>
        <v>10</v>
      </c>
      <c r="W122" s="6"/>
    </row>
    <row r="123" spans="1:23" x14ac:dyDescent="0.25">
      <c r="A123" s="69">
        <f t="shared" si="16"/>
        <v>44</v>
      </c>
      <c r="B123" s="6" t="s">
        <v>322</v>
      </c>
      <c r="C123" s="6" t="s">
        <v>88</v>
      </c>
      <c r="D123" s="6">
        <v>548</v>
      </c>
      <c r="E123" s="6">
        <v>0.2</v>
      </c>
      <c r="F123" s="46">
        <v>203</v>
      </c>
      <c r="G123" s="69">
        <f t="shared" si="15"/>
        <v>40.6</v>
      </c>
      <c r="H123" s="6">
        <v>10</v>
      </c>
      <c r="I123" s="6">
        <v>4.5</v>
      </c>
      <c r="J123" s="6"/>
      <c r="K123" s="6"/>
      <c r="L123" s="6"/>
      <c r="M123" s="6">
        <f t="shared" si="17"/>
        <v>10</v>
      </c>
      <c r="N123" s="6">
        <v>50</v>
      </c>
      <c r="O123" s="6" t="s">
        <v>39</v>
      </c>
      <c r="P123" s="6">
        <v>10</v>
      </c>
      <c r="Q123" s="6" t="s">
        <v>247</v>
      </c>
      <c r="R123" s="6"/>
      <c r="S123" s="6"/>
      <c r="T123" s="6">
        <f t="shared" si="18"/>
        <v>10</v>
      </c>
      <c r="U123" s="6"/>
      <c r="V123" s="6">
        <f>M123</f>
        <v>10</v>
      </c>
      <c r="W123" s="6"/>
    </row>
    <row r="124" spans="1:23" s="47" customFormat="1" x14ac:dyDescent="0.25">
      <c r="A124" s="69">
        <f t="shared" si="16"/>
        <v>45</v>
      </c>
      <c r="B124" s="46" t="s">
        <v>323</v>
      </c>
      <c r="C124" s="46" t="s">
        <v>88</v>
      </c>
      <c r="D124" s="46" t="s">
        <v>302</v>
      </c>
      <c r="E124" s="46">
        <v>0.2</v>
      </c>
      <c r="F124" s="46">
        <v>203</v>
      </c>
      <c r="G124" s="69">
        <f t="shared" si="15"/>
        <v>40.6</v>
      </c>
      <c r="H124" s="46">
        <v>456</v>
      </c>
      <c r="I124" s="46">
        <v>4.5</v>
      </c>
      <c r="J124" s="46"/>
      <c r="K124" s="46"/>
      <c r="L124" s="46"/>
      <c r="M124" s="46">
        <f>P124</f>
        <v>10</v>
      </c>
      <c r="N124" s="46">
        <v>50</v>
      </c>
      <c r="O124" s="46" t="s">
        <v>39</v>
      </c>
      <c r="P124" s="46">
        <v>10</v>
      </c>
      <c r="Q124" s="46" t="s">
        <v>247</v>
      </c>
      <c r="R124" s="46"/>
      <c r="S124" s="46"/>
      <c r="T124" s="46">
        <f t="shared" si="18"/>
        <v>10</v>
      </c>
      <c r="U124" s="46"/>
      <c r="V124" s="46"/>
      <c r="W124" s="46"/>
    </row>
    <row r="125" spans="1:23" s="47" customFormat="1" x14ac:dyDescent="0.25">
      <c r="A125" s="69">
        <f t="shared" si="16"/>
        <v>46</v>
      </c>
      <c r="B125" s="46" t="s">
        <v>212</v>
      </c>
      <c r="C125" s="46" t="s">
        <v>89</v>
      </c>
      <c r="D125" s="46">
        <v>602</v>
      </c>
      <c r="E125" s="46">
        <v>5.0999999999999996</v>
      </c>
      <c r="F125" s="46">
        <v>203</v>
      </c>
      <c r="G125" s="69">
        <f t="shared" si="15"/>
        <v>1035.3</v>
      </c>
      <c r="H125" s="46" t="s">
        <v>291</v>
      </c>
      <c r="I125" s="46">
        <v>4.8</v>
      </c>
      <c r="J125" s="46"/>
      <c r="K125" s="46"/>
      <c r="L125" s="46"/>
      <c r="M125" s="46">
        <f t="shared" si="17"/>
        <v>10</v>
      </c>
      <c r="N125" s="46">
        <v>100</v>
      </c>
      <c r="O125" s="46" t="s">
        <v>39</v>
      </c>
      <c r="P125" s="46">
        <v>10</v>
      </c>
      <c r="Q125" s="46" t="s">
        <v>250</v>
      </c>
      <c r="R125" s="46"/>
      <c r="S125" s="46"/>
      <c r="T125" s="46">
        <f t="shared" si="18"/>
        <v>10</v>
      </c>
      <c r="U125" s="46"/>
      <c r="V125" s="46"/>
      <c r="W125" s="46"/>
    </row>
    <row r="126" spans="1:23" x14ac:dyDescent="0.25">
      <c r="A126" s="69">
        <f t="shared" si="16"/>
        <v>47</v>
      </c>
      <c r="B126" s="6" t="s">
        <v>213</v>
      </c>
      <c r="C126" s="6" t="s">
        <v>89</v>
      </c>
      <c r="D126" s="6">
        <v>601</v>
      </c>
      <c r="E126" s="6">
        <v>0.1</v>
      </c>
      <c r="F126" s="46">
        <v>203</v>
      </c>
      <c r="G126" s="69">
        <f>+E126*F126</f>
        <v>20.3</v>
      </c>
      <c r="H126" s="6" t="s">
        <v>291</v>
      </c>
      <c r="I126" s="6">
        <v>4.8</v>
      </c>
      <c r="J126" s="6"/>
      <c r="K126" s="6"/>
      <c r="L126" s="6"/>
      <c r="M126" s="6">
        <f>P126</f>
        <v>10</v>
      </c>
      <c r="N126" s="6">
        <v>50</v>
      </c>
      <c r="O126" s="6" t="s">
        <v>39</v>
      </c>
      <c r="P126" s="6">
        <v>10</v>
      </c>
      <c r="Q126" s="6" t="s">
        <v>250</v>
      </c>
      <c r="R126" s="6"/>
      <c r="S126" s="6"/>
      <c r="T126" s="6">
        <f t="shared" si="18"/>
        <v>10</v>
      </c>
      <c r="U126" s="6"/>
      <c r="V126" s="6"/>
      <c r="W126" s="6"/>
    </row>
    <row r="127" spans="1:23" x14ac:dyDescent="0.25">
      <c r="A127" s="69">
        <f t="shared" si="16"/>
        <v>48</v>
      </c>
      <c r="B127" s="6" t="s">
        <v>214</v>
      </c>
      <c r="C127" s="6" t="s">
        <v>89</v>
      </c>
      <c r="D127" s="6">
        <v>602</v>
      </c>
      <c r="E127" s="6">
        <v>5</v>
      </c>
      <c r="F127" s="46">
        <v>203</v>
      </c>
      <c r="G127" s="69">
        <f>+E127*F127</f>
        <v>1015</v>
      </c>
      <c r="H127" s="6" t="s">
        <v>292</v>
      </c>
      <c r="I127" s="6">
        <v>4.8</v>
      </c>
      <c r="J127" s="6"/>
      <c r="K127" s="6"/>
      <c r="L127" s="6"/>
      <c r="M127" s="6">
        <f>P127</f>
        <v>10</v>
      </c>
      <c r="N127" s="6">
        <v>100</v>
      </c>
      <c r="O127" s="6" t="s">
        <v>39</v>
      </c>
      <c r="P127" s="6">
        <v>10</v>
      </c>
      <c r="Q127" s="6" t="s">
        <v>250</v>
      </c>
      <c r="R127" s="6"/>
      <c r="S127" s="6"/>
      <c r="T127" s="6">
        <f t="shared" si="18"/>
        <v>10</v>
      </c>
      <c r="U127" s="6"/>
      <c r="V127" s="6"/>
      <c r="W127" s="6"/>
    </row>
    <row r="128" spans="1:23" x14ac:dyDescent="0.25">
      <c r="A128" s="69">
        <f t="shared" si="16"/>
        <v>49</v>
      </c>
      <c r="B128" s="6" t="s">
        <v>215</v>
      </c>
      <c r="C128" s="6" t="s">
        <v>89</v>
      </c>
      <c r="D128" s="6">
        <v>604</v>
      </c>
      <c r="E128" s="6">
        <v>2.4</v>
      </c>
      <c r="F128" s="46">
        <v>203</v>
      </c>
      <c r="G128" s="69">
        <f>+E128*F128</f>
        <v>487.2</v>
      </c>
      <c r="H128" s="6" t="s">
        <v>293</v>
      </c>
      <c r="I128" s="6">
        <v>4.8</v>
      </c>
      <c r="J128" s="6"/>
      <c r="K128" s="6"/>
      <c r="L128" s="6"/>
      <c r="M128" s="6">
        <f>P128</f>
        <v>10</v>
      </c>
      <c r="N128" s="6">
        <v>80</v>
      </c>
      <c r="O128" s="6" t="s">
        <v>39</v>
      </c>
      <c r="P128" s="6">
        <v>10</v>
      </c>
      <c r="Q128" s="6" t="s">
        <v>250</v>
      </c>
      <c r="R128" s="6"/>
      <c r="S128" s="6"/>
      <c r="T128" s="6">
        <f t="shared" si="18"/>
        <v>10</v>
      </c>
      <c r="U128" s="6"/>
      <c r="V128" s="6"/>
      <c r="W128" s="6"/>
    </row>
    <row r="129" spans="1:42" x14ac:dyDescent="0.25">
      <c r="A129" s="69">
        <f t="shared" si="16"/>
        <v>50</v>
      </c>
      <c r="B129" s="6" t="s">
        <v>254</v>
      </c>
      <c r="C129" s="6" t="s">
        <v>89</v>
      </c>
      <c r="D129" s="6">
        <v>607</v>
      </c>
      <c r="E129" s="68">
        <v>2.2000000000000002</v>
      </c>
      <c r="F129" s="46">
        <v>203</v>
      </c>
      <c r="G129" s="69">
        <f>+E129*F129</f>
        <v>446.6</v>
      </c>
      <c r="H129" s="6" t="s">
        <v>294</v>
      </c>
      <c r="I129" s="6">
        <v>4.8</v>
      </c>
      <c r="J129" s="6"/>
      <c r="K129" s="6"/>
      <c r="L129" s="6"/>
      <c r="M129" s="6">
        <f>P129</f>
        <v>10</v>
      </c>
      <c r="N129" s="6">
        <v>80</v>
      </c>
      <c r="O129" s="6" t="s">
        <v>39</v>
      </c>
      <c r="P129" s="6">
        <v>10</v>
      </c>
      <c r="Q129" s="6" t="s">
        <v>250</v>
      </c>
      <c r="R129" s="6"/>
      <c r="S129" s="6"/>
      <c r="T129" s="6">
        <f>M129</f>
        <v>10</v>
      </c>
      <c r="U129" s="6"/>
      <c r="V129" s="6"/>
      <c r="W129" s="6"/>
    </row>
    <row r="130" spans="1:42" x14ac:dyDescent="0.25">
      <c r="A130" s="69">
        <f t="shared" si="16"/>
        <v>51</v>
      </c>
      <c r="B130" s="6" t="s">
        <v>259</v>
      </c>
      <c r="C130" s="6" t="s">
        <v>89</v>
      </c>
      <c r="D130" s="6">
        <v>609</v>
      </c>
      <c r="E130" s="68">
        <v>2</v>
      </c>
      <c r="F130" s="46">
        <v>203</v>
      </c>
      <c r="G130" s="69">
        <f>+E130*F130</f>
        <v>406</v>
      </c>
      <c r="H130" s="6" t="s">
        <v>295</v>
      </c>
      <c r="I130" s="6">
        <v>4.8</v>
      </c>
      <c r="J130" s="6"/>
      <c r="K130" s="6"/>
      <c r="L130" s="6"/>
      <c r="M130" s="6">
        <f>P130</f>
        <v>10</v>
      </c>
      <c r="N130" s="6">
        <v>60</v>
      </c>
      <c r="O130" s="6" t="s">
        <v>39</v>
      </c>
      <c r="P130" s="6">
        <v>10</v>
      </c>
      <c r="Q130" s="6" t="s">
        <v>250</v>
      </c>
      <c r="R130" s="6"/>
      <c r="S130" s="6"/>
      <c r="T130" s="6">
        <f t="shared" si="18"/>
        <v>10</v>
      </c>
      <c r="U130" s="6"/>
      <c r="V130" s="6"/>
      <c r="W130" s="6"/>
    </row>
    <row r="131" spans="1:42" x14ac:dyDescent="0.25">
      <c r="A131" s="69">
        <f t="shared" si="16"/>
        <v>52</v>
      </c>
      <c r="B131" s="6" t="s">
        <v>260</v>
      </c>
      <c r="C131" s="6" t="s">
        <v>89</v>
      </c>
      <c r="D131" s="6">
        <v>534</v>
      </c>
      <c r="E131" s="6">
        <v>0.2</v>
      </c>
      <c r="F131" s="46">
        <v>203</v>
      </c>
      <c r="G131" s="69">
        <f t="shared" si="15"/>
        <v>40.6</v>
      </c>
      <c r="H131" s="6" t="s">
        <v>296</v>
      </c>
      <c r="I131" s="6">
        <v>4.5</v>
      </c>
      <c r="J131" s="6"/>
      <c r="K131" s="6"/>
      <c r="L131" s="6"/>
      <c r="M131" s="6">
        <f t="shared" si="17"/>
        <v>14</v>
      </c>
      <c r="N131" s="6">
        <v>50</v>
      </c>
      <c r="O131" s="6" t="s">
        <v>39</v>
      </c>
      <c r="P131" s="6">
        <v>14</v>
      </c>
      <c r="Q131" s="6" t="s">
        <v>248</v>
      </c>
      <c r="R131" s="6"/>
      <c r="S131" s="6"/>
      <c r="T131" s="6">
        <f t="shared" si="18"/>
        <v>14</v>
      </c>
      <c r="U131" s="6">
        <v>2</v>
      </c>
      <c r="V131" s="6"/>
      <c r="W131" s="6"/>
    </row>
    <row r="132" spans="1:42" x14ac:dyDescent="0.25">
      <c r="A132" s="69">
        <f>A131+1</f>
        <v>53</v>
      </c>
      <c r="B132" s="6" t="s">
        <v>261</v>
      </c>
      <c r="C132" s="6" t="s">
        <v>89</v>
      </c>
      <c r="D132" s="6">
        <v>618</v>
      </c>
      <c r="E132" s="6">
        <v>0.1</v>
      </c>
      <c r="F132" s="46">
        <v>203</v>
      </c>
      <c r="G132" s="69">
        <f>+E132*F132</f>
        <v>20.3</v>
      </c>
      <c r="H132" s="6" t="s">
        <v>297</v>
      </c>
      <c r="I132" s="6">
        <v>4.8</v>
      </c>
      <c r="J132" s="6"/>
      <c r="K132" s="6"/>
      <c r="L132" s="6"/>
      <c r="M132" s="6">
        <f>P132</f>
        <v>12</v>
      </c>
      <c r="N132" s="6">
        <v>50</v>
      </c>
      <c r="O132" s="6" t="s">
        <v>39</v>
      </c>
      <c r="P132" s="6">
        <v>12</v>
      </c>
      <c r="Q132" s="6" t="s">
        <v>248</v>
      </c>
      <c r="R132" s="6"/>
      <c r="S132" s="6"/>
      <c r="T132" s="6">
        <f t="shared" si="18"/>
        <v>12</v>
      </c>
      <c r="U132" s="6"/>
      <c r="V132" s="6"/>
      <c r="W132" s="6"/>
    </row>
    <row r="133" spans="1:42" x14ac:dyDescent="0.25">
      <c r="A133" s="69">
        <f>A132+1</f>
        <v>54</v>
      </c>
      <c r="B133" s="6" t="s">
        <v>262</v>
      </c>
      <c r="C133" s="6" t="s">
        <v>89</v>
      </c>
      <c r="D133" s="6">
        <v>620</v>
      </c>
      <c r="E133" s="6">
        <v>0.1</v>
      </c>
      <c r="F133" s="46">
        <v>203</v>
      </c>
      <c r="G133" s="69">
        <f>+E133*F133</f>
        <v>20.3</v>
      </c>
      <c r="H133" s="6" t="s">
        <v>298</v>
      </c>
      <c r="I133" s="6">
        <v>4.8</v>
      </c>
      <c r="J133" s="6"/>
      <c r="K133" s="6"/>
      <c r="L133" s="6"/>
      <c r="M133" s="6">
        <f t="shared" si="17"/>
        <v>12</v>
      </c>
      <c r="N133" s="6">
        <v>50</v>
      </c>
      <c r="O133" s="6" t="s">
        <v>39</v>
      </c>
      <c r="P133" s="6">
        <v>12</v>
      </c>
      <c r="Q133" s="6" t="s">
        <v>248</v>
      </c>
      <c r="R133" s="6"/>
      <c r="S133" s="6"/>
      <c r="T133" s="6">
        <f t="shared" si="18"/>
        <v>12</v>
      </c>
      <c r="U133" s="6"/>
      <c r="V133" s="6"/>
      <c r="W133" s="6"/>
    </row>
    <row r="134" spans="1:42" x14ac:dyDescent="0.25">
      <c r="A134" s="69">
        <f t="shared" si="16"/>
        <v>55</v>
      </c>
      <c r="B134" s="6" t="s">
        <v>216</v>
      </c>
      <c r="C134" s="6" t="s">
        <v>92</v>
      </c>
      <c r="D134" s="6">
        <v>902</v>
      </c>
      <c r="E134" s="6">
        <v>0.1</v>
      </c>
      <c r="F134" s="46">
        <v>203</v>
      </c>
      <c r="G134" s="69">
        <f t="shared" si="15"/>
        <v>20.3</v>
      </c>
      <c r="H134" s="6" t="s">
        <v>288</v>
      </c>
      <c r="I134" s="6">
        <v>4.8</v>
      </c>
      <c r="J134" s="6"/>
      <c r="K134" s="6"/>
      <c r="L134" s="6"/>
      <c r="M134" s="6">
        <f t="shared" si="17"/>
        <v>10</v>
      </c>
      <c r="N134" s="6">
        <v>50</v>
      </c>
      <c r="O134" s="6" t="s">
        <v>39</v>
      </c>
      <c r="P134" s="6">
        <v>10</v>
      </c>
      <c r="Q134" s="6" t="s">
        <v>248</v>
      </c>
      <c r="R134" s="6"/>
      <c r="S134" s="6"/>
      <c r="T134" s="6">
        <f t="shared" si="18"/>
        <v>10</v>
      </c>
      <c r="U134" s="6"/>
      <c r="V134" s="6"/>
      <c r="W134" s="6"/>
    </row>
    <row r="135" spans="1:42" x14ac:dyDescent="0.25">
      <c r="A135" s="69">
        <f t="shared" si="16"/>
        <v>56</v>
      </c>
      <c r="B135" s="6" t="s">
        <v>299</v>
      </c>
      <c r="C135" s="6" t="s">
        <v>93</v>
      </c>
      <c r="D135" s="6">
        <v>1001</v>
      </c>
      <c r="E135" s="6">
        <v>1.2</v>
      </c>
      <c r="F135" s="46">
        <v>203</v>
      </c>
      <c r="G135" s="69">
        <f t="shared" si="15"/>
        <v>243.6</v>
      </c>
      <c r="H135" s="6" t="s">
        <v>300</v>
      </c>
      <c r="I135" s="6">
        <v>4.8</v>
      </c>
      <c r="J135" s="6"/>
      <c r="K135" s="6"/>
      <c r="L135" s="6"/>
      <c r="M135" s="6">
        <v>10</v>
      </c>
      <c r="N135" s="6">
        <v>100</v>
      </c>
      <c r="O135" s="6" t="s">
        <v>39</v>
      </c>
      <c r="P135" s="6">
        <v>10</v>
      </c>
      <c r="Q135" s="6" t="s">
        <v>250</v>
      </c>
      <c r="R135" s="6"/>
      <c r="S135" s="6"/>
      <c r="T135" s="6">
        <f t="shared" si="18"/>
        <v>10</v>
      </c>
      <c r="U135" s="6"/>
      <c r="V135" s="6"/>
      <c r="W135" s="6"/>
    </row>
    <row r="136" spans="1:42" x14ac:dyDescent="0.25">
      <c r="A136" s="286" t="s">
        <v>44</v>
      </c>
      <c r="B136" s="286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>
        <f>SUM(M80:M135)</f>
        <v>568</v>
      </c>
      <c r="N136" s="8"/>
      <c r="O136" s="8"/>
      <c r="P136" s="8"/>
      <c r="Q136" s="8"/>
      <c r="R136" s="8"/>
      <c r="S136" s="8"/>
      <c r="T136" s="8">
        <f>SUM(T80:T135)</f>
        <v>568</v>
      </c>
      <c r="U136" s="8">
        <f>SUM(U80:U135)</f>
        <v>2</v>
      </c>
      <c r="V136" s="8">
        <f>SUM(V80:V135)</f>
        <v>240</v>
      </c>
      <c r="W136" s="8"/>
      <c r="X136" s="14"/>
      <c r="Y136" s="15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</row>
    <row r="137" spans="1:42" ht="15" customHeight="1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7"/>
      <c r="AA137" s="18"/>
      <c r="AB137" s="15"/>
      <c r="AC137" s="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5"/>
      <c r="AP137" s="5"/>
    </row>
    <row r="138" spans="1:42" ht="15" customHeight="1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7"/>
      <c r="AA138" s="18"/>
      <c r="AB138" s="15"/>
      <c r="AC138" s="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5"/>
      <c r="AP138" s="5"/>
    </row>
    <row r="139" spans="1:42" x14ac:dyDescent="0.25">
      <c r="A139" s="303" t="s">
        <v>46</v>
      </c>
      <c r="B139" s="303"/>
      <c r="C139" s="303"/>
      <c r="D139" s="303"/>
      <c r="E139" s="303"/>
      <c r="F139" s="303"/>
      <c r="G139" s="303"/>
      <c r="H139" s="11"/>
      <c r="I139" s="11"/>
      <c r="J139" s="11"/>
      <c r="X139" s="16"/>
      <c r="Y139" s="16"/>
      <c r="Z139" s="17"/>
      <c r="AA139" s="18"/>
      <c r="AB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5"/>
      <c r="AP139" s="5"/>
    </row>
    <row r="140" spans="1:42" ht="15.75" customHeight="1" x14ac:dyDescent="0.25">
      <c r="A140" s="294" t="s">
        <v>2</v>
      </c>
      <c r="B140" s="294" t="s">
        <v>3</v>
      </c>
      <c r="C140" s="294" t="s">
        <v>4</v>
      </c>
      <c r="D140" s="271" t="s">
        <v>5</v>
      </c>
      <c r="E140" s="271"/>
      <c r="F140" s="294" t="s">
        <v>6</v>
      </c>
      <c r="G140" s="294"/>
      <c r="H140" s="294" t="s">
        <v>47</v>
      </c>
      <c r="I140" s="294"/>
      <c r="J140" s="294"/>
      <c r="K140" s="294"/>
      <c r="L140" s="294"/>
      <c r="M140" s="294"/>
      <c r="N140" s="294"/>
      <c r="O140" s="294"/>
      <c r="P140" s="294"/>
      <c r="Q140" s="294"/>
      <c r="R140" s="294" t="s">
        <v>48</v>
      </c>
      <c r="S140" s="294"/>
      <c r="T140" s="294"/>
      <c r="U140" s="294"/>
      <c r="V140" s="18"/>
      <c r="W140" s="18"/>
      <c r="X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</row>
    <row r="141" spans="1:42" ht="15.75" customHeight="1" x14ac:dyDescent="0.25">
      <c r="A141" s="294"/>
      <c r="B141" s="294"/>
      <c r="C141" s="294"/>
      <c r="D141" s="271" t="s">
        <v>10</v>
      </c>
      <c r="E141" s="294" t="s">
        <v>11</v>
      </c>
      <c r="F141" s="294"/>
      <c r="G141" s="294"/>
      <c r="H141" s="294" t="s">
        <v>12</v>
      </c>
      <c r="I141" s="294" t="s">
        <v>13</v>
      </c>
      <c r="J141" s="294" t="s">
        <v>14</v>
      </c>
      <c r="K141" s="294" t="s">
        <v>15</v>
      </c>
      <c r="L141" s="294" t="s">
        <v>16</v>
      </c>
      <c r="M141" s="294" t="s">
        <v>17</v>
      </c>
      <c r="N141" s="294" t="s">
        <v>18</v>
      </c>
      <c r="O141" s="294"/>
      <c r="P141" s="294"/>
      <c r="Q141" s="294"/>
      <c r="R141" s="294" t="s">
        <v>49</v>
      </c>
      <c r="S141" s="294" t="s">
        <v>9</v>
      </c>
      <c r="T141" s="294"/>
      <c r="U141" s="294"/>
      <c r="V141" s="5"/>
      <c r="W141" s="5"/>
      <c r="X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</row>
    <row r="142" spans="1:42" ht="32.25" customHeight="1" x14ac:dyDescent="0.25">
      <c r="A142" s="294"/>
      <c r="B142" s="294"/>
      <c r="C142" s="294"/>
      <c r="D142" s="271"/>
      <c r="E142" s="294"/>
      <c r="F142" s="48" t="s">
        <v>26</v>
      </c>
      <c r="G142" s="36" t="s">
        <v>27</v>
      </c>
      <c r="H142" s="294"/>
      <c r="I142" s="294"/>
      <c r="J142" s="294"/>
      <c r="K142" s="294"/>
      <c r="L142" s="294"/>
      <c r="M142" s="294"/>
      <c r="N142" s="294"/>
      <c r="O142" s="294"/>
      <c r="P142" s="294"/>
      <c r="Q142" s="294"/>
      <c r="R142" s="294"/>
      <c r="S142" s="294"/>
      <c r="T142" s="294"/>
      <c r="U142" s="294"/>
    </row>
    <row r="143" spans="1:42" x14ac:dyDescent="0.25">
      <c r="A143" s="294"/>
      <c r="B143" s="294"/>
      <c r="C143" s="294"/>
      <c r="D143" s="271"/>
      <c r="E143" s="36" t="s">
        <v>28</v>
      </c>
      <c r="F143" s="36" t="s">
        <v>29</v>
      </c>
      <c r="G143" s="36" t="s">
        <v>30</v>
      </c>
      <c r="H143" s="36" t="s">
        <v>31</v>
      </c>
      <c r="I143" s="36" t="s">
        <v>31</v>
      </c>
      <c r="J143" s="36" t="s">
        <v>32</v>
      </c>
      <c r="K143" s="36" t="s">
        <v>31</v>
      </c>
      <c r="L143" s="36" t="s">
        <v>31</v>
      </c>
      <c r="M143" s="36" t="s">
        <v>31</v>
      </c>
      <c r="N143" s="294"/>
      <c r="O143" s="294"/>
      <c r="P143" s="294"/>
      <c r="Q143" s="294"/>
      <c r="R143" s="36" t="s">
        <v>50</v>
      </c>
      <c r="S143" s="294"/>
      <c r="T143" s="294"/>
      <c r="U143" s="294"/>
    </row>
    <row r="144" spans="1:42" ht="17.25" customHeight="1" x14ac:dyDescent="0.25">
      <c r="A144" s="49" t="s">
        <v>36</v>
      </c>
      <c r="B144" s="50" t="str">
        <f>CHAR(CODE(A144)+1)</f>
        <v>B</v>
      </c>
      <c r="C144" s="50" t="str">
        <f t="shared" ref="C144:M144" si="21">CHAR(CODE(B144)+1)</f>
        <v>C</v>
      </c>
      <c r="D144" s="50" t="str">
        <f t="shared" si="21"/>
        <v>D</v>
      </c>
      <c r="E144" s="50" t="str">
        <f t="shared" si="21"/>
        <v>E</v>
      </c>
      <c r="F144" s="50" t="str">
        <f t="shared" si="21"/>
        <v>F</v>
      </c>
      <c r="G144" s="50" t="str">
        <f t="shared" si="21"/>
        <v>G</v>
      </c>
      <c r="H144" s="50" t="str">
        <f t="shared" si="21"/>
        <v>H</v>
      </c>
      <c r="I144" s="50" t="str">
        <f t="shared" si="21"/>
        <v>I</v>
      </c>
      <c r="J144" s="50" t="str">
        <f t="shared" si="21"/>
        <v>J</v>
      </c>
      <c r="K144" s="50" t="str">
        <f t="shared" si="21"/>
        <v>K</v>
      </c>
      <c r="L144" s="50" t="str">
        <f t="shared" si="21"/>
        <v>L</v>
      </c>
      <c r="M144" s="50" t="str">
        <f t="shared" si="21"/>
        <v>M</v>
      </c>
      <c r="N144" s="270" t="str">
        <f>CHAR(CODE(M144)+1)</f>
        <v>N</v>
      </c>
      <c r="O144" s="270"/>
      <c r="P144" s="270"/>
      <c r="Q144" s="270"/>
      <c r="R144" s="50" t="str">
        <f>CHAR(CODE(N144)+1)</f>
        <v>O</v>
      </c>
      <c r="S144" s="270" t="str">
        <f>CHAR(CODE(R144)+1)</f>
        <v>P</v>
      </c>
      <c r="T144" s="270"/>
      <c r="U144" s="270"/>
    </row>
    <row r="145" spans="1:21" s="47" customFormat="1" ht="23.25" customHeight="1" x14ac:dyDescent="0.25">
      <c r="A145" s="46">
        <v>1</v>
      </c>
      <c r="B145" s="46" t="s">
        <v>77</v>
      </c>
      <c r="C145" s="46" t="s">
        <v>42</v>
      </c>
      <c r="D145" s="46">
        <v>134</v>
      </c>
      <c r="E145" s="46">
        <v>0.3</v>
      </c>
      <c r="F145" s="46">
        <v>203</v>
      </c>
      <c r="G145" s="69">
        <f>+E145*F145</f>
        <v>60.9</v>
      </c>
      <c r="H145" s="46">
        <v>12</v>
      </c>
      <c r="I145" s="51">
        <v>4.5</v>
      </c>
      <c r="J145" s="46"/>
      <c r="K145" s="46"/>
      <c r="L145" s="46"/>
      <c r="M145" s="46">
        <f>P145</f>
        <v>13</v>
      </c>
      <c r="N145" s="46">
        <v>50</v>
      </c>
      <c r="O145" s="46" t="s">
        <v>39</v>
      </c>
      <c r="P145" s="46">
        <v>13</v>
      </c>
      <c r="Q145" s="46" t="s">
        <v>248</v>
      </c>
      <c r="R145" s="46"/>
      <c r="S145" s="304"/>
      <c r="T145" s="304"/>
      <c r="U145" s="304"/>
    </row>
    <row r="146" spans="1:21" ht="23.25" customHeight="1" x14ac:dyDescent="0.25">
      <c r="A146" s="6">
        <f>+A145+1</f>
        <v>2</v>
      </c>
      <c r="B146" s="6" t="s">
        <v>80</v>
      </c>
      <c r="C146" s="6" t="s">
        <v>42</v>
      </c>
      <c r="D146" s="6">
        <v>134</v>
      </c>
      <c r="E146" s="6">
        <v>0.3</v>
      </c>
      <c r="F146" s="46">
        <v>203</v>
      </c>
      <c r="G146" s="69">
        <f t="shared" ref="G146:G169" si="22">+E146*F146</f>
        <v>60.9</v>
      </c>
      <c r="H146" s="6">
        <v>279</v>
      </c>
      <c r="I146" s="68">
        <v>4.5</v>
      </c>
      <c r="J146" s="6"/>
      <c r="K146" s="6"/>
      <c r="L146" s="6"/>
      <c r="M146" s="6">
        <f t="shared" ref="M146:M169" si="23">P146</f>
        <v>13</v>
      </c>
      <c r="N146" s="6">
        <v>50</v>
      </c>
      <c r="O146" s="6" t="s">
        <v>39</v>
      </c>
      <c r="P146" s="6">
        <v>13</v>
      </c>
      <c r="Q146" s="6" t="s">
        <v>248</v>
      </c>
      <c r="R146" s="6"/>
      <c r="S146" s="286"/>
      <c r="T146" s="286"/>
      <c r="U146" s="286"/>
    </row>
    <row r="147" spans="1:21" s="47" customFormat="1" ht="23.25" customHeight="1" x14ac:dyDescent="0.25">
      <c r="A147" s="6">
        <f t="shared" ref="A147:A169" si="24">+A146+1</f>
        <v>3</v>
      </c>
      <c r="B147" s="46" t="s">
        <v>81</v>
      </c>
      <c r="C147" s="46" t="s">
        <v>42</v>
      </c>
      <c r="D147" s="46">
        <v>134</v>
      </c>
      <c r="E147" s="46">
        <v>0.2</v>
      </c>
      <c r="F147" s="46">
        <v>203</v>
      </c>
      <c r="G147" s="69">
        <f t="shared" si="22"/>
        <v>40.6</v>
      </c>
      <c r="H147" s="46">
        <v>434</v>
      </c>
      <c r="I147" s="51">
        <v>4.5</v>
      </c>
      <c r="J147" s="46"/>
      <c r="K147" s="46"/>
      <c r="L147" s="46"/>
      <c r="M147" s="46">
        <f t="shared" si="23"/>
        <v>13</v>
      </c>
      <c r="N147" s="46">
        <v>50</v>
      </c>
      <c r="O147" s="46" t="s">
        <v>39</v>
      </c>
      <c r="P147" s="46">
        <v>13</v>
      </c>
      <c r="Q147" s="46" t="s">
        <v>248</v>
      </c>
      <c r="R147" s="46"/>
      <c r="S147" s="305"/>
      <c r="T147" s="305"/>
      <c r="U147" s="305"/>
    </row>
    <row r="148" spans="1:21" s="47" customFormat="1" ht="23.25" customHeight="1" x14ac:dyDescent="0.25">
      <c r="A148" s="6">
        <f t="shared" si="24"/>
        <v>4</v>
      </c>
      <c r="B148" s="46" t="s">
        <v>112</v>
      </c>
      <c r="C148" s="46" t="s">
        <v>43</v>
      </c>
      <c r="D148" s="46"/>
      <c r="E148" s="46">
        <v>0.3</v>
      </c>
      <c r="F148" s="46">
        <v>203</v>
      </c>
      <c r="G148" s="69">
        <f t="shared" si="22"/>
        <v>60.9</v>
      </c>
      <c r="H148" s="46"/>
      <c r="I148" s="51">
        <v>4.5</v>
      </c>
      <c r="J148" s="46"/>
      <c r="K148" s="46"/>
      <c r="L148" s="46"/>
      <c r="M148" s="46">
        <f t="shared" si="23"/>
        <v>10</v>
      </c>
      <c r="N148" s="46">
        <v>50</v>
      </c>
      <c r="O148" s="46" t="s">
        <v>39</v>
      </c>
      <c r="P148" s="46">
        <v>10</v>
      </c>
      <c r="Q148" s="46"/>
      <c r="R148" s="46"/>
      <c r="S148" s="305"/>
      <c r="T148" s="305"/>
      <c r="U148" s="305"/>
    </row>
    <row r="149" spans="1:21" ht="23.25" customHeight="1" x14ac:dyDescent="0.25">
      <c r="A149" s="6">
        <f t="shared" si="24"/>
        <v>5</v>
      </c>
      <c r="B149" s="6" t="s">
        <v>113</v>
      </c>
      <c r="C149" s="6" t="s">
        <v>43</v>
      </c>
      <c r="D149" s="6">
        <v>305</v>
      </c>
      <c r="E149" s="6">
        <v>0.3</v>
      </c>
      <c r="F149" s="46">
        <v>203</v>
      </c>
      <c r="G149" s="69">
        <f t="shared" si="22"/>
        <v>60.9</v>
      </c>
      <c r="H149" s="6">
        <v>6</v>
      </c>
      <c r="I149" s="68">
        <v>4.5</v>
      </c>
      <c r="J149" s="6"/>
      <c r="K149" s="6"/>
      <c r="L149" s="6"/>
      <c r="M149" s="6">
        <f t="shared" si="23"/>
        <v>10</v>
      </c>
      <c r="N149" s="6">
        <v>50</v>
      </c>
      <c r="O149" s="6" t="s">
        <v>39</v>
      </c>
      <c r="P149" s="6">
        <v>10</v>
      </c>
      <c r="Q149" s="6"/>
      <c r="R149" s="6"/>
      <c r="S149" s="286"/>
      <c r="T149" s="286"/>
      <c r="U149" s="286"/>
    </row>
    <row r="150" spans="1:21" ht="23.25" customHeight="1" x14ac:dyDescent="0.25">
      <c r="A150" s="6">
        <f t="shared" si="24"/>
        <v>6</v>
      </c>
      <c r="B150" s="6" t="s">
        <v>114</v>
      </c>
      <c r="C150" s="6" t="s">
        <v>43</v>
      </c>
      <c r="D150" s="6"/>
      <c r="E150" s="6">
        <v>0.3</v>
      </c>
      <c r="F150" s="46">
        <v>203</v>
      </c>
      <c r="G150" s="69">
        <f t="shared" si="22"/>
        <v>60.9</v>
      </c>
      <c r="H150" s="6"/>
      <c r="I150" s="68">
        <v>4.5</v>
      </c>
      <c r="J150" s="6"/>
      <c r="K150" s="6"/>
      <c r="L150" s="6"/>
      <c r="M150" s="6">
        <f t="shared" si="23"/>
        <v>10</v>
      </c>
      <c r="N150" s="6">
        <v>50</v>
      </c>
      <c r="O150" s="6" t="s">
        <v>39</v>
      </c>
      <c r="P150" s="6">
        <v>10</v>
      </c>
      <c r="Q150" s="6"/>
      <c r="R150" s="6"/>
      <c r="S150" s="286"/>
      <c r="T150" s="286"/>
      <c r="U150" s="286"/>
    </row>
    <row r="151" spans="1:21" ht="23.25" customHeight="1" x14ac:dyDescent="0.25">
      <c r="A151" s="6">
        <f t="shared" si="24"/>
        <v>7</v>
      </c>
      <c r="B151" s="6" t="s">
        <v>115</v>
      </c>
      <c r="C151" s="6" t="s">
        <v>43</v>
      </c>
      <c r="D151" s="6">
        <v>307</v>
      </c>
      <c r="E151" s="431">
        <v>14.6</v>
      </c>
      <c r="F151" s="46">
        <v>203</v>
      </c>
      <c r="G151" s="69">
        <f t="shared" si="22"/>
        <v>2963.7999999999997</v>
      </c>
      <c r="H151" s="6" t="s">
        <v>263</v>
      </c>
      <c r="I151" s="68">
        <v>4.5</v>
      </c>
      <c r="J151" s="6"/>
      <c r="K151" s="6"/>
      <c r="L151" s="6"/>
      <c r="M151" s="6">
        <f t="shared" si="23"/>
        <v>12</v>
      </c>
      <c r="N151" s="6">
        <v>150</v>
      </c>
      <c r="O151" s="6" t="s">
        <v>39</v>
      </c>
      <c r="P151" s="6">
        <v>12</v>
      </c>
      <c r="Q151" s="6" t="s">
        <v>250</v>
      </c>
      <c r="R151" s="6"/>
      <c r="S151" s="286"/>
      <c r="T151" s="286"/>
      <c r="U151" s="286"/>
    </row>
    <row r="152" spans="1:21" ht="23.25" customHeight="1" x14ac:dyDescent="0.25">
      <c r="A152" s="6">
        <f t="shared" si="24"/>
        <v>8</v>
      </c>
      <c r="B152" s="6" t="s">
        <v>121</v>
      </c>
      <c r="C152" s="6" t="s">
        <v>43</v>
      </c>
      <c r="D152" s="6">
        <v>322</v>
      </c>
      <c r="E152" s="6">
        <v>0.2</v>
      </c>
      <c r="F152" s="46">
        <v>203</v>
      </c>
      <c r="G152" s="69">
        <f t="shared" si="22"/>
        <v>40.6</v>
      </c>
      <c r="H152" s="6">
        <v>1044</v>
      </c>
      <c r="I152" s="68">
        <v>4.5</v>
      </c>
      <c r="J152" s="6"/>
      <c r="K152" s="6"/>
      <c r="L152" s="6"/>
      <c r="M152" s="6">
        <f t="shared" si="23"/>
        <v>12</v>
      </c>
      <c r="N152" s="6">
        <v>50</v>
      </c>
      <c r="O152" s="6" t="s">
        <v>39</v>
      </c>
      <c r="P152" s="6">
        <v>12</v>
      </c>
      <c r="Q152" s="6"/>
      <c r="R152" s="6"/>
      <c r="S152" s="286"/>
      <c r="T152" s="286"/>
      <c r="U152" s="286"/>
    </row>
    <row r="153" spans="1:21" ht="23.25" customHeight="1" x14ac:dyDescent="0.25">
      <c r="A153" s="6">
        <f t="shared" si="24"/>
        <v>9</v>
      </c>
      <c r="B153" s="6" t="s">
        <v>123</v>
      </c>
      <c r="C153" s="6" t="s">
        <v>43</v>
      </c>
      <c r="D153" s="6">
        <v>329</v>
      </c>
      <c r="E153" s="6">
        <v>0.1</v>
      </c>
      <c r="F153" s="46">
        <v>203</v>
      </c>
      <c r="G153" s="69">
        <f t="shared" si="22"/>
        <v>20.3</v>
      </c>
      <c r="H153" s="6">
        <v>6</v>
      </c>
      <c r="I153" s="68">
        <v>4.5</v>
      </c>
      <c r="J153" s="6"/>
      <c r="K153" s="6"/>
      <c r="L153" s="6"/>
      <c r="M153" s="6">
        <f t="shared" si="23"/>
        <v>10</v>
      </c>
      <c r="N153" s="6">
        <v>40</v>
      </c>
      <c r="O153" s="6" t="s">
        <v>39</v>
      </c>
      <c r="P153" s="6">
        <v>10</v>
      </c>
      <c r="Q153" s="6"/>
      <c r="R153" s="6"/>
      <c r="S153" s="286"/>
      <c r="T153" s="286"/>
      <c r="U153" s="286"/>
    </row>
    <row r="154" spans="1:21" ht="23.25" customHeight="1" x14ac:dyDescent="0.25">
      <c r="A154" s="6">
        <f t="shared" si="24"/>
        <v>10</v>
      </c>
      <c r="B154" s="6" t="s">
        <v>124</v>
      </c>
      <c r="C154" s="6" t="s">
        <v>43</v>
      </c>
      <c r="D154" s="6">
        <v>325</v>
      </c>
      <c r="E154" s="6">
        <v>0.5</v>
      </c>
      <c r="F154" s="46">
        <v>203</v>
      </c>
      <c r="G154" s="69">
        <f t="shared" si="22"/>
        <v>101.5</v>
      </c>
      <c r="H154" s="6">
        <v>855</v>
      </c>
      <c r="I154" s="68">
        <v>4.5</v>
      </c>
      <c r="J154" s="6"/>
      <c r="K154" s="6"/>
      <c r="L154" s="6"/>
      <c r="M154" s="6">
        <f t="shared" si="23"/>
        <v>12</v>
      </c>
      <c r="N154" s="6">
        <v>50</v>
      </c>
      <c r="O154" s="6" t="s">
        <v>39</v>
      </c>
      <c r="P154" s="6">
        <v>12</v>
      </c>
      <c r="Q154" s="6"/>
      <c r="R154" s="6"/>
      <c r="S154" s="286"/>
      <c r="T154" s="286"/>
      <c r="U154" s="286"/>
    </row>
    <row r="155" spans="1:21" ht="23.25" customHeight="1" x14ac:dyDescent="0.25">
      <c r="A155" s="6">
        <f t="shared" si="24"/>
        <v>11</v>
      </c>
      <c r="B155" s="6" t="s">
        <v>125</v>
      </c>
      <c r="C155" s="6" t="s">
        <v>43</v>
      </c>
      <c r="D155" s="6">
        <v>328</v>
      </c>
      <c r="E155" s="6">
        <v>0.1</v>
      </c>
      <c r="F155" s="46">
        <v>203</v>
      </c>
      <c r="G155" s="69">
        <f t="shared" si="22"/>
        <v>20.3</v>
      </c>
      <c r="H155" s="6">
        <v>6</v>
      </c>
      <c r="I155" s="68">
        <v>4.5</v>
      </c>
      <c r="J155" s="6"/>
      <c r="K155" s="6"/>
      <c r="L155" s="6"/>
      <c r="M155" s="6">
        <f t="shared" si="23"/>
        <v>10</v>
      </c>
      <c r="N155" s="6">
        <v>40</v>
      </c>
      <c r="O155" s="6" t="s">
        <v>39</v>
      </c>
      <c r="P155" s="6">
        <v>10</v>
      </c>
      <c r="Q155" s="6"/>
      <c r="R155" s="6"/>
      <c r="S155" s="286"/>
      <c r="T155" s="286"/>
      <c r="U155" s="286"/>
    </row>
    <row r="156" spans="1:21" ht="23.25" customHeight="1" x14ac:dyDescent="0.25">
      <c r="A156" s="6">
        <f t="shared" si="24"/>
        <v>12</v>
      </c>
      <c r="B156" s="6" t="s">
        <v>128</v>
      </c>
      <c r="C156" s="6" t="s">
        <v>43</v>
      </c>
      <c r="D156" s="6">
        <v>331</v>
      </c>
      <c r="E156" s="6">
        <v>0.2</v>
      </c>
      <c r="F156" s="46">
        <v>203</v>
      </c>
      <c r="G156" s="69">
        <f t="shared" si="22"/>
        <v>40.6</v>
      </c>
      <c r="H156" s="6">
        <v>8</v>
      </c>
      <c r="I156" s="68">
        <v>4.5</v>
      </c>
      <c r="J156" s="6"/>
      <c r="K156" s="6"/>
      <c r="L156" s="6"/>
      <c r="M156" s="6">
        <f t="shared" si="23"/>
        <v>10</v>
      </c>
      <c r="N156" s="6">
        <v>50</v>
      </c>
      <c r="O156" s="6" t="s">
        <v>39</v>
      </c>
      <c r="P156" s="6">
        <v>10</v>
      </c>
      <c r="Q156" s="6"/>
      <c r="R156" s="6"/>
      <c r="S156" s="286"/>
      <c r="T156" s="286"/>
      <c r="U156" s="286"/>
    </row>
    <row r="157" spans="1:21" ht="23.25" customHeight="1" x14ac:dyDescent="0.25">
      <c r="A157" s="6">
        <f t="shared" si="24"/>
        <v>13</v>
      </c>
      <c r="B157" s="6" t="s">
        <v>129</v>
      </c>
      <c r="C157" s="6" t="s">
        <v>43</v>
      </c>
      <c r="D157" s="6">
        <v>340</v>
      </c>
      <c r="E157" s="6">
        <v>0.1</v>
      </c>
      <c r="F157" s="46">
        <v>203</v>
      </c>
      <c r="G157" s="69">
        <f t="shared" si="22"/>
        <v>20.3</v>
      </c>
      <c r="H157" s="6">
        <v>6</v>
      </c>
      <c r="I157" s="68">
        <v>4.5</v>
      </c>
      <c r="J157" s="6"/>
      <c r="K157" s="6"/>
      <c r="L157" s="6"/>
      <c r="M157" s="6">
        <f t="shared" si="23"/>
        <v>10</v>
      </c>
      <c r="N157" s="6">
        <v>40</v>
      </c>
      <c r="O157" s="6" t="s">
        <v>39</v>
      </c>
      <c r="P157" s="6">
        <v>10</v>
      </c>
      <c r="Q157" s="6"/>
      <c r="R157" s="6"/>
      <c r="S157" s="286"/>
      <c r="T157" s="286"/>
      <c r="U157" s="286"/>
    </row>
    <row r="158" spans="1:21" ht="23.25" customHeight="1" x14ac:dyDescent="0.25">
      <c r="A158" s="6">
        <f t="shared" si="24"/>
        <v>14</v>
      </c>
      <c r="B158" s="6" t="s">
        <v>130</v>
      </c>
      <c r="C158" s="6" t="s">
        <v>43</v>
      </c>
      <c r="D158" s="6">
        <v>339</v>
      </c>
      <c r="E158" s="6">
        <v>0.2</v>
      </c>
      <c r="F158" s="46">
        <v>203</v>
      </c>
      <c r="G158" s="69">
        <f t="shared" si="22"/>
        <v>40.6</v>
      </c>
      <c r="H158" s="6">
        <v>595</v>
      </c>
      <c r="I158" s="68">
        <v>4.5</v>
      </c>
      <c r="J158" s="6"/>
      <c r="K158" s="6"/>
      <c r="L158" s="6"/>
      <c r="M158" s="6">
        <f t="shared" si="23"/>
        <v>10</v>
      </c>
      <c r="N158" s="6">
        <v>40</v>
      </c>
      <c r="O158" s="6" t="s">
        <v>39</v>
      </c>
      <c r="P158" s="6">
        <v>10</v>
      </c>
      <c r="Q158" s="6"/>
      <c r="R158" s="6"/>
      <c r="S158" s="286"/>
      <c r="T158" s="286"/>
      <c r="U158" s="286"/>
    </row>
    <row r="159" spans="1:21" ht="23.25" customHeight="1" x14ac:dyDescent="0.25">
      <c r="A159" s="6">
        <f t="shared" si="24"/>
        <v>15</v>
      </c>
      <c r="B159" s="6" t="s">
        <v>131</v>
      </c>
      <c r="C159" s="6" t="s">
        <v>43</v>
      </c>
      <c r="D159" s="6">
        <v>341</v>
      </c>
      <c r="E159" s="6">
        <v>0.1</v>
      </c>
      <c r="F159" s="46">
        <v>203</v>
      </c>
      <c r="G159" s="69">
        <f t="shared" si="22"/>
        <v>20.3</v>
      </c>
      <c r="H159" s="6">
        <v>6</v>
      </c>
      <c r="I159" s="68">
        <v>4.5</v>
      </c>
      <c r="J159" s="6"/>
      <c r="K159" s="6"/>
      <c r="L159" s="6"/>
      <c r="M159" s="6">
        <f t="shared" si="23"/>
        <v>10</v>
      </c>
      <c r="N159" s="6">
        <v>40</v>
      </c>
      <c r="O159" s="6" t="s">
        <v>39</v>
      </c>
      <c r="P159" s="6">
        <v>10</v>
      </c>
      <c r="Q159" s="6"/>
      <c r="R159" s="6"/>
      <c r="S159" s="286"/>
      <c r="T159" s="286"/>
      <c r="U159" s="286"/>
    </row>
    <row r="160" spans="1:21" ht="23.25" customHeight="1" x14ac:dyDescent="0.25">
      <c r="A160" s="6">
        <f t="shared" si="24"/>
        <v>16</v>
      </c>
      <c r="B160" s="6" t="s">
        <v>133</v>
      </c>
      <c r="C160" s="6" t="s">
        <v>43</v>
      </c>
      <c r="D160" s="6"/>
      <c r="E160" s="6">
        <v>0.1</v>
      </c>
      <c r="F160" s="46">
        <v>203</v>
      </c>
      <c r="G160" s="69">
        <f t="shared" si="22"/>
        <v>20.3</v>
      </c>
      <c r="H160" s="6"/>
      <c r="I160" s="68">
        <v>4.5</v>
      </c>
      <c r="J160" s="6"/>
      <c r="K160" s="6"/>
      <c r="L160" s="6"/>
      <c r="M160" s="6">
        <f t="shared" si="23"/>
        <v>10</v>
      </c>
      <c r="N160" s="6">
        <v>40</v>
      </c>
      <c r="O160" s="6" t="s">
        <v>39</v>
      </c>
      <c r="P160" s="6">
        <v>10</v>
      </c>
      <c r="Q160" s="6"/>
      <c r="R160" s="6"/>
      <c r="S160" s="286"/>
      <c r="T160" s="286"/>
      <c r="U160" s="286"/>
    </row>
    <row r="161" spans="1:21" ht="23.25" customHeight="1" x14ac:dyDescent="0.25">
      <c r="A161" s="6">
        <f t="shared" si="24"/>
        <v>17</v>
      </c>
      <c r="B161" s="6" t="s">
        <v>134</v>
      </c>
      <c r="C161" s="6" t="s">
        <v>43</v>
      </c>
      <c r="D161" s="6">
        <v>343</v>
      </c>
      <c r="E161" s="6">
        <v>0.1</v>
      </c>
      <c r="F161" s="46">
        <v>203</v>
      </c>
      <c r="G161" s="69">
        <f t="shared" si="22"/>
        <v>20.3</v>
      </c>
      <c r="H161" s="6">
        <v>371</v>
      </c>
      <c r="I161" s="68">
        <v>4.5</v>
      </c>
      <c r="J161" s="6"/>
      <c r="K161" s="6"/>
      <c r="L161" s="6"/>
      <c r="M161" s="6">
        <f t="shared" si="23"/>
        <v>10</v>
      </c>
      <c r="N161" s="6">
        <v>40</v>
      </c>
      <c r="O161" s="6" t="s">
        <v>39</v>
      </c>
      <c r="P161" s="6">
        <v>10</v>
      </c>
      <c r="Q161" s="6"/>
      <c r="R161" s="6"/>
      <c r="S161" s="286"/>
      <c r="T161" s="286"/>
      <c r="U161" s="286"/>
    </row>
    <row r="162" spans="1:21" ht="23.25" customHeight="1" x14ac:dyDescent="0.25">
      <c r="A162" s="6">
        <f t="shared" si="24"/>
        <v>18</v>
      </c>
      <c r="B162" s="6" t="s">
        <v>135</v>
      </c>
      <c r="C162" s="6" t="s">
        <v>43</v>
      </c>
      <c r="D162" s="6"/>
      <c r="E162" s="6">
        <v>0.1</v>
      </c>
      <c r="F162" s="46">
        <v>203</v>
      </c>
      <c r="G162" s="69">
        <f t="shared" si="22"/>
        <v>20.3</v>
      </c>
      <c r="H162" s="6"/>
      <c r="I162" s="68">
        <v>4.5</v>
      </c>
      <c r="J162" s="6"/>
      <c r="K162" s="6"/>
      <c r="L162" s="6"/>
      <c r="M162" s="6">
        <f t="shared" si="23"/>
        <v>10</v>
      </c>
      <c r="N162" s="6">
        <v>40</v>
      </c>
      <c r="O162" s="6" t="s">
        <v>39</v>
      </c>
      <c r="P162" s="6">
        <v>10</v>
      </c>
      <c r="Q162" s="6"/>
      <c r="R162" s="6"/>
      <c r="S162" s="286"/>
      <c r="T162" s="286"/>
      <c r="U162" s="286"/>
    </row>
    <row r="163" spans="1:21" s="47" customFormat="1" ht="23.25" customHeight="1" x14ac:dyDescent="0.25">
      <c r="A163" s="6">
        <f t="shared" si="24"/>
        <v>19</v>
      </c>
      <c r="B163" s="46" t="s">
        <v>136</v>
      </c>
      <c r="C163" s="46" t="s">
        <v>43</v>
      </c>
      <c r="D163" s="46">
        <v>345</v>
      </c>
      <c r="E163" s="46">
        <v>0.1</v>
      </c>
      <c r="F163" s="46">
        <v>203</v>
      </c>
      <c r="G163" s="69">
        <f t="shared" si="22"/>
        <v>20.3</v>
      </c>
      <c r="H163" s="46">
        <v>6</v>
      </c>
      <c r="I163" s="51">
        <v>4.5</v>
      </c>
      <c r="J163" s="46"/>
      <c r="K163" s="46"/>
      <c r="L163" s="46"/>
      <c r="M163" s="46">
        <f t="shared" si="23"/>
        <v>10</v>
      </c>
      <c r="N163" s="46">
        <v>40</v>
      </c>
      <c r="O163" s="46" t="s">
        <v>39</v>
      </c>
      <c r="P163" s="46">
        <v>10</v>
      </c>
      <c r="Q163" s="46"/>
      <c r="R163" s="46"/>
      <c r="S163" s="305"/>
      <c r="T163" s="305"/>
      <c r="U163" s="305"/>
    </row>
    <row r="164" spans="1:21" s="47" customFormat="1" ht="23.25" customHeight="1" x14ac:dyDescent="0.25">
      <c r="A164" s="6">
        <f t="shared" si="24"/>
        <v>20</v>
      </c>
      <c r="B164" s="46" t="s">
        <v>95</v>
      </c>
      <c r="C164" s="46" t="s">
        <v>88</v>
      </c>
      <c r="D164" s="46">
        <v>508</v>
      </c>
      <c r="E164" s="46">
        <v>7.4</v>
      </c>
      <c r="F164" s="46">
        <v>203</v>
      </c>
      <c r="G164" s="69">
        <f t="shared" si="22"/>
        <v>1502.2</v>
      </c>
      <c r="H164" s="46"/>
      <c r="I164" s="51">
        <v>4.5</v>
      </c>
      <c r="J164" s="46"/>
      <c r="K164" s="46"/>
      <c r="L164" s="46"/>
      <c r="M164" s="46">
        <f t="shared" si="23"/>
        <v>12</v>
      </c>
      <c r="N164" s="46" t="s">
        <v>253</v>
      </c>
      <c r="O164" s="46" t="s">
        <v>39</v>
      </c>
      <c r="P164" s="46">
        <v>12</v>
      </c>
      <c r="Q164" s="46"/>
      <c r="R164" s="46"/>
      <c r="S164" s="305"/>
      <c r="T164" s="305"/>
      <c r="U164" s="305"/>
    </row>
    <row r="165" spans="1:21" ht="23.25" customHeight="1" x14ac:dyDescent="0.25">
      <c r="A165" s="6">
        <f t="shared" si="24"/>
        <v>21</v>
      </c>
      <c r="B165" s="6" t="s">
        <v>105</v>
      </c>
      <c r="C165" s="6" t="s">
        <v>88</v>
      </c>
      <c r="D165" s="6">
        <v>534</v>
      </c>
      <c r="E165" s="6">
        <v>1</v>
      </c>
      <c r="F165" s="46">
        <v>203</v>
      </c>
      <c r="G165" s="69">
        <f t="shared" si="22"/>
        <v>203</v>
      </c>
      <c r="H165" s="6">
        <v>270</v>
      </c>
      <c r="I165" s="68">
        <v>4.5</v>
      </c>
      <c r="J165" s="6"/>
      <c r="K165" s="6"/>
      <c r="L165" s="6"/>
      <c r="M165" s="6">
        <f t="shared" si="23"/>
        <v>8</v>
      </c>
      <c r="N165" s="6">
        <v>50</v>
      </c>
      <c r="O165" s="6" t="s">
        <v>39</v>
      </c>
      <c r="P165" s="6">
        <v>8</v>
      </c>
      <c r="Q165" s="6"/>
      <c r="R165" s="6"/>
      <c r="S165" s="286"/>
      <c r="T165" s="286"/>
      <c r="U165" s="286"/>
    </row>
    <row r="166" spans="1:21" ht="23.25" customHeight="1" x14ac:dyDescent="0.25">
      <c r="A166" s="6">
        <f t="shared" si="24"/>
        <v>22</v>
      </c>
      <c r="B166" s="6" t="s">
        <v>106</v>
      </c>
      <c r="C166" s="6" t="s">
        <v>88</v>
      </c>
      <c r="D166" s="6">
        <v>533</v>
      </c>
      <c r="E166" s="6">
        <v>1</v>
      </c>
      <c r="F166" s="46">
        <v>203</v>
      </c>
      <c r="G166" s="69">
        <f t="shared" si="22"/>
        <v>203</v>
      </c>
      <c r="H166" s="6">
        <v>277</v>
      </c>
      <c r="I166" s="68">
        <v>4.5</v>
      </c>
      <c r="J166" s="6"/>
      <c r="K166" s="6"/>
      <c r="L166" s="6"/>
      <c r="M166" s="6">
        <f t="shared" si="23"/>
        <v>10</v>
      </c>
      <c r="N166" s="6">
        <v>50</v>
      </c>
      <c r="O166" s="6" t="s">
        <v>39</v>
      </c>
      <c r="P166" s="6">
        <v>10</v>
      </c>
      <c r="Q166" s="6"/>
      <c r="R166" s="6"/>
      <c r="S166" s="286"/>
      <c r="T166" s="286"/>
      <c r="U166" s="286"/>
    </row>
    <row r="167" spans="1:21" s="47" customFormat="1" ht="23.25" customHeight="1" x14ac:dyDescent="0.25">
      <c r="A167" s="6">
        <f t="shared" si="24"/>
        <v>23</v>
      </c>
      <c r="B167" s="46" t="s">
        <v>107</v>
      </c>
      <c r="C167" s="46" t="s">
        <v>88</v>
      </c>
      <c r="D167" s="46">
        <v>534</v>
      </c>
      <c r="E167" s="46">
        <v>0.2</v>
      </c>
      <c r="F167" s="46">
        <v>203</v>
      </c>
      <c r="G167" s="69">
        <f t="shared" si="22"/>
        <v>40.6</v>
      </c>
      <c r="H167" s="46">
        <v>617</v>
      </c>
      <c r="I167" s="51">
        <v>4.5</v>
      </c>
      <c r="J167" s="46"/>
      <c r="K167" s="46"/>
      <c r="L167" s="46"/>
      <c r="M167" s="46">
        <f t="shared" si="23"/>
        <v>8</v>
      </c>
      <c r="N167" s="46">
        <v>50</v>
      </c>
      <c r="O167" s="46" t="s">
        <v>39</v>
      </c>
      <c r="P167" s="46">
        <v>8</v>
      </c>
      <c r="Q167" s="46"/>
      <c r="R167" s="46"/>
      <c r="S167" s="305"/>
      <c r="T167" s="305"/>
      <c r="U167" s="305"/>
    </row>
    <row r="168" spans="1:21" s="47" customFormat="1" ht="23.25" customHeight="1" x14ac:dyDescent="0.25">
      <c r="A168" s="6">
        <f t="shared" si="24"/>
        <v>24</v>
      </c>
      <c r="B168" s="46" t="s">
        <v>159</v>
      </c>
      <c r="C168" s="46" t="s">
        <v>89</v>
      </c>
      <c r="D168" s="46">
        <v>626</v>
      </c>
      <c r="E168" s="46">
        <v>0.1</v>
      </c>
      <c r="F168" s="46">
        <v>203</v>
      </c>
      <c r="G168" s="69">
        <f t="shared" si="22"/>
        <v>20.3</v>
      </c>
      <c r="H168" s="46">
        <v>6</v>
      </c>
      <c r="I168" s="51">
        <v>4.5</v>
      </c>
      <c r="J168" s="46"/>
      <c r="K168" s="46"/>
      <c r="L168" s="46"/>
      <c r="M168" s="46">
        <f t="shared" si="23"/>
        <v>15</v>
      </c>
      <c r="N168" s="46">
        <v>50</v>
      </c>
      <c r="O168" s="46" t="s">
        <v>39</v>
      </c>
      <c r="P168" s="46">
        <v>15</v>
      </c>
      <c r="Q168" s="46"/>
      <c r="R168" s="46"/>
      <c r="S168" s="305"/>
      <c r="T168" s="305"/>
      <c r="U168" s="305"/>
    </row>
    <row r="169" spans="1:21" s="47" customFormat="1" ht="23.25" customHeight="1" x14ac:dyDescent="0.25">
      <c r="A169" s="6">
        <f t="shared" si="24"/>
        <v>25</v>
      </c>
      <c r="B169" s="46" t="s">
        <v>170</v>
      </c>
      <c r="C169" s="46" t="s">
        <v>94</v>
      </c>
      <c r="D169" s="46">
        <v>1101</v>
      </c>
      <c r="E169" s="46">
        <v>4.9000000000000004</v>
      </c>
      <c r="F169" s="46">
        <v>203</v>
      </c>
      <c r="G169" s="69">
        <f t="shared" si="22"/>
        <v>994.7</v>
      </c>
      <c r="H169" s="46" t="s">
        <v>264</v>
      </c>
      <c r="I169" s="51">
        <v>4.5</v>
      </c>
      <c r="J169" s="46"/>
      <c r="K169" s="46"/>
      <c r="L169" s="46"/>
      <c r="M169" s="46">
        <f t="shared" si="23"/>
        <v>10</v>
      </c>
      <c r="N169" s="46">
        <v>100</v>
      </c>
      <c r="O169" s="46" t="s">
        <v>40</v>
      </c>
      <c r="P169" s="46">
        <v>10</v>
      </c>
      <c r="Q169" s="46"/>
      <c r="R169" s="46"/>
      <c r="S169" s="305"/>
      <c r="T169" s="305"/>
      <c r="U169" s="305"/>
    </row>
    <row r="170" spans="1:21" x14ac:dyDescent="0.25">
      <c r="A170" s="286" t="s">
        <v>44</v>
      </c>
      <c r="B170" s="286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>
        <f>SUM(M145:M169)</f>
        <v>268</v>
      </c>
      <c r="N170" s="8"/>
      <c r="O170" s="8"/>
      <c r="P170" s="8"/>
      <c r="Q170" s="8"/>
      <c r="R170" s="8"/>
      <c r="S170" s="286"/>
      <c r="T170" s="286"/>
      <c r="U170" s="286"/>
    </row>
    <row r="174" spans="1:21" x14ac:dyDescent="0.25">
      <c r="A174" s="303" t="s">
        <v>51</v>
      </c>
      <c r="B174" s="303"/>
      <c r="C174" s="303"/>
      <c r="D174" s="303"/>
      <c r="E174" s="303"/>
      <c r="F174" s="303"/>
      <c r="G174" s="303"/>
      <c r="H174" s="11"/>
      <c r="I174" s="11"/>
      <c r="J174" s="11"/>
    </row>
    <row r="175" spans="1:21" ht="15.75" customHeight="1" x14ac:dyDescent="0.25">
      <c r="A175" s="294" t="s">
        <v>2</v>
      </c>
      <c r="B175" s="294" t="s">
        <v>3</v>
      </c>
      <c r="C175" s="294" t="s">
        <v>4</v>
      </c>
      <c r="D175" s="294" t="s">
        <v>52</v>
      </c>
      <c r="E175" s="294"/>
      <c r="F175" s="294" t="s">
        <v>47</v>
      </c>
      <c r="G175" s="294"/>
      <c r="H175" s="294"/>
      <c r="I175" s="294"/>
      <c r="J175" s="294"/>
      <c r="K175" s="21"/>
      <c r="L175" s="21"/>
      <c r="M175" s="21"/>
    </row>
    <row r="176" spans="1:21" x14ac:dyDescent="0.25">
      <c r="A176" s="294"/>
      <c r="B176" s="294"/>
      <c r="C176" s="294"/>
      <c r="D176" s="294"/>
      <c r="E176" s="294"/>
      <c r="F176" s="294" t="s">
        <v>18</v>
      </c>
      <c r="G176" s="294"/>
      <c r="H176" s="294" t="s">
        <v>17</v>
      </c>
      <c r="I176" s="294" t="s">
        <v>53</v>
      </c>
      <c r="J176" s="294" t="s">
        <v>54</v>
      </c>
      <c r="K176" s="21"/>
      <c r="L176" s="21"/>
      <c r="M176" s="21"/>
    </row>
    <row r="177" spans="1:13" x14ac:dyDescent="0.25">
      <c r="A177" s="294"/>
      <c r="B177" s="294"/>
      <c r="C177" s="294"/>
      <c r="D177" s="294"/>
      <c r="E177" s="294"/>
      <c r="F177" s="294"/>
      <c r="G177" s="294"/>
      <c r="H177" s="294"/>
      <c r="I177" s="294"/>
      <c r="J177" s="294"/>
      <c r="K177" s="21"/>
      <c r="L177" s="21"/>
      <c r="M177" s="21"/>
    </row>
    <row r="178" spans="1:13" ht="22.5" customHeight="1" x14ac:dyDescent="0.25">
      <c r="A178" s="294"/>
      <c r="B178" s="294"/>
      <c r="C178" s="294"/>
      <c r="D178" s="294"/>
      <c r="E178" s="294"/>
      <c r="F178" s="294"/>
      <c r="G178" s="294"/>
      <c r="H178" s="294"/>
      <c r="I178" s="294"/>
      <c r="J178" s="294"/>
      <c r="K178" s="21"/>
      <c r="L178" s="21"/>
      <c r="M178" s="21"/>
    </row>
    <row r="179" spans="1:13" ht="17.25" customHeight="1" x14ac:dyDescent="0.25">
      <c r="A179" s="294"/>
      <c r="B179" s="294"/>
      <c r="C179" s="294"/>
      <c r="D179" s="294"/>
      <c r="E179" s="294"/>
      <c r="F179" s="294"/>
      <c r="G179" s="294"/>
      <c r="H179" s="48" t="s">
        <v>31</v>
      </c>
      <c r="I179" s="36" t="s">
        <v>33</v>
      </c>
      <c r="J179" s="36" t="s">
        <v>33</v>
      </c>
      <c r="K179" s="21"/>
      <c r="L179" s="21"/>
      <c r="M179" s="21"/>
    </row>
    <row r="180" spans="1:13" x14ac:dyDescent="0.25">
      <c r="A180" s="49" t="s">
        <v>36</v>
      </c>
      <c r="B180" s="50" t="str">
        <f>CHAR(CODE(A180)+1)</f>
        <v>B</v>
      </c>
      <c r="C180" s="50" t="str">
        <f>CHAR(CODE(B180)+1)</f>
        <v>C</v>
      </c>
      <c r="D180" s="270" t="str">
        <f>CHAR(CODE(C180)+1)</f>
        <v>D</v>
      </c>
      <c r="E180" s="270"/>
      <c r="F180" s="306" t="str">
        <f>CHAR(CODE(D180)+1)</f>
        <v>E</v>
      </c>
      <c r="G180" s="306"/>
      <c r="H180" s="49" t="str">
        <f>CHAR(CODE(F180)+1)</f>
        <v>F</v>
      </c>
      <c r="I180" s="49" t="str">
        <f>CHAR(CODE(H180)+1)</f>
        <v>G</v>
      </c>
      <c r="J180" s="49" t="str">
        <f>CHAR(CODE(I180)+1)</f>
        <v>H</v>
      </c>
      <c r="K180" s="21"/>
      <c r="L180" s="21"/>
      <c r="M180" s="21"/>
    </row>
    <row r="181" spans="1:13" x14ac:dyDescent="0.25">
      <c r="A181" s="6">
        <v>1</v>
      </c>
      <c r="B181" s="6" t="s">
        <v>138</v>
      </c>
      <c r="C181" s="6" t="s">
        <v>43</v>
      </c>
      <c r="D181" s="269">
        <v>361</v>
      </c>
      <c r="E181" s="269"/>
      <c r="F181" s="294" t="s">
        <v>304</v>
      </c>
      <c r="G181" s="294"/>
      <c r="H181" s="48">
        <v>8</v>
      </c>
      <c r="I181" s="48"/>
      <c r="J181" s="48">
        <f>H181</f>
        <v>8</v>
      </c>
      <c r="K181" s="21"/>
      <c r="L181" s="21"/>
      <c r="M181" s="21"/>
    </row>
    <row r="182" spans="1:13" x14ac:dyDescent="0.25">
      <c r="A182" s="6">
        <f>+A181+1</f>
        <v>2</v>
      </c>
      <c r="B182" s="6" t="s">
        <v>177</v>
      </c>
      <c r="C182" s="6" t="s">
        <v>43</v>
      </c>
      <c r="D182" s="269">
        <v>379</v>
      </c>
      <c r="E182" s="269"/>
      <c r="F182" s="294" t="s">
        <v>304</v>
      </c>
      <c r="G182" s="294"/>
      <c r="H182" s="48">
        <v>8</v>
      </c>
      <c r="I182" s="48"/>
      <c r="J182" s="48">
        <f>H182</f>
        <v>8</v>
      </c>
      <c r="K182" s="21"/>
      <c r="L182" s="21"/>
      <c r="M182" s="21"/>
    </row>
    <row r="183" spans="1:13" x14ac:dyDescent="0.25">
      <c r="A183" s="6">
        <f>+A182+1</f>
        <v>3</v>
      </c>
      <c r="B183" s="6" t="s">
        <v>149</v>
      </c>
      <c r="C183" s="6" t="s">
        <v>89</v>
      </c>
      <c r="D183" s="269">
        <v>606</v>
      </c>
      <c r="E183" s="269"/>
      <c r="F183" s="294" t="s">
        <v>487</v>
      </c>
      <c r="G183" s="294"/>
      <c r="H183" s="48">
        <v>8</v>
      </c>
      <c r="I183" s="48"/>
      <c r="J183" s="48">
        <f>H183</f>
        <v>8</v>
      </c>
      <c r="K183" s="21"/>
      <c r="L183" s="21"/>
      <c r="M183" s="21"/>
    </row>
    <row r="184" spans="1:13" x14ac:dyDescent="0.25">
      <c r="A184" s="286" t="s">
        <v>44</v>
      </c>
      <c r="B184" s="286"/>
      <c r="C184" s="8"/>
      <c r="D184" s="286"/>
      <c r="E184" s="286"/>
      <c r="F184" s="294"/>
      <c r="G184" s="294"/>
      <c r="H184" s="52">
        <f>SUM(H181:H183)</f>
        <v>24</v>
      </c>
      <c r="I184" s="52"/>
      <c r="J184" s="52">
        <f>SUM(J181:J183)</f>
        <v>24</v>
      </c>
      <c r="K184" s="21"/>
      <c r="L184" s="21"/>
      <c r="M184" s="21"/>
    </row>
    <row r="187" spans="1:13" ht="15.75" thickBot="1" x14ac:dyDescent="0.3">
      <c r="A187" s="303" t="s">
        <v>55</v>
      </c>
      <c r="B187" s="303"/>
      <c r="C187" s="303"/>
      <c r="D187" s="303"/>
      <c r="E187" s="303"/>
      <c r="F187" s="303"/>
      <c r="G187" s="303"/>
      <c r="H187" s="303"/>
      <c r="I187" s="22"/>
      <c r="J187" s="22"/>
    </row>
    <row r="188" spans="1:13" ht="30.75" customHeight="1" thickBot="1" x14ac:dyDescent="0.3">
      <c r="A188" s="319" t="s">
        <v>2</v>
      </c>
      <c r="B188" s="319" t="s">
        <v>3</v>
      </c>
      <c r="C188" s="322" t="s">
        <v>4</v>
      </c>
      <c r="D188" s="325" t="s">
        <v>52</v>
      </c>
      <c r="E188" s="314"/>
      <c r="F188" s="329" t="s">
        <v>47</v>
      </c>
      <c r="G188" s="330"/>
    </row>
    <row r="189" spans="1:13" x14ac:dyDescent="0.25">
      <c r="A189" s="320"/>
      <c r="B189" s="320"/>
      <c r="C189" s="323"/>
      <c r="D189" s="326"/>
      <c r="E189" s="327"/>
      <c r="F189" s="325" t="s">
        <v>18</v>
      </c>
      <c r="G189" s="314"/>
    </row>
    <row r="190" spans="1:13" x14ac:dyDescent="0.25">
      <c r="A190" s="320"/>
      <c r="B190" s="320"/>
      <c r="C190" s="323"/>
      <c r="D190" s="326"/>
      <c r="E190" s="327"/>
      <c r="F190" s="326"/>
      <c r="G190" s="327"/>
    </row>
    <row r="191" spans="1:13" ht="15.75" thickBot="1" x14ac:dyDescent="0.3">
      <c r="A191" s="321"/>
      <c r="B191" s="321"/>
      <c r="C191" s="324"/>
      <c r="D191" s="328"/>
      <c r="E191" s="318"/>
      <c r="F191" s="328"/>
      <c r="G191" s="318"/>
    </row>
    <row r="192" spans="1:13" ht="15.75" thickBot="1" x14ac:dyDescent="0.3">
      <c r="A192" s="2" t="s">
        <v>36</v>
      </c>
      <c r="B192" s="3" t="str">
        <f>CHAR(CODE(A192)+1)</f>
        <v>B</v>
      </c>
      <c r="C192" s="3" t="str">
        <f>CHAR(CODE(B192)+1)</f>
        <v>C</v>
      </c>
      <c r="D192" s="307" t="str">
        <f>CHAR(CODE(C192)+1)</f>
        <v>D</v>
      </c>
      <c r="E192" s="308"/>
      <c r="F192" s="309" t="str">
        <f>CHAR(CODE(D192)+1)</f>
        <v>E</v>
      </c>
      <c r="G192" s="310"/>
    </row>
    <row r="193" spans="1:27" x14ac:dyDescent="0.25">
      <c r="A193" s="19"/>
      <c r="B193" s="20"/>
      <c r="C193" s="20"/>
      <c r="D193" s="311"/>
      <c r="E193" s="312"/>
      <c r="F193" s="313"/>
      <c r="G193" s="314"/>
    </row>
    <row r="194" spans="1:27" ht="15.75" thickBot="1" x14ac:dyDescent="0.3">
      <c r="A194" s="23"/>
      <c r="B194" s="24"/>
      <c r="C194" s="24"/>
      <c r="D194" s="315"/>
      <c r="E194" s="316"/>
      <c r="F194" s="317"/>
      <c r="G194" s="318"/>
    </row>
    <row r="196" spans="1:27" x14ac:dyDescent="0.25">
      <c r="A196" s="12" t="s">
        <v>56</v>
      </c>
      <c r="B196" s="25"/>
      <c r="C196" s="25"/>
      <c r="D196" s="25"/>
      <c r="E196" s="25"/>
      <c r="F196" s="25"/>
      <c r="G196" s="25"/>
      <c r="H196" s="26"/>
      <c r="I196" s="26"/>
      <c r="J196" s="26"/>
    </row>
    <row r="197" spans="1:27" x14ac:dyDescent="0.25">
      <c r="A197" s="18">
        <v>1</v>
      </c>
      <c r="B197" s="27" t="s">
        <v>57</v>
      </c>
      <c r="C197" s="27"/>
      <c r="D197" s="28"/>
      <c r="E197" s="27"/>
      <c r="F197" s="27"/>
      <c r="G197" s="27"/>
      <c r="H197" s="27"/>
      <c r="I197" s="27"/>
      <c r="J197" s="27"/>
    </row>
    <row r="198" spans="1:27" x14ac:dyDescent="0.25">
      <c r="A198" s="18">
        <v>2</v>
      </c>
      <c r="B198" s="27" t="s">
        <v>58</v>
      </c>
      <c r="C198" s="27"/>
      <c r="D198" s="28"/>
      <c r="E198" s="27"/>
      <c r="F198" s="27"/>
      <c r="G198" s="27"/>
      <c r="H198" s="27"/>
      <c r="I198" s="27"/>
      <c r="J198" s="27"/>
    </row>
    <row r="199" spans="1:27" x14ac:dyDescent="0.25">
      <c r="A199" s="18">
        <v>3</v>
      </c>
      <c r="B199" s="27" t="s">
        <v>59</v>
      </c>
      <c r="C199" s="27"/>
      <c r="D199" s="28"/>
      <c r="E199" s="27"/>
      <c r="F199" s="27"/>
      <c r="G199" s="27"/>
      <c r="H199" s="27"/>
      <c r="I199" s="27"/>
      <c r="J199" s="27"/>
    </row>
    <row r="200" spans="1:27" x14ac:dyDescent="0.25">
      <c r="A200" s="18">
        <v>4</v>
      </c>
      <c r="B200" s="29" t="s">
        <v>60</v>
      </c>
      <c r="C200" s="27"/>
      <c r="D200" s="28"/>
      <c r="E200" s="27"/>
      <c r="F200" s="27"/>
      <c r="G200" s="27"/>
      <c r="H200" s="27"/>
      <c r="I200" s="27"/>
      <c r="J200" s="27"/>
    </row>
    <row r="201" spans="1:27" ht="15.75" thickBot="1" x14ac:dyDescent="0.3">
      <c r="A201" s="30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  <c r="AA201" s="30"/>
    </row>
    <row r="202" spans="1:27" x14ac:dyDescent="0.25">
      <c r="A202" s="29" t="s">
        <v>61</v>
      </c>
      <c r="B202" s="31"/>
      <c r="C202" s="18"/>
      <c r="D202" s="32"/>
      <c r="E202" s="32"/>
      <c r="F202" s="32" t="s">
        <v>62</v>
      </c>
      <c r="G202" s="32"/>
      <c r="H202" s="26"/>
      <c r="I202" s="26"/>
      <c r="J202" s="26"/>
      <c r="K202" s="18"/>
      <c r="L202" s="18"/>
    </row>
    <row r="203" spans="1:27" x14ac:dyDescent="0.25">
      <c r="A203" s="18"/>
      <c r="B203" s="1"/>
      <c r="C203" s="1"/>
      <c r="D203" s="1"/>
      <c r="E203" s="1"/>
      <c r="F203" s="1"/>
      <c r="G203" s="1"/>
      <c r="H203" s="1"/>
      <c r="I203" s="1"/>
      <c r="J203" s="1"/>
      <c r="K203" s="18"/>
      <c r="L203" s="18"/>
    </row>
    <row r="204" spans="1:27" x14ac:dyDescent="0.25">
      <c r="A204" s="18"/>
      <c r="B204" s="29" t="s">
        <v>63</v>
      </c>
      <c r="C204" s="18"/>
      <c r="D204" s="18"/>
      <c r="E204" s="33" t="s">
        <v>43</v>
      </c>
      <c r="F204" s="1"/>
      <c r="G204" s="1"/>
      <c r="H204" s="1"/>
      <c r="I204" s="1"/>
      <c r="J204" s="1"/>
      <c r="K204" s="18"/>
      <c r="L204" s="18"/>
    </row>
    <row r="205" spans="1:27" ht="15.75" thickBot="1" x14ac:dyDescent="0.3">
      <c r="A205" s="18"/>
      <c r="B205" s="1"/>
      <c r="C205" s="1"/>
      <c r="D205" s="1"/>
      <c r="E205" s="1"/>
      <c r="F205" s="1"/>
      <c r="G205" s="1"/>
      <c r="H205" s="1"/>
      <c r="I205" s="1"/>
      <c r="J205" s="1"/>
      <c r="K205" s="18"/>
      <c r="L205" s="18"/>
    </row>
    <row r="206" spans="1:27" x14ac:dyDescent="0.25">
      <c r="A206" s="18"/>
      <c r="B206" s="339" t="s">
        <v>64</v>
      </c>
      <c r="C206" s="340"/>
      <c r="D206" s="340"/>
      <c r="E206" s="340"/>
      <c r="F206" s="34" t="s">
        <v>34</v>
      </c>
      <c r="G206" s="35">
        <f>COUNTIF(C181:C183,E204)</f>
        <v>2</v>
      </c>
      <c r="H206" s="1"/>
      <c r="I206" s="1"/>
      <c r="J206" s="1"/>
      <c r="K206" s="18"/>
      <c r="L206" s="18"/>
    </row>
    <row r="207" spans="1:27" x14ac:dyDescent="0.25">
      <c r="A207" s="18"/>
      <c r="B207" s="341" t="s">
        <v>65</v>
      </c>
      <c r="C207" s="342"/>
      <c r="D207" s="342"/>
      <c r="E207" s="342"/>
      <c r="F207" s="36" t="s">
        <v>34</v>
      </c>
      <c r="G207" s="37">
        <f>COUNTIF(C8:C69,E204)</f>
        <v>16</v>
      </c>
      <c r="H207" s="32"/>
      <c r="I207" s="32"/>
      <c r="J207" s="32"/>
      <c r="K207" s="18"/>
      <c r="L207" s="18"/>
    </row>
    <row r="208" spans="1:27" x14ac:dyDescent="0.25">
      <c r="A208" s="18"/>
      <c r="B208" s="341" t="s">
        <v>66</v>
      </c>
      <c r="C208" s="342"/>
      <c r="D208" s="342"/>
      <c r="E208" s="342"/>
      <c r="F208" s="36" t="s">
        <v>34</v>
      </c>
      <c r="G208" s="7">
        <f>COUNTIF(C80:C134,E204)</f>
        <v>25</v>
      </c>
      <c r="H208" s="18"/>
      <c r="I208" s="18"/>
      <c r="J208" s="18"/>
      <c r="K208" s="18"/>
      <c r="L208" s="18"/>
    </row>
    <row r="209" spans="1:12" x14ac:dyDescent="0.25">
      <c r="A209" s="18"/>
      <c r="B209" s="341" t="s">
        <v>67</v>
      </c>
      <c r="C209" s="342"/>
      <c r="D209" s="342"/>
      <c r="E209" s="342"/>
      <c r="F209" s="36" t="s">
        <v>34</v>
      </c>
      <c r="G209" s="7">
        <f>COUNTIF(C145:C169,E204)</f>
        <v>16</v>
      </c>
      <c r="H209" s="18"/>
      <c r="I209" s="18"/>
      <c r="J209" s="18"/>
      <c r="K209" s="18"/>
      <c r="L209" s="18"/>
    </row>
    <row r="210" spans="1:12" ht="15.75" thickBot="1" x14ac:dyDescent="0.3">
      <c r="A210" s="18"/>
      <c r="B210" s="343" t="s">
        <v>64</v>
      </c>
      <c r="C210" s="344"/>
      <c r="D210" s="344"/>
      <c r="E210" s="344"/>
      <c r="F210" s="38" t="s">
        <v>34</v>
      </c>
      <c r="G210" s="9">
        <f>COUNTIF(C181:C183,E204)</f>
        <v>2</v>
      </c>
      <c r="H210" s="18"/>
      <c r="I210" s="18"/>
      <c r="J210" s="18"/>
      <c r="K210" s="18"/>
      <c r="L210" s="18"/>
    </row>
    <row r="211" spans="1:12" x14ac:dyDescent="0.25">
      <c r="A211" s="18"/>
      <c r="B211" s="339" t="s">
        <v>68</v>
      </c>
      <c r="C211" s="340"/>
      <c r="D211" s="340"/>
      <c r="E211" s="340"/>
      <c r="F211" s="34" t="s">
        <v>31</v>
      </c>
      <c r="G211" s="39">
        <f>SUMIF(C181:C183,E204,H181:H183)</f>
        <v>16</v>
      </c>
      <c r="H211" s="18"/>
      <c r="I211" s="18"/>
      <c r="J211" s="18"/>
      <c r="K211" s="18"/>
      <c r="L211" s="18"/>
    </row>
    <row r="212" spans="1:12" x14ac:dyDescent="0.25">
      <c r="A212" s="18"/>
      <c r="B212" s="341" t="s">
        <v>69</v>
      </c>
      <c r="C212" s="342"/>
      <c r="D212" s="342"/>
      <c r="E212" s="342"/>
      <c r="F212" s="36" t="s">
        <v>31</v>
      </c>
      <c r="G212" s="7">
        <f>SUMIF(C8:C69,E204,M8:M69)</f>
        <v>160</v>
      </c>
      <c r="H212" s="18"/>
      <c r="I212" s="18"/>
      <c r="J212" s="18"/>
      <c r="K212" s="18"/>
      <c r="L212" s="18"/>
    </row>
    <row r="213" spans="1:12" x14ac:dyDescent="0.25">
      <c r="A213" s="18"/>
      <c r="B213" s="341" t="s">
        <v>70</v>
      </c>
      <c r="C213" s="342"/>
      <c r="D213" s="342"/>
      <c r="E213" s="342"/>
      <c r="F213" s="36" t="s">
        <v>31</v>
      </c>
      <c r="G213" s="7">
        <f>SUMIF(C80:C134,E204,M80:M134)</f>
        <v>250</v>
      </c>
      <c r="H213" s="18"/>
      <c r="I213" s="18"/>
      <c r="J213" s="18"/>
      <c r="K213" s="18"/>
      <c r="L213" s="18"/>
    </row>
    <row r="214" spans="1:12" x14ac:dyDescent="0.25">
      <c r="A214" s="18"/>
      <c r="B214" s="341" t="s">
        <v>71</v>
      </c>
      <c r="C214" s="342"/>
      <c r="D214" s="342"/>
      <c r="E214" s="342"/>
      <c r="F214" s="36" t="s">
        <v>31</v>
      </c>
      <c r="G214" s="7">
        <f>SUMIF(C145:C169,E204,M145:M169)</f>
        <v>166</v>
      </c>
      <c r="H214" s="18"/>
      <c r="I214" s="18"/>
      <c r="J214" s="18"/>
      <c r="K214" s="18"/>
      <c r="L214" s="18"/>
    </row>
    <row r="215" spans="1:12" ht="15.75" thickBot="1" x14ac:dyDescent="0.3">
      <c r="A215" s="18"/>
      <c r="B215" s="331" t="s">
        <v>68</v>
      </c>
      <c r="C215" s="332"/>
      <c r="D215" s="332"/>
      <c r="E215" s="332"/>
      <c r="F215" s="40" t="s">
        <v>31</v>
      </c>
      <c r="G215" s="41">
        <f>SUMIF(C181:C183,E204,H181:H183)</f>
        <v>16</v>
      </c>
      <c r="H215" s="18"/>
      <c r="I215" s="18"/>
      <c r="J215" s="18"/>
      <c r="K215" s="18"/>
      <c r="L215" s="18"/>
    </row>
    <row r="216" spans="1:12" x14ac:dyDescent="0.25">
      <c r="A216" s="18"/>
      <c r="B216" s="333" t="s">
        <v>72</v>
      </c>
      <c r="C216" s="334"/>
      <c r="D216" s="335"/>
      <c r="E216" s="20">
        <v>40</v>
      </c>
      <c r="F216" s="20" t="s">
        <v>34</v>
      </c>
      <c r="G216" s="42">
        <f>COUNTIFS($N$8:$N$69,E216,$C$8:$C$69,$E$204)</f>
        <v>0</v>
      </c>
      <c r="H216" s="18"/>
      <c r="I216" s="18"/>
      <c r="J216" s="18"/>
      <c r="K216" s="18"/>
      <c r="L216" s="18"/>
    </row>
    <row r="217" spans="1:12" x14ac:dyDescent="0.25">
      <c r="A217" s="18"/>
      <c r="B217" s="336" t="s">
        <v>73</v>
      </c>
      <c r="C217" s="337"/>
      <c r="D217" s="338"/>
      <c r="E217" s="6">
        <v>50</v>
      </c>
      <c r="F217" s="6" t="s">
        <v>34</v>
      </c>
      <c r="G217" s="7">
        <f>COUNTIFS($N$8:$N$69,E217,$C$8:$C$69,$E$204)</f>
        <v>13</v>
      </c>
      <c r="H217" s="18"/>
      <c r="I217" s="18"/>
      <c r="J217" s="18"/>
      <c r="K217" s="18"/>
      <c r="L217" s="18"/>
    </row>
    <row r="218" spans="1:12" x14ac:dyDescent="0.25">
      <c r="A218" s="18"/>
      <c r="B218" s="336" t="s">
        <v>74</v>
      </c>
      <c r="C218" s="337"/>
      <c r="D218" s="338"/>
      <c r="E218" s="6">
        <v>60</v>
      </c>
      <c r="F218" s="6" t="s">
        <v>34</v>
      </c>
      <c r="G218" s="7">
        <f>COUNTIFS($N$8:$N$69,E218,$C$8:$C$69,$E$204)</f>
        <v>0</v>
      </c>
      <c r="H218" s="18"/>
      <c r="I218" s="18"/>
      <c r="J218" s="18"/>
      <c r="K218" s="18"/>
      <c r="L218" s="18"/>
    </row>
    <row r="219" spans="1:12" ht="15.75" thickBot="1" x14ac:dyDescent="0.3">
      <c r="A219" s="18"/>
      <c r="B219" s="348" t="s">
        <v>75</v>
      </c>
      <c r="C219" s="349"/>
      <c r="D219" s="350"/>
      <c r="E219" s="24">
        <v>100</v>
      </c>
      <c r="F219" s="24" t="s">
        <v>34</v>
      </c>
      <c r="G219" s="43">
        <f>COUNTIFS($N$8:$N$69,E219,$C$8:$C$69,$E$204)</f>
        <v>0</v>
      </c>
      <c r="H219" s="18"/>
      <c r="I219" s="18"/>
      <c r="J219" s="18"/>
      <c r="K219" s="18"/>
      <c r="L219" s="18"/>
    </row>
    <row r="220" spans="1:12" x14ac:dyDescent="0.25">
      <c r="A220" s="18"/>
      <c r="B220" s="351" t="s">
        <v>72</v>
      </c>
      <c r="C220" s="352"/>
      <c r="D220" s="352"/>
      <c r="E220" s="20">
        <v>40</v>
      </c>
      <c r="F220" s="20" t="s">
        <v>31</v>
      </c>
      <c r="G220" s="44">
        <f>SUMIFS($M$8:$M$69,$N$8:$N$69,E220,$C$8:$C$69,$E$204)</f>
        <v>0</v>
      </c>
      <c r="H220" s="18"/>
      <c r="I220" s="18"/>
      <c r="J220" s="18"/>
      <c r="K220" s="18"/>
      <c r="L220" s="18"/>
    </row>
    <row r="221" spans="1:12" x14ac:dyDescent="0.25">
      <c r="A221" s="18"/>
      <c r="B221" s="353" t="s">
        <v>73</v>
      </c>
      <c r="C221" s="354"/>
      <c r="D221" s="354"/>
      <c r="E221" s="6">
        <v>50</v>
      </c>
      <c r="F221" s="6" t="s">
        <v>31</v>
      </c>
      <c r="G221" s="7">
        <f>SUMIFS($M$8:$M$69,$N$8:$N$69,E221,$C$8:$C$69,$E$204)</f>
        <v>130</v>
      </c>
      <c r="H221" s="18"/>
      <c r="I221" s="18"/>
      <c r="J221" s="18"/>
      <c r="K221" s="18"/>
      <c r="L221" s="18"/>
    </row>
    <row r="222" spans="1:12" x14ac:dyDescent="0.25">
      <c r="A222" s="18"/>
      <c r="B222" s="353" t="s">
        <v>74</v>
      </c>
      <c r="C222" s="354"/>
      <c r="D222" s="354"/>
      <c r="E222" s="6">
        <v>60</v>
      </c>
      <c r="F222" s="6" t="s">
        <v>31</v>
      </c>
      <c r="G222" s="7">
        <f>SUMIFS($M$8:$M$69,$N$8:$N$69,E222,$C$8:$C$69,$E$204)</f>
        <v>0</v>
      </c>
      <c r="H222" s="18"/>
      <c r="I222" s="18"/>
      <c r="J222" s="18"/>
      <c r="K222" s="18"/>
      <c r="L222" s="18"/>
    </row>
    <row r="223" spans="1:12" ht="15.75" thickBot="1" x14ac:dyDescent="0.3">
      <c r="A223" s="18"/>
      <c r="B223" s="355" t="s">
        <v>75</v>
      </c>
      <c r="C223" s="356"/>
      <c r="D223" s="356"/>
      <c r="E223" s="24">
        <v>100</v>
      </c>
      <c r="F223" s="24" t="s">
        <v>31</v>
      </c>
      <c r="G223" s="41">
        <f>SUMIFS($M$8:$M$69,$N$8:$N$69,E223,$C$8:$C$69,$E$204)</f>
        <v>0</v>
      </c>
      <c r="H223" s="18"/>
      <c r="I223" s="18"/>
      <c r="J223" s="18"/>
      <c r="K223" s="18"/>
      <c r="L223" s="18"/>
    </row>
    <row r="224" spans="1:12" x14ac:dyDescent="0.25">
      <c r="A224" s="18"/>
      <c r="B224" s="345"/>
      <c r="C224" s="346"/>
      <c r="D224" s="346"/>
      <c r="E224" s="346"/>
      <c r="F224" s="18"/>
      <c r="G224" s="18"/>
      <c r="H224" s="18"/>
      <c r="I224" s="18"/>
      <c r="J224" s="18"/>
      <c r="K224" s="18"/>
      <c r="L224" s="18"/>
    </row>
    <row r="225" spans="1:12" ht="15" customHeight="1" x14ac:dyDescent="0.25">
      <c r="A225" s="18"/>
      <c r="B225" s="347" t="s">
        <v>76</v>
      </c>
      <c r="C225" s="347"/>
      <c r="D225" s="347"/>
      <c r="E225" s="347"/>
      <c r="F225" s="347"/>
      <c r="G225" s="347"/>
      <c r="H225" s="18"/>
      <c r="I225" s="18"/>
      <c r="J225" s="18"/>
      <c r="K225" s="18"/>
      <c r="L225" s="18"/>
    </row>
  </sheetData>
  <mergeCells count="155">
    <mergeCell ref="B224:E224"/>
    <mergeCell ref="B225:G225"/>
    <mergeCell ref="S146:U146"/>
    <mergeCell ref="S147:U147"/>
    <mergeCell ref="S148:U148"/>
    <mergeCell ref="S149:U149"/>
    <mergeCell ref="S150:U150"/>
    <mergeCell ref="S152:U152"/>
    <mergeCell ref="S153:U153"/>
    <mergeCell ref="S154:U154"/>
    <mergeCell ref="B218:D218"/>
    <mergeCell ref="B219:D219"/>
    <mergeCell ref="B220:D220"/>
    <mergeCell ref="B221:D221"/>
    <mergeCell ref="B222:D222"/>
    <mergeCell ref="B223:D223"/>
    <mergeCell ref="B212:E212"/>
    <mergeCell ref="B213:E213"/>
    <mergeCell ref="B214:E214"/>
    <mergeCell ref="S164:U164"/>
    <mergeCell ref="S165:U165"/>
    <mergeCell ref="D182:E182"/>
    <mergeCell ref="F182:G182"/>
    <mergeCell ref="D183:E183"/>
    <mergeCell ref="B215:E215"/>
    <mergeCell ref="B216:D216"/>
    <mergeCell ref="B217:D217"/>
    <mergeCell ref="B206:E206"/>
    <mergeCell ref="B207:E207"/>
    <mergeCell ref="B208:E208"/>
    <mergeCell ref="B209:E209"/>
    <mergeCell ref="B210:E210"/>
    <mergeCell ref="B211:E211"/>
    <mergeCell ref="D192:E192"/>
    <mergeCell ref="F192:G192"/>
    <mergeCell ref="D193:E193"/>
    <mergeCell ref="F193:G193"/>
    <mergeCell ref="D194:E194"/>
    <mergeCell ref="F194:G194"/>
    <mergeCell ref="A188:A191"/>
    <mergeCell ref="B188:B191"/>
    <mergeCell ref="C188:C191"/>
    <mergeCell ref="D188:E191"/>
    <mergeCell ref="F188:G188"/>
    <mergeCell ref="F189:G191"/>
    <mergeCell ref="A187:H187"/>
    <mergeCell ref="H176:H178"/>
    <mergeCell ref="I176:I178"/>
    <mergeCell ref="J176:J178"/>
    <mergeCell ref="D180:E180"/>
    <mergeCell ref="F180:G180"/>
    <mergeCell ref="D181:E181"/>
    <mergeCell ref="F181:G181"/>
    <mergeCell ref="F183:G183"/>
    <mergeCell ref="A174:G174"/>
    <mergeCell ref="A175:A179"/>
    <mergeCell ref="B175:B179"/>
    <mergeCell ref="C175:C179"/>
    <mergeCell ref="D175:E179"/>
    <mergeCell ref="F175:J175"/>
    <mergeCell ref="F176:G179"/>
    <mergeCell ref="A184:B184"/>
    <mergeCell ref="D184:E184"/>
    <mergeCell ref="F184:G184"/>
    <mergeCell ref="N144:Q144"/>
    <mergeCell ref="S144:U144"/>
    <mergeCell ref="S145:U145"/>
    <mergeCell ref="S155:U155"/>
    <mergeCell ref="S156:U156"/>
    <mergeCell ref="S157:U157"/>
    <mergeCell ref="S158:U158"/>
    <mergeCell ref="A170:B170"/>
    <mergeCell ref="S170:U170"/>
    <mergeCell ref="S151:U151"/>
    <mergeCell ref="S160:U160"/>
    <mergeCell ref="S161:U161"/>
    <mergeCell ref="S162:U162"/>
    <mergeCell ref="S163:U163"/>
    <mergeCell ref="S159:U159"/>
    <mergeCell ref="S166:U166"/>
    <mergeCell ref="S167:U167"/>
    <mergeCell ref="S168:U168"/>
    <mergeCell ref="S169:U169"/>
    <mergeCell ref="R140:U140"/>
    <mergeCell ref="D141:D143"/>
    <mergeCell ref="E141:E142"/>
    <mergeCell ref="H141:H142"/>
    <mergeCell ref="I141:I142"/>
    <mergeCell ref="J141:J142"/>
    <mergeCell ref="K141:K142"/>
    <mergeCell ref="L141:L142"/>
    <mergeCell ref="M141:M142"/>
    <mergeCell ref="N141:Q143"/>
    <mergeCell ref="R141:R142"/>
    <mergeCell ref="S141:U143"/>
    <mergeCell ref="N79:Q79"/>
    <mergeCell ref="A136:B136"/>
    <mergeCell ref="A139:G139"/>
    <mergeCell ref="A140:A143"/>
    <mergeCell ref="B140:B143"/>
    <mergeCell ref="C140:C143"/>
    <mergeCell ref="D140:E140"/>
    <mergeCell ref="F140:G141"/>
    <mergeCell ref="H140:Q140"/>
    <mergeCell ref="A75:A78"/>
    <mergeCell ref="B75:B78"/>
    <mergeCell ref="C75:C78"/>
    <mergeCell ref="D75:E75"/>
    <mergeCell ref="F75:G76"/>
    <mergeCell ref="V4:V5"/>
    <mergeCell ref="W4:W5"/>
    <mergeCell ref="N76:Q78"/>
    <mergeCell ref="R76:R77"/>
    <mergeCell ref="S76:S77"/>
    <mergeCell ref="T76:T77"/>
    <mergeCell ref="U76:U77"/>
    <mergeCell ref="V76:V77"/>
    <mergeCell ref="H75:V75"/>
    <mergeCell ref="W75:W78"/>
    <mergeCell ref="D76:D78"/>
    <mergeCell ref="E76:E77"/>
    <mergeCell ref="H76:H77"/>
    <mergeCell ref="I76:I77"/>
    <mergeCell ref="J76:J77"/>
    <mergeCell ref="K76:K77"/>
    <mergeCell ref="L76:L77"/>
    <mergeCell ref="M76:M77"/>
    <mergeCell ref="N7:Q7"/>
    <mergeCell ref="A71:B71"/>
    <mergeCell ref="A74:G74"/>
    <mergeCell ref="A2:G2"/>
    <mergeCell ref="A3:A6"/>
    <mergeCell ref="B3:B6"/>
    <mergeCell ref="C3:C6"/>
    <mergeCell ref="D3:E3"/>
    <mergeCell ref="F3:G4"/>
    <mergeCell ref="H3:V3"/>
    <mergeCell ref="W3:Z3"/>
    <mergeCell ref="AA3:AA6"/>
    <mergeCell ref="D4:D6"/>
    <mergeCell ref="E4:E5"/>
    <mergeCell ref="H4:H5"/>
    <mergeCell ref="I4:I5"/>
    <mergeCell ref="J4:J5"/>
    <mergeCell ref="K4:K5"/>
    <mergeCell ref="L4:L5"/>
    <mergeCell ref="X4:X5"/>
    <mergeCell ref="Y4:Y5"/>
    <mergeCell ref="Z4:Z5"/>
    <mergeCell ref="M4:M5"/>
    <mergeCell ref="N4:Q6"/>
    <mergeCell ref="R4:R5"/>
    <mergeCell ref="S4:S5"/>
    <mergeCell ref="T4:T5"/>
    <mergeCell ref="U4:U5"/>
  </mergeCells>
  <phoneticPr fontId="14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B4AEE-7F84-4B9F-A536-C6FC43665912}">
  <dimension ref="A1:AL107"/>
  <sheetViews>
    <sheetView zoomScale="70" zoomScaleNormal="70" workbookViewId="0">
      <selection activeCell="A3" sqref="A3:Q56"/>
    </sheetView>
  </sheetViews>
  <sheetFormatPr defaultRowHeight="15" x14ac:dyDescent="0.25"/>
  <cols>
    <col min="1" max="1" width="5.42578125" customWidth="1"/>
    <col min="2" max="2" width="45.42578125" customWidth="1"/>
    <col min="3" max="3" width="8.7109375" customWidth="1"/>
    <col min="4" max="4" width="8.5703125" customWidth="1"/>
    <col min="8" max="8" width="12.140625" customWidth="1"/>
    <col min="10" max="10" width="8.28515625" customWidth="1"/>
    <col min="13" max="13" width="8.140625" customWidth="1"/>
    <col min="14" max="14" width="9.28515625" customWidth="1"/>
    <col min="15" max="15" width="6.28515625" customWidth="1"/>
    <col min="17" max="17" width="7.85546875" customWidth="1"/>
  </cols>
  <sheetData>
    <row r="1" spans="1:38" ht="15.75" x14ac:dyDescent="0.25">
      <c r="A1" s="10" t="s">
        <v>968</v>
      </c>
    </row>
    <row r="2" spans="1:38" x14ac:dyDescent="0.25">
      <c r="A2" s="92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</row>
    <row r="3" spans="1:38" x14ac:dyDescent="0.25">
      <c r="A3" s="284" t="s">
        <v>2</v>
      </c>
      <c r="B3" s="235" t="s">
        <v>443</v>
      </c>
      <c r="C3" s="235"/>
      <c r="D3" s="235"/>
      <c r="E3" s="235" t="s">
        <v>444</v>
      </c>
      <c r="F3" s="235" t="s">
        <v>445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92" t="s">
        <v>44</v>
      </c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</row>
    <row r="4" spans="1:38" x14ac:dyDescent="0.25">
      <c r="A4" s="284"/>
      <c r="B4" s="235"/>
      <c r="C4" s="235"/>
      <c r="D4" s="235"/>
      <c r="E4" s="235"/>
      <c r="F4" s="235" t="s">
        <v>362</v>
      </c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92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</row>
    <row r="5" spans="1:38" x14ac:dyDescent="0.25">
      <c r="A5" s="284"/>
      <c r="B5" s="235"/>
      <c r="C5" s="235"/>
      <c r="D5" s="235"/>
      <c r="E5" s="235"/>
      <c r="F5" s="99" t="s">
        <v>42</v>
      </c>
      <c r="G5" s="99" t="s">
        <v>249</v>
      </c>
      <c r="H5" s="99" t="s">
        <v>43</v>
      </c>
      <c r="I5" s="99" t="s">
        <v>88</v>
      </c>
      <c r="J5" s="99" t="s">
        <v>89</v>
      </c>
      <c r="K5" s="99" t="s">
        <v>90</v>
      </c>
      <c r="L5" s="99" t="s">
        <v>91</v>
      </c>
      <c r="M5" s="99" t="s">
        <v>92</v>
      </c>
      <c r="N5" s="99" t="s">
        <v>93</v>
      </c>
      <c r="O5" s="99" t="s">
        <v>94</v>
      </c>
      <c r="P5" s="99" t="s">
        <v>246</v>
      </c>
      <c r="Q5" s="292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</row>
    <row r="6" spans="1:38" x14ac:dyDescent="0.25">
      <c r="A6" s="89" t="s">
        <v>36</v>
      </c>
      <c r="B6" s="89" t="str">
        <f>CHAR(CODE(A6)+1)</f>
        <v>B</v>
      </c>
      <c r="C6" s="89" t="str">
        <f t="shared" ref="C6:Q6" si="0">CHAR(CODE(B6)+1)</f>
        <v>C</v>
      </c>
      <c r="D6" s="89" t="str">
        <f t="shared" si="0"/>
        <v>D</v>
      </c>
      <c r="E6" s="89" t="str">
        <f t="shared" si="0"/>
        <v>E</v>
      </c>
      <c r="F6" s="89" t="str">
        <f t="shared" si="0"/>
        <v>F</v>
      </c>
      <c r="G6" s="89" t="str">
        <f t="shared" si="0"/>
        <v>G</v>
      </c>
      <c r="H6" s="89" t="str">
        <f t="shared" si="0"/>
        <v>H</v>
      </c>
      <c r="I6" s="89" t="str">
        <f t="shared" si="0"/>
        <v>I</v>
      </c>
      <c r="J6" s="89" t="str">
        <f t="shared" si="0"/>
        <v>J</v>
      </c>
      <c r="K6" s="89" t="str">
        <f t="shared" si="0"/>
        <v>K</v>
      </c>
      <c r="L6" s="89" t="str">
        <f t="shared" si="0"/>
        <v>L</v>
      </c>
      <c r="M6" s="89" t="str">
        <f t="shared" si="0"/>
        <v>M</v>
      </c>
      <c r="N6" s="89" t="str">
        <f t="shared" si="0"/>
        <v>N</v>
      </c>
      <c r="O6" s="89" t="str">
        <f t="shared" si="0"/>
        <v>O</v>
      </c>
      <c r="P6" s="89" t="str">
        <f t="shared" si="0"/>
        <v>P</v>
      </c>
      <c r="Q6" s="89" t="str">
        <f t="shared" si="0"/>
        <v>Q</v>
      </c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</row>
    <row r="7" spans="1:38" x14ac:dyDescent="0.25">
      <c r="A7" s="6">
        <v>1</v>
      </c>
      <c r="B7" s="227" t="s">
        <v>446</v>
      </c>
      <c r="C7" s="227"/>
      <c r="D7" s="227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</row>
    <row r="8" spans="1:38" x14ac:dyDescent="0.25">
      <c r="A8" s="6">
        <f>A7+1</f>
        <v>2</v>
      </c>
      <c r="B8" s="269" t="s">
        <v>503</v>
      </c>
      <c r="C8" s="269"/>
      <c r="D8" s="269"/>
      <c r="E8" s="6" t="s">
        <v>31</v>
      </c>
      <c r="F8" s="6">
        <f>SUMIFS('T9'!$X$8:$X$70,'T9'!$C$8:$C$70,'T10'!F$5)+SUMIFS('T9'!$H$181:$H$183,'T9'!$C$181:$C$183,'T10'!F$5)</f>
        <v>32</v>
      </c>
      <c r="G8" s="6"/>
      <c r="H8" s="6">
        <f>SUMIFS('T9'!$X$8:$X$70,'T9'!$C$8:$C$70,'T10'!H$5)+SUMIFS('T9'!$H$181:$H$183,'T9'!$C$181:$C$183,'T10'!H$5)</f>
        <v>142</v>
      </c>
      <c r="I8" s="6">
        <f>SUMIFS('T9'!$X$8:$X$70,'T9'!$C$8:$C$70,'T10'!I$5)+SUMIFS('T9'!$H$181:$H$183,'T9'!$C$181:$C$183,'T10'!I$5)</f>
        <v>92</v>
      </c>
      <c r="J8" s="6">
        <f>SUMIFS('T9'!$X$8:$X$70,'T9'!$C$8:$C$70,'T10'!J$5)+SUMIFS('T9'!$H$181:$H$183,'T9'!$C$181:$C$183,'T10'!J$5)</f>
        <v>203</v>
      </c>
      <c r="K8" s="6">
        <f>SUMIFS('T9'!$X$8:$X$70,'T9'!$C$8:$C$70,'T10'!K$5)+SUMIFS('T9'!$H$181:$H$183,'T9'!$C$181:$C$183,'T10'!K$5)</f>
        <v>44</v>
      </c>
      <c r="L8" s="6">
        <f>SUMIFS('T9'!$X$8:$X$70,'T9'!$C$8:$C$70,'T10'!L$5)+SUMIFS('T9'!$H$181:$H$183,'T9'!$C$181:$C$183,'T10'!L$5)</f>
        <v>12</v>
      </c>
      <c r="M8" s="6">
        <f>SUMIFS('T9'!$X$8:$X$70,'T9'!$C$8:$C$70,'T10'!M$5)+SUMIFS('T9'!$H$181:$H$183,'T9'!$C$181:$C$183,'T10'!M$5)</f>
        <v>32</v>
      </c>
      <c r="N8" s="6">
        <f>SUMIFS('T9'!$X$8:$X$70,'T9'!$C$8:$C$70,'T10'!N$5)+SUMIFS('T9'!$H$181:$H$183,'T9'!$C$181:$C$183,'T10'!N$5)</f>
        <v>10</v>
      </c>
      <c r="O8" s="6"/>
      <c r="P8" s="6">
        <f>SUMIFS('T9'!$X$8:$X$70,'T9'!$C$8:$C$70,'T10'!P$5)+SUMIFS('T9'!$H$181:$H$183,'T9'!$C$181:$C$183,'T10'!P$5)</f>
        <v>8</v>
      </c>
      <c r="Q8" s="8">
        <f>SUM(F8:P8)</f>
        <v>575</v>
      </c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</row>
    <row r="9" spans="1:38" x14ac:dyDescent="0.25">
      <c r="A9" s="6">
        <f t="shared" ref="A9:A56" si="1">A8+1</f>
        <v>3</v>
      </c>
      <c r="B9" s="269" t="s">
        <v>504</v>
      </c>
      <c r="C9" s="269"/>
      <c r="D9" s="269"/>
      <c r="E9" s="6" t="s">
        <v>447</v>
      </c>
      <c r="F9" s="6">
        <f>SUMIFS('T9'!$Y$8:$Y$70,'T9'!$C$8:$C$70,'T10'!F$5)</f>
        <v>2</v>
      </c>
      <c r="G9" s="6"/>
      <c r="H9" s="6"/>
      <c r="I9" s="6"/>
      <c r="J9" s="6">
        <f>SUMIFS('T9'!$Y$8:$Y$70,'T9'!$C$8:$C$70,'T10'!J$5)</f>
        <v>22</v>
      </c>
      <c r="K9" s="6"/>
      <c r="L9" s="6"/>
      <c r="M9" s="6"/>
      <c r="N9" s="6"/>
      <c r="O9" s="6"/>
      <c r="P9" s="6"/>
      <c r="Q9" s="8">
        <f>SUM(F9:P9)</f>
        <v>24</v>
      </c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</row>
    <row r="10" spans="1:38" x14ac:dyDescent="0.25">
      <c r="A10" s="6">
        <f t="shared" si="1"/>
        <v>4</v>
      </c>
      <c r="B10" s="227" t="s">
        <v>448</v>
      </c>
      <c r="C10" s="227"/>
      <c r="D10" s="227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</row>
    <row r="11" spans="1:38" x14ac:dyDescent="0.25">
      <c r="A11" s="6">
        <f t="shared" si="1"/>
        <v>5</v>
      </c>
      <c r="B11" s="269" t="s">
        <v>65</v>
      </c>
      <c r="C11" s="269"/>
      <c r="D11" s="269"/>
      <c r="E11" s="6" t="s">
        <v>34</v>
      </c>
      <c r="F11" s="6">
        <f>COUNTIF('T9'!$C$8:$C$70,'T10'!F5)</f>
        <v>4</v>
      </c>
      <c r="G11" s="6"/>
      <c r="H11" s="6">
        <f>COUNTIF('T9'!$C$8:$C$70,'T10'!H5)</f>
        <v>16</v>
      </c>
      <c r="I11" s="6">
        <f>COUNTIF('T9'!$C$8:$C$70,'T10'!I5)</f>
        <v>12</v>
      </c>
      <c r="J11" s="6">
        <f>COUNTIF('T9'!$C$8:$C$70,'T10'!J5)</f>
        <v>21</v>
      </c>
      <c r="K11" s="6">
        <f>COUNTIF('T9'!$C$8:$C$70,'T10'!K5)</f>
        <v>4</v>
      </c>
      <c r="L11" s="6">
        <f>COUNTIF('T9'!$C$8:$C$70,'T10'!L5)</f>
        <v>1</v>
      </c>
      <c r="M11" s="6">
        <f>COUNTIF('T9'!$C$8:$C$70,'T10'!M5)</f>
        <v>3</v>
      </c>
      <c r="N11" s="6">
        <f>COUNTIF('T9'!$C$8:$C$70,'T10'!N5)</f>
        <v>1</v>
      </c>
      <c r="O11" s="6"/>
      <c r="P11" s="6">
        <f>COUNTIF('T9'!$C$8:$C$70,'T10'!P5)</f>
        <v>1</v>
      </c>
      <c r="Q11" s="8">
        <f>SUM(F11:P11)</f>
        <v>63</v>
      </c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</row>
    <row r="12" spans="1:38" x14ac:dyDescent="0.25">
      <c r="A12" s="6">
        <f t="shared" si="1"/>
        <v>6</v>
      </c>
      <c r="B12" s="269" t="s">
        <v>66</v>
      </c>
      <c r="C12" s="269"/>
      <c r="D12" s="269"/>
      <c r="E12" s="6" t="s">
        <v>34</v>
      </c>
      <c r="F12" s="6">
        <f>COUNTIF('T9'!$C$80:$C$135,'T10'!F5)</f>
        <v>8</v>
      </c>
      <c r="G12" s="6">
        <f>COUNTIF('T9'!$C$80:$C$135,'T10'!G5)</f>
        <v>2</v>
      </c>
      <c r="H12" s="6">
        <f>COUNTIF('T9'!$C$80:$C$135,'T10'!H5)</f>
        <v>25</v>
      </c>
      <c r="I12" s="6">
        <f>COUNTIF('T9'!$C$80:$C$135,'T10'!I5)</f>
        <v>10</v>
      </c>
      <c r="J12" s="6">
        <f>COUNTIF('T9'!$C$80:$C$135,'T10'!J5)</f>
        <v>9</v>
      </c>
      <c r="K12" s="6"/>
      <c r="L12" s="6"/>
      <c r="M12" s="6">
        <f>COUNTIF('T9'!$C$80:$C$135,'T10'!M5)</f>
        <v>1</v>
      </c>
      <c r="N12" s="6">
        <f>COUNTIF('T9'!$C$80:$C$135,'T10'!N5)</f>
        <v>1</v>
      </c>
      <c r="O12" s="6"/>
      <c r="P12" s="6"/>
      <c r="Q12" s="8">
        <f>SUM(F12:P12)</f>
        <v>56</v>
      </c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</row>
    <row r="13" spans="1:38" x14ac:dyDescent="0.25">
      <c r="A13" s="6">
        <f t="shared" si="1"/>
        <v>7</v>
      </c>
      <c r="B13" s="269" t="s">
        <v>67</v>
      </c>
      <c r="C13" s="269"/>
      <c r="D13" s="269"/>
      <c r="E13" s="6" t="s">
        <v>34</v>
      </c>
      <c r="F13" s="6">
        <f>COUNTIF('T9'!$C$145:$C$169,'T10'!F5)</f>
        <v>3</v>
      </c>
      <c r="G13" s="6"/>
      <c r="H13" s="6">
        <f>COUNTIF('T9'!$C$145:$C$169,'T10'!H5)</f>
        <v>16</v>
      </c>
      <c r="I13" s="6">
        <f>COUNTIF('T9'!$C$145:$C$169,'T10'!I5)</f>
        <v>4</v>
      </c>
      <c r="J13" s="6">
        <f>COUNTIF('T9'!$C$145:$C$169,'T10'!J5)</f>
        <v>1</v>
      </c>
      <c r="K13" s="6"/>
      <c r="L13" s="6"/>
      <c r="M13" s="6"/>
      <c r="N13" s="6"/>
      <c r="O13" s="6">
        <f>COUNTIF('T9'!$C$145:$C$169,'T10'!O5)</f>
        <v>1</v>
      </c>
      <c r="P13" s="6"/>
      <c r="Q13" s="8">
        <f>SUM(F13:P13)</f>
        <v>25</v>
      </c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</row>
    <row r="14" spans="1:38" x14ac:dyDescent="0.25">
      <c r="A14" s="6">
        <f t="shared" si="1"/>
        <v>8</v>
      </c>
      <c r="B14" s="269" t="s">
        <v>64</v>
      </c>
      <c r="C14" s="269"/>
      <c r="D14" s="269"/>
      <c r="E14" s="6" t="s">
        <v>34</v>
      </c>
      <c r="F14" s="6"/>
      <c r="G14" s="6"/>
      <c r="H14" s="6">
        <f>COUNTIF('T9'!$C$181:$C$183,'T10'!H5)</f>
        <v>2</v>
      </c>
      <c r="I14" s="6"/>
      <c r="J14" s="6">
        <f>COUNTIF('T9'!$C$181:$C$183,'T10'!J5)</f>
        <v>1</v>
      </c>
      <c r="K14" s="6"/>
      <c r="L14" s="6"/>
      <c r="M14" s="6"/>
      <c r="N14" s="6"/>
      <c r="O14" s="6"/>
      <c r="P14" s="6"/>
      <c r="Q14" s="8">
        <f>SUM(F14:P14)</f>
        <v>3</v>
      </c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</row>
    <row r="15" spans="1:38" x14ac:dyDescent="0.25">
      <c r="A15" s="6">
        <f t="shared" si="1"/>
        <v>9</v>
      </c>
      <c r="B15" s="227" t="s">
        <v>449</v>
      </c>
      <c r="C15" s="227"/>
      <c r="D15" s="227"/>
      <c r="E15" s="269"/>
      <c r="F15" s="269"/>
      <c r="G15" s="269"/>
      <c r="H15" s="269"/>
      <c r="I15" s="269"/>
      <c r="J15" s="269"/>
      <c r="K15" s="269"/>
      <c r="L15" s="269"/>
      <c r="M15" s="269"/>
      <c r="N15" s="269"/>
      <c r="O15" s="269"/>
      <c r="P15" s="269"/>
      <c r="Q15" s="269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</row>
    <row r="16" spans="1:38" x14ac:dyDescent="0.25">
      <c r="A16" s="6">
        <f t="shared" si="1"/>
        <v>10</v>
      </c>
      <c r="B16" s="269" t="s">
        <v>488</v>
      </c>
      <c r="C16" s="269"/>
      <c r="D16" s="6">
        <v>50</v>
      </c>
      <c r="E16" s="6" t="s">
        <v>31</v>
      </c>
      <c r="F16" s="6">
        <f>SUMIFS('T9'!$M$8:$M$70,'T9'!$N$8:$N$70,$D16,'T9'!$C$8:$C$70,'T10'!F$5)+SUMIFS('T9'!$M$80:$M$135,'T9'!$N$80:$N$135,$D16,'T9'!$C$80:$C$135,'T10'!F$5)</f>
        <v>122</v>
      </c>
      <c r="G16" s="6"/>
      <c r="H16" s="6">
        <f>SUMIFS('T9'!$M$8:$M$70,'T9'!$N$8:$N$70,$D16,'T9'!$C$8:$C$70,'T10'!H$5)+SUMIFS('T9'!$M$80:$M$135,'T9'!$N$80:$N$135,$D16,'T9'!$C$80:$C$135,'T10'!H$5)</f>
        <v>320</v>
      </c>
      <c r="I16" s="6">
        <f>SUMIFS('T9'!$M$8:$M$70,'T9'!$N$8:$N$70,$D16,'T9'!$C$8:$C$70,'T10'!I$5)+SUMIFS('T9'!$M$80:$M$135,'T9'!$N$80:$N$135,$D16,'T9'!$C$80:$C$135,'T10'!I$5)</f>
        <v>160</v>
      </c>
      <c r="J16" s="6">
        <f>SUMIFS('T9'!$M$8:$M$70,'T9'!$N$8:$N$70,$D16,'T9'!$C$8:$C$70,'T10'!J$5)+SUMIFS('T9'!$M$80:$M$135,'T9'!$N$80:$N$135,$D16,'T9'!$C$80:$C$135,'T10'!J$5)</f>
        <v>204</v>
      </c>
      <c r="K16" s="6">
        <f>SUMIFS('T9'!$M$8:$M$70,'T9'!$N$8:$N$70,$D16,'T9'!$C$8:$C$70,'T10'!K$5)+SUMIFS('T9'!$M$80:$M$135,'T9'!$N$80:$N$135,$D16,'T9'!$C$80:$C$135,'T10'!K$5)</f>
        <v>20</v>
      </c>
      <c r="L16" s="6">
        <f>SUMIFS('T9'!$M$8:$M$70,'T9'!$N$8:$N$70,$D16,'T9'!$C$8:$C$70,'T10'!L$5)+SUMIFS('T9'!$M$80:$M$135,'T9'!$N$80:$N$135,$D16,'T9'!$C$80:$C$135,'T10'!L$5)</f>
        <v>12</v>
      </c>
      <c r="M16" s="6">
        <f>SUMIFS('T9'!$M$8:$M$70,'T9'!$N$8:$N$70,$D16,'T9'!$C$8:$C$70,'T10'!M$5)+SUMIFS('T9'!$M$80:$M$135,'T9'!$N$80:$N$135,$D16,'T9'!$C$80:$C$135,'T10'!M$5)</f>
        <v>48</v>
      </c>
      <c r="N16" s="6"/>
      <c r="O16" s="6"/>
      <c r="P16" s="6">
        <f>SUMIFS('T9'!$M$8:$M$70,'T9'!$N$8:$N$70,$D16,'T9'!$C$8:$C$70,'T10'!P$5)+SUMIFS('T9'!$M$80:$M$135,'T9'!$N$80:$N$135,$D16,'T9'!$C$80:$C$135,'T10'!P$5)</f>
        <v>10</v>
      </c>
      <c r="Q16" s="8">
        <f t="shared" ref="Q16:Q21" si="2">SUM(F16:P16)</f>
        <v>896</v>
      </c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</row>
    <row r="17" spans="1:38" x14ac:dyDescent="0.25">
      <c r="A17" s="6">
        <f t="shared" si="1"/>
        <v>11</v>
      </c>
      <c r="B17" s="269" t="s">
        <v>489</v>
      </c>
      <c r="C17" s="269"/>
      <c r="D17" s="6">
        <v>60</v>
      </c>
      <c r="E17" s="6" t="s">
        <v>31</v>
      </c>
      <c r="F17" s="6"/>
      <c r="G17" s="6">
        <f>SUMIFS('T9'!$M$8:$M$70,'T9'!$N$8:$N$70,$D17,'T9'!$C$8:$C$70,'T10'!G$5)+SUMIFS('T9'!$M$80:$M$135,'T9'!$N$80:$N$135,$D17,'T9'!$C$80:$C$135,'T10'!G$5)</f>
        <v>20</v>
      </c>
      <c r="H17" s="6">
        <f>SUMIFS('T9'!$M$8:$M$70,'T9'!$N$8:$N$70,$D17,'T9'!$C$8:$C$70,'T10'!H$5)+SUMIFS('T9'!$M$80:$M$135,'T9'!$N$80:$N$135,$D17,'T9'!$C$80:$C$135,'T10'!H$5)</f>
        <v>10</v>
      </c>
      <c r="I17" s="6">
        <f>SUMIFS('T9'!$M$8:$M$70,'T9'!$N$8:$N$70,$D17,'T9'!$C$8:$C$70,'T10'!I$5)+SUMIFS('T9'!$M$80:$M$135,'T9'!$N$80:$N$135,$D17,'T9'!$C$80:$C$135,'T10'!I$5)</f>
        <v>50</v>
      </c>
      <c r="J17" s="6">
        <f>SUMIFS('T9'!$M$8:$M$70,'T9'!$N$8:$N$70,$D17,'T9'!$C$8:$C$70,'T10'!J$5)+SUMIFS('T9'!$M$80:$M$135,'T9'!$N$80:$N$135,$D17,'T9'!$C$80:$C$135,'T10'!J$5)</f>
        <v>47</v>
      </c>
      <c r="K17" s="6">
        <f>SUMIFS('T9'!$M$8:$M$70,'T9'!$N$8:$N$70,$D17,'T9'!$C$8:$C$70,'T10'!K$5)+SUMIFS('T9'!$M$80:$M$135,'T9'!$N$80:$N$135,$D17,'T9'!$C$80:$C$135,'T10'!K$5)</f>
        <v>22</v>
      </c>
      <c r="L17" s="6"/>
      <c r="M17" s="6"/>
      <c r="N17" s="6"/>
      <c r="O17" s="6"/>
      <c r="P17" s="6"/>
      <c r="Q17" s="8">
        <f t="shared" si="2"/>
        <v>149</v>
      </c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</row>
    <row r="18" spans="1:38" x14ac:dyDescent="0.25">
      <c r="A18" s="6">
        <f t="shared" si="1"/>
        <v>12</v>
      </c>
      <c r="B18" s="269" t="s">
        <v>493</v>
      </c>
      <c r="C18" s="269"/>
      <c r="D18" s="6">
        <v>80</v>
      </c>
      <c r="E18" s="6" t="s">
        <v>31</v>
      </c>
      <c r="F18" s="6"/>
      <c r="G18" s="6"/>
      <c r="H18" s="6">
        <f>SUMIFS('T9'!$M$8:$M$70,'T9'!$N$8:$N$70,$D18,'T9'!$C$8:$C$70,'T10'!H$5)+SUMIFS('T9'!$M$80:$M$135,'T9'!$N$80:$N$135,$D18,'T9'!$C$80:$C$135,'T10'!H$5)</f>
        <v>30</v>
      </c>
      <c r="I18" s="6">
        <f>SUMIFS('T9'!$M$8:$M$70,'T9'!$N$8:$N$70,$D18,'T9'!$C$8:$C$70,'T10'!I$5)+SUMIFS('T9'!$M$80:$M$135,'T9'!$N$80:$N$135,$D18,'T9'!$C$80:$C$135,'T10'!I$5)</f>
        <v>10</v>
      </c>
      <c r="J18" s="6">
        <f>SUMIFS('T9'!$M$8:$M$70,'T9'!$N$8:$N$70,$D18,'T9'!$C$8:$C$70,'T10'!J$5)+SUMIFS('T9'!$M$80:$M$135,'T9'!$N$80:$N$135,$D18,'T9'!$C$80:$C$135,'T10'!J$5)</f>
        <v>20</v>
      </c>
      <c r="K18" s="6"/>
      <c r="L18" s="6"/>
      <c r="M18" s="6"/>
      <c r="N18" s="6"/>
      <c r="O18" s="6"/>
      <c r="P18" s="6"/>
      <c r="Q18" s="8">
        <f t="shared" si="2"/>
        <v>60</v>
      </c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</row>
    <row r="19" spans="1:38" x14ac:dyDescent="0.25">
      <c r="A19" s="6">
        <f t="shared" si="1"/>
        <v>13</v>
      </c>
      <c r="B19" s="269" t="s">
        <v>490</v>
      </c>
      <c r="C19" s="269"/>
      <c r="D19" s="6">
        <v>100</v>
      </c>
      <c r="E19" s="6" t="s">
        <v>31</v>
      </c>
      <c r="F19" s="6"/>
      <c r="G19" s="6"/>
      <c r="H19" s="6"/>
      <c r="I19" s="6"/>
      <c r="J19" s="6">
        <f>SUMIFS('T9'!$M$8:$M$70,'T9'!$N$8:$N$70,$D19,'T9'!$C$8:$C$70,'T10'!J$5)+SUMIFS('T9'!$M$80:$M$135,'T9'!$N$80:$N$135,$D19,'T9'!$C$80:$C$135,'T10'!J$5)</f>
        <v>72</v>
      </c>
      <c r="K19" s="6"/>
      <c r="L19" s="6"/>
      <c r="M19" s="6"/>
      <c r="N19" s="6">
        <f>SUMIFS('T9'!$M$8:$M$70,'T9'!$N$8:$N$70,$D19,'T9'!$C$8:$C$70,'T10'!N$5)+SUMIFS('T9'!$M$80:$M$135,'T9'!$N$80:$N$135,$D19,'T9'!$C$80:$C$135,'T10'!N$5)</f>
        <v>20</v>
      </c>
      <c r="O19" s="6"/>
      <c r="P19" s="6"/>
      <c r="Q19" s="8">
        <f t="shared" si="2"/>
        <v>92</v>
      </c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</row>
    <row r="20" spans="1:38" x14ac:dyDescent="0.25">
      <c r="A20" s="6">
        <f t="shared" si="1"/>
        <v>14</v>
      </c>
      <c r="B20" s="269" t="s">
        <v>491</v>
      </c>
      <c r="C20" s="269"/>
      <c r="D20" s="6">
        <v>140</v>
      </c>
      <c r="E20" s="6" t="s">
        <v>31</v>
      </c>
      <c r="F20" s="6"/>
      <c r="G20" s="6"/>
      <c r="H20" s="6">
        <f>SUMIFS('T9'!$M$8:$M$70,'T9'!$N$8:$N$70,$D20,'T9'!$C$8:$C$70,'T10'!H$5)+SUMIFS('T9'!$M$80:$M$135,'T9'!$N$80:$N$135,$D20,'T9'!$C$80:$C$135,'T10'!H$5)</f>
        <v>10</v>
      </c>
      <c r="I20" s="6"/>
      <c r="J20" s="6"/>
      <c r="K20" s="6"/>
      <c r="L20" s="6"/>
      <c r="M20" s="6"/>
      <c r="N20" s="6"/>
      <c r="O20" s="6"/>
      <c r="P20" s="6"/>
      <c r="Q20" s="8">
        <f t="shared" si="2"/>
        <v>10</v>
      </c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</row>
    <row r="21" spans="1:38" x14ac:dyDescent="0.25">
      <c r="A21" s="6">
        <f t="shared" si="1"/>
        <v>15</v>
      </c>
      <c r="B21" s="269" t="s">
        <v>492</v>
      </c>
      <c r="C21" s="269"/>
      <c r="D21" s="6">
        <v>150</v>
      </c>
      <c r="E21" s="6" t="s">
        <v>31</v>
      </c>
      <c r="F21" s="6"/>
      <c r="G21" s="6"/>
      <c r="H21" s="6">
        <f>SUMIFS('T9'!$M$8:$M$70,'T9'!$N$8:$N$70,$D21,'T9'!$C$8:$C$70,'T10'!H$5)+SUMIFS('T9'!$M$80:$M$135,'T9'!$N$80:$N$135,$D21,'T9'!$C$80:$C$135,'T10'!H$5)</f>
        <v>40</v>
      </c>
      <c r="I21" s="6"/>
      <c r="J21" s="6"/>
      <c r="K21" s="6"/>
      <c r="L21" s="6"/>
      <c r="M21" s="6"/>
      <c r="N21" s="6"/>
      <c r="O21" s="6"/>
      <c r="P21" s="6"/>
      <c r="Q21" s="8">
        <f t="shared" si="2"/>
        <v>40</v>
      </c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</row>
    <row r="22" spans="1:38" x14ac:dyDescent="0.25">
      <c r="A22" s="6">
        <f t="shared" si="1"/>
        <v>16</v>
      </c>
      <c r="B22" s="227" t="s">
        <v>450</v>
      </c>
      <c r="C22" s="227"/>
      <c r="D22" s="227"/>
      <c r="E22" s="269"/>
      <c r="F22" s="269"/>
      <c r="G22" s="269"/>
      <c r="H22" s="269"/>
      <c r="I22" s="269"/>
      <c r="J22" s="269"/>
      <c r="K22" s="269"/>
      <c r="L22" s="269"/>
      <c r="M22" s="269"/>
      <c r="N22" s="269"/>
      <c r="O22" s="269"/>
      <c r="P22" s="269"/>
      <c r="Q22" s="269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</row>
    <row r="23" spans="1:38" x14ac:dyDescent="0.25">
      <c r="A23" s="6">
        <f t="shared" si="1"/>
        <v>17</v>
      </c>
      <c r="B23" s="269" t="s">
        <v>494</v>
      </c>
      <c r="C23" s="269"/>
      <c r="D23" s="269"/>
      <c r="E23" s="6" t="s">
        <v>31</v>
      </c>
      <c r="F23" s="6">
        <f>SUMIFS('T9'!$M$145:$M$169,'T9'!$C$145:$C$169,'T10'!F5)</f>
        <v>39</v>
      </c>
      <c r="G23" s="6"/>
      <c r="H23" s="6">
        <f>SUMIFS('T9'!$M$145:$M$169,'T9'!$C$145:$C$169,'T10'!H5)</f>
        <v>166</v>
      </c>
      <c r="I23" s="6">
        <f>SUMIFS('T9'!$M$145:$M$169,'T9'!$C$145:$C$169,'T10'!I5)</f>
        <v>38</v>
      </c>
      <c r="J23" s="6">
        <f>SUMIFS('T9'!$M$145:$M$169,'T9'!$C$145:$C$169,'T10'!J5)</f>
        <v>15</v>
      </c>
      <c r="K23" s="6"/>
      <c r="L23" s="6"/>
      <c r="M23" s="6"/>
      <c r="N23" s="6"/>
      <c r="O23" s="6">
        <f>SUMIFS('T9'!$M$145:$M$169,'T9'!$C$145:$C$169,'T10'!O5)</f>
        <v>10</v>
      </c>
      <c r="P23" s="6"/>
      <c r="Q23" s="8">
        <f>SUM(F23:P23)</f>
        <v>268</v>
      </c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</row>
    <row r="24" spans="1:38" x14ac:dyDescent="0.25">
      <c r="A24" s="6">
        <f t="shared" si="1"/>
        <v>18</v>
      </c>
      <c r="B24" s="227" t="s">
        <v>451</v>
      </c>
      <c r="C24" s="227"/>
      <c r="D24" s="227"/>
      <c r="E24" s="269"/>
      <c r="F24" s="269"/>
      <c r="G24" s="269"/>
      <c r="H24" s="269"/>
      <c r="I24" s="269"/>
      <c r="J24" s="269"/>
      <c r="K24" s="269"/>
      <c r="L24" s="269"/>
      <c r="M24" s="269"/>
      <c r="N24" s="269"/>
      <c r="O24" s="269"/>
      <c r="P24" s="269"/>
      <c r="Q24" s="269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x14ac:dyDescent="0.25">
      <c r="A25" s="6">
        <f t="shared" si="1"/>
        <v>19</v>
      </c>
      <c r="B25" s="101" t="s">
        <v>452</v>
      </c>
      <c r="C25" s="101">
        <v>50</v>
      </c>
      <c r="D25" s="101" t="s">
        <v>247</v>
      </c>
      <c r="E25" s="6" t="s">
        <v>453</v>
      </c>
      <c r="F25" s="6">
        <f>COUNTIFS('T9'!$N$8:$N$70,'T10'!$C25,'T9'!$Q$8:$Q$70,'T10'!$D25,'T9'!$C$8:$C$70,'T10'!F$5)+COUNTIFS('T9'!$N$80:$N$135,'T10'!$C25,'T9'!$Q$80:$Q$135,'T10'!$D25,'T9'!$C$80:$C$135,'T10'!F$5)</f>
        <v>10</v>
      </c>
      <c r="G25" s="6"/>
      <c r="H25" s="6">
        <f>COUNTIFS('T9'!$N$8:$N$70,'T10'!$C25,'T9'!$Q$8:$Q$70,'T10'!$D25,'T9'!$C$8:$C$70,'T10'!H$5)+COUNTIFS('T9'!$N$80:$N$135,'T10'!$C25,'T9'!$Q$80:$Q$135,'T10'!$D25,'T9'!$C$80:$C$135,'T10'!H$5)</f>
        <v>32</v>
      </c>
      <c r="I25" s="6">
        <f>COUNTIFS('T9'!$N$8:$N$70,'T10'!$C25,'T9'!$Q$8:$Q$70,'T10'!$D25,'T9'!$C$8:$C$70,'T10'!I$5)+COUNTIFS('T9'!$N$80:$N$135,'T10'!$C25,'T9'!$Q$80:$Q$135,'T10'!$D25,'T9'!$C$80:$C$135,'T10'!I$5)</f>
        <v>16</v>
      </c>
      <c r="J25" s="6"/>
      <c r="K25" s="6"/>
      <c r="L25" s="6"/>
      <c r="M25" s="6"/>
      <c r="N25" s="6"/>
      <c r="O25" s="6"/>
      <c r="P25" s="6">
        <f>COUNTIFS('T9'!$N$8:$N$70,'T10'!$C25,'T9'!$Q$8:$Q$70,'T10'!$D25,'T9'!$C$8:$C$70,'T10'!P$5)+COUNTIFS('T9'!$N$80:$N$135,'T10'!$C25,'T9'!$Q$80:$Q$135,'T10'!$D25,'T9'!$C$80:$C$135,'T10'!P$5)</f>
        <v>1</v>
      </c>
      <c r="Q25" s="8">
        <f t="shared" ref="Q25:Q33" si="3">SUM(F25:P25)</f>
        <v>59</v>
      </c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</row>
    <row r="26" spans="1:38" x14ac:dyDescent="0.25">
      <c r="A26" s="6">
        <f t="shared" si="1"/>
        <v>20</v>
      </c>
      <c r="B26" s="101" t="s">
        <v>454</v>
      </c>
      <c r="C26" s="101">
        <v>50</v>
      </c>
      <c r="D26" s="101" t="s">
        <v>248</v>
      </c>
      <c r="E26" s="6" t="s">
        <v>453</v>
      </c>
      <c r="F26" s="6">
        <f>COUNTIFS('T9'!$N$8:$N$70,'T10'!$C26,'T9'!$Q$8:$Q$70,'T10'!$D26,'T9'!$C$8:$C$70,'T10'!F$5)+COUNTIFS('T9'!$N$80:$N$135,'T10'!$C26,'T9'!$Q$80:$Q$135,'T10'!$D26,'T9'!$C$80:$C$135,'T10'!F$5)</f>
        <v>2</v>
      </c>
      <c r="G26" s="6"/>
      <c r="H26" s="6"/>
      <c r="I26" s="6"/>
      <c r="J26" s="6">
        <f>COUNTIFS('T9'!$N$8:$N$70,'T10'!$C26,'T9'!$Q$8:$Q$70,'T10'!$D26,'T9'!$C$8:$C$70,'T10'!J$5)+COUNTIFS('T9'!$N$80:$N$135,'T10'!$C26,'T9'!$Q$80:$Q$135,'T10'!$D26,'T9'!$C$80:$C$135,'T10'!J$5)</f>
        <v>16</v>
      </c>
      <c r="K26" s="6">
        <f>COUNTIFS('T9'!$N$8:$N$70,'T10'!$C26,'T9'!$Q$8:$Q$70,'T10'!$D26,'T9'!$C$8:$C$70,'T10'!K$5)+COUNTIFS('T9'!$N$80:$N$135,'T10'!$C26,'T9'!$Q$80:$Q$135,'T10'!$D26,'T9'!$C$80:$C$135,'T10'!K$5)</f>
        <v>2</v>
      </c>
      <c r="L26" s="6">
        <f>COUNTIFS('T9'!$N$8:$N$70,'T10'!$C26,'T9'!$Q$8:$Q$70,'T10'!$D26,'T9'!$C$8:$C$70,'T10'!L$5)+COUNTIFS('T9'!$N$80:$N$135,'T10'!$C26,'T9'!$Q$80:$Q$135,'T10'!$D26,'T9'!$C$80:$C$135,'T10'!L$5)</f>
        <v>1</v>
      </c>
      <c r="M26" s="6">
        <f>COUNTIFS('T9'!$N$8:$N$70,'T10'!$C26,'T9'!$Q$8:$Q$70,'T10'!$D26,'T9'!$C$8:$C$70,'T10'!M$5)+COUNTIFS('T9'!$N$80:$N$135,'T10'!$C26,'T9'!$Q$80:$Q$135,'T10'!$D26,'T9'!$C$80:$C$135,'T10'!M$5)</f>
        <v>4</v>
      </c>
      <c r="N26" s="6"/>
      <c r="O26" s="6"/>
      <c r="P26" s="6"/>
      <c r="Q26" s="8">
        <f t="shared" si="3"/>
        <v>25</v>
      </c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</row>
    <row r="27" spans="1:38" x14ac:dyDescent="0.25">
      <c r="A27" s="6">
        <f t="shared" si="1"/>
        <v>21</v>
      </c>
      <c r="B27" s="101" t="s">
        <v>495</v>
      </c>
      <c r="C27" s="101">
        <v>50</v>
      </c>
      <c r="D27" s="101" t="s">
        <v>250</v>
      </c>
      <c r="E27" s="6" t="s">
        <v>453</v>
      </c>
      <c r="F27" s="6"/>
      <c r="G27" s="6"/>
      <c r="H27" s="6"/>
      <c r="I27" s="6"/>
      <c r="J27" s="6">
        <f>COUNTIFS('T9'!$N$8:$N$70,'T10'!$C27,'T9'!$Q$8:$Q$70,'T10'!$D27,'T9'!$C$8:$C$70,'T10'!J$5)+COUNTIFS('T9'!$N$80:$N$135,'T10'!$C27,'T9'!$Q$80:$Q$135,'T10'!$D27,'T9'!$C$80:$C$135,'T10'!J$5)</f>
        <v>1</v>
      </c>
      <c r="K27" s="6"/>
      <c r="L27" s="6"/>
      <c r="M27" s="6"/>
      <c r="N27" s="6"/>
      <c r="O27" s="6"/>
      <c r="P27" s="6"/>
      <c r="Q27" s="8">
        <f t="shared" si="3"/>
        <v>1</v>
      </c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</row>
    <row r="28" spans="1:38" x14ac:dyDescent="0.25">
      <c r="A28" s="6">
        <f t="shared" si="1"/>
        <v>22</v>
      </c>
      <c r="B28" s="101" t="s">
        <v>455</v>
      </c>
      <c r="C28" s="101">
        <v>60</v>
      </c>
      <c r="D28" s="101" t="s">
        <v>248</v>
      </c>
      <c r="E28" s="6" t="s">
        <v>453</v>
      </c>
      <c r="F28" s="6"/>
      <c r="G28" s="6">
        <f>COUNTIFS('T9'!$N$8:$N$70,'T10'!$C28,'T9'!$Q$8:$Q$70,'T10'!$D28,'T9'!$C$8:$C$70,'T10'!G$5)+COUNTIFS('T9'!$N$80:$N$135,'T10'!$C28,'T9'!$Q$80:$Q$135,'T10'!$D28,'T9'!$C$80:$C$135,'T10'!G$5)</f>
        <v>2</v>
      </c>
      <c r="H28" s="6">
        <f>COUNTIFS('T9'!$N$8:$N$70,'T10'!$C28,'T9'!$Q$8:$Q$70,'T10'!$D28,'T9'!$C$8:$C$70,'T10'!H$5)+COUNTIFS('T9'!$N$80:$N$135,'T10'!$C28,'T9'!$Q$80:$Q$135,'T10'!$D28,'T9'!$C$80:$C$135,'T10'!H$5)</f>
        <v>1</v>
      </c>
      <c r="I28" s="6">
        <f>COUNTIFS('T9'!$N$8:$N$70,'T10'!$C28,'T9'!$Q$8:$Q$70,'T10'!$D28,'T9'!$C$8:$C$70,'T10'!I$5)+COUNTIFS('T9'!$N$80:$N$135,'T10'!$C28,'T9'!$Q$80:$Q$135,'T10'!$D28,'T9'!$C$80:$C$135,'T10'!I$5)</f>
        <v>5</v>
      </c>
      <c r="J28" s="6">
        <f>COUNTIFS('T9'!$N$8:$N$70,'T10'!$C28,'T9'!$Q$8:$Q$70,'T10'!$D28,'T9'!$C$8:$C$70,'T10'!J$5)+COUNTIFS('T9'!$N$80:$N$135,'T10'!$C28,'T9'!$Q$80:$Q$135,'T10'!$D28,'T9'!$C$80:$C$135,'T10'!J$5)</f>
        <v>2</v>
      </c>
      <c r="K28" s="6">
        <f>COUNTIFS('T9'!$N$8:$N$70,'T10'!$C28,'T9'!$Q$8:$Q$70,'T10'!$D28,'T9'!$C$8:$C$70,'T10'!K$5)+COUNTIFS('T9'!$N$80:$N$135,'T10'!$C28,'T9'!$Q$80:$Q$135,'T10'!$D28,'T9'!$C$80:$C$135,'T10'!K$5)</f>
        <v>2</v>
      </c>
      <c r="L28" s="6"/>
      <c r="M28" s="6"/>
      <c r="N28" s="6"/>
      <c r="O28" s="6"/>
      <c r="P28" s="6"/>
      <c r="Q28" s="8">
        <f t="shared" si="3"/>
        <v>12</v>
      </c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</row>
    <row r="29" spans="1:38" x14ac:dyDescent="0.25">
      <c r="A29" s="6">
        <f t="shared" si="1"/>
        <v>23</v>
      </c>
      <c r="B29" s="101" t="s">
        <v>499</v>
      </c>
      <c r="C29" s="101">
        <v>60</v>
      </c>
      <c r="D29" s="101" t="s">
        <v>250</v>
      </c>
      <c r="E29" s="6" t="s">
        <v>453</v>
      </c>
      <c r="F29" s="6"/>
      <c r="G29" s="6"/>
      <c r="H29" s="6"/>
      <c r="I29" s="6"/>
      <c r="J29" s="6">
        <f>COUNTIFS('T9'!$N$8:$N$70,'T10'!$C29,'T9'!$Q$8:$Q$70,'T10'!$D29,'T9'!$C$8:$C$70,'T10'!J$5)+COUNTIFS('T9'!$N$80:$N$135,'T10'!$C29,'T9'!$Q$80:$Q$135,'T10'!$D29,'T9'!$C$80:$C$135,'T10'!J$5)</f>
        <v>2</v>
      </c>
      <c r="K29" s="6"/>
      <c r="L29" s="6"/>
      <c r="M29" s="6"/>
      <c r="N29" s="6"/>
      <c r="O29" s="6"/>
      <c r="P29" s="6"/>
      <c r="Q29" s="8">
        <f t="shared" si="3"/>
        <v>2</v>
      </c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</row>
    <row r="30" spans="1:38" x14ac:dyDescent="0.25">
      <c r="A30" s="6">
        <f t="shared" si="1"/>
        <v>24</v>
      </c>
      <c r="B30" s="101" t="s">
        <v>498</v>
      </c>
      <c r="C30" s="101">
        <v>80</v>
      </c>
      <c r="D30" s="101" t="s">
        <v>250</v>
      </c>
      <c r="E30" s="6" t="s">
        <v>453</v>
      </c>
      <c r="F30" s="6"/>
      <c r="G30" s="6"/>
      <c r="H30" s="6">
        <f>COUNTIFS('T9'!$N$8:$N$70,'T10'!$C30,'T9'!$Q$8:$Q$70,'T10'!$D30,'T9'!$C$8:$C$70,'T10'!H$5)+COUNTIFS('T9'!$N$80:$N$135,'T10'!$C30,'T9'!$Q$80:$Q$135,'T10'!$D30,'T9'!$C$80:$C$135,'T10'!H$5)</f>
        <v>3</v>
      </c>
      <c r="I30" s="6">
        <f>COUNTIFS('T9'!$N$8:$N$70,'T10'!$C30,'T9'!$Q$8:$Q$70,'T10'!$D30,'T9'!$C$8:$C$70,'T10'!I$5)+COUNTIFS('T9'!$N$80:$N$135,'T10'!$C30,'T9'!$Q$80:$Q$135,'T10'!$D30,'T9'!$C$80:$C$135,'T10'!I$5)</f>
        <v>1</v>
      </c>
      <c r="J30" s="6">
        <f>COUNTIFS('T9'!$N$8:$N$70,'T10'!$C30,'T9'!$Q$8:$Q$70,'T10'!$D30,'T9'!$C$8:$C$70,'T10'!J$5)+COUNTIFS('T9'!$N$80:$N$135,'T10'!$C30,'T9'!$Q$80:$Q$135,'T10'!$D30,'T9'!$C$80:$C$135,'T10'!J$5)</f>
        <v>2</v>
      </c>
      <c r="K30" s="6"/>
      <c r="L30" s="6"/>
      <c r="M30" s="6"/>
      <c r="N30" s="6"/>
      <c r="O30" s="6"/>
      <c r="P30" s="6"/>
      <c r="Q30" s="8">
        <f t="shared" si="3"/>
        <v>6</v>
      </c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</row>
    <row r="31" spans="1:38" x14ac:dyDescent="0.25">
      <c r="A31" s="6">
        <f t="shared" si="1"/>
        <v>25</v>
      </c>
      <c r="B31" s="101" t="s">
        <v>456</v>
      </c>
      <c r="C31" s="101">
        <v>100</v>
      </c>
      <c r="D31" s="101" t="s">
        <v>250</v>
      </c>
      <c r="E31" s="6" t="s">
        <v>453</v>
      </c>
      <c r="F31" s="6"/>
      <c r="G31" s="6"/>
      <c r="H31" s="6"/>
      <c r="I31" s="6"/>
      <c r="J31" s="6">
        <f>COUNTIFS('T9'!$N$8:$N$70,'T10'!$C31,'T9'!$Q$8:$Q$70,'T10'!$D31,'T9'!$C$8:$C$70,'T10'!J$5)+COUNTIFS('T9'!$N$80:$N$135,'T10'!$C31,'T9'!$Q$80:$Q$135,'T10'!$D31,'T9'!$C$80:$C$135,'T10'!J$5)</f>
        <v>7</v>
      </c>
      <c r="K31" s="6"/>
      <c r="L31" s="6"/>
      <c r="M31" s="6"/>
      <c r="N31" s="6">
        <f>COUNTIFS('T9'!$N$8:$N$70,'T10'!$C31,'T9'!$Q$8:$Q$70,'T10'!$D31,'T9'!$C$8:$C$70,'T10'!N$5)+COUNTIFS('T9'!$N$80:$N$135,'T10'!$C31,'T9'!$Q$80:$Q$135,'T10'!$D31,'T9'!$C$80:$C$135,'T10'!N$5)</f>
        <v>2</v>
      </c>
      <c r="O31" s="6"/>
      <c r="P31" s="6"/>
      <c r="Q31" s="8">
        <f t="shared" si="3"/>
        <v>9</v>
      </c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</row>
    <row r="32" spans="1:38" x14ac:dyDescent="0.25">
      <c r="A32" s="6">
        <f t="shared" si="1"/>
        <v>26</v>
      </c>
      <c r="B32" s="101" t="s">
        <v>496</v>
      </c>
      <c r="C32" s="101">
        <v>140</v>
      </c>
      <c r="D32" s="101" t="s">
        <v>250</v>
      </c>
      <c r="E32" s="6" t="s">
        <v>453</v>
      </c>
      <c r="F32" s="6"/>
      <c r="G32" s="6"/>
      <c r="H32" s="6">
        <f>COUNTIFS('T9'!$N$8:$N$70,'T10'!$C32,'T9'!$Q$8:$Q$70,'T10'!$D32,'T9'!$C$8:$C$70,'T10'!H$5)+COUNTIFS('T9'!$N$80:$N$135,'T10'!$C32,'T9'!$Q$80:$Q$135,'T10'!$D32,'T9'!$C$80:$C$135,'T10'!H$5)</f>
        <v>1</v>
      </c>
      <c r="I32" s="6"/>
      <c r="J32" s="6"/>
      <c r="K32" s="6"/>
      <c r="L32" s="6"/>
      <c r="M32" s="6"/>
      <c r="N32" s="6"/>
      <c r="O32" s="6"/>
      <c r="P32" s="6"/>
      <c r="Q32" s="8">
        <f t="shared" si="3"/>
        <v>1</v>
      </c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</row>
    <row r="33" spans="1:38" x14ac:dyDescent="0.25">
      <c r="A33" s="6">
        <f>A32+1</f>
        <v>27</v>
      </c>
      <c r="B33" s="101" t="s">
        <v>497</v>
      </c>
      <c r="C33" s="101">
        <v>150</v>
      </c>
      <c r="D33" s="101" t="s">
        <v>250</v>
      </c>
      <c r="E33" s="6" t="s">
        <v>453</v>
      </c>
      <c r="F33" s="6"/>
      <c r="G33" s="6"/>
      <c r="H33" s="6">
        <f>COUNTIFS('T9'!$N$8:$N$70,'T10'!$C33,'T9'!$Q$8:$Q$70,'T10'!$D33,'T9'!$C$8:$C$70,'T10'!H$5)+COUNTIFS('T9'!$N$80:$N$135,'T10'!$C33,'T9'!$Q$80:$Q$135,'T10'!$D33,'T9'!$C$80:$C$135,'T10'!H$5)</f>
        <v>4</v>
      </c>
      <c r="I33" s="6"/>
      <c r="J33" s="6"/>
      <c r="K33" s="6"/>
      <c r="L33" s="6"/>
      <c r="M33" s="6"/>
      <c r="N33" s="6"/>
      <c r="O33" s="6"/>
      <c r="P33" s="6"/>
      <c r="Q33" s="8">
        <f t="shared" si="3"/>
        <v>4</v>
      </c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</row>
    <row r="34" spans="1:38" x14ac:dyDescent="0.25">
      <c r="A34" s="6">
        <f t="shared" si="1"/>
        <v>28</v>
      </c>
      <c r="B34" s="227" t="s">
        <v>457</v>
      </c>
      <c r="C34" s="227"/>
      <c r="D34" s="227"/>
      <c r="E34" s="269"/>
      <c r="F34" s="269"/>
      <c r="G34" s="269"/>
      <c r="H34" s="269"/>
      <c r="I34" s="269"/>
      <c r="J34" s="269"/>
      <c r="K34" s="269"/>
      <c r="L34" s="269"/>
      <c r="M34" s="269"/>
      <c r="N34" s="269"/>
      <c r="O34" s="269"/>
      <c r="P34" s="269"/>
      <c r="Q34" s="269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</row>
    <row r="35" spans="1:38" x14ac:dyDescent="0.25">
      <c r="A35" s="6">
        <f t="shared" si="1"/>
        <v>29</v>
      </c>
      <c r="B35" s="269" t="s">
        <v>459</v>
      </c>
      <c r="C35" s="269"/>
      <c r="D35" s="269"/>
      <c r="E35" s="6" t="s">
        <v>447</v>
      </c>
      <c r="F35" s="70">
        <f>SUMIFS('T9'!$R$8:$R$70,'T9'!$C$8:$C$70,'T10'!F$5)</f>
        <v>9</v>
      </c>
      <c r="G35" s="70"/>
      <c r="H35" s="70"/>
      <c r="I35" s="70"/>
      <c r="J35" s="70">
        <f>SUMIFS('T9'!$R$8:$R$70,'T9'!$C$8:$C$70,'T10'!J$5)</f>
        <v>23.4</v>
      </c>
      <c r="K35" s="70"/>
      <c r="L35" s="70"/>
      <c r="M35" s="70"/>
      <c r="N35" s="70"/>
      <c r="O35" s="70"/>
      <c r="P35" s="70"/>
      <c r="Q35" s="102">
        <f>SUM(F35:P35)</f>
        <v>32.4</v>
      </c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</row>
    <row r="36" spans="1:38" x14ac:dyDescent="0.25">
      <c r="A36" s="6">
        <f t="shared" si="1"/>
        <v>30</v>
      </c>
      <c r="B36" s="269" t="s">
        <v>505</v>
      </c>
      <c r="C36" s="269"/>
      <c r="D36" s="269"/>
      <c r="E36" s="6" t="s">
        <v>447</v>
      </c>
      <c r="F36" s="70">
        <f>SUMIFS('T9'!$S$8:$S$70,'T9'!$C$8:$C$70,'T10'!F$5)+SUMIFS('T9'!$S$80:$S$135,'T9'!$C$80:$C$135,'T10'!F$5)+SUMIFS('T9'!$J$181:$J$183,'T9'!$C$181:$C$183,'T10'!F$5)</f>
        <v>42</v>
      </c>
      <c r="G36" s="70"/>
      <c r="H36" s="70">
        <f>SUMIFS('T9'!$S$8:$S$70,'T9'!$C$8:$C$70,'T10'!H$5)+SUMIFS('T9'!$S$80:$S$135,'T9'!$C$80:$C$135,'T10'!H$5)+SUMIFS('T9'!$J$181:$J$183,'T9'!$C$181:$C$183,'T10'!H$5)</f>
        <v>176</v>
      </c>
      <c r="I36" s="70">
        <f>SUMIFS('T9'!$S$8:$S$70,'T9'!$C$8:$C$70,'T10'!I$5)+SUMIFS('T9'!$S$80:$S$135,'T9'!$C$80:$C$135,'T10'!I$5)+SUMIFS('T9'!$J$181:$J$183,'T9'!$C$181:$C$183,'T10'!I$5)</f>
        <v>120</v>
      </c>
      <c r="J36" s="70">
        <f>SUMIFS('T9'!$S$8:$S$70,'T9'!$C$8:$C$70,'T10'!J$5)+SUMIFS('T9'!$S$80:$S$135,'T9'!$C$80:$C$135,'T10'!J$5)+SUMIFS('T9'!$J$181:$J$183,'T9'!$C$181:$C$183,'T10'!J$5)</f>
        <v>253</v>
      </c>
      <c r="K36" s="70">
        <f>SUMIFS('T9'!$S$8:$S$70,'T9'!$C$8:$C$70,'T10'!K$5)+SUMIFS('T9'!$S$80:$S$135,'T9'!$C$80:$C$135,'T10'!K$5)+SUMIFS('T9'!$J$181:$J$183,'T9'!$C$181:$C$183,'T10'!K$5)</f>
        <v>42</v>
      </c>
      <c r="L36" s="70">
        <f>SUMIFS('T9'!$S$8:$S$70,'T9'!$C$8:$C$70,'T10'!L$5)+SUMIFS('T9'!$S$80:$S$135,'T9'!$C$80:$C$135,'T10'!L$5)+SUMIFS('T9'!$J$181:$J$183,'T9'!$C$181:$C$183,'T10'!L$5)</f>
        <v>12</v>
      </c>
      <c r="M36" s="70">
        <f>SUMIFS('T9'!$S$8:$S$70,'T9'!$C$8:$C$70,'T10'!M$5)+SUMIFS('T9'!$S$80:$S$135,'T9'!$C$80:$C$135,'T10'!M$5)+SUMIFS('T9'!$J$181:$J$183,'T9'!$C$181:$C$183,'T10'!M$5)</f>
        <v>38</v>
      </c>
      <c r="N36" s="70">
        <f>SUMIFS('T9'!$S$8:$S$70,'T9'!$C$8:$C$70,'T10'!N$5)+SUMIFS('T9'!$S$80:$S$135,'T9'!$C$80:$C$135,'T10'!N$5)+SUMIFS('T9'!$J$181:$J$183,'T9'!$C$181:$C$183,'T10'!N$5)</f>
        <v>10</v>
      </c>
      <c r="O36" s="70"/>
      <c r="P36" s="70">
        <f>SUMIFS('T9'!$S$8:$S$70,'T9'!$C$8:$C$70,'T10'!P$5)+SUMIFS('T9'!$S$80:$S$135,'T9'!$C$80:$C$135,'T10'!P$5)+SUMIFS('T9'!$J$181:$J$183,'T9'!$C$181:$C$183,'T10'!P$5)</f>
        <v>10</v>
      </c>
      <c r="Q36" s="102">
        <f>SUM(F36:P36)</f>
        <v>703</v>
      </c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</row>
    <row r="37" spans="1:38" x14ac:dyDescent="0.25">
      <c r="A37" s="6">
        <f t="shared" si="1"/>
        <v>31</v>
      </c>
      <c r="B37" s="269" t="s">
        <v>21</v>
      </c>
      <c r="C37" s="269"/>
      <c r="D37" s="269"/>
      <c r="E37" s="6" t="s">
        <v>447</v>
      </c>
      <c r="F37" s="70">
        <f>SUMIFS('T9'!$T$8:$T$70,'T9'!$C$8:$C$70,'T10'!F$5)+SUMIFS('T9'!$T$80:$T$135,'T9'!$C$80:$C$135,'T10'!F$5)</f>
        <v>122</v>
      </c>
      <c r="G37" s="70">
        <f>SUMIFS('T9'!$T$8:$T$70,'T9'!$C$8:$C$70,'T10'!G$5)+SUMIFS('T9'!$T$80:$T$135,'T9'!$C$80:$C$135,'T10'!G$5)</f>
        <v>20</v>
      </c>
      <c r="H37" s="70">
        <f>SUMIFS('T9'!$T$8:$T$70,'T9'!$C$8:$C$70,'T10'!H$5)+SUMIFS('T9'!$T$80:$T$135,'T9'!$C$80:$C$135,'T10'!H$5)</f>
        <v>410</v>
      </c>
      <c r="I37" s="70">
        <f>SUMIFS('T9'!$T$8:$T$70,'T9'!$C$8:$C$70,'T10'!I$5)+SUMIFS('T9'!$T$80:$T$135,'T9'!$C$80:$C$135,'T10'!I$5)</f>
        <v>220</v>
      </c>
      <c r="J37" s="70">
        <f>SUMIFS('T9'!$T$8:$T$70,'T9'!$C$8:$C$70,'T10'!J$5)+SUMIFS('T9'!$T$80:$T$135,'T9'!$C$80:$C$135,'T10'!J$5)</f>
        <v>343</v>
      </c>
      <c r="K37" s="70">
        <f>SUMIFS('T9'!$T$8:$T$70,'T9'!$C$8:$C$70,'T10'!K$5)+SUMIFS('T9'!$T$80:$T$135,'T9'!$C$80:$C$135,'T10'!K$5)</f>
        <v>42</v>
      </c>
      <c r="L37" s="70">
        <f>SUMIFS('T9'!$T$8:$T$70,'T9'!$C$8:$C$70,'T10'!L$5)+SUMIFS('T9'!$T$80:$T$135,'T9'!$C$80:$C$135,'T10'!L$5)</f>
        <v>12</v>
      </c>
      <c r="M37" s="70">
        <f>SUMIFS('T9'!$T$8:$T$70,'T9'!$C$8:$C$70,'T10'!M$5)+SUMIFS('T9'!$T$80:$T$135,'T9'!$C$80:$C$135,'T10'!M$5)</f>
        <v>48</v>
      </c>
      <c r="N37" s="70">
        <f>SUMIFS('T9'!$T$8:$T$70,'T9'!$C$8:$C$70,'T10'!N$5)+SUMIFS('T9'!$T$80:$T$135,'T9'!$C$80:$C$135,'T10'!N$5)</f>
        <v>20</v>
      </c>
      <c r="O37" s="70"/>
      <c r="P37" s="70">
        <f>SUMIFS('T9'!$T$8:$T$70,'T9'!$C$8:$C$70,'T10'!P$5)+SUMIFS('T9'!$T$80:$T$135,'T9'!$C$80:$C$135,'T10'!P$5)</f>
        <v>10</v>
      </c>
      <c r="Q37" s="102">
        <f>SUM(F37:P37)</f>
        <v>1247</v>
      </c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</row>
    <row r="38" spans="1:38" x14ac:dyDescent="0.25">
      <c r="A38" s="6">
        <f t="shared" si="1"/>
        <v>32</v>
      </c>
      <c r="B38" s="269" t="s">
        <v>458</v>
      </c>
      <c r="C38" s="269"/>
      <c r="D38" s="269"/>
      <c r="E38" s="6" t="s">
        <v>34</v>
      </c>
      <c r="F38" s="70">
        <f>SUMIFS('T9'!$U$8:$U$70,'T9'!$C$8:$C$70,'T10'!F$5)+SUMIFS('T9'!$U$80:$U$135,'T9'!$C$80:$C$135,'T10'!F$5)</f>
        <v>2</v>
      </c>
      <c r="G38" s="70"/>
      <c r="H38" s="70"/>
      <c r="I38" s="70"/>
      <c r="J38" s="70">
        <f>SUMIFS('T9'!$U$8:$U$70,'T9'!$C$8:$C$70,'T10'!J$5)+SUMIFS('T9'!$U$80:$U$135,'T9'!$C$80:$C$135,'T10'!J$5)</f>
        <v>24</v>
      </c>
      <c r="K38" s="70">
        <f>SUMIFS('T9'!$U$8:$U$70,'T9'!$C$8:$C$70,'T10'!K$5)+SUMIFS('T9'!$U$80:$U$135,'T9'!$C$80:$C$135,'T10'!K$5)</f>
        <v>2</v>
      </c>
      <c r="L38" s="70">
        <f>SUMIFS('T9'!$U$8:$U$70,'T9'!$C$8:$C$70,'T10'!L$5)+SUMIFS('T9'!$U$80:$U$135,'T9'!$C$80:$C$135,'T10'!L$5)</f>
        <v>2</v>
      </c>
      <c r="M38" s="70">
        <f>SUMIFS('T9'!$U$8:$U$70,'T9'!$C$8:$C$70,'T10'!M$5)+SUMIFS('T9'!$U$80:$U$135,'T9'!$C$80:$C$135,'T10'!M$5)</f>
        <v>4</v>
      </c>
      <c r="N38" s="70"/>
      <c r="O38" s="70"/>
      <c r="P38" s="70"/>
      <c r="Q38" s="102">
        <f>SUM(F38:P38)</f>
        <v>34</v>
      </c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</row>
    <row r="39" spans="1:38" x14ac:dyDescent="0.25">
      <c r="A39" s="6">
        <f t="shared" si="1"/>
        <v>33</v>
      </c>
      <c r="B39" s="269" t="s">
        <v>500</v>
      </c>
      <c r="C39" s="269"/>
      <c r="D39" s="269"/>
      <c r="E39" s="6" t="s">
        <v>31</v>
      </c>
      <c r="F39" s="70">
        <f>SUMIFS('T9'!$V$8:$V$70,'T9'!$C$8:$C$70,'T10'!F$5)+SUMIFS('T9'!$V$80:$V$135,'T9'!$C$80:$C$135,'T10'!F$5)</f>
        <v>122</v>
      </c>
      <c r="G39" s="70"/>
      <c r="H39" s="70">
        <f>SUMIFS('T9'!$V$8:$V$70,'T9'!$C$8:$C$70,'T10'!H$5)+SUMIFS('T9'!$V$80:$V$135,'T9'!$C$80:$C$135,'T10'!H$5)</f>
        <v>250</v>
      </c>
      <c r="I39" s="70">
        <f>SUMIFS('T9'!$V$8:$V$70,'T9'!$C$8:$C$70,'T10'!I$5)+SUMIFS('T9'!$V$80:$V$135,'T9'!$C$80:$C$135,'T10'!I$5)</f>
        <v>40</v>
      </c>
      <c r="J39" s="70">
        <f>SUMIFS('T9'!$V$8:$V$70,'T9'!$C$8:$C$70,'T10'!J$5)+SUMIFS('T9'!$V$80:$V$135,'T9'!$C$80:$C$135,'T10'!J$5)</f>
        <v>34</v>
      </c>
      <c r="K39" s="70"/>
      <c r="L39" s="70"/>
      <c r="M39" s="70"/>
      <c r="N39" s="70"/>
      <c r="O39" s="70"/>
      <c r="P39" s="70"/>
      <c r="Q39" s="102">
        <f>SUM(F39:P39)</f>
        <v>446</v>
      </c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</row>
    <row r="40" spans="1:38" x14ac:dyDescent="0.25">
      <c r="A40" s="6">
        <f t="shared" si="1"/>
        <v>34</v>
      </c>
      <c r="B40" s="227" t="s">
        <v>460</v>
      </c>
      <c r="C40" s="227"/>
      <c r="D40" s="227"/>
      <c r="E40" s="269"/>
      <c r="F40" s="269"/>
      <c r="G40" s="269"/>
      <c r="H40" s="269"/>
      <c r="I40" s="269"/>
      <c r="J40" s="269"/>
      <c r="K40" s="269"/>
      <c r="L40" s="269"/>
      <c r="M40" s="269"/>
      <c r="N40" s="269"/>
      <c r="O40" s="269"/>
      <c r="P40" s="269"/>
      <c r="Q40" s="269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</row>
    <row r="41" spans="1:38" x14ac:dyDescent="0.25">
      <c r="A41" s="6">
        <f t="shared" si="1"/>
        <v>35</v>
      </c>
      <c r="B41" s="269" t="s">
        <v>461</v>
      </c>
      <c r="C41" s="269"/>
      <c r="D41" s="269"/>
      <c r="E41" s="6" t="s">
        <v>34</v>
      </c>
      <c r="F41" s="6">
        <f>SUMIFS('T8'!$AC$9:$AC$201,'T8'!$C$9:$C$201,'T10'!F$5)</f>
        <v>16</v>
      </c>
      <c r="G41" s="6"/>
      <c r="H41" s="6">
        <f>SUMIFS('T8'!$AC$9:$AC$201,'T8'!$C$9:$C$201,'T10'!H$5)</f>
        <v>60</v>
      </c>
      <c r="I41" s="6">
        <f>SUMIFS('T8'!$AC$9:$AC$201,'T8'!$C$9:$C$201,'T10'!I$5)</f>
        <v>35</v>
      </c>
      <c r="J41" s="6">
        <f>SUMIFS('T8'!$AC$9:$AC$201,'T8'!$C$9:$C$201,'T10'!J$5)</f>
        <v>10</v>
      </c>
      <c r="K41" s="6">
        <f>SUMIFS('T8'!$AC$9:$AC$201,'T8'!$C$9:$C$201,'T10'!K$5)</f>
        <v>2</v>
      </c>
      <c r="L41" s="6"/>
      <c r="M41" s="6"/>
      <c r="N41" s="6">
        <f>SUMIFS('T8'!$AC$9:$AC$201,'T8'!$C$9:$C$201,'T10'!N$5)</f>
        <v>1</v>
      </c>
      <c r="O41" s="6">
        <f>SUMIFS('T8'!$AC$9:$AC$201,'T8'!$C$9:$C$201,'T10'!O$5)</f>
        <v>2</v>
      </c>
      <c r="P41" s="6"/>
      <c r="Q41" s="8">
        <f>SUM(F41:P41)</f>
        <v>126</v>
      </c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</row>
    <row r="42" spans="1:38" x14ac:dyDescent="0.25">
      <c r="A42" s="6">
        <f t="shared" si="1"/>
        <v>36</v>
      </c>
      <c r="B42" s="269"/>
      <c r="C42" s="269"/>
      <c r="D42" s="269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</row>
    <row r="43" spans="1:38" x14ac:dyDescent="0.25">
      <c r="A43" s="6">
        <f t="shared" si="1"/>
        <v>37</v>
      </c>
      <c r="B43" s="358" t="s">
        <v>462</v>
      </c>
      <c r="C43" s="358"/>
      <c r="D43" s="358"/>
      <c r="E43" s="358"/>
      <c r="F43" s="358"/>
      <c r="G43" s="358"/>
      <c r="H43" s="358"/>
      <c r="I43" s="358"/>
      <c r="J43" s="358"/>
      <c r="K43" s="358"/>
      <c r="L43" s="358"/>
      <c r="M43" s="358"/>
      <c r="N43" s="358"/>
      <c r="O43" s="358"/>
      <c r="P43" s="358"/>
      <c r="Q43" s="35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</row>
    <row r="44" spans="1:38" x14ac:dyDescent="0.25">
      <c r="A44" s="6">
        <f t="shared" si="1"/>
        <v>38</v>
      </c>
      <c r="B44" s="357" t="s">
        <v>463</v>
      </c>
      <c r="C44" s="357"/>
      <c r="D44" s="357"/>
      <c r="E44" s="93" t="s">
        <v>464</v>
      </c>
      <c r="F44" s="357" t="s">
        <v>465</v>
      </c>
      <c r="G44" s="357"/>
      <c r="H44" s="357" t="s">
        <v>527</v>
      </c>
      <c r="I44" s="357"/>
      <c r="J44" s="357" t="s">
        <v>466</v>
      </c>
      <c r="K44" s="357"/>
      <c r="L44" s="357" t="s">
        <v>467</v>
      </c>
      <c r="M44" s="357"/>
      <c r="N44" s="357" t="s">
        <v>468</v>
      </c>
      <c r="O44" s="357"/>
      <c r="P44" s="357" t="s">
        <v>469</v>
      </c>
      <c r="Q44" s="357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</row>
    <row r="45" spans="1:38" x14ac:dyDescent="0.25">
      <c r="A45" s="6">
        <f t="shared" si="1"/>
        <v>39</v>
      </c>
      <c r="B45" s="357" t="s">
        <v>470</v>
      </c>
      <c r="C45" s="357"/>
      <c r="D45" s="357"/>
      <c r="E45" s="93" t="s">
        <v>471</v>
      </c>
      <c r="F45" s="93" t="s">
        <v>472</v>
      </c>
      <c r="G45" s="93" t="s">
        <v>33</v>
      </c>
      <c r="H45" s="93" t="s">
        <v>473</v>
      </c>
      <c r="I45" s="93" t="s">
        <v>474</v>
      </c>
      <c r="J45" s="93" t="s">
        <v>472</v>
      </c>
      <c r="K45" s="93" t="s">
        <v>33</v>
      </c>
      <c r="L45" s="93" t="s">
        <v>473</v>
      </c>
      <c r="M45" s="93" t="s">
        <v>474</v>
      </c>
      <c r="N45" s="93" t="s">
        <v>475</v>
      </c>
      <c r="O45" s="93" t="s">
        <v>476</v>
      </c>
      <c r="P45" s="93" t="s">
        <v>477</v>
      </c>
      <c r="Q45" s="93" t="s">
        <v>34</v>
      </c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</row>
    <row r="46" spans="1:38" x14ac:dyDescent="0.25">
      <c r="A46" s="6">
        <f t="shared" si="1"/>
        <v>40</v>
      </c>
      <c r="B46" s="292" t="s">
        <v>478</v>
      </c>
      <c r="C46" s="292"/>
      <c r="D46" s="292"/>
      <c r="E46" s="54">
        <f t="shared" ref="E46:E54" si="4">Q25</f>
        <v>59</v>
      </c>
      <c r="F46" s="93"/>
      <c r="G46" s="54"/>
      <c r="H46" s="54"/>
      <c r="I46" s="54"/>
      <c r="J46" s="93">
        <v>2.2000000000000002</v>
      </c>
      <c r="K46" s="94">
        <f t="shared" ref="K46:K54" si="5">E46*J46</f>
        <v>129.80000000000001</v>
      </c>
      <c r="L46" s="93">
        <v>44</v>
      </c>
      <c r="M46" s="54">
        <f t="shared" ref="M46:M54" si="6">E46*L46</f>
        <v>2596</v>
      </c>
      <c r="N46" s="93">
        <v>1.3</v>
      </c>
      <c r="O46" s="94">
        <f t="shared" ref="O46:O54" si="7">E46*N46</f>
        <v>76.7</v>
      </c>
      <c r="P46" s="93">
        <v>220</v>
      </c>
      <c r="Q46" s="54">
        <f t="shared" ref="Q46:Q54" si="8">E46*P46</f>
        <v>12980</v>
      </c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</row>
    <row r="47" spans="1:38" x14ac:dyDescent="0.25">
      <c r="A47" s="6">
        <f t="shared" si="1"/>
        <v>41</v>
      </c>
      <c r="B47" s="292" t="s">
        <v>479</v>
      </c>
      <c r="C47" s="292"/>
      <c r="D47" s="292"/>
      <c r="E47" s="54">
        <f t="shared" si="4"/>
        <v>25</v>
      </c>
      <c r="F47" s="93">
        <v>2.7</v>
      </c>
      <c r="G47" s="94">
        <f t="shared" ref="G47:G55" si="9">F47*E47</f>
        <v>67.5</v>
      </c>
      <c r="H47" s="54">
        <v>12</v>
      </c>
      <c r="I47" s="55">
        <f t="shared" ref="I47:I54" si="10">H47*E47</f>
        <v>300</v>
      </c>
      <c r="J47" s="93">
        <v>3.2</v>
      </c>
      <c r="K47" s="94">
        <f t="shared" si="5"/>
        <v>80</v>
      </c>
      <c r="L47" s="93">
        <v>63</v>
      </c>
      <c r="M47" s="54">
        <f t="shared" si="6"/>
        <v>1575</v>
      </c>
      <c r="N47" s="93">
        <v>1.9</v>
      </c>
      <c r="O47" s="94">
        <f t="shared" si="7"/>
        <v>47.5</v>
      </c>
      <c r="P47" s="93">
        <v>380</v>
      </c>
      <c r="Q47" s="54">
        <f t="shared" si="8"/>
        <v>9500</v>
      </c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</row>
    <row r="48" spans="1:38" x14ac:dyDescent="0.25">
      <c r="A48" s="6">
        <f t="shared" si="1"/>
        <v>42</v>
      </c>
      <c r="B48" s="292" t="s">
        <v>481</v>
      </c>
      <c r="C48" s="292"/>
      <c r="D48" s="292"/>
      <c r="E48" s="54">
        <f t="shared" si="4"/>
        <v>1</v>
      </c>
      <c r="F48" s="93">
        <v>3.5</v>
      </c>
      <c r="G48" s="94">
        <f>F48*E48</f>
        <v>3.5</v>
      </c>
      <c r="H48" s="54">
        <v>16</v>
      </c>
      <c r="I48" s="55">
        <f>H48*E48</f>
        <v>16</v>
      </c>
      <c r="J48" s="93">
        <v>1.3</v>
      </c>
      <c r="K48" s="94">
        <f>E48*J48</f>
        <v>1.3</v>
      </c>
      <c r="L48" s="93">
        <v>25</v>
      </c>
      <c r="M48" s="54">
        <f>E48*L48</f>
        <v>25</v>
      </c>
      <c r="N48" s="93">
        <v>0.75</v>
      </c>
      <c r="O48" s="94">
        <f>E48*N48</f>
        <v>0.75</v>
      </c>
      <c r="P48" s="93">
        <v>125</v>
      </c>
      <c r="Q48" s="54">
        <f>E48*P48</f>
        <v>125</v>
      </c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</row>
    <row r="49" spans="1:30" x14ac:dyDescent="0.25">
      <c r="A49" s="6">
        <f t="shared" si="1"/>
        <v>43</v>
      </c>
      <c r="B49" s="292" t="s">
        <v>480</v>
      </c>
      <c r="C49" s="292"/>
      <c r="D49" s="292"/>
      <c r="E49" s="54">
        <f t="shared" si="4"/>
        <v>12</v>
      </c>
      <c r="F49" s="93">
        <v>2.7</v>
      </c>
      <c r="G49" s="94">
        <f t="shared" si="9"/>
        <v>32.400000000000006</v>
      </c>
      <c r="H49" s="54">
        <v>12</v>
      </c>
      <c r="I49" s="55">
        <f t="shared" si="10"/>
        <v>144</v>
      </c>
      <c r="J49" s="93">
        <v>3.2</v>
      </c>
      <c r="K49" s="94">
        <f t="shared" si="5"/>
        <v>38.400000000000006</v>
      </c>
      <c r="L49" s="93">
        <v>63</v>
      </c>
      <c r="M49" s="54">
        <f t="shared" si="6"/>
        <v>756</v>
      </c>
      <c r="N49" s="93">
        <v>1.9</v>
      </c>
      <c r="O49" s="94">
        <f t="shared" si="7"/>
        <v>22.799999999999997</v>
      </c>
      <c r="P49" s="93">
        <v>380</v>
      </c>
      <c r="Q49" s="54">
        <f t="shared" si="8"/>
        <v>4560</v>
      </c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</row>
    <row r="50" spans="1:30" x14ac:dyDescent="0.25">
      <c r="A50" s="6">
        <f t="shared" si="1"/>
        <v>44</v>
      </c>
      <c r="B50" s="292" t="s">
        <v>482</v>
      </c>
      <c r="C50" s="292"/>
      <c r="D50" s="292"/>
      <c r="E50" s="54">
        <f t="shared" si="4"/>
        <v>2</v>
      </c>
      <c r="F50" s="93">
        <v>5.9</v>
      </c>
      <c r="G50" s="94">
        <f>F50*E50</f>
        <v>11.8</v>
      </c>
      <c r="H50" s="54">
        <v>26</v>
      </c>
      <c r="I50" s="55">
        <f>H50*E50</f>
        <v>52</v>
      </c>
      <c r="J50" s="93">
        <v>2.4</v>
      </c>
      <c r="K50" s="94">
        <f>E50*J50</f>
        <v>4.8</v>
      </c>
      <c r="L50" s="93">
        <v>48</v>
      </c>
      <c r="M50" s="54">
        <f>E50*L50</f>
        <v>96</v>
      </c>
      <c r="N50" s="93">
        <v>1.5</v>
      </c>
      <c r="O50" s="94">
        <f>E50*N50</f>
        <v>3</v>
      </c>
      <c r="P50" s="93">
        <v>240</v>
      </c>
      <c r="Q50" s="54">
        <f>E50*P50</f>
        <v>480</v>
      </c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</row>
    <row r="51" spans="1:30" x14ac:dyDescent="0.25">
      <c r="A51" s="6">
        <f t="shared" si="1"/>
        <v>45</v>
      </c>
      <c r="B51" s="292" t="s">
        <v>483</v>
      </c>
      <c r="C51" s="292"/>
      <c r="D51" s="292"/>
      <c r="E51" s="54">
        <f t="shared" si="4"/>
        <v>6</v>
      </c>
      <c r="F51" s="95">
        <v>9</v>
      </c>
      <c r="G51" s="94">
        <f>F51*E51</f>
        <v>54</v>
      </c>
      <c r="H51" s="54">
        <v>41</v>
      </c>
      <c r="I51" s="55">
        <f>H51*E51</f>
        <v>246</v>
      </c>
      <c r="J51" s="93">
        <v>2.2000000000000002</v>
      </c>
      <c r="K51" s="94">
        <f>E51*J51</f>
        <v>13.200000000000001</v>
      </c>
      <c r="L51" s="93">
        <v>43</v>
      </c>
      <c r="M51" s="54">
        <f>E51*L51</f>
        <v>258</v>
      </c>
      <c r="N51" s="93">
        <v>1.3</v>
      </c>
      <c r="O51" s="94">
        <f>E51*N51</f>
        <v>7.8000000000000007</v>
      </c>
      <c r="P51" s="93">
        <v>215</v>
      </c>
      <c r="Q51" s="54">
        <f>E51*P51</f>
        <v>1290</v>
      </c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</row>
    <row r="52" spans="1:30" x14ac:dyDescent="0.25">
      <c r="A52" s="6">
        <f t="shared" si="1"/>
        <v>46</v>
      </c>
      <c r="B52" s="292" t="s">
        <v>484</v>
      </c>
      <c r="C52" s="292"/>
      <c r="D52" s="292"/>
      <c r="E52" s="54">
        <f t="shared" si="4"/>
        <v>9</v>
      </c>
      <c r="F52" s="93">
        <v>12.1</v>
      </c>
      <c r="G52" s="94">
        <f t="shared" si="9"/>
        <v>108.89999999999999</v>
      </c>
      <c r="H52" s="54">
        <v>55</v>
      </c>
      <c r="I52" s="55">
        <f t="shared" si="10"/>
        <v>495</v>
      </c>
      <c r="J52" s="93">
        <v>1.7</v>
      </c>
      <c r="K52" s="94">
        <f t="shared" si="5"/>
        <v>15.299999999999999</v>
      </c>
      <c r="L52" s="93">
        <v>33</v>
      </c>
      <c r="M52" s="54">
        <f t="shared" si="6"/>
        <v>297</v>
      </c>
      <c r="N52" s="95">
        <v>1</v>
      </c>
      <c r="O52" s="94">
        <f t="shared" si="7"/>
        <v>9</v>
      </c>
      <c r="P52" s="93">
        <v>165</v>
      </c>
      <c r="Q52" s="54">
        <f t="shared" si="8"/>
        <v>1485</v>
      </c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</row>
    <row r="53" spans="1:30" x14ac:dyDescent="0.25">
      <c r="A53" s="6">
        <f t="shared" si="1"/>
        <v>47</v>
      </c>
      <c r="B53" s="292" t="s">
        <v>485</v>
      </c>
      <c r="C53" s="292"/>
      <c r="D53" s="292"/>
      <c r="E53" s="54">
        <f t="shared" si="4"/>
        <v>1</v>
      </c>
      <c r="F53" s="93">
        <v>18.7</v>
      </c>
      <c r="G53" s="94">
        <f t="shared" si="9"/>
        <v>18.7</v>
      </c>
      <c r="H53" s="54">
        <v>85</v>
      </c>
      <c r="I53" s="55">
        <f t="shared" si="10"/>
        <v>85</v>
      </c>
      <c r="J53" s="95">
        <v>4</v>
      </c>
      <c r="K53" s="94">
        <f t="shared" si="5"/>
        <v>4</v>
      </c>
      <c r="L53" s="93">
        <v>79</v>
      </c>
      <c r="M53" s="54">
        <f t="shared" si="6"/>
        <v>79</v>
      </c>
      <c r="N53" s="93">
        <v>2.4</v>
      </c>
      <c r="O53" s="94">
        <f t="shared" si="7"/>
        <v>2.4</v>
      </c>
      <c r="P53" s="93">
        <v>395</v>
      </c>
      <c r="Q53" s="54">
        <f t="shared" si="8"/>
        <v>395</v>
      </c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</row>
    <row r="54" spans="1:30" x14ac:dyDescent="0.25">
      <c r="A54" s="6">
        <f t="shared" si="1"/>
        <v>48</v>
      </c>
      <c r="B54" s="292" t="s">
        <v>501</v>
      </c>
      <c r="C54" s="292"/>
      <c r="D54" s="292"/>
      <c r="E54" s="54">
        <f t="shared" si="4"/>
        <v>4</v>
      </c>
      <c r="F54" s="95">
        <v>22</v>
      </c>
      <c r="G54" s="94">
        <f t="shared" si="9"/>
        <v>88</v>
      </c>
      <c r="H54" s="54">
        <v>110</v>
      </c>
      <c r="I54" s="55">
        <f t="shared" si="10"/>
        <v>440</v>
      </c>
      <c r="J54" s="93">
        <v>3.2</v>
      </c>
      <c r="K54" s="94">
        <f t="shared" si="5"/>
        <v>12.8</v>
      </c>
      <c r="L54" s="93">
        <v>65</v>
      </c>
      <c r="M54" s="54">
        <f t="shared" si="6"/>
        <v>260</v>
      </c>
      <c r="N54" s="93">
        <v>1.9</v>
      </c>
      <c r="O54" s="94">
        <f t="shared" si="7"/>
        <v>7.6</v>
      </c>
      <c r="P54" s="93">
        <v>315</v>
      </c>
      <c r="Q54" s="54">
        <f t="shared" si="8"/>
        <v>1260</v>
      </c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</row>
    <row r="55" spans="1:30" x14ac:dyDescent="0.25">
      <c r="A55" s="6">
        <f t="shared" si="1"/>
        <v>49</v>
      </c>
      <c r="B55" s="292" t="s">
        <v>486</v>
      </c>
      <c r="C55" s="292"/>
      <c r="D55" s="292"/>
      <c r="E55" s="54">
        <f>Q41</f>
        <v>126</v>
      </c>
      <c r="F55" s="95">
        <v>0.3</v>
      </c>
      <c r="G55" s="94">
        <f t="shared" si="9"/>
        <v>37.799999999999997</v>
      </c>
      <c r="H55" s="54">
        <v>1.8</v>
      </c>
      <c r="I55" s="55">
        <f>H55*E55</f>
        <v>226.8</v>
      </c>
      <c r="J55" s="93"/>
      <c r="K55" s="94"/>
      <c r="L55" s="93"/>
      <c r="M55" s="54"/>
      <c r="N55" s="93"/>
      <c r="O55" s="94"/>
      <c r="P55" s="93"/>
      <c r="Q55" s="54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</row>
    <row r="56" spans="1:30" x14ac:dyDescent="0.25">
      <c r="A56" s="6">
        <f t="shared" si="1"/>
        <v>50</v>
      </c>
      <c r="B56" s="358" t="s">
        <v>44</v>
      </c>
      <c r="C56" s="358"/>
      <c r="D56" s="358"/>
      <c r="E56" s="103">
        <f>SUM(E46:E55)</f>
        <v>245</v>
      </c>
      <c r="F56" s="103"/>
      <c r="G56" s="103">
        <f>SUM(G47:G55)</f>
        <v>422.59999999999997</v>
      </c>
      <c r="H56" s="103"/>
      <c r="I56" s="103">
        <f>SUM(I47:I55)</f>
        <v>2004.8</v>
      </c>
      <c r="J56" s="103"/>
      <c r="K56" s="103">
        <f>SUM(K46:K55)</f>
        <v>299.60000000000008</v>
      </c>
      <c r="L56" s="103"/>
      <c r="M56" s="103">
        <f>SUM(M46:M55)</f>
        <v>5942</v>
      </c>
      <c r="N56" s="103"/>
      <c r="O56" s="103">
        <f>SUM(O46:O55)</f>
        <v>177.55</v>
      </c>
      <c r="P56" s="103"/>
      <c r="Q56" s="103">
        <f>SUM(Q46:Q55)</f>
        <v>32075</v>
      </c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</row>
    <row r="57" spans="1:30" x14ac:dyDescent="0.25">
      <c r="A57" s="92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</row>
    <row r="58" spans="1:30" x14ac:dyDescent="0.25">
      <c r="A58" s="12" t="s">
        <v>56</v>
      </c>
      <c r="B58" s="25"/>
      <c r="C58" s="25"/>
      <c r="D58" s="25"/>
      <c r="E58" s="25"/>
      <c r="F58" s="25"/>
      <c r="G58" s="25"/>
      <c r="H58" s="25"/>
      <c r="I58" s="25"/>
      <c r="J58" s="26"/>
      <c r="K58" s="26"/>
      <c r="L58" s="26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</row>
    <row r="59" spans="1:30" x14ac:dyDescent="0.25">
      <c r="A59" s="18">
        <v>1</v>
      </c>
      <c r="B59" s="29"/>
      <c r="C59" s="29"/>
      <c r="D59" s="29"/>
      <c r="E59" s="27"/>
      <c r="F59" s="28"/>
      <c r="G59" s="27"/>
      <c r="H59" s="27"/>
      <c r="I59" s="27"/>
      <c r="J59" s="27"/>
      <c r="K59" s="27"/>
      <c r="L59" s="27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</row>
    <row r="60" spans="1:30" x14ac:dyDescent="0.25">
      <c r="A60" s="18"/>
      <c r="B60" s="27"/>
      <c r="C60" s="27"/>
      <c r="D60" s="27"/>
      <c r="E60" s="27"/>
      <c r="F60" s="28"/>
      <c r="G60" s="27"/>
      <c r="H60" s="27"/>
      <c r="I60" s="27"/>
      <c r="J60" s="27"/>
      <c r="K60" s="27"/>
      <c r="L60" s="27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</row>
    <row r="61" spans="1:30" x14ac:dyDescent="0.25">
      <c r="A61" s="18"/>
      <c r="B61" s="27"/>
      <c r="C61" s="27"/>
      <c r="D61" s="27"/>
      <c r="E61" s="27"/>
      <c r="F61" s="28"/>
      <c r="G61" s="27"/>
      <c r="H61" s="27"/>
      <c r="I61" s="27"/>
      <c r="J61" s="27"/>
      <c r="K61" s="27"/>
      <c r="L61" s="27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</row>
    <row r="62" spans="1:30" x14ac:dyDescent="0.25">
      <c r="A62" s="18"/>
      <c r="B62" s="29"/>
      <c r="C62" s="29"/>
      <c r="D62" s="29"/>
      <c r="E62" s="27"/>
      <c r="F62" s="28"/>
      <c r="G62" s="27"/>
      <c r="H62" s="27"/>
      <c r="I62" s="27"/>
      <c r="J62" s="27"/>
      <c r="K62" s="27"/>
      <c r="L62" s="27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</row>
    <row r="63" spans="1:30" x14ac:dyDescent="0.25">
      <c r="A63" s="92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</row>
    <row r="64" spans="1:30" x14ac:dyDescent="0.25">
      <c r="A64" s="96"/>
      <c r="B64" s="96"/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</row>
    <row r="65" spans="1:30" x14ac:dyDescent="0.25">
      <c r="A65" s="96"/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</row>
    <row r="66" spans="1:30" x14ac:dyDescent="0.25">
      <c r="A66" s="96"/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</row>
    <row r="67" spans="1:30" x14ac:dyDescent="0.25">
      <c r="A67" s="96"/>
      <c r="B67" s="96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</row>
    <row r="68" spans="1:30" x14ac:dyDescent="0.25">
      <c r="A68" s="96"/>
      <c r="B68" s="96"/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</row>
    <row r="69" spans="1:30" x14ac:dyDescent="0.25">
      <c r="A69" s="96"/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</row>
    <row r="70" spans="1:30" x14ac:dyDescent="0.25">
      <c r="A70" s="96"/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</row>
    <row r="71" spans="1:30" x14ac:dyDescent="0.25">
      <c r="A71" s="96"/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</row>
    <row r="72" spans="1:30" x14ac:dyDescent="0.25">
      <c r="A72" s="96"/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</row>
    <row r="73" spans="1:30" ht="36.75" customHeight="1" x14ac:dyDescent="0.25">
      <c r="A73" s="96"/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  <c r="P73" s="96"/>
      <c r="Q73" s="96"/>
      <c r="R73" s="96"/>
    </row>
    <row r="74" spans="1:30" x14ac:dyDescent="0.25">
      <c r="A74" s="96"/>
      <c r="B74" s="96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96"/>
      <c r="P74" s="96"/>
      <c r="Q74" s="96"/>
      <c r="R74" s="96"/>
    </row>
    <row r="75" spans="1:30" x14ac:dyDescent="0.25">
      <c r="A75" s="96"/>
      <c r="B75" s="96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</row>
    <row r="76" spans="1:30" x14ac:dyDescent="0.25">
      <c r="A76" s="96"/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</row>
    <row r="77" spans="1:30" x14ac:dyDescent="0.25">
      <c r="A77" s="96"/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</row>
    <row r="78" spans="1:30" x14ac:dyDescent="0.25">
      <c r="A78" s="96"/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</row>
    <row r="79" spans="1:30" x14ac:dyDescent="0.25">
      <c r="A79" s="96"/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6"/>
      <c r="Q79" s="96"/>
      <c r="R79" s="96"/>
    </row>
    <row r="80" spans="1:30" x14ac:dyDescent="0.25">
      <c r="A80" s="96"/>
      <c r="B80" s="96"/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</row>
    <row r="81" spans="1:18" x14ac:dyDescent="0.25">
      <c r="A81" s="96"/>
      <c r="B81" s="96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96"/>
      <c r="Q81" s="96"/>
      <c r="R81" s="96"/>
    </row>
    <row r="82" spans="1:18" x14ac:dyDescent="0.25">
      <c r="A82" s="96"/>
      <c r="B82" s="96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  <c r="O82" s="96"/>
      <c r="P82" s="96"/>
      <c r="Q82" s="96"/>
      <c r="R82" s="96"/>
    </row>
    <row r="83" spans="1:18" x14ac:dyDescent="0.25">
      <c r="A83" s="96"/>
      <c r="B83" s="96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  <c r="P83" s="96"/>
      <c r="Q83" s="96"/>
      <c r="R83" s="96"/>
    </row>
    <row r="84" spans="1:18" x14ac:dyDescent="0.25">
      <c r="A84" s="96"/>
      <c r="B84" s="96"/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</row>
    <row r="85" spans="1:18" x14ac:dyDescent="0.25">
      <c r="A85" s="96"/>
      <c r="B85" s="96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  <c r="O85" s="96"/>
      <c r="P85" s="96"/>
      <c r="Q85" s="96"/>
      <c r="R85" s="96"/>
    </row>
    <row r="86" spans="1:18" x14ac:dyDescent="0.25">
      <c r="A86" s="96"/>
      <c r="B86" s="96"/>
      <c r="C86" s="96"/>
      <c r="D86" s="96"/>
      <c r="E86" s="96"/>
      <c r="F86" s="96"/>
      <c r="G86" s="96"/>
      <c r="H86" s="96"/>
      <c r="I86" s="96"/>
      <c r="J86" s="96"/>
      <c r="K86" s="96"/>
      <c r="L86" s="96"/>
      <c r="M86" s="96"/>
      <c r="N86" s="96"/>
      <c r="O86" s="96"/>
      <c r="P86" s="96"/>
      <c r="Q86" s="96"/>
      <c r="R86" s="96"/>
    </row>
    <row r="87" spans="1:18" x14ac:dyDescent="0.25">
      <c r="A87" s="96"/>
      <c r="B87" s="96"/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</row>
    <row r="88" spans="1:18" x14ac:dyDescent="0.25">
      <c r="A88" s="96"/>
      <c r="B88" s="96"/>
      <c r="C88" s="96"/>
      <c r="D88" s="96"/>
      <c r="E88" s="96"/>
      <c r="F88" s="96"/>
      <c r="G88" s="96"/>
      <c r="H88" s="96"/>
      <c r="I88" s="96"/>
      <c r="J88" s="96"/>
      <c r="K88" s="96"/>
      <c r="L88" s="96"/>
      <c r="M88" s="96"/>
      <c r="N88" s="96"/>
      <c r="O88" s="96"/>
      <c r="P88" s="96"/>
      <c r="Q88" s="96"/>
      <c r="R88" s="96"/>
    </row>
    <row r="89" spans="1:18" x14ac:dyDescent="0.25">
      <c r="A89" s="96"/>
      <c r="B89" s="96"/>
      <c r="C89" s="96"/>
      <c r="D89" s="96"/>
      <c r="E89" s="96"/>
      <c r="F89" s="96"/>
      <c r="G89" s="96"/>
      <c r="H89" s="96"/>
      <c r="I89" s="96"/>
      <c r="J89" s="96"/>
      <c r="K89" s="96"/>
      <c r="L89" s="96"/>
      <c r="M89" s="96"/>
      <c r="N89" s="96"/>
      <c r="O89" s="96"/>
      <c r="P89" s="96"/>
      <c r="Q89" s="96"/>
      <c r="R89" s="96"/>
    </row>
    <row r="90" spans="1:18" x14ac:dyDescent="0.25">
      <c r="A90" s="96"/>
      <c r="B90" s="96"/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  <c r="P90" s="96"/>
      <c r="Q90" s="96"/>
      <c r="R90" s="96"/>
    </row>
    <row r="91" spans="1:18" x14ac:dyDescent="0.25">
      <c r="A91" s="96"/>
      <c r="B91" s="96"/>
      <c r="C91" s="96"/>
      <c r="D91" s="96"/>
      <c r="E91" s="96"/>
      <c r="F91" s="96"/>
      <c r="G91" s="96"/>
      <c r="H91" s="96"/>
      <c r="I91" s="96"/>
      <c r="J91" s="96"/>
      <c r="K91" s="96"/>
      <c r="L91" s="96"/>
      <c r="M91" s="96"/>
      <c r="N91" s="96"/>
      <c r="O91" s="96"/>
      <c r="P91" s="96"/>
      <c r="Q91" s="96"/>
      <c r="R91" s="96"/>
    </row>
    <row r="92" spans="1:18" x14ac:dyDescent="0.25">
      <c r="A92" s="96"/>
      <c r="B92" s="96"/>
      <c r="C92" s="96"/>
      <c r="D92" s="96"/>
      <c r="E92" s="96"/>
      <c r="F92" s="96"/>
      <c r="G92" s="96"/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6"/>
    </row>
    <row r="93" spans="1:18" x14ac:dyDescent="0.25">
      <c r="A93" s="96"/>
      <c r="B93" s="96"/>
      <c r="C93" s="96"/>
      <c r="D93" s="96"/>
      <c r="E93" s="96"/>
      <c r="F93" s="96"/>
      <c r="G93" s="96"/>
      <c r="H93" s="96"/>
      <c r="I93" s="96"/>
      <c r="J93" s="96"/>
      <c r="K93" s="96"/>
      <c r="L93" s="96"/>
      <c r="M93" s="96"/>
      <c r="N93" s="96"/>
      <c r="O93" s="96"/>
      <c r="P93" s="96"/>
      <c r="Q93" s="96"/>
      <c r="R93" s="96"/>
    </row>
    <row r="94" spans="1:18" x14ac:dyDescent="0.25">
      <c r="A94" s="96"/>
      <c r="B94" s="96"/>
      <c r="C94" s="96"/>
      <c r="D94" s="96"/>
      <c r="E94" s="96"/>
      <c r="F94" s="96"/>
      <c r="G94" s="96"/>
      <c r="H94" s="96"/>
      <c r="I94" s="96"/>
      <c r="J94" s="96"/>
      <c r="K94" s="96"/>
      <c r="L94" s="96"/>
      <c r="M94" s="96"/>
      <c r="N94" s="96"/>
      <c r="O94" s="96"/>
      <c r="P94" s="96"/>
      <c r="Q94" s="96"/>
      <c r="R94" s="96"/>
    </row>
    <row r="95" spans="1:18" x14ac:dyDescent="0.25">
      <c r="A95" s="96"/>
      <c r="B95" s="96"/>
      <c r="C95" s="96"/>
      <c r="D95" s="96"/>
      <c r="E95" s="96"/>
      <c r="F95" s="96"/>
      <c r="G95" s="96"/>
      <c r="H95" s="96"/>
      <c r="I95" s="96"/>
      <c r="J95" s="96"/>
      <c r="K95" s="96"/>
      <c r="L95" s="96"/>
      <c r="M95" s="96"/>
      <c r="N95" s="96"/>
      <c r="O95" s="96"/>
      <c r="P95" s="96"/>
      <c r="Q95" s="96"/>
      <c r="R95" s="96"/>
    </row>
    <row r="96" spans="1:18" x14ac:dyDescent="0.25">
      <c r="A96" s="96"/>
      <c r="B96" s="96"/>
      <c r="C96" s="96"/>
      <c r="D96" s="96"/>
      <c r="E96" s="96"/>
      <c r="F96" s="96"/>
      <c r="G96" s="96"/>
      <c r="H96" s="96"/>
      <c r="I96" s="96"/>
      <c r="J96" s="96"/>
      <c r="K96" s="96"/>
      <c r="L96" s="96"/>
      <c r="M96" s="96"/>
      <c r="N96" s="96"/>
      <c r="O96" s="96"/>
      <c r="P96" s="96"/>
      <c r="Q96" s="96"/>
      <c r="R96" s="96"/>
    </row>
    <row r="97" spans="1:18" x14ac:dyDescent="0.25">
      <c r="A97" s="96"/>
      <c r="B97" s="96"/>
      <c r="C97" s="96"/>
      <c r="D97" s="96"/>
      <c r="E97" s="96"/>
      <c r="F97" s="96"/>
      <c r="G97" s="96"/>
      <c r="H97" s="96"/>
      <c r="I97" s="96"/>
      <c r="J97" s="96"/>
      <c r="K97" s="96"/>
      <c r="L97" s="96"/>
      <c r="M97" s="96"/>
      <c r="N97" s="96"/>
      <c r="O97" s="96"/>
      <c r="P97" s="96"/>
      <c r="Q97" s="96"/>
      <c r="R97" s="96"/>
    </row>
    <row r="98" spans="1:18" x14ac:dyDescent="0.25">
      <c r="A98" s="96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  <c r="O98" s="96"/>
      <c r="P98" s="96"/>
      <c r="Q98" s="96"/>
      <c r="R98" s="96"/>
    </row>
    <row r="99" spans="1:18" x14ac:dyDescent="0.25">
      <c r="A99" s="96"/>
      <c r="B99" s="96"/>
      <c r="C99" s="96"/>
      <c r="D99" s="96"/>
      <c r="E99" s="96"/>
      <c r="F99" s="96"/>
      <c r="G99" s="96"/>
      <c r="H99" s="96"/>
      <c r="I99" s="96"/>
      <c r="J99" s="96"/>
      <c r="K99" s="96"/>
      <c r="L99" s="96"/>
      <c r="M99" s="96"/>
      <c r="N99" s="96"/>
      <c r="O99" s="96"/>
      <c r="P99" s="96"/>
      <c r="Q99" s="96"/>
      <c r="R99" s="96"/>
    </row>
    <row r="100" spans="1:18" x14ac:dyDescent="0.25">
      <c r="A100" s="96"/>
      <c r="B100" s="96"/>
      <c r="C100" s="96"/>
      <c r="D100" s="96"/>
      <c r="E100" s="96"/>
      <c r="F100" s="96"/>
      <c r="G100" s="96"/>
      <c r="H100" s="96"/>
      <c r="I100" s="96"/>
      <c r="J100" s="96"/>
      <c r="K100" s="96"/>
      <c r="L100" s="96"/>
      <c r="M100" s="96"/>
      <c r="N100" s="96"/>
      <c r="O100" s="96"/>
      <c r="P100" s="96"/>
      <c r="Q100" s="96"/>
      <c r="R100" s="96"/>
    </row>
    <row r="101" spans="1:18" x14ac:dyDescent="0.25">
      <c r="A101" s="96"/>
      <c r="B101" s="96"/>
      <c r="C101" s="96"/>
      <c r="D101" s="96"/>
      <c r="E101" s="96"/>
      <c r="F101" s="96"/>
      <c r="G101" s="96"/>
      <c r="H101" s="96"/>
      <c r="I101" s="96"/>
      <c r="J101" s="96"/>
      <c r="K101" s="96"/>
      <c r="L101" s="96"/>
      <c r="M101" s="96"/>
      <c r="N101" s="96"/>
      <c r="O101" s="96"/>
      <c r="P101" s="96"/>
      <c r="Q101" s="96"/>
      <c r="R101" s="96"/>
    </row>
    <row r="102" spans="1:18" x14ac:dyDescent="0.25">
      <c r="A102" s="96"/>
      <c r="B102" s="96"/>
      <c r="C102" s="96"/>
      <c r="D102" s="96"/>
      <c r="E102" s="96"/>
      <c r="F102" s="96"/>
      <c r="G102" s="96"/>
      <c r="H102" s="96"/>
      <c r="I102" s="96"/>
      <c r="J102" s="96"/>
      <c r="K102" s="96"/>
      <c r="L102" s="96"/>
      <c r="M102" s="96"/>
      <c r="N102" s="96"/>
      <c r="O102" s="96"/>
      <c r="P102" s="96"/>
      <c r="Q102" s="96"/>
      <c r="R102" s="96"/>
    </row>
    <row r="103" spans="1:18" x14ac:dyDescent="0.25">
      <c r="A103" s="96"/>
      <c r="B103" s="96"/>
      <c r="C103" s="96"/>
      <c r="D103" s="96"/>
      <c r="E103" s="96"/>
      <c r="F103" s="96"/>
      <c r="G103" s="96"/>
      <c r="H103" s="96"/>
      <c r="I103" s="96"/>
      <c r="J103" s="96"/>
      <c r="K103" s="96"/>
      <c r="L103" s="96"/>
      <c r="M103" s="96"/>
      <c r="N103" s="96"/>
      <c r="O103" s="96"/>
      <c r="P103" s="96"/>
      <c r="Q103" s="96"/>
      <c r="R103" s="96"/>
    </row>
    <row r="104" spans="1:18" x14ac:dyDescent="0.25">
      <c r="A104" s="96"/>
      <c r="B104" s="96"/>
      <c r="C104" s="96"/>
      <c r="D104" s="96"/>
      <c r="E104" s="96"/>
      <c r="F104" s="96"/>
      <c r="G104" s="96"/>
      <c r="H104" s="96"/>
      <c r="I104" s="96"/>
      <c r="J104" s="96"/>
      <c r="K104" s="96"/>
      <c r="L104" s="96"/>
      <c r="M104" s="96"/>
      <c r="N104" s="96"/>
      <c r="O104" s="96"/>
      <c r="P104" s="96"/>
      <c r="Q104" s="96"/>
      <c r="R104" s="96"/>
    </row>
    <row r="105" spans="1:18" x14ac:dyDescent="0.25">
      <c r="A105" s="96"/>
      <c r="B105" s="96"/>
      <c r="C105" s="96"/>
      <c r="D105" s="96"/>
      <c r="E105" s="96"/>
      <c r="F105" s="96"/>
      <c r="G105" s="96"/>
      <c r="H105" s="96"/>
      <c r="I105" s="96"/>
      <c r="J105" s="96"/>
      <c r="K105" s="96"/>
      <c r="L105" s="96"/>
      <c r="M105" s="96"/>
      <c r="N105" s="96"/>
      <c r="O105" s="96"/>
      <c r="P105" s="96"/>
      <c r="Q105" s="96"/>
      <c r="R105" s="96"/>
    </row>
    <row r="106" spans="1:18" x14ac:dyDescent="0.25">
      <c r="A106" s="96"/>
      <c r="B106" s="96"/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/>
      <c r="O106" s="96"/>
      <c r="P106" s="96"/>
      <c r="Q106" s="96"/>
      <c r="R106" s="96"/>
    </row>
    <row r="107" spans="1:18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</row>
  </sheetData>
  <mergeCells count="61">
    <mergeCell ref="E34:Q34"/>
    <mergeCell ref="E40:Q40"/>
    <mergeCell ref="E43:Q43"/>
    <mergeCell ref="E7:Q7"/>
    <mergeCell ref="E10:Q10"/>
    <mergeCell ref="E15:Q15"/>
    <mergeCell ref="E22:Q22"/>
    <mergeCell ref="E24:Q24"/>
    <mergeCell ref="B56:D56"/>
    <mergeCell ref="L44:M44"/>
    <mergeCell ref="N44:O44"/>
    <mergeCell ref="B39:D39"/>
    <mergeCell ref="B37:D37"/>
    <mergeCell ref="B38:D38"/>
    <mergeCell ref="B47:D47"/>
    <mergeCell ref="B40:D40"/>
    <mergeCell ref="B41:D41"/>
    <mergeCell ref="B42:D42"/>
    <mergeCell ref="B43:D43"/>
    <mergeCell ref="B44:D44"/>
    <mergeCell ref="F44:G44"/>
    <mergeCell ref="H44:I44"/>
    <mergeCell ref="J44:K44"/>
    <mergeCell ref="B45:D45"/>
    <mergeCell ref="P44:Q44"/>
    <mergeCell ref="A3:A5"/>
    <mergeCell ref="E3:E5"/>
    <mergeCell ref="Q3:Q5"/>
    <mergeCell ref="B3:D5"/>
    <mergeCell ref="F3:P3"/>
    <mergeCell ref="F4:P4"/>
    <mergeCell ref="B7:D7"/>
    <mergeCell ref="B13:D13"/>
    <mergeCell ref="B14:D14"/>
    <mergeCell ref="B15:D15"/>
    <mergeCell ref="B8:D8"/>
    <mergeCell ref="B9:D9"/>
    <mergeCell ref="B10:D10"/>
    <mergeCell ref="B11:D11"/>
    <mergeCell ref="B12:D12"/>
    <mergeCell ref="B16:C16"/>
    <mergeCell ref="B22:D22"/>
    <mergeCell ref="B21:C21"/>
    <mergeCell ref="B17:C17"/>
    <mergeCell ref="B18:C18"/>
    <mergeCell ref="B19:C19"/>
    <mergeCell ref="B20:C20"/>
    <mergeCell ref="B23:D23"/>
    <mergeCell ref="B24:D24"/>
    <mergeCell ref="B34:D34"/>
    <mergeCell ref="B35:D35"/>
    <mergeCell ref="B36:D36"/>
    <mergeCell ref="B46:D46"/>
    <mergeCell ref="B55:D55"/>
    <mergeCell ref="B48:D48"/>
    <mergeCell ref="B50:D50"/>
    <mergeCell ref="B51:D51"/>
    <mergeCell ref="B52:D52"/>
    <mergeCell ref="B53:D53"/>
    <mergeCell ref="B54:D54"/>
    <mergeCell ref="B49:D49"/>
  </mergeCells>
  <phoneticPr fontId="14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1279D-00A1-4F00-912C-0C05820673CF}">
  <dimension ref="A1:L30"/>
  <sheetViews>
    <sheetView zoomScale="85" zoomScaleNormal="85" workbookViewId="0">
      <selection activeCell="A3" sqref="A3:L27"/>
    </sheetView>
  </sheetViews>
  <sheetFormatPr defaultRowHeight="15" x14ac:dyDescent="0.25"/>
  <cols>
    <col min="1" max="1" width="4.7109375" style="60" customWidth="1"/>
    <col min="2" max="2" width="25.85546875" style="60" customWidth="1"/>
    <col min="3" max="3" width="9.5703125" style="60" customWidth="1"/>
    <col min="4" max="4" width="13.42578125" style="60" customWidth="1"/>
    <col min="5" max="5" width="9.5703125" style="60" customWidth="1"/>
    <col min="6" max="9" width="9.140625" style="60"/>
    <col min="10" max="12" width="11.5703125" style="60" customWidth="1"/>
    <col min="13" max="16384" width="9.140625" style="60"/>
  </cols>
  <sheetData>
    <row r="1" spans="1:12" ht="15.75" x14ac:dyDescent="0.25">
      <c r="A1" s="58" t="s">
        <v>969</v>
      </c>
      <c r="B1" s="59"/>
    </row>
    <row r="2" spans="1:12" x14ac:dyDescent="0.25">
      <c r="B2" s="59"/>
    </row>
    <row r="3" spans="1:12" ht="26.25" customHeight="1" x14ac:dyDescent="0.25">
      <c r="A3" s="294" t="s">
        <v>2</v>
      </c>
      <c r="B3" s="48" t="s">
        <v>217</v>
      </c>
      <c r="C3" s="294" t="s">
        <v>218</v>
      </c>
      <c r="D3" s="294" t="s">
        <v>219</v>
      </c>
      <c r="E3" s="294" t="s">
        <v>220</v>
      </c>
      <c r="F3" s="294" t="s">
        <v>221</v>
      </c>
      <c r="G3" s="294"/>
      <c r="H3" s="294" t="s">
        <v>234</v>
      </c>
      <c r="I3" s="294"/>
      <c r="J3" s="294" t="s">
        <v>222</v>
      </c>
      <c r="K3" s="294" t="s">
        <v>231</v>
      </c>
      <c r="L3" s="294"/>
    </row>
    <row r="4" spans="1:12" x14ac:dyDescent="0.25">
      <c r="A4" s="294"/>
      <c r="B4" s="294" t="s">
        <v>223</v>
      </c>
      <c r="C4" s="294"/>
      <c r="D4" s="294"/>
      <c r="E4" s="294"/>
      <c r="F4" s="359" t="s">
        <v>224</v>
      </c>
      <c r="G4" s="360" t="s">
        <v>225</v>
      </c>
      <c r="H4" s="359" t="s">
        <v>224</v>
      </c>
      <c r="I4" s="360" t="s">
        <v>225</v>
      </c>
      <c r="J4" s="294"/>
      <c r="K4" s="359" t="s">
        <v>224</v>
      </c>
      <c r="L4" s="360" t="s">
        <v>225</v>
      </c>
    </row>
    <row r="5" spans="1:12" x14ac:dyDescent="0.25">
      <c r="A5" s="294"/>
      <c r="B5" s="294"/>
      <c r="C5" s="294"/>
      <c r="D5" s="294"/>
      <c r="E5" s="294"/>
      <c r="F5" s="359"/>
      <c r="G5" s="360"/>
      <c r="H5" s="359"/>
      <c r="I5" s="360"/>
      <c r="J5" s="294"/>
      <c r="K5" s="359"/>
      <c r="L5" s="360"/>
    </row>
    <row r="6" spans="1:12" x14ac:dyDescent="0.25">
      <c r="A6" s="49" t="s">
        <v>36</v>
      </c>
      <c r="B6" s="49" t="str">
        <f>CHAR(CODE(A6)+1)</f>
        <v>B</v>
      </c>
      <c r="C6" s="49" t="str">
        <f t="shared" ref="C6:L6" si="0">CHAR(CODE(B6)+1)</f>
        <v>C</v>
      </c>
      <c r="D6" s="49" t="str">
        <f t="shared" si="0"/>
        <v>D</v>
      </c>
      <c r="E6" s="49" t="str">
        <f t="shared" si="0"/>
        <v>E</v>
      </c>
      <c r="F6" s="49" t="str">
        <f t="shared" si="0"/>
        <v>F</v>
      </c>
      <c r="G6" s="49" t="str">
        <f t="shared" si="0"/>
        <v>G</v>
      </c>
      <c r="H6" s="49" t="str">
        <f t="shared" si="0"/>
        <v>H</v>
      </c>
      <c r="I6" s="49" t="str">
        <f t="shared" si="0"/>
        <v>I</v>
      </c>
      <c r="J6" s="49" t="str">
        <f t="shared" si="0"/>
        <v>J</v>
      </c>
      <c r="K6" s="49" t="str">
        <f t="shared" si="0"/>
        <v>K</v>
      </c>
      <c r="L6" s="49" t="str">
        <f t="shared" si="0"/>
        <v>L</v>
      </c>
    </row>
    <row r="7" spans="1:12" ht="26.25" x14ac:dyDescent="0.25">
      <c r="A7" s="54">
        <v>1</v>
      </c>
      <c r="B7" s="64" t="s">
        <v>228</v>
      </c>
      <c r="C7" s="362"/>
      <c r="D7" s="362"/>
      <c r="E7" s="362"/>
      <c r="F7" s="362"/>
      <c r="G7" s="362"/>
      <c r="H7" s="362"/>
      <c r="I7" s="362"/>
      <c r="J7" s="362"/>
      <c r="K7" s="362"/>
      <c r="L7" s="362"/>
    </row>
    <row r="8" spans="1:12" x14ac:dyDescent="0.25">
      <c r="A8" s="54">
        <f>A7+1</f>
        <v>2</v>
      </c>
      <c r="B8" s="62" t="s">
        <v>227</v>
      </c>
      <c r="C8" s="54"/>
      <c r="D8" s="54" t="s">
        <v>325</v>
      </c>
      <c r="E8" s="54">
        <v>46</v>
      </c>
      <c r="F8" s="361" t="s">
        <v>502</v>
      </c>
      <c r="G8" s="361"/>
      <c r="H8" s="361"/>
      <c r="I8" s="361"/>
      <c r="J8" s="361"/>
      <c r="K8" s="361"/>
      <c r="L8" s="361"/>
    </row>
    <row r="9" spans="1:12" x14ac:dyDescent="0.25">
      <c r="A9" s="54">
        <f t="shared" ref="A9:A27" si="1">A8+1</f>
        <v>3</v>
      </c>
      <c r="B9" s="62" t="s">
        <v>226</v>
      </c>
      <c r="C9" s="54" t="s">
        <v>230</v>
      </c>
      <c r="D9" s="54" t="s">
        <v>326</v>
      </c>
      <c r="E9" s="54">
        <v>3024</v>
      </c>
      <c r="F9" s="36">
        <v>0.47</v>
      </c>
      <c r="G9" s="55">
        <f>$E9*F9</f>
        <v>1421.28</v>
      </c>
      <c r="H9" s="54">
        <v>1.03</v>
      </c>
      <c r="I9" s="55">
        <f>$E9*H9</f>
        <v>3114.7200000000003</v>
      </c>
      <c r="J9" s="55">
        <f>E9*5</f>
        <v>15120</v>
      </c>
      <c r="K9" s="63"/>
      <c r="L9" s="55"/>
    </row>
    <row r="10" spans="1:12" x14ac:dyDescent="0.25">
      <c r="A10" s="54">
        <f t="shared" si="1"/>
        <v>4</v>
      </c>
      <c r="B10" s="62" t="s">
        <v>235</v>
      </c>
      <c r="C10" s="54" t="s">
        <v>229</v>
      </c>
      <c r="D10" s="54" t="s">
        <v>232</v>
      </c>
      <c r="E10" s="54">
        <f>3112-3070</f>
        <v>42</v>
      </c>
      <c r="F10" s="36">
        <v>0.72</v>
      </c>
      <c r="G10" s="55">
        <f>$E10*F10</f>
        <v>30.24</v>
      </c>
      <c r="H10" s="54">
        <v>1.53</v>
      </c>
      <c r="I10" s="55">
        <f>$E10*H10</f>
        <v>64.260000000000005</v>
      </c>
      <c r="J10" s="55">
        <f>E10*8</f>
        <v>336</v>
      </c>
      <c r="K10" s="63">
        <v>0.98</v>
      </c>
      <c r="L10" s="55">
        <f>$E10*K10</f>
        <v>41.16</v>
      </c>
    </row>
    <row r="11" spans="1:12" x14ac:dyDescent="0.25">
      <c r="A11" s="54">
        <f t="shared" si="1"/>
        <v>5</v>
      </c>
      <c r="B11" s="62" t="s">
        <v>226</v>
      </c>
      <c r="C11" s="54" t="s">
        <v>230</v>
      </c>
      <c r="D11" s="54" t="s">
        <v>328</v>
      </c>
      <c r="E11" s="54">
        <v>2860</v>
      </c>
      <c r="F11" s="36">
        <v>0.47</v>
      </c>
      <c r="G11" s="55">
        <f>$E11*F11</f>
        <v>1344.1999999999998</v>
      </c>
      <c r="H11" s="54">
        <v>1.03</v>
      </c>
      <c r="I11" s="55">
        <f>$E11*H11</f>
        <v>2945.8</v>
      </c>
      <c r="J11" s="55">
        <f>E11*5</f>
        <v>14300</v>
      </c>
      <c r="K11" s="63"/>
      <c r="L11" s="55"/>
    </row>
    <row r="12" spans="1:12" x14ac:dyDescent="0.25">
      <c r="A12" s="54">
        <f t="shared" si="1"/>
        <v>6</v>
      </c>
      <c r="B12" s="62" t="s">
        <v>227</v>
      </c>
      <c r="C12" s="54"/>
      <c r="D12" s="54" t="s">
        <v>327</v>
      </c>
      <c r="E12" s="54">
        <v>38</v>
      </c>
      <c r="F12" s="361" t="s">
        <v>502</v>
      </c>
      <c r="G12" s="361"/>
      <c r="H12" s="361"/>
      <c r="I12" s="361"/>
      <c r="J12" s="361"/>
      <c r="K12" s="361"/>
      <c r="L12" s="361"/>
    </row>
    <row r="13" spans="1:12" x14ac:dyDescent="0.25">
      <c r="A13" s="54">
        <f t="shared" si="1"/>
        <v>7</v>
      </c>
      <c r="B13" s="56" t="s">
        <v>233</v>
      </c>
      <c r="C13" s="54"/>
      <c r="D13" s="54"/>
      <c r="E13" s="56">
        <f>SUM(E8:E12)</f>
        <v>6010</v>
      </c>
      <c r="F13" s="36"/>
      <c r="G13" s="57">
        <f>SUM(G8:G12)</f>
        <v>2795.72</v>
      </c>
      <c r="H13" s="54"/>
      <c r="I13" s="57">
        <f>SUM(I8:I12)</f>
        <v>6124.7800000000007</v>
      </c>
      <c r="J13" s="56">
        <f>SUM(J8:J12)</f>
        <v>29756</v>
      </c>
      <c r="K13" s="56"/>
      <c r="L13" s="57">
        <f>SUM(L8:L12)</f>
        <v>41.16</v>
      </c>
    </row>
    <row r="14" spans="1:12" x14ac:dyDescent="0.25">
      <c r="A14" s="54">
        <f t="shared" si="1"/>
        <v>8</v>
      </c>
      <c r="B14" s="64" t="s">
        <v>236</v>
      </c>
      <c r="C14" s="362"/>
      <c r="D14" s="362"/>
      <c r="E14" s="362"/>
      <c r="F14" s="362"/>
      <c r="G14" s="362"/>
      <c r="H14" s="362"/>
      <c r="I14" s="362"/>
      <c r="J14" s="362"/>
      <c r="K14" s="362"/>
      <c r="L14" s="362"/>
    </row>
    <row r="15" spans="1:12" x14ac:dyDescent="0.25">
      <c r="A15" s="54">
        <f t="shared" si="1"/>
        <v>9</v>
      </c>
      <c r="B15" s="62" t="s">
        <v>227</v>
      </c>
      <c r="C15" s="54"/>
      <c r="D15" s="54" t="s">
        <v>330</v>
      </c>
      <c r="E15" s="54">
        <v>15</v>
      </c>
      <c r="F15" s="361" t="s">
        <v>334</v>
      </c>
      <c r="G15" s="361"/>
      <c r="H15" s="361"/>
      <c r="I15" s="361"/>
      <c r="J15" s="361"/>
      <c r="K15" s="361"/>
      <c r="L15" s="361"/>
    </row>
    <row r="16" spans="1:12" x14ac:dyDescent="0.25">
      <c r="A16" s="54">
        <f t="shared" si="1"/>
        <v>10</v>
      </c>
      <c r="B16" s="62" t="s">
        <v>226</v>
      </c>
      <c r="C16" s="54" t="s">
        <v>237</v>
      </c>
      <c r="D16" s="54" t="s">
        <v>335</v>
      </c>
      <c r="E16" s="54">
        <v>1361</v>
      </c>
      <c r="F16" s="36">
        <v>0.47</v>
      </c>
      <c r="G16" s="55">
        <f>$E16*F16</f>
        <v>639.66999999999996</v>
      </c>
      <c r="H16" s="54">
        <v>1.03</v>
      </c>
      <c r="I16" s="55">
        <f>$E16*H16</f>
        <v>1401.83</v>
      </c>
      <c r="J16" s="55">
        <f>E16*5</f>
        <v>6805</v>
      </c>
      <c r="K16" s="55"/>
      <c r="L16" s="55"/>
    </row>
    <row r="17" spans="1:12" x14ac:dyDescent="0.25">
      <c r="A17" s="54">
        <f t="shared" si="1"/>
        <v>11</v>
      </c>
      <c r="B17" s="56" t="s">
        <v>233</v>
      </c>
      <c r="C17" s="54"/>
      <c r="D17" s="54"/>
      <c r="E17" s="56">
        <f>SUM(E15:E16)</f>
        <v>1376</v>
      </c>
      <c r="F17" s="36"/>
      <c r="G17" s="57">
        <f>SUM(G15:G16)</f>
        <v>639.66999999999996</v>
      </c>
      <c r="H17" s="55"/>
      <c r="I17" s="57">
        <f>SUM(I15:I16)</f>
        <v>1401.83</v>
      </c>
      <c r="J17" s="56">
        <f>SUM(J15:J16)</f>
        <v>6805</v>
      </c>
      <c r="K17" s="56"/>
      <c r="L17" s="57"/>
    </row>
    <row r="18" spans="1:12" x14ac:dyDescent="0.25">
      <c r="A18" s="54">
        <f t="shared" si="1"/>
        <v>12</v>
      </c>
      <c r="B18" s="64" t="s">
        <v>238</v>
      </c>
      <c r="C18" s="362"/>
      <c r="D18" s="362"/>
      <c r="E18" s="362"/>
      <c r="F18" s="362"/>
      <c r="G18" s="362"/>
      <c r="H18" s="362"/>
      <c r="I18" s="362"/>
      <c r="J18" s="362"/>
      <c r="K18" s="362"/>
      <c r="L18" s="362"/>
    </row>
    <row r="19" spans="1:12" x14ac:dyDescent="0.25">
      <c r="A19" s="54">
        <f t="shared" si="1"/>
        <v>13</v>
      </c>
      <c r="B19" s="62" t="s">
        <v>227</v>
      </c>
      <c r="C19" s="54"/>
      <c r="D19" s="54" t="s">
        <v>330</v>
      </c>
      <c r="E19" s="54">
        <v>15</v>
      </c>
      <c r="F19" s="361" t="s">
        <v>329</v>
      </c>
      <c r="G19" s="361"/>
      <c r="H19" s="361"/>
      <c r="I19" s="361"/>
      <c r="J19" s="361"/>
      <c r="K19" s="361"/>
      <c r="L19" s="361"/>
    </row>
    <row r="20" spans="1:12" x14ac:dyDescent="0.25">
      <c r="A20" s="54">
        <f t="shared" si="1"/>
        <v>14</v>
      </c>
      <c r="B20" s="62" t="s">
        <v>226</v>
      </c>
      <c r="C20" s="54" t="s">
        <v>240</v>
      </c>
      <c r="D20" s="54" t="s">
        <v>333</v>
      </c>
      <c r="E20" s="54">
        <v>79</v>
      </c>
      <c r="F20" s="36">
        <v>0.47</v>
      </c>
      <c r="G20" s="55">
        <f>$E20*F20</f>
        <v>37.129999999999995</v>
      </c>
      <c r="H20" s="54">
        <v>1.03</v>
      </c>
      <c r="I20" s="55">
        <f>$E20*H20</f>
        <v>81.37</v>
      </c>
      <c r="J20" s="55">
        <f>E20*5</f>
        <v>395</v>
      </c>
      <c r="K20" s="55"/>
      <c r="L20" s="55"/>
    </row>
    <row r="21" spans="1:12" x14ac:dyDescent="0.25">
      <c r="A21" s="54">
        <f t="shared" si="1"/>
        <v>15</v>
      </c>
      <c r="B21" s="56" t="s">
        <v>233</v>
      </c>
      <c r="C21" s="54"/>
      <c r="D21" s="54"/>
      <c r="E21" s="56">
        <f>SUM(E19:E20)</f>
        <v>94</v>
      </c>
      <c r="F21" s="36"/>
      <c r="G21" s="57">
        <f>SUM(G19:G20)</f>
        <v>37.129999999999995</v>
      </c>
      <c r="H21" s="55"/>
      <c r="I21" s="57">
        <f>SUM(I19:I20)</f>
        <v>81.37</v>
      </c>
      <c r="J21" s="56">
        <f>SUM(J19:J20)</f>
        <v>395</v>
      </c>
      <c r="K21" s="56"/>
      <c r="L21" s="57"/>
    </row>
    <row r="22" spans="1:12" x14ac:dyDescent="0.25">
      <c r="A22" s="54">
        <f t="shared" si="1"/>
        <v>16</v>
      </c>
      <c r="B22" s="64" t="s">
        <v>239</v>
      </c>
      <c r="C22" s="362"/>
      <c r="D22" s="362"/>
      <c r="E22" s="362"/>
      <c r="F22" s="362"/>
      <c r="G22" s="362"/>
      <c r="H22" s="362"/>
      <c r="I22" s="362"/>
      <c r="J22" s="362"/>
      <c r="K22" s="362"/>
      <c r="L22" s="362"/>
    </row>
    <row r="23" spans="1:12" x14ac:dyDescent="0.25">
      <c r="A23" s="54">
        <f t="shared" si="1"/>
        <v>17</v>
      </c>
      <c r="B23" s="62" t="s">
        <v>227</v>
      </c>
      <c r="C23" s="54"/>
      <c r="D23" s="54" t="s">
        <v>330</v>
      </c>
      <c r="E23" s="54">
        <v>15</v>
      </c>
      <c r="F23" s="361" t="s">
        <v>329</v>
      </c>
      <c r="G23" s="361"/>
      <c r="H23" s="361"/>
      <c r="I23" s="361"/>
      <c r="J23" s="361"/>
      <c r="K23" s="361"/>
      <c r="L23" s="361"/>
    </row>
    <row r="24" spans="1:12" x14ac:dyDescent="0.25">
      <c r="A24" s="54">
        <f t="shared" si="1"/>
        <v>18</v>
      </c>
      <c r="B24" s="62" t="s">
        <v>226</v>
      </c>
      <c r="C24" s="54" t="s">
        <v>241</v>
      </c>
      <c r="D24" s="54" t="s">
        <v>331</v>
      </c>
      <c r="E24" s="54">
        <v>602</v>
      </c>
      <c r="F24" s="36">
        <v>0.47</v>
      </c>
      <c r="G24" s="55">
        <f>$E24*F24</f>
        <v>282.94</v>
      </c>
      <c r="H24" s="54">
        <v>1.03</v>
      </c>
      <c r="I24" s="55">
        <f>$E24*H24</f>
        <v>620.06000000000006</v>
      </c>
      <c r="J24" s="55">
        <f>E24*5</f>
        <v>3010</v>
      </c>
      <c r="K24" s="55"/>
      <c r="L24" s="55"/>
    </row>
    <row r="25" spans="1:12" x14ac:dyDescent="0.25">
      <c r="A25" s="54">
        <f t="shared" si="1"/>
        <v>19</v>
      </c>
      <c r="B25" s="62" t="s">
        <v>243</v>
      </c>
      <c r="C25" s="54" t="s">
        <v>244</v>
      </c>
      <c r="D25" s="54" t="s">
        <v>332</v>
      </c>
      <c r="E25" s="54">
        <v>148</v>
      </c>
      <c r="F25" s="36">
        <v>0.47</v>
      </c>
      <c r="G25" s="55">
        <f>$E25*F25</f>
        <v>69.56</v>
      </c>
      <c r="H25" s="54">
        <v>1.03</v>
      </c>
      <c r="I25" s="55">
        <f>$E25*H25</f>
        <v>152.44</v>
      </c>
      <c r="J25" s="55">
        <f>E25*5</f>
        <v>740</v>
      </c>
      <c r="K25" s="63">
        <v>1.78</v>
      </c>
      <c r="L25" s="55">
        <f>$E25*K25</f>
        <v>263.44</v>
      </c>
    </row>
    <row r="26" spans="1:12" x14ac:dyDescent="0.25">
      <c r="A26" s="54">
        <f t="shared" si="1"/>
        <v>20</v>
      </c>
      <c r="B26" s="56" t="s">
        <v>233</v>
      </c>
      <c r="C26" s="54"/>
      <c r="D26" s="54"/>
      <c r="E26" s="56">
        <f>SUM(E23:E25)</f>
        <v>765</v>
      </c>
      <c r="F26" s="36"/>
      <c r="G26" s="57">
        <f>SUM(G23:G25)</f>
        <v>352.5</v>
      </c>
      <c r="H26" s="55"/>
      <c r="I26" s="57">
        <f>SUM(I23:I25)</f>
        <v>772.5</v>
      </c>
      <c r="J26" s="56">
        <f>SUM(J23:J25)</f>
        <v>3750</v>
      </c>
      <c r="K26" s="56"/>
      <c r="L26" s="57">
        <f>SUM(L23:L25)</f>
        <v>263.44</v>
      </c>
    </row>
    <row r="27" spans="1:12" s="65" customFormat="1" x14ac:dyDescent="0.25">
      <c r="A27" s="54">
        <f t="shared" si="1"/>
        <v>21</v>
      </c>
      <c r="B27" s="56" t="s">
        <v>242</v>
      </c>
      <c r="C27" s="56"/>
      <c r="D27" s="56"/>
      <c r="E27" s="56">
        <f>E13+E17+E21+E26</f>
        <v>8245</v>
      </c>
      <c r="F27" s="62"/>
      <c r="G27" s="57">
        <f>G13+G17+G21+G26</f>
        <v>3825.02</v>
      </c>
      <c r="H27" s="57"/>
      <c r="I27" s="57">
        <f>I13+I17+I21+I26</f>
        <v>8380.48</v>
      </c>
      <c r="J27" s="57">
        <f>J13+J17+J21+J26</f>
        <v>40706</v>
      </c>
      <c r="K27" s="57"/>
      <c r="L27" s="57">
        <f>L13+L17+L21+L26</f>
        <v>304.60000000000002</v>
      </c>
    </row>
    <row r="29" spans="1:12" x14ac:dyDescent="0.25">
      <c r="A29" s="27" t="s">
        <v>56</v>
      </c>
      <c r="B29" s="25"/>
    </row>
    <row r="30" spans="1:12" x14ac:dyDescent="0.25">
      <c r="A30" s="1">
        <v>1</v>
      </c>
      <c r="B30" s="61"/>
    </row>
  </sheetData>
  <mergeCells count="24">
    <mergeCell ref="F8:L8"/>
    <mergeCell ref="C7:L7"/>
    <mergeCell ref="J3:J5"/>
    <mergeCell ref="H3:I3"/>
    <mergeCell ref="F23:L23"/>
    <mergeCell ref="F12:L12"/>
    <mergeCell ref="C14:L14"/>
    <mergeCell ref="F15:L15"/>
    <mergeCell ref="C18:L18"/>
    <mergeCell ref="F19:L19"/>
    <mergeCell ref="C22:L22"/>
    <mergeCell ref="H4:H5"/>
    <mergeCell ref="I4:I5"/>
    <mergeCell ref="K3:L3"/>
    <mergeCell ref="K4:K5"/>
    <mergeCell ref="L4:L5"/>
    <mergeCell ref="A3:A5"/>
    <mergeCell ref="C3:C5"/>
    <mergeCell ref="D3:D5"/>
    <mergeCell ref="E3:E5"/>
    <mergeCell ref="F3:G3"/>
    <mergeCell ref="B4:B5"/>
    <mergeCell ref="F4:F5"/>
    <mergeCell ref="G4:G5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F47B2-E8B3-40E9-A656-F4E360FAF98E}">
  <dimension ref="A1:Z30"/>
  <sheetViews>
    <sheetView topLeftCell="K1" workbookViewId="0">
      <selection activeCell="R20" sqref="R20"/>
    </sheetView>
  </sheetViews>
  <sheetFormatPr defaultRowHeight="15" x14ac:dyDescent="0.25"/>
  <cols>
    <col min="1" max="1" width="4.5703125" customWidth="1"/>
    <col min="6" max="6" width="10.140625" customWidth="1"/>
    <col min="13" max="13" width="8.42578125" customWidth="1"/>
    <col min="14" max="14" width="9.5703125" customWidth="1"/>
    <col min="15" max="15" width="8.85546875" customWidth="1"/>
  </cols>
  <sheetData>
    <row r="1" spans="1:26" ht="15.75" x14ac:dyDescent="0.25">
      <c r="A1" s="10" t="s">
        <v>892</v>
      </c>
    </row>
    <row r="2" spans="1:26" ht="16.5" thickBot="1" x14ac:dyDescent="0.3">
      <c r="A2" s="10"/>
    </row>
    <row r="3" spans="1:26" ht="15.75" thickBot="1" x14ac:dyDescent="0.3">
      <c r="A3" s="363" t="s">
        <v>2</v>
      </c>
      <c r="B3" s="365" t="s">
        <v>893</v>
      </c>
      <c r="C3" s="366"/>
      <c r="D3" s="371" t="s">
        <v>894</v>
      </c>
      <c r="E3" s="371" t="s">
        <v>895</v>
      </c>
      <c r="F3" s="374" t="s">
        <v>893</v>
      </c>
      <c r="G3" s="375"/>
      <c r="H3" s="375"/>
      <c r="I3" s="375"/>
      <c r="J3" s="375"/>
      <c r="K3" s="375"/>
      <c r="L3" s="375"/>
      <c r="M3" s="375"/>
      <c r="N3" s="375"/>
      <c r="O3" s="375"/>
      <c r="P3" s="375"/>
      <c r="Q3" s="376"/>
      <c r="R3" s="381" t="s">
        <v>533</v>
      </c>
      <c r="S3" s="391"/>
      <c r="T3" s="391"/>
      <c r="U3" s="391"/>
      <c r="V3" s="382"/>
      <c r="W3" s="381" t="s">
        <v>534</v>
      </c>
      <c r="X3" s="382"/>
      <c r="Y3" s="378" t="s">
        <v>896</v>
      </c>
      <c r="Z3" s="383" t="s">
        <v>9</v>
      </c>
    </row>
    <row r="4" spans="1:26" ht="15.75" thickBot="1" x14ac:dyDescent="0.3">
      <c r="A4" s="364"/>
      <c r="B4" s="367"/>
      <c r="C4" s="368"/>
      <c r="D4" s="372"/>
      <c r="E4" s="372"/>
      <c r="F4" s="377" t="s">
        <v>897</v>
      </c>
      <c r="G4" s="377" t="s">
        <v>898</v>
      </c>
      <c r="H4" s="386" t="s">
        <v>899</v>
      </c>
      <c r="I4" s="387"/>
      <c r="J4" s="387"/>
      <c r="K4" s="388"/>
      <c r="L4" s="378" t="s">
        <v>542</v>
      </c>
      <c r="M4" s="389" t="s">
        <v>900</v>
      </c>
      <c r="N4" s="377" t="s">
        <v>901</v>
      </c>
      <c r="O4" s="377" t="s">
        <v>902</v>
      </c>
      <c r="P4" s="377" t="s">
        <v>903</v>
      </c>
      <c r="Q4" s="378" t="s">
        <v>904</v>
      </c>
      <c r="R4" s="392" t="s">
        <v>905</v>
      </c>
      <c r="S4" s="393"/>
      <c r="T4" s="392" t="s">
        <v>548</v>
      </c>
      <c r="U4" s="393"/>
      <c r="V4" s="399" t="s">
        <v>549</v>
      </c>
      <c r="W4" s="401" t="s">
        <v>906</v>
      </c>
      <c r="X4" s="401" t="s">
        <v>907</v>
      </c>
      <c r="Y4" s="379"/>
      <c r="Z4" s="384"/>
    </row>
    <row r="5" spans="1:26" ht="15.75" thickBot="1" x14ac:dyDescent="0.3">
      <c r="A5" s="364"/>
      <c r="B5" s="369"/>
      <c r="C5" s="370"/>
      <c r="D5" s="372"/>
      <c r="E5" s="372"/>
      <c r="F5" s="372"/>
      <c r="G5" s="372"/>
      <c r="H5" s="386" t="s">
        <v>908</v>
      </c>
      <c r="I5" s="402"/>
      <c r="J5" s="386" t="s">
        <v>909</v>
      </c>
      <c r="K5" s="388"/>
      <c r="L5" s="379"/>
      <c r="M5" s="389"/>
      <c r="N5" s="372"/>
      <c r="O5" s="372"/>
      <c r="P5" s="372"/>
      <c r="Q5" s="379"/>
      <c r="R5" s="394"/>
      <c r="S5" s="395"/>
      <c r="T5" s="394"/>
      <c r="U5" s="395"/>
      <c r="V5" s="399"/>
      <c r="W5" s="399"/>
      <c r="X5" s="399"/>
      <c r="Y5" s="379"/>
      <c r="Z5" s="384"/>
    </row>
    <row r="6" spans="1:26" ht="15.75" thickBot="1" x14ac:dyDescent="0.3">
      <c r="A6" s="364"/>
      <c r="B6" s="383" t="s">
        <v>910</v>
      </c>
      <c r="C6" s="383" t="s">
        <v>911</v>
      </c>
      <c r="D6" s="373"/>
      <c r="E6" s="373"/>
      <c r="F6" s="373"/>
      <c r="G6" s="373"/>
      <c r="H6" s="194" t="s">
        <v>912</v>
      </c>
      <c r="I6" s="194" t="s">
        <v>913</v>
      </c>
      <c r="J6" s="194" t="s">
        <v>912</v>
      </c>
      <c r="K6" s="195" t="s">
        <v>913</v>
      </c>
      <c r="L6" s="379"/>
      <c r="M6" s="390"/>
      <c r="N6" s="373"/>
      <c r="O6" s="373"/>
      <c r="P6" s="373"/>
      <c r="Q6" s="380"/>
      <c r="R6" s="196" t="s">
        <v>914</v>
      </c>
      <c r="S6" s="196" t="s">
        <v>915</v>
      </c>
      <c r="T6" s="196" t="s">
        <v>916</v>
      </c>
      <c r="U6" s="197" t="s">
        <v>917</v>
      </c>
      <c r="V6" s="400"/>
      <c r="W6" s="400"/>
      <c r="X6" s="400"/>
      <c r="Y6" s="379"/>
      <c r="Z6" s="384"/>
    </row>
    <row r="7" spans="1:26" ht="15.75" thickBot="1" x14ac:dyDescent="0.3">
      <c r="A7" s="364"/>
      <c r="B7" s="385"/>
      <c r="C7" s="385"/>
      <c r="D7" s="194" t="s">
        <v>32</v>
      </c>
      <c r="E7" s="194" t="s">
        <v>32</v>
      </c>
      <c r="F7" s="194" t="s">
        <v>32</v>
      </c>
      <c r="G7" s="194" t="s">
        <v>31</v>
      </c>
      <c r="H7" s="194" t="s">
        <v>31</v>
      </c>
      <c r="I7" s="194" t="s">
        <v>31</v>
      </c>
      <c r="J7" s="194" t="s">
        <v>31</v>
      </c>
      <c r="K7" s="195" t="s">
        <v>31</v>
      </c>
      <c r="L7" s="380"/>
      <c r="M7" s="194" t="s">
        <v>31</v>
      </c>
      <c r="N7" s="198" t="s">
        <v>918</v>
      </c>
      <c r="O7" s="194" t="s">
        <v>919</v>
      </c>
      <c r="P7" s="194" t="s">
        <v>919</v>
      </c>
      <c r="Q7" s="194" t="s">
        <v>31</v>
      </c>
      <c r="R7" s="196" t="s">
        <v>376</v>
      </c>
      <c r="S7" s="196" t="s">
        <v>376</v>
      </c>
      <c r="T7" s="196" t="s">
        <v>376</v>
      </c>
      <c r="U7" s="196" t="s">
        <v>376</v>
      </c>
      <c r="V7" s="196" t="s">
        <v>376</v>
      </c>
      <c r="W7" s="199" t="s">
        <v>376</v>
      </c>
      <c r="X7" s="196" t="s">
        <v>376</v>
      </c>
      <c r="Y7" s="380"/>
      <c r="Z7" s="385"/>
    </row>
    <row r="8" spans="1:26" ht="15.75" thickBot="1" x14ac:dyDescent="0.3">
      <c r="A8" s="179" t="s">
        <v>36</v>
      </c>
      <c r="B8" s="3" t="s">
        <v>857</v>
      </c>
      <c r="C8" s="200" t="s">
        <v>858</v>
      </c>
      <c r="D8" s="200" t="s">
        <v>859</v>
      </c>
      <c r="E8" s="200" t="s">
        <v>860</v>
      </c>
      <c r="F8" s="200" t="s">
        <v>861</v>
      </c>
      <c r="G8" s="200" t="s">
        <v>862</v>
      </c>
      <c r="H8" s="200" t="s">
        <v>863</v>
      </c>
      <c r="I8" s="200" t="s">
        <v>37</v>
      </c>
      <c r="J8" s="200" t="s">
        <v>869</v>
      </c>
      <c r="K8" s="200" t="s">
        <v>870</v>
      </c>
      <c r="L8" s="200" t="s">
        <v>871</v>
      </c>
      <c r="M8" s="200" t="s">
        <v>872</v>
      </c>
      <c r="N8" s="200" t="s">
        <v>38</v>
      </c>
      <c r="O8" s="200" t="s">
        <v>873</v>
      </c>
      <c r="P8" s="200" t="s">
        <v>39</v>
      </c>
      <c r="Q8" s="200" t="s">
        <v>874</v>
      </c>
      <c r="R8" s="200" t="s">
        <v>920</v>
      </c>
      <c r="S8" s="200" t="s">
        <v>921</v>
      </c>
      <c r="T8" s="200" t="s">
        <v>40</v>
      </c>
      <c r="U8" s="200" t="s">
        <v>922</v>
      </c>
      <c r="V8" s="200" t="s">
        <v>41</v>
      </c>
      <c r="W8" s="200" t="s">
        <v>923</v>
      </c>
      <c r="X8" s="200" t="s">
        <v>924</v>
      </c>
      <c r="Y8" s="3" t="s">
        <v>925</v>
      </c>
      <c r="Z8" s="201" t="s">
        <v>926</v>
      </c>
    </row>
    <row r="9" spans="1:26" x14ac:dyDescent="0.25">
      <c r="A9" s="202">
        <v>1</v>
      </c>
      <c r="B9" s="203" t="s">
        <v>365</v>
      </c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4"/>
      <c r="V9" s="204"/>
      <c r="W9" s="204"/>
      <c r="X9" s="204"/>
      <c r="Y9" s="205"/>
      <c r="Z9" s="206"/>
    </row>
    <row r="10" spans="1:26" ht="38.25" x14ac:dyDescent="0.25">
      <c r="A10" s="202">
        <v>2</v>
      </c>
      <c r="B10" s="207" t="s">
        <v>928</v>
      </c>
      <c r="C10" s="168" t="s">
        <v>930</v>
      </c>
      <c r="D10" s="67"/>
      <c r="E10" s="177"/>
      <c r="F10" s="177"/>
      <c r="G10" s="177">
        <v>2.66</v>
      </c>
      <c r="H10" s="67">
        <v>34</v>
      </c>
      <c r="I10" s="67">
        <v>2</v>
      </c>
      <c r="J10" s="67">
        <v>44</v>
      </c>
      <c r="K10" s="67">
        <v>13</v>
      </c>
      <c r="L10" s="219" t="s">
        <v>931</v>
      </c>
      <c r="M10" s="67"/>
      <c r="N10" s="67">
        <v>17.399999999999999</v>
      </c>
      <c r="O10" s="165">
        <f>(H10+J10)/2*N10</f>
        <v>678.59999999999991</v>
      </c>
      <c r="P10" s="165">
        <f>O10*0.6</f>
        <v>407.15999999999991</v>
      </c>
      <c r="Q10" s="67" t="s">
        <v>932</v>
      </c>
      <c r="R10" s="67"/>
      <c r="S10" s="67">
        <v>0.04</v>
      </c>
      <c r="T10" s="67">
        <v>0.04</v>
      </c>
      <c r="U10" s="67">
        <v>0.01</v>
      </c>
      <c r="V10" s="67"/>
      <c r="W10" s="67">
        <f>SUM(R10:U10)</f>
        <v>0.09</v>
      </c>
      <c r="X10" s="67">
        <f>W10</f>
        <v>0.09</v>
      </c>
      <c r="Y10" s="216" t="s">
        <v>961</v>
      </c>
      <c r="Z10" s="217"/>
    </row>
    <row r="11" spans="1:26" ht="39" thickBot="1" x14ac:dyDescent="0.3">
      <c r="A11" s="202">
        <v>3</v>
      </c>
      <c r="B11" s="207" t="s">
        <v>929</v>
      </c>
      <c r="C11" s="168" t="s">
        <v>930</v>
      </c>
      <c r="D11" s="67"/>
      <c r="E11" s="67"/>
      <c r="F11" s="67"/>
      <c r="G11" s="67">
        <v>2.66</v>
      </c>
      <c r="H11" s="67">
        <v>34</v>
      </c>
      <c r="I11" s="67">
        <v>2</v>
      </c>
      <c r="J11" s="67">
        <v>44</v>
      </c>
      <c r="K11" s="67">
        <v>13</v>
      </c>
      <c r="L11" s="219" t="s">
        <v>931</v>
      </c>
      <c r="M11" s="67"/>
      <c r="N11" s="67">
        <v>17.399999999999999</v>
      </c>
      <c r="O11" s="165">
        <f>(H11+J11)/2*N11</f>
        <v>678.59999999999991</v>
      </c>
      <c r="P11" s="165">
        <f>O11*0.6</f>
        <v>407.15999999999991</v>
      </c>
      <c r="Q11" s="67" t="s">
        <v>932</v>
      </c>
      <c r="R11" s="67"/>
      <c r="S11" s="67">
        <v>0.04</v>
      </c>
      <c r="T11" s="67">
        <v>0.04</v>
      </c>
      <c r="U11" s="67">
        <v>0.01</v>
      </c>
      <c r="V11" s="67"/>
      <c r="W11" s="67">
        <f>SUM(R11:U11)</f>
        <v>0.09</v>
      </c>
      <c r="X11" s="67">
        <f>W11</f>
        <v>0.09</v>
      </c>
      <c r="Y11" s="216" t="s">
        <v>961</v>
      </c>
      <c r="Z11" s="218"/>
    </row>
    <row r="12" spans="1:26" ht="15.75" thickBot="1" x14ac:dyDescent="0.3">
      <c r="A12" s="208">
        <v>10</v>
      </c>
      <c r="B12" s="396" t="s">
        <v>626</v>
      </c>
      <c r="C12" s="397"/>
      <c r="D12" s="397"/>
      <c r="E12" s="397"/>
      <c r="F12" s="397"/>
      <c r="G12" s="397"/>
      <c r="H12" s="397"/>
      <c r="I12" s="397"/>
      <c r="J12" s="397"/>
      <c r="K12" s="397"/>
      <c r="L12" s="397"/>
      <c r="M12" s="397"/>
      <c r="N12" s="398"/>
      <c r="O12" s="183">
        <f>SUM(O10:O11)</f>
        <v>1357.1999999999998</v>
      </c>
      <c r="P12" s="183">
        <f>SUM(P10:P11)</f>
        <v>814.31999999999982</v>
      </c>
      <c r="Q12" s="183"/>
      <c r="R12" s="183"/>
      <c r="S12" s="209">
        <f>SUM(S10:S11)</f>
        <v>0.08</v>
      </c>
      <c r="T12" s="209">
        <f>SUM(T10:T11)</f>
        <v>0.08</v>
      </c>
      <c r="U12" s="209">
        <f>SUM(U10:U11)</f>
        <v>0.02</v>
      </c>
      <c r="V12" s="210"/>
      <c r="W12" s="209">
        <f>SUM(W10:W11)</f>
        <v>0.18</v>
      </c>
      <c r="X12" s="209">
        <f>SUM(X10:X11)</f>
        <v>0.18</v>
      </c>
      <c r="Y12" s="182"/>
      <c r="Z12" s="211"/>
    </row>
    <row r="13" spans="1:26" x14ac:dyDescent="0.25">
      <c r="A13" s="14"/>
      <c r="B13" s="212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</row>
    <row r="14" spans="1:26" x14ac:dyDescent="0.25">
      <c r="A14" s="12" t="s">
        <v>56</v>
      </c>
      <c r="B14" s="25"/>
      <c r="C14" s="25"/>
      <c r="D14" s="25"/>
      <c r="E14" s="25"/>
      <c r="F14" s="25"/>
      <c r="G14" s="25"/>
      <c r="H14" s="26"/>
      <c r="I14" s="26"/>
      <c r="J14" s="26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4"/>
    </row>
    <row r="15" spans="1:26" x14ac:dyDescent="0.25">
      <c r="A15" s="18">
        <v>1</v>
      </c>
      <c r="B15" s="27" t="s">
        <v>927</v>
      </c>
      <c r="C15" s="27"/>
      <c r="D15" s="28"/>
      <c r="E15" s="27"/>
      <c r="F15" s="27"/>
      <c r="G15" s="27"/>
      <c r="H15" s="27"/>
      <c r="I15" s="27"/>
      <c r="J15" s="27"/>
      <c r="K15" s="213"/>
      <c r="L15" s="213"/>
      <c r="M15" s="213"/>
      <c r="N15" s="215"/>
      <c r="O15" s="213"/>
      <c r="P15" s="213"/>
      <c r="Q15" s="213"/>
      <c r="R15" s="213"/>
      <c r="S15" s="213"/>
      <c r="T15" s="213"/>
      <c r="U15" s="213"/>
      <c r="V15" s="213"/>
      <c r="W15" s="213"/>
      <c r="X15" s="213"/>
      <c r="Y15" s="213"/>
      <c r="Z15" s="214"/>
    </row>
    <row r="16" spans="1:26" x14ac:dyDescent="0.25">
      <c r="A16" s="213"/>
      <c r="B16" s="213"/>
      <c r="C16" s="213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4"/>
    </row>
    <row r="17" spans="1:26" x14ac:dyDescent="0.25">
      <c r="A17" s="213"/>
      <c r="B17" s="213"/>
      <c r="C17" s="213"/>
      <c r="D17" s="213"/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3"/>
      <c r="S17" s="213"/>
      <c r="T17" s="213"/>
      <c r="U17" s="213"/>
      <c r="V17" s="213"/>
      <c r="W17" s="213"/>
      <c r="X17" s="213"/>
      <c r="Y17" s="213"/>
      <c r="Z17" s="214"/>
    </row>
    <row r="18" spans="1:26" x14ac:dyDescent="0.25">
      <c r="A18" s="213"/>
      <c r="B18" s="213"/>
      <c r="C18" s="213"/>
      <c r="D18" s="213"/>
      <c r="E18" s="213"/>
      <c r="F18" s="213"/>
      <c r="G18" s="213"/>
      <c r="H18" s="213"/>
      <c r="I18" s="213"/>
      <c r="J18" s="213"/>
      <c r="K18" s="213"/>
      <c r="L18" s="213"/>
      <c r="M18" s="213"/>
      <c r="N18" s="213"/>
      <c r="O18" s="213"/>
      <c r="P18" s="213"/>
      <c r="Q18" s="213"/>
      <c r="R18" s="213"/>
      <c r="S18" s="213"/>
      <c r="T18" s="213"/>
      <c r="U18" s="213"/>
      <c r="V18" s="213"/>
      <c r="W18" s="213"/>
      <c r="X18" s="213"/>
      <c r="Y18" s="213"/>
      <c r="Z18" s="214"/>
    </row>
    <row r="19" spans="1:26" x14ac:dyDescent="0.25">
      <c r="A19" s="213"/>
      <c r="B19" s="213"/>
      <c r="C19" s="213"/>
      <c r="D19" s="213"/>
      <c r="E19" s="213"/>
      <c r="F19" s="213"/>
      <c r="G19" s="213"/>
      <c r="H19" s="213"/>
      <c r="I19" s="213"/>
      <c r="J19" s="213"/>
      <c r="K19" s="213"/>
      <c r="L19" s="213"/>
      <c r="M19" s="213"/>
      <c r="N19" s="213"/>
      <c r="O19" s="213"/>
      <c r="P19" s="213"/>
      <c r="Q19" s="213"/>
      <c r="R19" s="213"/>
      <c r="S19" s="213"/>
      <c r="T19" s="213"/>
      <c r="U19" s="213"/>
      <c r="V19" s="213"/>
      <c r="W19" s="213"/>
      <c r="X19" s="213"/>
      <c r="Y19" s="213"/>
      <c r="Z19" s="214"/>
    </row>
    <row r="20" spans="1:26" x14ac:dyDescent="0.25">
      <c r="A20" s="213"/>
      <c r="B20" s="213"/>
      <c r="C20" s="213"/>
      <c r="D20" s="213"/>
      <c r="E20" s="213"/>
      <c r="F20" s="213"/>
      <c r="G20" s="213"/>
      <c r="H20" s="213"/>
      <c r="I20" s="213"/>
      <c r="J20" s="213"/>
      <c r="K20" s="213"/>
      <c r="M20" s="213"/>
      <c r="N20" s="213"/>
      <c r="O20" s="213"/>
      <c r="P20" s="213"/>
      <c r="Q20" s="213"/>
      <c r="R20" s="213"/>
      <c r="S20" s="213"/>
      <c r="T20" s="213"/>
      <c r="U20" s="213"/>
      <c r="V20" s="213"/>
      <c r="W20" s="213"/>
      <c r="X20" s="213"/>
      <c r="Y20" s="213"/>
      <c r="Z20" s="214"/>
    </row>
    <row r="21" spans="1:26" x14ac:dyDescent="0.25">
      <c r="A21" s="213"/>
      <c r="B21" s="213"/>
      <c r="C21" s="213"/>
      <c r="D21" s="213"/>
      <c r="E21" s="213"/>
      <c r="F21" s="213"/>
      <c r="G21" s="213"/>
      <c r="H21" s="213"/>
      <c r="I21" s="213"/>
      <c r="J21" s="213"/>
      <c r="K21" s="213"/>
      <c r="L21" s="213"/>
      <c r="M21" s="213"/>
      <c r="N21" s="213"/>
      <c r="O21" s="213"/>
      <c r="P21" s="213"/>
      <c r="Q21" s="213"/>
      <c r="R21" s="213"/>
      <c r="S21" s="213"/>
      <c r="T21" s="213"/>
      <c r="U21" s="213"/>
      <c r="V21" s="213"/>
      <c r="W21" s="213"/>
      <c r="X21" s="213"/>
      <c r="Y21" s="213"/>
      <c r="Z21" s="214"/>
    </row>
    <row r="22" spans="1:26" ht="15" customHeight="1" x14ac:dyDescent="0.25">
      <c r="A22" s="213"/>
      <c r="B22" s="213"/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3"/>
      <c r="P22" s="213"/>
      <c r="Q22" s="213"/>
      <c r="R22" s="213"/>
      <c r="S22" s="213"/>
      <c r="T22" s="213"/>
      <c r="U22" s="213"/>
      <c r="V22" s="213"/>
      <c r="W22" s="213"/>
      <c r="X22" s="213"/>
      <c r="Y22" s="213"/>
      <c r="Z22" s="214"/>
    </row>
    <row r="23" spans="1:26" ht="15" customHeight="1" x14ac:dyDescent="0.25">
      <c r="A23" s="213"/>
      <c r="B23" s="213"/>
      <c r="C23" s="213"/>
      <c r="D23" s="213"/>
      <c r="E23" s="213"/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4"/>
    </row>
    <row r="24" spans="1:26" x14ac:dyDescent="0.25">
      <c r="A24" s="213"/>
      <c r="B24" s="213"/>
      <c r="C24" s="213"/>
      <c r="D24" s="213"/>
      <c r="E24" s="213"/>
      <c r="F24" s="213"/>
      <c r="G24" s="213"/>
      <c r="H24" s="213"/>
      <c r="I24" s="213"/>
      <c r="J24" s="213"/>
      <c r="K24" s="213"/>
      <c r="L24" s="213"/>
      <c r="M24" s="213"/>
      <c r="N24" s="213"/>
      <c r="O24" s="213"/>
      <c r="P24" s="213"/>
      <c r="Q24" s="16"/>
      <c r="R24" s="16"/>
      <c r="S24" s="16"/>
      <c r="T24" s="16"/>
      <c r="U24" s="16"/>
      <c r="V24" s="16"/>
      <c r="W24" s="16"/>
      <c r="X24" s="16"/>
      <c r="Y24" s="16"/>
      <c r="Z24" s="214"/>
    </row>
    <row r="25" spans="1:26" ht="30" customHeight="1" x14ac:dyDescent="0.25">
      <c r="A25" s="213"/>
      <c r="B25" s="213"/>
      <c r="C25" s="213"/>
      <c r="D25" s="213"/>
      <c r="E25" s="213"/>
      <c r="F25" s="213"/>
      <c r="G25" s="213"/>
      <c r="H25" s="213"/>
      <c r="I25" s="213"/>
      <c r="J25" s="213"/>
      <c r="K25" s="213"/>
      <c r="L25" s="213"/>
      <c r="M25" s="213"/>
      <c r="N25" s="213"/>
      <c r="O25" s="213"/>
      <c r="P25" s="213"/>
      <c r="Q25" s="16"/>
      <c r="R25" s="16"/>
      <c r="S25" s="16"/>
      <c r="T25" s="16"/>
      <c r="U25" s="16"/>
      <c r="V25" s="16"/>
      <c r="W25" s="16"/>
      <c r="X25" s="16"/>
      <c r="Y25" s="16"/>
      <c r="Z25" s="214"/>
    </row>
    <row r="26" spans="1:26" x14ac:dyDescent="0.25">
      <c r="A26" s="213"/>
      <c r="B26" s="213"/>
      <c r="C26" s="213"/>
      <c r="D26" s="213"/>
      <c r="E26" s="213"/>
      <c r="F26" s="213"/>
      <c r="G26" s="213"/>
      <c r="H26" s="213"/>
      <c r="I26" s="213"/>
      <c r="J26" s="213"/>
      <c r="K26" s="213"/>
      <c r="L26" s="213"/>
      <c r="M26" s="213"/>
      <c r="N26" s="213"/>
      <c r="O26" s="213"/>
      <c r="P26" s="213"/>
      <c r="Q26" s="16"/>
      <c r="R26" s="16"/>
      <c r="S26" s="16"/>
      <c r="T26" s="16"/>
      <c r="U26" s="16"/>
      <c r="V26" s="16"/>
      <c r="W26" s="16"/>
      <c r="X26" s="16"/>
      <c r="Y26" s="16"/>
      <c r="Z26" s="214"/>
    </row>
    <row r="27" spans="1:26" x14ac:dyDescent="0.25">
      <c r="A27" s="213"/>
      <c r="B27" s="213"/>
      <c r="C27" s="213"/>
      <c r="D27" s="213"/>
      <c r="E27" s="213"/>
      <c r="F27" s="213"/>
      <c r="G27" s="213"/>
      <c r="H27" s="213"/>
      <c r="I27" s="213"/>
      <c r="J27" s="213"/>
      <c r="K27" s="213"/>
      <c r="L27" s="213"/>
      <c r="M27" s="213"/>
      <c r="N27" s="213"/>
      <c r="O27" s="213"/>
      <c r="P27" s="213"/>
      <c r="Q27" s="213"/>
      <c r="R27" s="213"/>
      <c r="S27" s="213"/>
      <c r="T27" s="213"/>
      <c r="U27" s="213"/>
      <c r="V27" s="213"/>
      <c r="W27" s="213"/>
      <c r="X27" s="213"/>
      <c r="Y27" s="213"/>
      <c r="Z27" s="214"/>
    </row>
    <row r="28" spans="1:26" x14ac:dyDescent="0.25">
      <c r="A28" s="213"/>
      <c r="B28" s="213"/>
      <c r="C28" s="213"/>
      <c r="D28" s="213"/>
      <c r="E28" s="213"/>
      <c r="F28" s="213"/>
      <c r="G28" s="213"/>
      <c r="H28" s="213"/>
      <c r="I28" s="213"/>
      <c r="J28" s="213"/>
      <c r="K28" s="213"/>
      <c r="L28" s="213"/>
      <c r="M28" s="213"/>
      <c r="N28" s="213"/>
      <c r="O28" s="213"/>
      <c r="P28" s="213"/>
      <c r="Q28" s="213"/>
      <c r="R28" s="213"/>
      <c r="S28" s="213"/>
      <c r="T28" s="213"/>
      <c r="U28" s="213"/>
      <c r="V28" s="213"/>
      <c r="W28" s="213"/>
      <c r="X28" s="213"/>
      <c r="Y28" s="213"/>
      <c r="Z28" s="214"/>
    </row>
    <row r="29" spans="1:26" x14ac:dyDescent="0.25">
      <c r="A29" s="213"/>
      <c r="B29" s="213"/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  <c r="O29" s="213"/>
      <c r="P29" s="213"/>
      <c r="Q29" s="213"/>
      <c r="R29" s="213"/>
      <c r="S29" s="213"/>
      <c r="T29" s="213"/>
      <c r="U29" s="213"/>
      <c r="V29" s="213"/>
      <c r="W29" s="213"/>
      <c r="X29" s="213"/>
      <c r="Y29" s="213"/>
      <c r="Z29" s="214"/>
    </row>
    <row r="30" spans="1:26" x14ac:dyDescent="0.2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</row>
  </sheetData>
  <mergeCells count="28">
    <mergeCell ref="B12:N12"/>
    <mergeCell ref="V4:V6"/>
    <mergeCell ref="W4:W6"/>
    <mergeCell ref="X4:X6"/>
    <mergeCell ref="H5:I5"/>
    <mergeCell ref="J5:K5"/>
    <mergeCell ref="B6:B7"/>
    <mergeCell ref="C6:C7"/>
    <mergeCell ref="W3:X3"/>
    <mergeCell ref="Y3:Y7"/>
    <mergeCell ref="Z3:Z7"/>
    <mergeCell ref="F4:F6"/>
    <mergeCell ref="G4:G6"/>
    <mergeCell ref="H4:K4"/>
    <mergeCell ref="L4:L7"/>
    <mergeCell ref="M4:M6"/>
    <mergeCell ref="N4:N6"/>
    <mergeCell ref="O4:O6"/>
    <mergeCell ref="R3:V3"/>
    <mergeCell ref="R4:S5"/>
    <mergeCell ref="T4:U5"/>
    <mergeCell ref="A3:A7"/>
    <mergeCell ref="B3:C5"/>
    <mergeCell ref="D3:D6"/>
    <mergeCell ref="E3:E6"/>
    <mergeCell ref="F3:Q3"/>
    <mergeCell ref="P4:P6"/>
    <mergeCell ref="Q4:Q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46901-EB1B-49D2-9165-EE7B80A32466}">
  <dimension ref="A1:O9"/>
  <sheetViews>
    <sheetView workbookViewId="0">
      <selection activeCell="A3" sqref="A3:O7"/>
    </sheetView>
  </sheetViews>
  <sheetFormatPr defaultRowHeight="15" x14ac:dyDescent="0.25"/>
  <cols>
    <col min="1" max="1" width="4.85546875" customWidth="1"/>
    <col min="2" max="2" width="23.7109375" customWidth="1"/>
    <col min="3" max="3" width="5.5703125" customWidth="1"/>
    <col min="15" max="15" width="6.5703125" customWidth="1"/>
  </cols>
  <sheetData>
    <row r="1" spans="1:15" ht="15.75" x14ac:dyDescent="0.25">
      <c r="A1" s="10" t="s">
        <v>865</v>
      </c>
    </row>
    <row r="2" spans="1:15" ht="16.5" thickBot="1" x14ac:dyDescent="0.3">
      <c r="A2" s="10"/>
    </row>
    <row r="3" spans="1:15" ht="15.75" thickBot="1" x14ac:dyDescent="0.3">
      <c r="A3" s="363" t="s">
        <v>2</v>
      </c>
      <c r="B3" s="404" t="s">
        <v>443</v>
      </c>
      <c r="C3" s="407" t="s">
        <v>444</v>
      </c>
      <c r="D3" s="410" t="s">
        <v>445</v>
      </c>
      <c r="E3" s="411"/>
      <c r="F3" s="411"/>
      <c r="G3" s="411"/>
      <c r="H3" s="411"/>
      <c r="I3" s="411"/>
      <c r="J3" s="411"/>
      <c r="K3" s="411"/>
      <c r="L3" s="411"/>
      <c r="M3" s="411"/>
      <c r="N3" s="412"/>
      <c r="O3" s="413" t="s">
        <v>44</v>
      </c>
    </row>
    <row r="4" spans="1:15" ht="15.75" thickBot="1" x14ac:dyDescent="0.3">
      <c r="A4" s="364"/>
      <c r="B4" s="405"/>
      <c r="C4" s="408"/>
      <c r="D4" s="410" t="s">
        <v>362</v>
      </c>
      <c r="E4" s="411"/>
      <c r="F4" s="411"/>
      <c r="G4" s="411"/>
      <c r="H4" s="411"/>
      <c r="I4" s="411"/>
      <c r="J4" s="411"/>
      <c r="K4" s="411"/>
      <c r="L4" s="411"/>
      <c r="M4" s="411"/>
      <c r="N4" s="412"/>
      <c r="O4" s="414"/>
    </row>
    <row r="5" spans="1:15" ht="15.75" thickBot="1" x14ac:dyDescent="0.3">
      <c r="A5" s="403"/>
      <c r="B5" s="406"/>
      <c r="C5" s="409"/>
      <c r="D5" s="178" t="s">
        <v>364</v>
      </c>
      <c r="E5" s="178" t="s">
        <v>856</v>
      </c>
      <c r="F5" s="178" t="s">
        <v>365</v>
      </c>
      <c r="G5" s="178" t="s">
        <v>367</v>
      </c>
      <c r="H5" s="178" t="s">
        <v>368</v>
      </c>
      <c r="I5" s="178" t="s">
        <v>369</v>
      </c>
      <c r="J5" s="178" t="s">
        <v>370</v>
      </c>
      <c r="K5" s="178" t="s">
        <v>371</v>
      </c>
      <c r="L5" s="178" t="s">
        <v>372</v>
      </c>
      <c r="M5" s="178" t="s">
        <v>373</v>
      </c>
      <c r="N5" s="178" t="s">
        <v>374</v>
      </c>
      <c r="O5" s="415"/>
    </row>
    <row r="6" spans="1:15" ht="15.75" thickBot="1" x14ac:dyDescent="0.3">
      <c r="A6" s="179" t="s">
        <v>36</v>
      </c>
      <c r="B6" s="169" t="str">
        <f>CHAR(CODE(A6)+1)</f>
        <v>B</v>
      </c>
      <c r="C6" s="3" t="str">
        <f>CHAR(CODE(B6)+1)</f>
        <v>C</v>
      </c>
      <c r="D6" s="3" t="str">
        <f t="shared" ref="D6:O6" si="0">CHAR(CODE(C6)+1)</f>
        <v>D</v>
      </c>
      <c r="E6" s="3" t="str">
        <f t="shared" si="0"/>
        <v>E</v>
      </c>
      <c r="F6" s="3" t="str">
        <f t="shared" si="0"/>
        <v>F</v>
      </c>
      <c r="G6" s="3" t="str">
        <f t="shared" si="0"/>
        <v>G</v>
      </c>
      <c r="H6" s="3" t="str">
        <f t="shared" si="0"/>
        <v>H</v>
      </c>
      <c r="I6" s="3" t="str">
        <f t="shared" si="0"/>
        <v>I</v>
      </c>
      <c r="J6" s="3" t="str">
        <f t="shared" si="0"/>
        <v>J</v>
      </c>
      <c r="K6" s="3" t="str">
        <f t="shared" si="0"/>
        <v>K</v>
      </c>
      <c r="L6" s="3" t="str">
        <f t="shared" si="0"/>
        <v>L</v>
      </c>
      <c r="M6" s="3" t="str">
        <f t="shared" si="0"/>
        <v>M</v>
      </c>
      <c r="N6" s="3" t="str">
        <f t="shared" si="0"/>
        <v>N</v>
      </c>
      <c r="O6" s="3" t="str">
        <f t="shared" si="0"/>
        <v>O</v>
      </c>
    </row>
    <row r="7" spans="1:15" ht="63.75" x14ac:dyDescent="0.25">
      <c r="A7" s="67">
        <v>1</v>
      </c>
      <c r="B7" s="168" t="s">
        <v>864</v>
      </c>
      <c r="C7" s="67" t="s">
        <v>34</v>
      </c>
      <c r="D7" s="67">
        <v>6</v>
      </c>
      <c r="E7" s="67">
        <v>1</v>
      </c>
      <c r="F7" s="181">
        <v>3</v>
      </c>
      <c r="G7" s="181"/>
      <c r="H7" s="181">
        <v>1</v>
      </c>
      <c r="I7" s="181"/>
      <c r="J7" s="181"/>
      <c r="K7" s="181"/>
      <c r="L7" s="181">
        <v>1</v>
      </c>
      <c r="M7" s="181"/>
      <c r="N7" s="181"/>
      <c r="O7" s="180">
        <f>SUM(D7:N7)</f>
        <v>12</v>
      </c>
    </row>
    <row r="9" spans="1:15" x14ac:dyDescent="0.25">
      <c r="A9" s="12" t="s">
        <v>56</v>
      </c>
      <c r="B9" s="18"/>
    </row>
  </sheetData>
  <mergeCells count="6">
    <mergeCell ref="A3:A5"/>
    <mergeCell ref="B3:B5"/>
    <mergeCell ref="C3:C5"/>
    <mergeCell ref="D3:N3"/>
    <mergeCell ref="O3:O5"/>
    <mergeCell ref="D4:N4"/>
  </mergeCells>
  <phoneticPr fontId="14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90F36-A30D-49AD-AD67-4700D2786F9C}">
  <dimension ref="A1:AG70"/>
  <sheetViews>
    <sheetView zoomScale="40" zoomScaleNormal="40" workbookViewId="0">
      <selection activeCell="A3" sqref="A3:AG66"/>
    </sheetView>
  </sheetViews>
  <sheetFormatPr defaultRowHeight="15" x14ac:dyDescent="0.25"/>
  <cols>
    <col min="1" max="1" width="7.5703125" customWidth="1"/>
    <col min="19" max="19" width="9.140625" style="221"/>
    <col min="22" max="22" width="11.28515625" bestFit="1" customWidth="1"/>
    <col min="33" max="33" width="13.42578125" bestFit="1" customWidth="1"/>
  </cols>
  <sheetData>
    <row r="1" spans="1:33" ht="15.75" x14ac:dyDescent="0.25">
      <c r="A1" s="72" t="s">
        <v>886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>
        <f>2878/15.6466</f>
        <v>183.9377244896655</v>
      </c>
      <c r="S1" s="22"/>
    </row>
    <row r="2" spans="1:33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22"/>
    </row>
    <row r="3" spans="1:33" x14ac:dyDescent="0.25">
      <c r="A3" s="268" t="s">
        <v>2</v>
      </c>
      <c r="B3" s="269" t="s">
        <v>443</v>
      </c>
      <c r="C3" s="269"/>
      <c r="D3" s="269"/>
      <c r="E3" s="269"/>
      <c r="F3" s="269"/>
      <c r="G3" s="269" t="s">
        <v>444</v>
      </c>
      <c r="H3" s="269" t="s">
        <v>445</v>
      </c>
      <c r="I3" s="269"/>
      <c r="J3" s="269"/>
      <c r="K3" s="269"/>
      <c r="L3" s="269"/>
      <c r="M3" s="269"/>
      <c r="N3" s="269"/>
      <c r="O3" s="269"/>
      <c r="P3" s="269"/>
      <c r="Q3" s="269"/>
      <c r="R3" s="269"/>
      <c r="S3" s="417" t="s">
        <v>44</v>
      </c>
      <c r="T3" s="268" t="s">
        <v>866</v>
      </c>
      <c r="U3" s="294" t="s">
        <v>867</v>
      </c>
      <c r="V3" s="275" t="s">
        <v>868</v>
      </c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</row>
    <row r="4" spans="1:33" x14ac:dyDescent="0.25">
      <c r="A4" s="268"/>
      <c r="B4" s="269"/>
      <c r="C4" s="269"/>
      <c r="D4" s="269"/>
      <c r="E4" s="269"/>
      <c r="F4" s="269"/>
      <c r="G4" s="269"/>
      <c r="H4" s="269" t="s">
        <v>362</v>
      </c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417"/>
      <c r="T4" s="268"/>
      <c r="U4" s="294"/>
      <c r="V4" s="275" t="s">
        <v>362</v>
      </c>
      <c r="W4" s="275"/>
      <c r="X4" s="275"/>
      <c r="Y4" s="275"/>
      <c r="Z4" s="275"/>
      <c r="AA4" s="275"/>
      <c r="AB4" s="275"/>
      <c r="AC4" s="275"/>
      <c r="AD4" s="275"/>
      <c r="AE4" s="275"/>
      <c r="AF4" s="275"/>
      <c r="AG4" s="416" t="s">
        <v>626</v>
      </c>
    </row>
    <row r="5" spans="1:33" x14ac:dyDescent="0.25">
      <c r="A5" s="268"/>
      <c r="B5" s="269"/>
      <c r="C5" s="269"/>
      <c r="D5" s="269"/>
      <c r="E5" s="269"/>
      <c r="F5" s="269"/>
      <c r="G5" s="269"/>
      <c r="H5" s="6" t="s">
        <v>364</v>
      </c>
      <c r="I5" s="6" t="s">
        <v>856</v>
      </c>
      <c r="J5" s="6" t="s">
        <v>365</v>
      </c>
      <c r="K5" s="6" t="s">
        <v>367</v>
      </c>
      <c r="L5" s="6" t="s">
        <v>368</v>
      </c>
      <c r="M5" s="6" t="s">
        <v>369</v>
      </c>
      <c r="N5" s="6" t="s">
        <v>370</v>
      </c>
      <c r="O5" s="6" t="s">
        <v>371</v>
      </c>
      <c r="P5" s="6" t="s">
        <v>372</v>
      </c>
      <c r="Q5" s="6" t="s">
        <v>373</v>
      </c>
      <c r="R5" s="6" t="s">
        <v>374</v>
      </c>
      <c r="S5" s="417"/>
      <c r="T5" s="268"/>
      <c r="U5" s="294"/>
      <c r="V5" s="67" t="str">
        <f>H5</f>
        <v>EH 1</v>
      </c>
      <c r="W5" s="67" t="str">
        <f t="shared" ref="W5:AF5" si="0">I5</f>
        <v>EH 2</v>
      </c>
      <c r="X5" s="67" t="str">
        <f t="shared" si="0"/>
        <v>EH 3</v>
      </c>
      <c r="Y5" s="67" t="str">
        <f t="shared" si="0"/>
        <v>EH 5</v>
      </c>
      <c r="Z5" s="67" t="str">
        <f t="shared" si="0"/>
        <v>EH 6</v>
      </c>
      <c r="AA5" s="67" t="str">
        <f t="shared" si="0"/>
        <v>EH 7</v>
      </c>
      <c r="AB5" s="67" t="str">
        <f t="shared" si="0"/>
        <v>EH 8</v>
      </c>
      <c r="AC5" s="67" t="str">
        <f t="shared" si="0"/>
        <v>EH 9</v>
      </c>
      <c r="AD5" s="67" t="str">
        <f t="shared" si="0"/>
        <v>EH 10</v>
      </c>
      <c r="AE5" s="67" t="str">
        <f t="shared" si="0"/>
        <v>EH 11</v>
      </c>
      <c r="AF5" s="67" t="str">
        <f t="shared" si="0"/>
        <v>EH 12</v>
      </c>
      <c r="AG5" s="416"/>
    </row>
    <row r="6" spans="1:33" x14ac:dyDescent="0.25">
      <c r="A6" s="50" t="s">
        <v>36</v>
      </c>
      <c r="B6" s="270" t="str">
        <f>CHAR(CODE(A6)+1)</f>
        <v>B</v>
      </c>
      <c r="C6" s="270"/>
      <c r="D6" s="270"/>
      <c r="E6" s="270"/>
      <c r="F6" s="270"/>
      <c r="G6" s="50" t="str">
        <f>CHAR(CODE(B6)+1)</f>
        <v>C</v>
      </c>
      <c r="H6" s="50" t="str">
        <f>CHAR(CODE(G6)+1)</f>
        <v>D</v>
      </c>
      <c r="I6" s="50" t="str">
        <f t="shared" ref="I6:AG6" si="1">CHAR(CODE(H6)+1)</f>
        <v>E</v>
      </c>
      <c r="J6" s="50" t="str">
        <f t="shared" si="1"/>
        <v>F</v>
      </c>
      <c r="K6" s="50" t="str">
        <f t="shared" si="1"/>
        <v>G</v>
      </c>
      <c r="L6" s="50" t="str">
        <f t="shared" si="1"/>
        <v>H</v>
      </c>
      <c r="M6" s="50" t="str">
        <f t="shared" si="1"/>
        <v>I</v>
      </c>
      <c r="N6" s="50" t="str">
        <f t="shared" si="1"/>
        <v>J</v>
      </c>
      <c r="O6" s="50" t="str">
        <f t="shared" si="1"/>
        <v>K</v>
      </c>
      <c r="P6" s="50" t="str">
        <f t="shared" si="1"/>
        <v>L</v>
      </c>
      <c r="Q6" s="50" t="str">
        <f t="shared" si="1"/>
        <v>M</v>
      </c>
      <c r="R6" s="50" t="str">
        <f t="shared" si="1"/>
        <v>N</v>
      </c>
      <c r="S6" s="220" t="str">
        <f t="shared" si="1"/>
        <v>O</v>
      </c>
      <c r="T6" s="50" t="str">
        <f t="shared" si="1"/>
        <v>P</v>
      </c>
      <c r="U6" s="50" t="str">
        <f t="shared" si="1"/>
        <v>Q</v>
      </c>
      <c r="V6" s="50" t="str">
        <f t="shared" si="1"/>
        <v>R</v>
      </c>
      <c r="W6" s="50" t="str">
        <f t="shared" si="1"/>
        <v>S</v>
      </c>
      <c r="X6" s="50" t="str">
        <f t="shared" si="1"/>
        <v>T</v>
      </c>
      <c r="Y6" s="50" t="str">
        <f t="shared" si="1"/>
        <v>U</v>
      </c>
      <c r="Z6" s="50" t="str">
        <f t="shared" si="1"/>
        <v>V</v>
      </c>
      <c r="AA6" s="50" t="str">
        <f t="shared" si="1"/>
        <v>W</v>
      </c>
      <c r="AB6" s="50" t="str">
        <f t="shared" si="1"/>
        <v>X</v>
      </c>
      <c r="AC6" s="50" t="str">
        <f t="shared" si="1"/>
        <v>Y</v>
      </c>
      <c r="AD6" s="50" t="str">
        <f t="shared" si="1"/>
        <v>Z</v>
      </c>
      <c r="AE6" s="50" t="str">
        <f>CHAR(CODE(AD6)+7)</f>
        <v>a</v>
      </c>
      <c r="AF6" s="50" t="str">
        <f t="shared" si="1"/>
        <v>b</v>
      </c>
      <c r="AG6" s="50" t="str">
        <f t="shared" si="1"/>
        <v>c</v>
      </c>
    </row>
    <row r="7" spans="1:33" x14ac:dyDescent="0.25">
      <c r="A7" s="167">
        <v>1</v>
      </c>
      <c r="B7" s="260" t="str">
        <f>T2A!B7</f>
        <v>I.Ettevalmistustööd</v>
      </c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  <c r="AD7" s="260"/>
      <c r="AE7" s="260"/>
      <c r="AF7" s="260"/>
      <c r="AG7" s="260"/>
    </row>
    <row r="8" spans="1:33" ht="15.75" customHeight="1" x14ac:dyDescent="0.25">
      <c r="A8" s="167">
        <f>A7+1</f>
        <v>2</v>
      </c>
      <c r="B8" s="259" t="str">
        <f>T2A!B8</f>
        <v>Madala võsa raie (MV)</v>
      </c>
      <c r="C8" s="259"/>
      <c r="D8" s="259"/>
      <c r="E8" s="259"/>
      <c r="F8" s="259"/>
      <c r="G8" s="6" t="str">
        <f>T2A!G8</f>
        <v>ha</v>
      </c>
      <c r="H8" s="13">
        <f>T2A!H8</f>
        <v>3.9513999999999996</v>
      </c>
      <c r="I8" s="13"/>
      <c r="J8" s="13">
        <f>T2A!J8</f>
        <v>7.5888000000000018</v>
      </c>
      <c r="K8" s="13">
        <f>T2A!K8</f>
        <v>1.3423999999999998</v>
      </c>
      <c r="L8" s="13">
        <f>T2A!L8</f>
        <v>3.6794000000000007</v>
      </c>
      <c r="M8" s="13">
        <f>T2A!M8</f>
        <v>0.6542</v>
      </c>
      <c r="N8" s="13">
        <f>T2A!N8</f>
        <v>2.92E-2</v>
      </c>
      <c r="O8" s="13">
        <f>T2A!O8</f>
        <v>0.37860000000000005</v>
      </c>
      <c r="P8" s="13"/>
      <c r="Q8" s="13">
        <f>T2A!Q8</f>
        <v>0.16159999999999999</v>
      </c>
      <c r="R8" s="13"/>
      <c r="S8" s="78">
        <f>T2A!S8</f>
        <v>17.785599999999999</v>
      </c>
      <c r="T8" s="13">
        <v>343.6</v>
      </c>
      <c r="U8" s="6" t="s">
        <v>875</v>
      </c>
      <c r="V8" s="70">
        <f>H8*$T8</f>
        <v>1357.7010399999999</v>
      </c>
      <c r="W8" s="70"/>
      <c r="X8" s="70">
        <f t="shared" ref="X8:AE8" si="2">J8*$T8</f>
        <v>2607.511680000001</v>
      </c>
      <c r="Y8" s="70">
        <f t="shared" si="2"/>
        <v>461.24863999999997</v>
      </c>
      <c r="Z8" s="70">
        <f t="shared" si="2"/>
        <v>1264.2418400000004</v>
      </c>
      <c r="AA8" s="70">
        <f t="shared" si="2"/>
        <v>224.78312000000003</v>
      </c>
      <c r="AB8" s="70">
        <f t="shared" si="2"/>
        <v>10.03312</v>
      </c>
      <c r="AC8" s="70">
        <f t="shared" si="2"/>
        <v>130.08696000000003</v>
      </c>
      <c r="AD8" s="70"/>
      <c r="AE8" s="70">
        <f t="shared" si="2"/>
        <v>55.525759999999998</v>
      </c>
      <c r="AF8" s="70"/>
      <c r="AG8" s="102">
        <f>SUM(V8:AF8)</f>
        <v>6111.1321600000019</v>
      </c>
    </row>
    <row r="9" spans="1:33" ht="15.75" customHeight="1" x14ac:dyDescent="0.25">
      <c r="A9" s="167">
        <f t="shared" ref="A9:A63" si="3">A8+1</f>
        <v>3</v>
      </c>
      <c r="B9" s="259" t="str">
        <f>T2A!B9</f>
        <v>Madala võsa vedu 600 m  (MV)</v>
      </c>
      <c r="C9" s="259"/>
      <c r="D9" s="259"/>
      <c r="E9" s="259"/>
      <c r="F9" s="259"/>
      <c r="G9" s="6" t="str">
        <f>T2A!G9</f>
        <v>ha</v>
      </c>
      <c r="H9" s="13">
        <f>T2A!H9</f>
        <v>3.9513999999999996</v>
      </c>
      <c r="I9" s="13"/>
      <c r="J9" s="13">
        <f>T2A!J9</f>
        <v>7.5888000000000018</v>
      </c>
      <c r="K9" s="13">
        <f>T2A!K9</f>
        <v>1.3423999999999998</v>
      </c>
      <c r="L9" s="13">
        <f>T2A!L9</f>
        <v>3.6794000000000007</v>
      </c>
      <c r="M9" s="13">
        <f>T2A!M9</f>
        <v>0.6542</v>
      </c>
      <c r="N9" s="13">
        <f>T2A!N9</f>
        <v>2.92E-2</v>
      </c>
      <c r="O9" s="13">
        <f>T2A!O9</f>
        <v>0.37860000000000005</v>
      </c>
      <c r="P9" s="13"/>
      <c r="Q9" s="13">
        <f>T2A!Q9</f>
        <v>0.16159999999999999</v>
      </c>
      <c r="R9" s="13"/>
      <c r="S9" s="78">
        <f>T2A!S9</f>
        <v>17.785599999999999</v>
      </c>
      <c r="T9" s="13">
        <v>460.2</v>
      </c>
      <c r="U9" s="6" t="s">
        <v>876</v>
      </c>
      <c r="V9" s="70">
        <f t="shared" ref="V9:V17" si="4">H9*$T9</f>
        <v>1818.4342799999997</v>
      </c>
      <c r="W9" s="70"/>
      <c r="X9" s="70">
        <f t="shared" ref="X9:X16" si="5">J9*$T9</f>
        <v>3492.3657600000006</v>
      </c>
      <c r="Y9" s="70">
        <f t="shared" ref="Y9:Y16" si="6">K9*$T9</f>
        <v>617.77247999999986</v>
      </c>
      <c r="Z9" s="70">
        <f t="shared" ref="Z9:Z16" si="7">L9*$T9</f>
        <v>1693.2598800000003</v>
      </c>
      <c r="AA9" s="70">
        <f t="shared" ref="AA9:AA16" si="8">M9*$T9</f>
        <v>301.06283999999999</v>
      </c>
      <c r="AB9" s="70">
        <f t="shared" ref="AB9:AB16" si="9">N9*$T9</f>
        <v>13.43784</v>
      </c>
      <c r="AC9" s="70">
        <f t="shared" ref="AC9:AC16" si="10">O9*$T9</f>
        <v>174.23172000000002</v>
      </c>
      <c r="AD9" s="70"/>
      <c r="AE9" s="70">
        <f t="shared" ref="AE9:AE17" si="11">Q9*$T9</f>
        <v>74.368319999999997</v>
      </c>
      <c r="AF9" s="70"/>
      <c r="AG9" s="102">
        <f t="shared" ref="AG9:AG17" si="12">SUM(V9:AF9)</f>
        <v>8184.9331199999988</v>
      </c>
    </row>
    <row r="10" spans="1:33" ht="15.75" customHeight="1" x14ac:dyDescent="0.25">
      <c r="A10" s="167">
        <f t="shared" si="3"/>
        <v>4</v>
      </c>
      <c r="B10" s="259" t="str">
        <f>T2A!B10</f>
        <v>Kõrge võsa raie (KV)</v>
      </c>
      <c r="C10" s="259"/>
      <c r="D10" s="259"/>
      <c r="E10" s="259"/>
      <c r="F10" s="259"/>
      <c r="G10" s="6" t="str">
        <f>T2A!G10</f>
        <v>ha</v>
      </c>
      <c r="H10" s="13">
        <f>T2A!H10</f>
        <v>5.0926</v>
      </c>
      <c r="I10" s="13">
        <f>T2A!I10</f>
        <v>9.4199999999999992E-2</v>
      </c>
      <c r="J10" s="13">
        <f>T2A!J10</f>
        <v>9.3916000000000022</v>
      </c>
      <c r="K10" s="13">
        <f>T2A!K10</f>
        <v>7.7519999999999998</v>
      </c>
      <c r="L10" s="13">
        <f>T2A!L10</f>
        <v>0.24340000000000001</v>
      </c>
      <c r="M10" s="13"/>
      <c r="N10" s="13"/>
      <c r="O10" s="13"/>
      <c r="P10" s="13">
        <f>T2A!P10</f>
        <v>0.315</v>
      </c>
      <c r="Q10" s="13">
        <f>T2A!Q10</f>
        <v>0.32319999999999999</v>
      </c>
      <c r="R10" s="13"/>
      <c r="S10" s="78">
        <f>T2A!S10</f>
        <v>23.212000000000003</v>
      </c>
      <c r="T10" s="13">
        <v>429.5</v>
      </c>
      <c r="U10" s="6" t="s">
        <v>877</v>
      </c>
      <c r="V10" s="70">
        <f t="shared" si="4"/>
        <v>2187.2716999999998</v>
      </c>
      <c r="W10" s="70">
        <f t="shared" ref="W10:W16" si="13">I10*$T10</f>
        <v>40.4589</v>
      </c>
      <c r="X10" s="70">
        <f t="shared" si="5"/>
        <v>4033.6922000000009</v>
      </c>
      <c r="Y10" s="70">
        <f t="shared" si="6"/>
        <v>3329.4839999999999</v>
      </c>
      <c r="Z10" s="70">
        <f t="shared" si="7"/>
        <v>104.5403</v>
      </c>
      <c r="AA10" s="70"/>
      <c r="AB10" s="70"/>
      <c r="AC10" s="70"/>
      <c r="AD10" s="70">
        <f t="shared" ref="AD10:AD16" si="14">P10*$T10</f>
        <v>135.29249999999999</v>
      </c>
      <c r="AE10" s="70">
        <f t="shared" si="11"/>
        <v>138.81440000000001</v>
      </c>
      <c r="AF10" s="70"/>
      <c r="AG10" s="102">
        <f t="shared" si="12"/>
        <v>9969.5540000000001</v>
      </c>
    </row>
    <row r="11" spans="1:33" ht="15.75" customHeight="1" x14ac:dyDescent="0.25">
      <c r="A11" s="167">
        <f t="shared" si="3"/>
        <v>5</v>
      </c>
      <c r="B11" s="259" t="str">
        <f>T2A!B11</f>
        <v>Kõrge võsa vedu 600 m (KV)</v>
      </c>
      <c r="C11" s="259"/>
      <c r="D11" s="259"/>
      <c r="E11" s="259"/>
      <c r="F11" s="259"/>
      <c r="G11" s="6" t="str">
        <f>T2A!G11</f>
        <v>ha</v>
      </c>
      <c r="H11" s="13">
        <f>T2A!H11</f>
        <v>5.0926</v>
      </c>
      <c r="I11" s="13">
        <f>T2A!I11</f>
        <v>9.4199999999999992E-2</v>
      </c>
      <c r="J11" s="13">
        <f>T2A!J11</f>
        <v>9.3916000000000022</v>
      </c>
      <c r="K11" s="13">
        <f>T2A!K11</f>
        <v>7.7519999999999998</v>
      </c>
      <c r="L11" s="13">
        <f>T2A!L11</f>
        <v>0.24340000000000001</v>
      </c>
      <c r="M11" s="13"/>
      <c r="N11" s="13"/>
      <c r="O11" s="13"/>
      <c r="P11" s="13">
        <f>T2A!P11</f>
        <v>0.315</v>
      </c>
      <c r="Q11" s="13">
        <f>T2A!Q11</f>
        <v>0.32319999999999999</v>
      </c>
      <c r="R11" s="13"/>
      <c r="S11" s="78">
        <f>T2A!S11</f>
        <v>23.212000000000003</v>
      </c>
      <c r="T11" s="13">
        <v>460.2</v>
      </c>
      <c r="U11" s="6" t="s">
        <v>876</v>
      </c>
      <c r="V11" s="70">
        <f t="shared" si="4"/>
        <v>2343.6145200000001</v>
      </c>
      <c r="W11" s="70">
        <f t="shared" si="13"/>
        <v>43.350839999999998</v>
      </c>
      <c r="X11" s="70">
        <f t="shared" si="5"/>
        <v>4322.0143200000011</v>
      </c>
      <c r="Y11" s="70">
        <f t="shared" si="6"/>
        <v>3567.4703999999997</v>
      </c>
      <c r="Z11" s="70">
        <f t="shared" si="7"/>
        <v>112.01268</v>
      </c>
      <c r="AA11" s="70"/>
      <c r="AB11" s="70"/>
      <c r="AC11" s="70"/>
      <c r="AD11" s="70">
        <f t="shared" si="14"/>
        <v>144.96299999999999</v>
      </c>
      <c r="AE11" s="70">
        <f t="shared" si="11"/>
        <v>148.73663999999999</v>
      </c>
      <c r="AF11" s="70"/>
      <c r="AG11" s="102">
        <f t="shared" si="12"/>
        <v>10682.162399999999</v>
      </c>
    </row>
    <row r="12" spans="1:33" ht="15.75" customHeight="1" x14ac:dyDescent="0.25">
      <c r="A12" s="167">
        <f t="shared" si="3"/>
        <v>6</v>
      </c>
      <c r="B12" s="259" t="str">
        <f>T2A!B12</f>
        <v>Puittaimestiku raie, peenpuistu  (PP)</v>
      </c>
      <c r="C12" s="259"/>
      <c r="D12" s="259"/>
      <c r="E12" s="259"/>
      <c r="F12" s="259"/>
      <c r="G12" s="6" t="str">
        <f>T2A!G12</f>
        <v>ha</v>
      </c>
      <c r="H12" s="13">
        <f>T2A!H12</f>
        <v>3.7412000000000001</v>
      </c>
      <c r="I12" s="13">
        <f>T2A!I12</f>
        <v>0.18839999999999998</v>
      </c>
      <c r="J12" s="13">
        <f>T2A!J12</f>
        <v>10.805800000000005</v>
      </c>
      <c r="K12" s="13">
        <f>T2A!K12</f>
        <v>9.7266000000000012</v>
      </c>
      <c r="L12" s="13">
        <f>T2A!L12</f>
        <v>1.0468000000000002</v>
      </c>
      <c r="M12" s="13">
        <f>T2A!M12</f>
        <v>0.2102</v>
      </c>
      <c r="N12" s="13"/>
      <c r="O12" s="13">
        <f>T2A!O12</f>
        <v>0.12620000000000001</v>
      </c>
      <c r="P12" s="13">
        <f>T2A!P12</f>
        <v>0.315</v>
      </c>
      <c r="Q12" s="13"/>
      <c r="R12" s="13"/>
      <c r="S12" s="78">
        <f>T2A!S12</f>
        <v>26.16020000000001</v>
      </c>
      <c r="T12" s="13">
        <v>1109.7</v>
      </c>
      <c r="U12" s="6" t="s">
        <v>935</v>
      </c>
      <c r="V12" s="70">
        <f t="shared" si="4"/>
        <v>4151.6096400000006</v>
      </c>
      <c r="W12" s="70">
        <f t="shared" si="13"/>
        <v>209.06747999999999</v>
      </c>
      <c r="X12" s="70">
        <f t="shared" si="5"/>
        <v>11991.196260000006</v>
      </c>
      <c r="Y12" s="70">
        <f t="shared" si="6"/>
        <v>10793.608020000001</v>
      </c>
      <c r="Z12" s="70">
        <f t="shared" si="7"/>
        <v>1161.6339600000003</v>
      </c>
      <c r="AA12" s="70">
        <f t="shared" si="8"/>
        <v>233.25894</v>
      </c>
      <c r="AB12" s="70"/>
      <c r="AC12" s="70">
        <f t="shared" si="10"/>
        <v>140.04414000000003</v>
      </c>
      <c r="AD12" s="70">
        <f t="shared" si="14"/>
        <v>349.55549999999999</v>
      </c>
      <c r="AE12" s="70"/>
      <c r="AF12" s="70"/>
      <c r="AG12" s="102">
        <f t="shared" si="12"/>
        <v>29029.973940000007</v>
      </c>
    </row>
    <row r="13" spans="1:33" ht="15.75" customHeight="1" x14ac:dyDescent="0.25">
      <c r="A13" s="167">
        <f t="shared" si="3"/>
        <v>7</v>
      </c>
      <c r="B13" s="259" t="str">
        <f>T2A!B13</f>
        <v>Tüveste vedu 600 m, peenpuistu (PP)</v>
      </c>
      <c r="C13" s="259"/>
      <c r="D13" s="259"/>
      <c r="E13" s="259"/>
      <c r="F13" s="259"/>
      <c r="G13" s="6" t="str">
        <f>T2A!G13</f>
        <v>ha</v>
      </c>
      <c r="H13" s="13">
        <f>T2A!H13</f>
        <v>3.7412000000000001</v>
      </c>
      <c r="I13" s="13">
        <f>T2A!I13</f>
        <v>0.18839999999999998</v>
      </c>
      <c r="J13" s="13">
        <f>T2A!J13</f>
        <v>10.805800000000005</v>
      </c>
      <c r="K13" s="13">
        <f>T2A!K13</f>
        <v>9.7266000000000012</v>
      </c>
      <c r="L13" s="13">
        <f>T2A!L13</f>
        <v>1.0468000000000002</v>
      </c>
      <c r="M13" s="13">
        <f>T2A!M13</f>
        <v>0.2102</v>
      </c>
      <c r="N13" s="13"/>
      <c r="O13" s="13">
        <f>T2A!O13</f>
        <v>0.12620000000000001</v>
      </c>
      <c r="P13" s="13">
        <f>T2A!P13</f>
        <v>0.315</v>
      </c>
      <c r="Q13" s="13"/>
      <c r="R13" s="13"/>
      <c r="S13" s="78">
        <f>T2A!S13</f>
        <v>26.16020000000001</v>
      </c>
      <c r="T13" s="13">
        <v>2638.47</v>
      </c>
      <c r="U13" s="6" t="s">
        <v>936</v>
      </c>
      <c r="V13" s="70">
        <f t="shared" si="4"/>
        <v>9871.0439639999986</v>
      </c>
      <c r="W13" s="70">
        <f t="shared" si="13"/>
        <v>497.08774799999992</v>
      </c>
      <c r="X13" s="70">
        <f t="shared" si="5"/>
        <v>28510.779126000012</v>
      </c>
      <c r="Y13" s="70">
        <f t="shared" si="6"/>
        <v>25663.342302000001</v>
      </c>
      <c r="Z13" s="70">
        <f t="shared" si="7"/>
        <v>2761.9503960000002</v>
      </c>
      <c r="AA13" s="70">
        <f t="shared" si="8"/>
        <v>554.60639399999991</v>
      </c>
      <c r="AB13" s="70"/>
      <c r="AC13" s="70">
        <f t="shared" si="10"/>
        <v>332.97491400000001</v>
      </c>
      <c r="AD13" s="70">
        <f t="shared" si="14"/>
        <v>831.11804999999993</v>
      </c>
      <c r="AE13" s="70"/>
      <c r="AF13" s="70"/>
      <c r="AG13" s="102">
        <f t="shared" si="12"/>
        <v>69022.902894000028</v>
      </c>
    </row>
    <row r="14" spans="1:33" ht="15.75" customHeight="1" x14ac:dyDescent="0.25">
      <c r="A14" s="167">
        <f t="shared" si="3"/>
        <v>8</v>
      </c>
      <c r="B14" s="259" t="str">
        <f>T2A!B14</f>
        <v>Puittaimestiku raie, jämepuistu (JP)</v>
      </c>
      <c r="C14" s="259"/>
      <c r="D14" s="259"/>
      <c r="E14" s="259"/>
      <c r="F14" s="259"/>
      <c r="G14" s="6" t="str">
        <f>T2A!G14</f>
        <v>ha</v>
      </c>
      <c r="H14" s="13">
        <f>T2A!H14</f>
        <v>2.7393999999999998</v>
      </c>
      <c r="I14" s="13">
        <f>T2A!I14</f>
        <v>0.18839999999999998</v>
      </c>
      <c r="J14" s="13">
        <f>T2A!J14</f>
        <v>5.9811999999999967</v>
      </c>
      <c r="K14" s="13">
        <f>T2A!K14</f>
        <v>4.764800000000001</v>
      </c>
      <c r="L14" s="13"/>
      <c r="M14" s="13"/>
      <c r="N14" s="13"/>
      <c r="O14" s="13"/>
      <c r="P14" s="13"/>
      <c r="Q14" s="13"/>
      <c r="R14" s="13"/>
      <c r="S14" s="78">
        <f>T2A!S14</f>
        <v>13.673799999999998</v>
      </c>
      <c r="T14" s="13">
        <v>1943.88</v>
      </c>
      <c r="U14" s="6" t="s">
        <v>937</v>
      </c>
      <c r="V14" s="70">
        <f t="shared" si="4"/>
        <v>5325.0648719999999</v>
      </c>
      <c r="W14" s="70">
        <f t="shared" si="13"/>
        <v>366.226992</v>
      </c>
      <c r="X14" s="70">
        <f t="shared" si="5"/>
        <v>11626.735055999994</v>
      </c>
      <c r="Y14" s="70">
        <f t="shared" si="6"/>
        <v>9262.1994240000022</v>
      </c>
      <c r="Z14" s="70"/>
      <c r="AA14" s="70"/>
      <c r="AB14" s="70"/>
      <c r="AC14" s="70"/>
      <c r="AD14" s="70"/>
      <c r="AE14" s="70"/>
      <c r="AF14" s="70"/>
      <c r="AG14" s="102">
        <f t="shared" si="12"/>
        <v>26580.226343999995</v>
      </c>
    </row>
    <row r="15" spans="1:33" ht="15.75" customHeight="1" x14ac:dyDescent="0.25">
      <c r="A15" s="167">
        <f t="shared" si="3"/>
        <v>9</v>
      </c>
      <c r="B15" s="259" t="str">
        <f>T2A!B15</f>
        <v>Tüveste vedu, jämepuistu (JP)</v>
      </c>
      <c r="C15" s="259"/>
      <c r="D15" s="259"/>
      <c r="E15" s="259"/>
      <c r="F15" s="259"/>
      <c r="G15" s="6" t="str">
        <f>T2A!G15</f>
        <v>ha</v>
      </c>
      <c r="H15" s="13">
        <f>T2A!H15</f>
        <v>2.7393999999999998</v>
      </c>
      <c r="I15" s="13">
        <f>T2A!I15</f>
        <v>0.18839999999999998</v>
      </c>
      <c r="J15" s="13">
        <f>T2A!J15</f>
        <v>5.9811999999999967</v>
      </c>
      <c r="K15" s="13">
        <f>T2A!K15</f>
        <v>4.764800000000001</v>
      </c>
      <c r="L15" s="13"/>
      <c r="M15" s="13"/>
      <c r="N15" s="13"/>
      <c r="O15" s="13"/>
      <c r="P15" s="13"/>
      <c r="Q15" s="13"/>
      <c r="R15" s="13"/>
      <c r="S15" s="78">
        <f>T2A!S15</f>
        <v>13.673799999999998</v>
      </c>
      <c r="T15" s="13">
        <v>2638.47</v>
      </c>
      <c r="U15" s="6" t="s">
        <v>936</v>
      </c>
      <c r="V15" s="70">
        <f t="shared" si="4"/>
        <v>7227.8247179999989</v>
      </c>
      <c r="W15" s="70">
        <f t="shared" si="13"/>
        <v>497.08774799999992</v>
      </c>
      <c r="X15" s="70">
        <f t="shared" si="5"/>
        <v>15781.21676399999</v>
      </c>
      <c r="Y15" s="70">
        <f t="shared" si="6"/>
        <v>12571.781856000001</v>
      </c>
      <c r="Z15" s="70"/>
      <c r="AA15" s="70"/>
      <c r="AB15" s="70"/>
      <c r="AC15" s="70"/>
      <c r="AD15" s="70"/>
      <c r="AE15" s="70"/>
      <c r="AF15" s="70"/>
      <c r="AG15" s="102">
        <f t="shared" si="12"/>
        <v>36077.911085999993</v>
      </c>
    </row>
    <row r="16" spans="1:33" ht="26.25" customHeight="1" x14ac:dyDescent="0.25">
      <c r="A16" s="167">
        <f t="shared" si="3"/>
        <v>10</v>
      </c>
      <c r="B16" s="259" t="str">
        <f>T2A!B16</f>
        <v>Tee- ja kraavitrassi ning teerajatiste alune kändude juurimine ekskavaatoriga</v>
      </c>
      <c r="C16" s="259"/>
      <c r="D16" s="259"/>
      <c r="E16" s="259"/>
      <c r="F16" s="259"/>
      <c r="G16" s="6" t="str">
        <f>T2A!G16</f>
        <v>ha</v>
      </c>
      <c r="H16" s="13">
        <f>T2A!H16</f>
        <v>15.5246</v>
      </c>
      <c r="I16" s="13">
        <f>T2A!I16</f>
        <v>0.47099999999999997</v>
      </c>
      <c r="J16" s="13">
        <f>T2A!J16</f>
        <v>33.767400000000002</v>
      </c>
      <c r="K16" s="13">
        <f>T2A!K16</f>
        <v>23.585800000000003</v>
      </c>
      <c r="L16" s="13">
        <f>T2A!L16</f>
        <v>4.9696000000000007</v>
      </c>
      <c r="M16" s="13">
        <f>T2A!M16</f>
        <v>0.86440000000000006</v>
      </c>
      <c r="N16" s="13">
        <f>T2A!N16</f>
        <v>2.92E-2</v>
      </c>
      <c r="O16" s="13">
        <f>T2A!O16</f>
        <v>0.50480000000000003</v>
      </c>
      <c r="P16" s="13">
        <f>T2A!P16</f>
        <v>0.63</v>
      </c>
      <c r="Q16" s="13">
        <f>T2A!Q16</f>
        <v>0.48480000000000001</v>
      </c>
      <c r="R16" s="13"/>
      <c r="S16" s="78">
        <f>T2A!S16</f>
        <v>80.831600000000023</v>
      </c>
      <c r="T16" s="13">
        <v>382.96</v>
      </c>
      <c r="U16" s="6" t="s">
        <v>938</v>
      </c>
      <c r="V16" s="70">
        <f t="shared" si="4"/>
        <v>5945.3008159999999</v>
      </c>
      <c r="W16" s="70">
        <f t="shared" si="13"/>
        <v>180.37415999999999</v>
      </c>
      <c r="X16" s="70">
        <f t="shared" si="5"/>
        <v>12931.563504</v>
      </c>
      <c r="Y16" s="70">
        <f t="shared" si="6"/>
        <v>9032.4179679999997</v>
      </c>
      <c r="Z16" s="70">
        <f t="shared" si="7"/>
        <v>1903.1580160000001</v>
      </c>
      <c r="AA16" s="70">
        <f t="shared" si="8"/>
        <v>331.03062399999999</v>
      </c>
      <c r="AB16" s="70">
        <f t="shared" si="9"/>
        <v>11.182432</v>
      </c>
      <c r="AC16" s="70">
        <f t="shared" si="10"/>
        <v>193.318208</v>
      </c>
      <c r="AD16" s="70">
        <f t="shared" si="14"/>
        <v>241.26479999999998</v>
      </c>
      <c r="AE16" s="70">
        <f t="shared" si="11"/>
        <v>185.659008</v>
      </c>
      <c r="AF16" s="70"/>
      <c r="AG16" s="102">
        <f t="shared" si="12"/>
        <v>30955.269536000003</v>
      </c>
    </row>
    <row r="17" spans="1:33" ht="16.5" customHeight="1" x14ac:dyDescent="0.25">
      <c r="A17" s="167">
        <f t="shared" si="3"/>
        <v>11</v>
      </c>
      <c r="B17" s="259" t="str">
        <f>T2A!B17</f>
        <v>Koprapaisude likvideerimine</v>
      </c>
      <c r="C17" s="259"/>
      <c r="D17" s="259"/>
      <c r="E17" s="259"/>
      <c r="F17" s="259"/>
      <c r="G17" s="6" t="str">
        <f>T2A!G17</f>
        <v>tk</v>
      </c>
      <c r="H17" s="6">
        <f>T2A!H17</f>
        <v>2</v>
      </c>
      <c r="I17" s="6"/>
      <c r="J17" s="6"/>
      <c r="K17" s="6"/>
      <c r="L17" s="6"/>
      <c r="M17" s="6"/>
      <c r="N17" s="6"/>
      <c r="O17" s="6"/>
      <c r="P17" s="6"/>
      <c r="Q17" s="6">
        <f>T2A!Q17</f>
        <v>1</v>
      </c>
      <c r="R17" s="6">
        <f>T2A!R17</f>
        <v>2</v>
      </c>
      <c r="S17" s="8">
        <f>T2A!S17</f>
        <v>5</v>
      </c>
      <c r="T17" s="13">
        <v>184</v>
      </c>
      <c r="U17" s="6" t="s">
        <v>939</v>
      </c>
      <c r="V17" s="70">
        <f t="shared" si="4"/>
        <v>368</v>
      </c>
      <c r="W17" s="70"/>
      <c r="X17" s="70"/>
      <c r="Y17" s="70"/>
      <c r="Z17" s="70"/>
      <c r="AA17" s="70"/>
      <c r="AB17" s="70"/>
      <c r="AC17" s="70"/>
      <c r="AD17" s="70"/>
      <c r="AE17" s="70">
        <f t="shared" si="11"/>
        <v>184</v>
      </c>
      <c r="AF17" s="70">
        <f t="shared" ref="AF17" si="15">R17*$T17</f>
        <v>368</v>
      </c>
      <c r="AG17" s="102">
        <f t="shared" si="12"/>
        <v>920</v>
      </c>
    </row>
    <row r="18" spans="1:33" x14ac:dyDescent="0.25">
      <c r="A18" s="167">
        <f t="shared" si="3"/>
        <v>12</v>
      </c>
      <c r="B18" s="418" t="s">
        <v>344</v>
      </c>
      <c r="C18" s="418"/>
      <c r="D18" s="418"/>
      <c r="E18" s="418"/>
      <c r="F18" s="418"/>
      <c r="G18" s="4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  <c r="T18" s="418"/>
      <c r="U18" s="418"/>
      <c r="V18" s="418"/>
      <c r="W18" s="418"/>
      <c r="X18" s="418"/>
      <c r="Y18" s="418"/>
      <c r="Z18" s="418"/>
      <c r="AA18" s="418"/>
      <c r="AB18" s="418"/>
      <c r="AC18" s="418"/>
      <c r="AD18" s="418"/>
      <c r="AE18" s="418"/>
      <c r="AF18" s="418"/>
      <c r="AG18" s="102">
        <f>SUM(AG8:AG17)</f>
        <v>227534.06548000002</v>
      </c>
    </row>
    <row r="19" spans="1:33" x14ac:dyDescent="0.25">
      <c r="A19" s="167">
        <f t="shared" si="3"/>
        <v>13</v>
      </c>
      <c r="B19" s="260" t="str">
        <f>T2A!B18</f>
        <v>II.Veejuhtmete tööd</v>
      </c>
      <c r="C19" s="260"/>
      <c r="D19" s="260"/>
      <c r="E19" s="260"/>
      <c r="F19" s="260"/>
      <c r="G19" s="260"/>
      <c r="H19" s="260"/>
      <c r="I19" s="260"/>
      <c r="J19" s="260"/>
      <c r="K19" s="260"/>
      <c r="L19" s="260"/>
      <c r="M19" s="260"/>
      <c r="N19" s="260"/>
      <c r="O19" s="260"/>
      <c r="P19" s="260"/>
      <c r="Q19" s="260"/>
      <c r="R19" s="260"/>
      <c r="S19" s="260"/>
      <c r="T19" s="260"/>
      <c r="U19" s="260"/>
      <c r="V19" s="260"/>
      <c r="W19" s="260"/>
      <c r="X19" s="260"/>
      <c r="Y19" s="260"/>
      <c r="Z19" s="260"/>
      <c r="AA19" s="260"/>
      <c r="AB19" s="260"/>
      <c r="AC19" s="260"/>
      <c r="AD19" s="260"/>
      <c r="AE19" s="260"/>
      <c r="AF19" s="260"/>
      <c r="AG19" s="260"/>
    </row>
    <row r="20" spans="1:33" ht="15.75" customHeight="1" x14ac:dyDescent="0.25">
      <c r="A20" s="167">
        <f t="shared" si="3"/>
        <v>14</v>
      </c>
      <c r="B20" s="267" t="str">
        <f>T2A!B19</f>
        <v>Uute kraavide mahamärkimine</v>
      </c>
      <c r="C20" s="267"/>
      <c r="D20" s="267"/>
      <c r="E20" s="267"/>
      <c r="F20" s="267"/>
      <c r="G20" s="6" t="str">
        <f>T2A!G19</f>
        <v>m</v>
      </c>
      <c r="H20" s="165"/>
      <c r="I20" s="165">
        <f>T2A!I19</f>
        <v>145</v>
      </c>
      <c r="J20" s="165"/>
      <c r="K20" s="165"/>
      <c r="L20" s="165"/>
      <c r="M20" s="165">
        <f>T2A!M19</f>
        <v>765</v>
      </c>
      <c r="N20" s="165"/>
      <c r="O20" s="165">
        <f>T2A!O19</f>
        <v>63</v>
      </c>
      <c r="P20" s="165"/>
      <c r="Q20" s="165"/>
      <c r="R20" s="165"/>
      <c r="S20" s="135">
        <f>T2A!S19</f>
        <v>973</v>
      </c>
      <c r="T20" s="13">
        <v>7.0000000000000007E-2</v>
      </c>
      <c r="U20" s="6" t="s">
        <v>878</v>
      </c>
      <c r="V20" s="70"/>
      <c r="W20" s="70">
        <f t="shared" ref="W20:AC20" si="16">I20*$T20</f>
        <v>10.15</v>
      </c>
      <c r="X20" s="70"/>
      <c r="Y20" s="70"/>
      <c r="Z20" s="70"/>
      <c r="AA20" s="70">
        <f t="shared" si="16"/>
        <v>53.550000000000004</v>
      </c>
      <c r="AB20" s="70"/>
      <c r="AC20" s="70">
        <f t="shared" si="16"/>
        <v>4.41</v>
      </c>
      <c r="AD20" s="70"/>
      <c r="AE20" s="70"/>
      <c r="AF20" s="70"/>
      <c r="AG20" s="102">
        <f>SUM(V20:AF20)</f>
        <v>68.11</v>
      </c>
    </row>
    <row r="21" spans="1:33" ht="24.75" customHeight="1" x14ac:dyDescent="0.25">
      <c r="A21" s="167">
        <f t="shared" si="3"/>
        <v>15</v>
      </c>
      <c r="B21" s="255" t="str">
        <f>T2A!B20</f>
        <v>Kraavide kaevamine ja setetest puhastamine, I-II gr. Pinnas</v>
      </c>
      <c r="C21" s="255"/>
      <c r="D21" s="255"/>
      <c r="E21" s="255"/>
      <c r="F21" s="255"/>
      <c r="G21" s="67" t="s">
        <v>447</v>
      </c>
      <c r="H21" s="165">
        <f>T2A!H20</f>
        <v>17832.899999999998</v>
      </c>
      <c r="I21" s="165">
        <f>T2A!I20</f>
        <v>666.7</v>
      </c>
      <c r="J21" s="165">
        <f>T2A!J20</f>
        <v>39398.900000000009</v>
      </c>
      <c r="K21" s="165">
        <f>T2A!K20</f>
        <v>28409.8</v>
      </c>
      <c r="L21" s="165">
        <f>T2A!L20</f>
        <v>12180.6</v>
      </c>
      <c r="M21" s="165">
        <f>T2A!M20</f>
        <v>2849.5</v>
      </c>
      <c r="N21" s="165">
        <f>T2A!N20</f>
        <v>73</v>
      </c>
      <c r="O21" s="165">
        <f>T2A!O20</f>
        <v>1394.7</v>
      </c>
      <c r="P21" s="165">
        <f>T2A!P20</f>
        <v>262.5</v>
      </c>
      <c r="Q21" s="165">
        <f>T2A!Q20</f>
        <v>404</v>
      </c>
      <c r="R21" s="165"/>
      <c r="S21" s="135">
        <f>T2A!S20</f>
        <v>103472.6</v>
      </c>
      <c r="T21" s="13">
        <v>0.53</v>
      </c>
      <c r="U21" s="6" t="s">
        <v>879</v>
      </c>
      <c r="V21" s="70">
        <f>H21*$T21</f>
        <v>9451.4369999999999</v>
      </c>
      <c r="W21" s="70">
        <f t="shared" ref="W21:W24" si="17">I21*$T21</f>
        <v>353.35100000000006</v>
      </c>
      <c r="X21" s="70">
        <f t="shared" ref="X21:X24" si="18">J21*$T21</f>
        <v>20881.417000000005</v>
      </c>
      <c r="Y21" s="70">
        <f t="shared" ref="Y21:Y24" si="19">K21*$T21</f>
        <v>15057.194</v>
      </c>
      <c r="Z21" s="70">
        <f t="shared" ref="Z21:Z24" si="20">L21*$T21</f>
        <v>6455.7180000000008</v>
      </c>
      <c r="AA21" s="70">
        <f t="shared" ref="AA21:AA24" si="21">M21*$T21</f>
        <v>1510.2350000000001</v>
      </c>
      <c r="AB21" s="70">
        <f t="shared" ref="AB21:AB24" si="22">N21*$T21</f>
        <v>38.690000000000005</v>
      </c>
      <c r="AC21" s="70">
        <f t="shared" ref="AC21:AC24" si="23">O21*$T21</f>
        <v>739.19100000000003</v>
      </c>
      <c r="AD21" s="70">
        <f t="shared" ref="AD21:AD24" si="24">P21*$T21</f>
        <v>139.125</v>
      </c>
      <c r="AE21" s="70">
        <f t="shared" ref="AE21:AE24" si="25">Q21*$T21</f>
        <v>214.12</v>
      </c>
      <c r="AF21" s="70"/>
      <c r="AG21" s="102">
        <f t="shared" ref="AG21:AG24" si="26">SUM(V21:AF21)</f>
        <v>54840.47800000001</v>
      </c>
    </row>
    <row r="22" spans="1:33" ht="27" customHeight="1" x14ac:dyDescent="0.25">
      <c r="A22" s="167">
        <f t="shared" si="3"/>
        <v>16</v>
      </c>
      <c r="B22" s="255" t="str">
        <f>T2A!B21</f>
        <v>Ekspluatatsioonieelne sette eemaldamine ekskavaatoriga (10% põhikaevest)</v>
      </c>
      <c r="C22" s="255"/>
      <c r="D22" s="255"/>
      <c r="E22" s="255"/>
      <c r="F22" s="255"/>
      <c r="G22" s="67" t="s">
        <v>447</v>
      </c>
      <c r="H22" s="165">
        <f>T2A!H21</f>
        <v>1783.29</v>
      </c>
      <c r="I22" s="165">
        <f>T2A!I21</f>
        <v>66.67</v>
      </c>
      <c r="J22" s="165">
        <f>T2A!J21</f>
        <v>3939.8900000000012</v>
      </c>
      <c r="K22" s="165">
        <f>T2A!K21</f>
        <v>2840.98</v>
      </c>
      <c r="L22" s="165">
        <f>T2A!L21</f>
        <v>1218.0600000000002</v>
      </c>
      <c r="M22" s="165">
        <f>T2A!M21</f>
        <v>284.95</v>
      </c>
      <c r="N22" s="165">
        <f>T2A!N21</f>
        <v>7.3000000000000007</v>
      </c>
      <c r="O22" s="165">
        <f>T2A!O21</f>
        <v>139.47</v>
      </c>
      <c r="P22" s="165">
        <f>T2A!P21</f>
        <v>26.25</v>
      </c>
      <c r="Q22" s="165">
        <f>T2A!Q21</f>
        <v>40.400000000000006</v>
      </c>
      <c r="R22" s="165"/>
      <c r="S22" s="135">
        <f>T2A!S21</f>
        <v>10347.26</v>
      </c>
      <c r="T22" s="13">
        <v>0.53</v>
      </c>
      <c r="U22" s="6" t="s">
        <v>879</v>
      </c>
      <c r="V22" s="70">
        <f t="shared" ref="V22:V24" si="27">H22*$T22</f>
        <v>945.14370000000008</v>
      </c>
      <c r="W22" s="70">
        <f t="shared" si="17"/>
        <v>35.335100000000004</v>
      </c>
      <c r="X22" s="70">
        <f t="shared" si="18"/>
        <v>2088.1417000000006</v>
      </c>
      <c r="Y22" s="70">
        <f t="shared" si="19"/>
        <v>1505.7194000000002</v>
      </c>
      <c r="Z22" s="70">
        <f t="shared" si="20"/>
        <v>645.57180000000017</v>
      </c>
      <c r="AA22" s="70">
        <f t="shared" si="21"/>
        <v>151.02350000000001</v>
      </c>
      <c r="AB22" s="70">
        <f t="shared" si="22"/>
        <v>3.8690000000000007</v>
      </c>
      <c r="AC22" s="70">
        <f t="shared" si="23"/>
        <v>73.9191</v>
      </c>
      <c r="AD22" s="70">
        <f t="shared" si="24"/>
        <v>13.912500000000001</v>
      </c>
      <c r="AE22" s="70">
        <f t="shared" si="25"/>
        <v>21.412000000000003</v>
      </c>
      <c r="AF22" s="70"/>
      <c r="AG22" s="102">
        <f t="shared" si="26"/>
        <v>5484.0478000000012</v>
      </c>
    </row>
    <row r="23" spans="1:33" ht="27" customHeight="1" x14ac:dyDescent="0.25">
      <c r="A23" s="167">
        <f t="shared" si="3"/>
        <v>17</v>
      </c>
      <c r="B23" s="255" t="str">
        <f>T2A!B22</f>
        <v>Olemasoleva tee tasandamisjärgne teekraavide täiendav puhastamine varisenud pinnasest</v>
      </c>
      <c r="C23" s="255"/>
      <c r="D23" s="255"/>
      <c r="E23" s="255"/>
      <c r="F23" s="255"/>
      <c r="G23" s="67" t="s">
        <v>447</v>
      </c>
      <c r="H23" s="165"/>
      <c r="I23" s="165"/>
      <c r="J23" s="165"/>
      <c r="K23" s="165"/>
      <c r="L23" s="165">
        <f>T2A!L22</f>
        <v>601</v>
      </c>
      <c r="M23" s="165">
        <f>T2A!M22</f>
        <v>137.6</v>
      </c>
      <c r="N23" s="165">
        <f>T2A!N22</f>
        <v>9.4</v>
      </c>
      <c r="O23" s="165">
        <f>T2A!O22</f>
        <v>76.5</v>
      </c>
      <c r="P23" s="165"/>
      <c r="Q23" s="165"/>
      <c r="R23" s="165"/>
      <c r="S23" s="135">
        <f>T2A!S22</f>
        <v>824.5</v>
      </c>
      <c r="T23" s="13">
        <v>0.53</v>
      </c>
      <c r="U23" s="6" t="s">
        <v>879</v>
      </c>
      <c r="V23" s="70"/>
      <c r="W23" s="70"/>
      <c r="X23" s="70"/>
      <c r="Y23" s="70"/>
      <c r="Z23" s="70">
        <f t="shared" si="20"/>
        <v>318.53000000000003</v>
      </c>
      <c r="AA23" s="70">
        <f t="shared" si="21"/>
        <v>72.927999999999997</v>
      </c>
      <c r="AB23" s="70">
        <f t="shared" si="22"/>
        <v>4.9820000000000002</v>
      </c>
      <c r="AC23" s="70">
        <f t="shared" si="23"/>
        <v>40.545000000000002</v>
      </c>
      <c r="AD23" s="70"/>
      <c r="AE23" s="70"/>
      <c r="AF23" s="70"/>
      <c r="AG23" s="102">
        <f t="shared" si="26"/>
        <v>436.98500000000007</v>
      </c>
    </row>
    <row r="24" spans="1:33" ht="15" customHeight="1" x14ac:dyDescent="0.25">
      <c r="A24" s="167">
        <f t="shared" si="3"/>
        <v>18</v>
      </c>
      <c r="B24" s="267" t="str">
        <f>T2A!B23</f>
        <v>Kaeve laialiajamine (60% kaevest)</v>
      </c>
      <c r="C24" s="267"/>
      <c r="D24" s="267"/>
      <c r="E24" s="267"/>
      <c r="F24" s="267"/>
      <c r="G24" s="67" t="s">
        <v>447</v>
      </c>
      <c r="H24" s="165">
        <f>T2A!H23</f>
        <v>10699.739999999998</v>
      </c>
      <c r="I24" s="165">
        <f>T2A!I23</f>
        <v>300.83999999999997</v>
      </c>
      <c r="J24" s="165">
        <f>T2A!J23</f>
        <v>24453.659999999989</v>
      </c>
      <c r="K24" s="165">
        <f>T2A!K23</f>
        <v>17045.88</v>
      </c>
      <c r="L24" s="165">
        <f>T2A!L23</f>
        <v>7308.36</v>
      </c>
      <c r="M24" s="165">
        <f>T2A!M23</f>
        <v>1186.44</v>
      </c>
      <c r="N24" s="165">
        <f>T2A!N23</f>
        <v>43.8</v>
      </c>
      <c r="O24" s="165">
        <f>T2A!O23</f>
        <v>793.72799999999995</v>
      </c>
      <c r="P24" s="165">
        <f>T2A!P23</f>
        <v>157.5</v>
      </c>
      <c r="Q24" s="165">
        <f>T2A!Q23</f>
        <v>242.39999999999998</v>
      </c>
      <c r="R24" s="165"/>
      <c r="S24" s="135">
        <f>T2A!S23</f>
        <v>62232.348000000005</v>
      </c>
      <c r="T24" s="13">
        <v>0.84</v>
      </c>
      <c r="U24" s="6" t="s">
        <v>940</v>
      </c>
      <c r="V24" s="70">
        <f t="shared" si="27"/>
        <v>8987.7815999999984</v>
      </c>
      <c r="W24" s="70">
        <f t="shared" si="17"/>
        <v>252.70559999999998</v>
      </c>
      <c r="X24" s="70">
        <f t="shared" si="18"/>
        <v>20541.07439999999</v>
      </c>
      <c r="Y24" s="70">
        <f t="shared" si="19"/>
        <v>14318.539200000001</v>
      </c>
      <c r="Z24" s="70">
        <f t="shared" si="20"/>
        <v>6139.0223999999998</v>
      </c>
      <c r="AA24" s="70">
        <f t="shared" si="21"/>
        <v>996.6096</v>
      </c>
      <c r="AB24" s="70">
        <f t="shared" si="22"/>
        <v>36.791999999999994</v>
      </c>
      <c r="AC24" s="70">
        <f t="shared" si="23"/>
        <v>666.73151999999993</v>
      </c>
      <c r="AD24" s="70">
        <f t="shared" si="24"/>
        <v>132.29999999999998</v>
      </c>
      <c r="AE24" s="70">
        <f t="shared" si="25"/>
        <v>203.61599999999999</v>
      </c>
      <c r="AF24" s="70"/>
      <c r="AG24" s="102">
        <f t="shared" si="26"/>
        <v>52275.172319999998</v>
      </c>
    </row>
    <row r="25" spans="1:33" x14ac:dyDescent="0.25">
      <c r="A25" s="167">
        <f t="shared" si="3"/>
        <v>19</v>
      </c>
      <c r="B25" s="418" t="s">
        <v>344</v>
      </c>
      <c r="C25" s="418"/>
      <c r="D25" s="418"/>
      <c r="E25" s="418"/>
      <c r="F25" s="418"/>
      <c r="G25" s="418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  <c r="T25" s="418"/>
      <c r="U25" s="418"/>
      <c r="V25" s="418"/>
      <c r="W25" s="418"/>
      <c r="X25" s="418"/>
      <c r="Y25" s="418"/>
      <c r="Z25" s="418"/>
      <c r="AA25" s="418"/>
      <c r="AB25" s="418"/>
      <c r="AC25" s="418"/>
      <c r="AD25" s="418"/>
      <c r="AE25" s="418"/>
      <c r="AF25" s="418"/>
      <c r="AG25" s="102">
        <f>SUM(AG20:AG24)</f>
        <v>113104.79312000002</v>
      </c>
    </row>
    <row r="26" spans="1:33" x14ac:dyDescent="0.25">
      <c r="A26" s="167">
        <f t="shared" si="3"/>
        <v>20</v>
      </c>
      <c r="B26" s="260" t="str">
        <f>T2A!B24</f>
        <v>III.Truupide rekonstrueerimine ja ehitamine</v>
      </c>
      <c r="C26" s="260"/>
      <c r="D26" s="260"/>
      <c r="E26" s="260"/>
      <c r="F26" s="260"/>
      <c r="G26" s="260"/>
      <c r="H26" s="260"/>
      <c r="I26" s="260"/>
      <c r="J26" s="260"/>
      <c r="K26" s="260"/>
      <c r="L26" s="260"/>
      <c r="M26" s="260"/>
      <c r="N26" s="260"/>
      <c r="O26" s="260"/>
      <c r="P26" s="260"/>
      <c r="Q26" s="260"/>
      <c r="R26" s="260"/>
      <c r="S26" s="260"/>
      <c r="T26" s="260"/>
      <c r="U26" s="260"/>
      <c r="V26" s="260"/>
      <c r="W26" s="260"/>
      <c r="X26" s="260"/>
      <c r="Y26" s="260"/>
      <c r="Z26" s="260"/>
      <c r="AA26" s="260"/>
      <c r="AB26" s="260"/>
      <c r="AC26" s="260"/>
      <c r="AD26" s="260"/>
      <c r="AE26" s="260"/>
      <c r="AF26" s="260"/>
      <c r="AG26" s="260"/>
    </row>
    <row r="27" spans="1:33" ht="25.5" customHeight="1" x14ac:dyDescent="0.25">
      <c r="A27" s="167">
        <f t="shared" si="3"/>
        <v>21</v>
      </c>
      <c r="B27" s="419" t="str">
        <f>T2A!B25</f>
        <v>Di=30 cm plasttorust veeviimari paigaldamine mullavalli alla, L= 8 m</v>
      </c>
      <c r="C27" s="419"/>
      <c r="D27" s="419"/>
      <c r="E27" s="419"/>
      <c r="F27" s="419"/>
      <c r="G27" s="6" t="str">
        <f>T2A!G25</f>
        <v>tk</v>
      </c>
      <c r="H27" s="6">
        <f>T2A!H25</f>
        <v>16</v>
      </c>
      <c r="I27" s="6"/>
      <c r="J27" s="6">
        <f>T2A!J25</f>
        <v>60</v>
      </c>
      <c r="K27" s="6">
        <f>T2A!K25</f>
        <v>35</v>
      </c>
      <c r="L27" s="6">
        <f>T2A!L25</f>
        <v>10</v>
      </c>
      <c r="M27" s="6">
        <f>T2A!M25</f>
        <v>2</v>
      </c>
      <c r="N27" s="6"/>
      <c r="O27" s="6"/>
      <c r="P27" s="6">
        <f>T2A!P25</f>
        <v>1</v>
      </c>
      <c r="Q27" s="6">
        <f>T2A!Q25</f>
        <v>2</v>
      </c>
      <c r="R27" s="6"/>
      <c r="S27" s="8">
        <f>T2A!S25</f>
        <v>126</v>
      </c>
      <c r="T27" s="13">
        <v>10.08</v>
      </c>
      <c r="U27" s="6" t="s">
        <v>941</v>
      </c>
      <c r="V27" s="70">
        <f t="shared" ref="V27" si="28">H27*$T27</f>
        <v>161.28</v>
      </c>
      <c r="W27" s="70"/>
      <c r="X27" s="70">
        <f t="shared" ref="X27" si="29">J27*$T27</f>
        <v>604.79999999999995</v>
      </c>
      <c r="Y27" s="70">
        <f t="shared" ref="Y27" si="30">K27*$T27</f>
        <v>352.8</v>
      </c>
      <c r="Z27" s="70">
        <f t="shared" ref="Z27" si="31">L27*$T27</f>
        <v>100.8</v>
      </c>
      <c r="AA27" s="70">
        <f t="shared" ref="AA27" si="32">M27*$T27</f>
        <v>20.16</v>
      </c>
      <c r="AB27" s="70"/>
      <c r="AC27" s="70"/>
      <c r="AD27" s="70">
        <f t="shared" ref="AD27" si="33">P27*$T27</f>
        <v>10.08</v>
      </c>
      <c r="AE27" s="70">
        <f t="shared" ref="AE27" si="34">Q27*$T27</f>
        <v>20.16</v>
      </c>
      <c r="AF27" s="70"/>
      <c r="AG27" s="102">
        <f>SUM(V27:AF27)</f>
        <v>1270.08</v>
      </c>
    </row>
    <row r="28" spans="1:33" x14ac:dyDescent="0.25">
      <c r="A28" s="167">
        <f t="shared" si="3"/>
        <v>22</v>
      </c>
      <c r="B28" s="419" t="str">
        <f>T2A!B26</f>
        <v>Di=30 cm plasttorust veeviimari otsaku ehitamine VV</v>
      </c>
      <c r="C28" s="419"/>
      <c r="D28" s="419"/>
      <c r="E28" s="419"/>
      <c r="F28" s="419"/>
      <c r="G28" s="6" t="str">
        <f>T2A!G26</f>
        <v>tk</v>
      </c>
      <c r="H28" s="6">
        <f>T2A!H26</f>
        <v>16</v>
      </c>
      <c r="I28" s="6"/>
      <c r="J28" s="6">
        <f>T2A!J26</f>
        <v>60</v>
      </c>
      <c r="K28" s="6">
        <f>T2A!K26</f>
        <v>35</v>
      </c>
      <c r="L28" s="6">
        <f>T2A!L26</f>
        <v>10</v>
      </c>
      <c r="M28" s="6">
        <f>T2A!M26</f>
        <v>2</v>
      </c>
      <c r="N28" s="6"/>
      <c r="O28" s="6"/>
      <c r="P28" s="6">
        <f>T2A!P26</f>
        <v>1</v>
      </c>
      <c r="Q28" s="6">
        <f>T2A!Q26</f>
        <v>2</v>
      </c>
      <c r="R28" s="6"/>
      <c r="S28" s="8">
        <f>T2A!S26</f>
        <v>126</v>
      </c>
      <c r="T28" s="13">
        <v>40.85</v>
      </c>
      <c r="U28" s="6" t="s">
        <v>942</v>
      </c>
      <c r="V28" s="70">
        <f t="shared" ref="V28:V37" si="35">H28*$T28</f>
        <v>653.6</v>
      </c>
      <c r="W28" s="70"/>
      <c r="X28" s="70">
        <f t="shared" ref="X28:X41" si="36">J28*$T28</f>
        <v>2451</v>
      </c>
      <c r="Y28" s="70">
        <f t="shared" ref="Y28:Y41" si="37">K28*$T28</f>
        <v>1429.75</v>
      </c>
      <c r="Z28" s="70">
        <f t="shared" ref="Z28:Z42" si="38">L28*$T28</f>
        <v>408.5</v>
      </c>
      <c r="AA28" s="70">
        <f t="shared" ref="AA28:AA39" si="39">M28*$T28</f>
        <v>81.7</v>
      </c>
      <c r="AB28" s="70"/>
      <c r="AC28" s="70"/>
      <c r="AD28" s="70">
        <f t="shared" ref="AD28:AD42" si="40">P28*$T28</f>
        <v>40.85</v>
      </c>
      <c r="AE28" s="70">
        <f t="shared" ref="AE28" si="41">Q28*$T28</f>
        <v>81.7</v>
      </c>
      <c r="AF28" s="70"/>
      <c r="AG28" s="102">
        <f t="shared" ref="AG28:AG52" si="42">SUM(V28:AF28)</f>
        <v>5147.1000000000004</v>
      </c>
    </row>
    <row r="29" spans="1:33" x14ac:dyDescent="0.25">
      <c r="A29" s="167">
        <f t="shared" si="3"/>
        <v>23</v>
      </c>
      <c r="B29" s="419" t="str">
        <f>T2A!B27</f>
        <v>Truupide mahamärkimine</v>
      </c>
      <c r="C29" s="419"/>
      <c r="D29" s="419"/>
      <c r="E29" s="419"/>
      <c r="F29" s="419"/>
      <c r="G29" s="6" t="str">
        <f>T2A!G27</f>
        <v>tk</v>
      </c>
      <c r="H29" s="6">
        <f>T2A!H27</f>
        <v>12</v>
      </c>
      <c r="I29" s="6">
        <f>T2A!I27</f>
        <v>2</v>
      </c>
      <c r="J29" s="6">
        <f>T2A!J27</f>
        <v>41</v>
      </c>
      <c r="K29" s="6">
        <f>T2A!K27</f>
        <v>22</v>
      </c>
      <c r="L29" s="6">
        <f>T2A!L27</f>
        <v>30</v>
      </c>
      <c r="M29" s="6">
        <f>T2A!M27</f>
        <v>4</v>
      </c>
      <c r="N29" s="6">
        <f>T2A!N27</f>
        <v>1</v>
      </c>
      <c r="O29" s="6">
        <f>T2A!O27</f>
        <v>4</v>
      </c>
      <c r="P29" s="6">
        <f>T2A!P27</f>
        <v>2</v>
      </c>
      <c r="Q29" s="6"/>
      <c r="R29" s="6">
        <f>T2A!R27</f>
        <v>1</v>
      </c>
      <c r="S29" s="8">
        <f>T2A!S27</f>
        <v>119</v>
      </c>
      <c r="T29" s="13">
        <v>23.78</v>
      </c>
      <c r="U29" s="6" t="s">
        <v>880</v>
      </c>
      <c r="V29" s="70">
        <f t="shared" si="35"/>
        <v>285.36</v>
      </c>
      <c r="W29" s="70">
        <f t="shared" ref="W29:W39" si="43">I29*$T29</f>
        <v>47.56</v>
      </c>
      <c r="X29" s="70">
        <f t="shared" si="36"/>
        <v>974.98</v>
      </c>
      <c r="Y29" s="70">
        <f t="shared" si="37"/>
        <v>523.16000000000008</v>
      </c>
      <c r="Z29" s="70">
        <f t="shared" si="38"/>
        <v>713.40000000000009</v>
      </c>
      <c r="AA29" s="70">
        <f t="shared" si="39"/>
        <v>95.12</v>
      </c>
      <c r="AB29" s="70">
        <f t="shared" ref="AB29:AB37" si="44">N29*$T29</f>
        <v>23.78</v>
      </c>
      <c r="AC29" s="70">
        <f t="shared" ref="AC29:AC37" si="45">O29*$T29</f>
        <v>95.12</v>
      </c>
      <c r="AD29" s="70">
        <f t="shared" si="40"/>
        <v>47.56</v>
      </c>
      <c r="AE29" s="70"/>
      <c r="AF29" s="70">
        <f t="shared" ref="AF29:AF36" si="46">R29*$T29</f>
        <v>23.78</v>
      </c>
      <c r="AG29" s="102">
        <f t="shared" si="42"/>
        <v>2829.82</v>
      </c>
    </row>
    <row r="30" spans="1:33" ht="24" customHeight="1" x14ac:dyDescent="0.25">
      <c r="A30" s="167">
        <f t="shared" si="3"/>
        <v>24</v>
      </c>
      <c r="B30" s="419" t="str">
        <f>T2A!B28</f>
        <v>Di=50 cm plasttruubi torustiku, tüüp 50PT, ehitamine (profileeritud plasttoru, SN8)</v>
      </c>
      <c r="C30" s="419"/>
      <c r="D30" s="419"/>
      <c r="E30" s="419"/>
      <c r="F30" s="419"/>
      <c r="G30" s="6" t="str">
        <f>T2A!G28</f>
        <v>m</v>
      </c>
      <c r="H30" s="6">
        <f>T2A!H28</f>
        <v>122</v>
      </c>
      <c r="I30" s="6"/>
      <c r="J30" s="6">
        <f>T2A!J28</f>
        <v>320</v>
      </c>
      <c r="K30" s="6">
        <f>T2A!K28</f>
        <v>160</v>
      </c>
      <c r="L30" s="6">
        <f>T2A!L28</f>
        <v>204</v>
      </c>
      <c r="M30" s="6">
        <f>T2A!M28</f>
        <v>20</v>
      </c>
      <c r="N30" s="6">
        <f>T2A!N28</f>
        <v>12</v>
      </c>
      <c r="O30" s="6">
        <f>T2A!O28</f>
        <v>48</v>
      </c>
      <c r="P30" s="6"/>
      <c r="Q30" s="6"/>
      <c r="R30" s="6">
        <f>T2A!R28</f>
        <v>10</v>
      </c>
      <c r="S30" s="8">
        <f>T2A!S28</f>
        <v>896</v>
      </c>
      <c r="T30" s="13">
        <v>58.23</v>
      </c>
      <c r="U30" s="6" t="s">
        <v>881</v>
      </c>
      <c r="V30" s="70">
        <f t="shared" si="35"/>
        <v>7104.0599999999995</v>
      </c>
      <c r="W30" s="70"/>
      <c r="X30" s="70">
        <f t="shared" si="36"/>
        <v>18633.599999999999</v>
      </c>
      <c r="Y30" s="70">
        <f t="shared" si="37"/>
        <v>9316.7999999999993</v>
      </c>
      <c r="Z30" s="70">
        <f t="shared" si="38"/>
        <v>11878.92</v>
      </c>
      <c r="AA30" s="70">
        <f t="shared" si="39"/>
        <v>1164.5999999999999</v>
      </c>
      <c r="AB30" s="70">
        <f t="shared" si="44"/>
        <v>698.76</v>
      </c>
      <c r="AC30" s="70">
        <f t="shared" si="45"/>
        <v>2795.04</v>
      </c>
      <c r="AD30" s="70"/>
      <c r="AE30" s="70"/>
      <c r="AF30" s="70">
        <f t="shared" si="46"/>
        <v>582.29999999999995</v>
      </c>
      <c r="AG30" s="102">
        <f t="shared" si="42"/>
        <v>52174.079999999994</v>
      </c>
    </row>
    <row r="31" spans="1:33" ht="24" customHeight="1" x14ac:dyDescent="0.25">
      <c r="A31" s="167">
        <f t="shared" si="3"/>
        <v>25</v>
      </c>
      <c r="B31" s="419" t="str">
        <f>T2A!B29</f>
        <v>Di=60 cm plasttruubi torustiku, tüüp 60PT, ehitamine (profileeritud plasttoru, SN8)</v>
      </c>
      <c r="C31" s="419"/>
      <c r="D31" s="419"/>
      <c r="E31" s="419"/>
      <c r="F31" s="419"/>
      <c r="G31" s="6" t="str">
        <f>T2A!G29</f>
        <v>m</v>
      </c>
      <c r="H31" s="6"/>
      <c r="I31" s="6">
        <f>T2A!I29</f>
        <v>20</v>
      </c>
      <c r="J31" s="6">
        <f>T2A!J29</f>
        <v>10</v>
      </c>
      <c r="K31" s="6">
        <f>T2A!K29</f>
        <v>50</v>
      </c>
      <c r="L31" s="6">
        <f>T2A!L29</f>
        <v>47</v>
      </c>
      <c r="M31" s="6">
        <f>T2A!M29</f>
        <v>22</v>
      </c>
      <c r="N31" s="6"/>
      <c r="O31" s="6"/>
      <c r="P31" s="6"/>
      <c r="Q31" s="6"/>
      <c r="R31" s="6"/>
      <c r="S31" s="8">
        <f>T2A!S29</f>
        <v>149</v>
      </c>
      <c r="T31" s="13">
        <v>77.66</v>
      </c>
      <c r="U31" s="6" t="s">
        <v>882</v>
      </c>
      <c r="V31" s="70"/>
      <c r="W31" s="70">
        <f t="shared" si="43"/>
        <v>1553.1999999999998</v>
      </c>
      <c r="X31" s="70">
        <f t="shared" si="36"/>
        <v>776.59999999999991</v>
      </c>
      <c r="Y31" s="70">
        <f t="shared" si="37"/>
        <v>3883</v>
      </c>
      <c r="Z31" s="70">
        <f t="shared" si="38"/>
        <v>3650.02</v>
      </c>
      <c r="AA31" s="70">
        <f t="shared" si="39"/>
        <v>1708.52</v>
      </c>
      <c r="AB31" s="70"/>
      <c r="AC31" s="70"/>
      <c r="AD31" s="70"/>
      <c r="AE31" s="70"/>
      <c r="AF31" s="70"/>
      <c r="AG31" s="102">
        <f t="shared" si="42"/>
        <v>11571.34</v>
      </c>
    </row>
    <row r="32" spans="1:33" ht="24" customHeight="1" x14ac:dyDescent="0.25">
      <c r="A32" s="167">
        <f t="shared" si="3"/>
        <v>26</v>
      </c>
      <c r="B32" s="419" t="str">
        <f>T2A!B30</f>
        <v>Di=80 cm plasttruubi torustiku, tüüp 80PT, ehitamine (profileeritud plasttoru, SN8)</v>
      </c>
      <c r="C32" s="419"/>
      <c r="D32" s="419"/>
      <c r="E32" s="419"/>
      <c r="F32" s="419"/>
      <c r="G32" s="6" t="str">
        <f>T2A!G30</f>
        <v>m</v>
      </c>
      <c r="H32" s="6"/>
      <c r="I32" s="6"/>
      <c r="J32" s="6">
        <f>T2A!J30</f>
        <v>30</v>
      </c>
      <c r="K32" s="6">
        <f>T2A!K30</f>
        <v>10</v>
      </c>
      <c r="L32" s="6">
        <f>T2A!L30</f>
        <v>20</v>
      </c>
      <c r="M32" s="6"/>
      <c r="N32" s="6"/>
      <c r="O32" s="6"/>
      <c r="P32" s="6"/>
      <c r="Q32" s="6"/>
      <c r="R32" s="6"/>
      <c r="S32" s="8">
        <f>T2A!S30</f>
        <v>60</v>
      </c>
      <c r="T32" s="13">
        <v>122.59</v>
      </c>
      <c r="U32" s="6" t="s">
        <v>943</v>
      </c>
      <c r="V32" s="70"/>
      <c r="W32" s="70"/>
      <c r="X32" s="70">
        <f t="shared" si="36"/>
        <v>3677.7000000000003</v>
      </c>
      <c r="Y32" s="70">
        <f t="shared" si="37"/>
        <v>1225.9000000000001</v>
      </c>
      <c r="Z32" s="70">
        <f t="shared" si="38"/>
        <v>2451.8000000000002</v>
      </c>
      <c r="AA32" s="70"/>
      <c r="AB32" s="70"/>
      <c r="AC32" s="70"/>
      <c r="AD32" s="70"/>
      <c r="AE32" s="70"/>
      <c r="AF32" s="70"/>
      <c r="AG32" s="102">
        <f t="shared" si="42"/>
        <v>7355.4000000000005</v>
      </c>
    </row>
    <row r="33" spans="1:33" ht="24" customHeight="1" x14ac:dyDescent="0.25">
      <c r="A33" s="167">
        <f t="shared" si="3"/>
        <v>27</v>
      </c>
      <c r="B33" s="419" t="str">
        <f>T2A!B31</f>
        <v>Di=100 cm plasttruubi torustiku, tüüp 100PT, ehitamine (profileeritud plasttoru, SN8)</v>
      </c>
      <c r="C33" s="419"/>
      <c r="D33" s="419"/>
      <c r="E33" s="419"/>
      <c r="F33" s="419"/>
      <c r="G33" s="6" t="str">
        <f>T2A!G31</f>
        <v>m</v>
      </c>
      <c r="H33" s="6"/>
      <c r="I33" s="6"/>
      <c r="J33" s="6"/>
      <c r="K33" s="6"/>
      <c r="L33" s="6">
        <f>T2A!L31</f>
        <v>72</v>
      </c>
      <c r="M33" s="6"/>
      <c r="N33" s="6"/>
      <c r="O33" s="6"/>
      <c r="P33" s="6">
        <f>T2A!P31</f>
        <v>20</v>
      </c>
      <c r="Q33" s="6"/>
      <c r="R33" s="6"/>
      <c r="S33" s="8">
        <f>T2A!S31</f>
        <v>92</v>
      </c>
      <c r="T33" s="118">
        <v>239.03</v>
      </c>
      <c r="U33" s="6" t="s">
        <v>883</v>
      </c>
      <c r="V33" s="70"/>
      <c r="W33" s="70"/>
      <c r="X33" s="70"/>
      <c r="Y33" s="70"/>
      <c r="Z33" s="70">
        <f t="shared" si="38"/>
        <v>17210.16</v>
      </c>
      <c r="AA33" s="70"/>
      <c r="AB33" s="70"/>
      <c r="AC33" s="70"/>
      <c r="AD33" s="70">
        <f t="shared" si="40"/>
        <v>4780.6000000000004</v>
      </c>
      <c r="AE33" s="70"/>
      <c r="AF33" s="70"/>
      <c r="AG33" s="102">
        <f t="shared" si="42"/>
        <v>21990.760000000002</v>
      </c>
    </row>
    <row r="34" spans="1:33" ht="24" customHeight="1" x14ac:dyDescent="0.25">
      <c r="A34" s="167">
        <f t="shared" si="3"/>
        <v>28</v>
      </c>
      <c r="B34" s="419" t="str">
        <f>T2A!B32</f>
        <v>Di=140 cm plasttruubi torustiku, tüüp 140PT, ehitamine (profileeritud plasttoru, SN8)</v>
      </c>
      <c r="C34" s="419"/>
      <c r="D34" s="419"/>
      <c r="E34" s="419"/>
      <c r="F34" s="419"/>
      <c r="G34" s="6" t="str">
        <f>T2A!G32</f>
        <v>m</v>
      </c>
      <c r="H34" s="6"/>
      <c r="I34" s="6"/>
      <c r="J34" s="6">
        <f>T2A!J32</f>
        <v>10</v>
      </c>
      <c r="K34" s="6"/>
      <c r="L34" s="6"/>
      <c r="M34" s="6"/>
      <c r="N34" s="6"/>
      <c r="O34" s="6"/>
      <c r="P34" s="6"/>
      <c r="Q34" s="6"/>
      <c r="R34" s="6"/>
      <c r="S34" s="8">
        <f>T2A!S32</f>
        <v>10</v>
      </c>
      <c r="T34" s="6">
        <v>252.45</v>
      </c>
      <c r="U34" s="6" t="s">
        <v>945</v>
      </c>
      <c r="V34" s="70"/>
      <c r="W34" s="70"/>
      <c r="X34" s="70">
        <f t="shared" si="36"/>
        <v>2524.5</v>
      </c>
      <c r="Y34" s="70"/>
      <c r="Z34" s="70"/>
      <c r="AA34" s="70"/>
      <c r="AB34" s="70"/>
      <c r="AC34" s="70"/>
      <c r="AD34" s="70"/>
      <c r="AE34" s="70"/>
      <c r="AF34" s="70"/>
      <c r="AG34" s="102">
        <f t="shared" si="42"/>
        <v>2524.5</v>
      </c>
    </row>
    <row r="35" spans="1:33" ht="24" customHeight="1" x14ac:dyDescent="0.25">
      <c r="A35" s="167">
        <f t="shared" si="3"/>
        <v>29</v>
      </c>
      <c r="B35" s="419" t="str">
        <f>T2A!B33</f>
        <v>Di=150 cm plasttruubi torustiku, tüüp 150PT, ehitamine (profileeritud plasttoru, SN8)</v>
      </c>
      <c r="C35" s="419"/>
      <c r="D35" s="419"/>
      <c r="E35" s="419"/>
      <c r="F35" s="419"/>
      <c r="G35" s="6" t="str">
        <f>T2A!G33</f>
        <v>m</v>
      </c>
      <c r="H35" s="6"/>
      <c r="I35" s="6"/>
      <c r="J35" s="6">
        <f>T2A!J33</f>
        <v>40</v>
      </c>
      <c r="K35" s="6"/>
      <c r="L35" s="6"/>
      <c r="M35" s="6"/>
      <c r="N35" s="6"/>
      <c r="O35" s="6"/>
      <c r="P35" s="6"/>
      <c r="Q35" s="6"/>
      <c r="R35" s="6"/>
      <c r="S35" s="8">
        <f>T2A!S33</f>
        <v>40</v>
      </c>
      <c r="T35" s="6">
        <v>323.58999999999997</v>
      </c>
      <c r="U35" s="6" t="s">
        <v>944</v>
      </c>
      <c r="V35" s="70"/>
      <c r="W35" s="70"/>
      <c r="X35" s="70">
        <f t="shared" si="36"/>
        <v>12943.599999999999</v>
      </c>
      <c r="Y35" s="70"/>
      <c r="Z35" s="70"/>
      <c r="AA35" s="70"/>
      <c r="AB35" s="70"/>
      <c r="AC35" s="70"/>
      <c r="AD35" s="70"/>
      <c r="AE35" s="70"/>
      <c r="AF35" s="70"/>
      <c r="AG35" s="102">
        <f t="shared" si="42"/>
        <v>12943.599999999999</v>
      </c>
    </row>
    <row r="36" spans="1:33" x14ac:dyDescent="0.25">
      <c r="A36" s="167">
        <f t="shared" si="3"/>
        <v>30</v>
      </c>
      <c r="B36" s="419" t="str">
        <f>T2A!B34</f>
        <v xml:space="preserve">Ø 50 cm plasttruubi mattotsaku ehitamine (tüüp MAO) </v>
      </c>
      <c r="C36" s="419"/>
      <c r="D36" s="419"/>
      <c r="E36" s="419"/>
      <c r="F36" s="419"/>
      <c r="G36" s="6" t="str">
        <f>T2A!G34</f>
        <v>2 otsakut</v>
      </c>
      <c r="H36" s="6">
        <f>T2A!H34</f>
        <v>10</v>
      </c>
      <c r="I36" s="6"/>
      <c r="J36" s="6">
        <f>T2A!J34</f>
        <v>32</v>
      </c>
      <c r="K36" s="6">
        <f>T2A!K34</f>
        <v>16</v>
      </c>
      <c r="L36" s="6"/>
      <c r="M36" s="6"/>
      <c r="N36" s="6"/>
      <c r="O36" s="6"/>
      <c r="P36" s="6"/>
      <c r="Q36" s="6"/>
      <c r="R36" s="6">
        <f>T2A!R34</f>
        <v>1</v>
      </c>
      <c r="S36" s="8">
        <f>T2A!S34</f>
        <v>59</v>
      </c>
      <c r="T36" s="6">
        <v>141.02000000000001</v>
      </c>
      <c r="U36" s="6" t="s">
        <v>946</v>
      </c>
      <c r="V36" s="70">
        <f t="shared" si="35"/>
        <v>1410.2</v>
      </c>
      <c r="W36" s="70"/>
      <c r="X36" s="70">
        <f t="shared" si="36"/>
        <v>4512.6400000000003</v>
      </c>
      <c r="Y36" s="70">
        <f t="shared" si="37"/>
        <v>2256.3200000000002</v>
      </c>
      <c r="Z36" s="70"/>
      <c r="AA36" s="70"/>
      <c r="AB36" s="70"/>
      <c r="AC36" s="70"/>
      <c r="AD36" s="70"/>
      <c r="AE36" s="70"/>
      <c r="AF36" s="70">
        <f t="shared" si="46"/>
        <v>141.02000000000001</v>
      </c>
      <c r="AG36" s="102">
        <f t="shared" si="42"/>
        <v>8320.18</v>
      </c>
    </row>
    <row r="37" spans="1:33" ht="24" customHeight="1" x14ac:dyDescent="0.25">
      <c r="A37" s="167">
        <f t="shared" si="3"/>
        <v>31</v>
      </c>
      <c r="B37" s="419" t="str">
        <f>T2A!B35</f>
        <v xml:space="preserve">Ø 50 cm plasttruubi mattotsaku kivikindlustusega ehitamine (tüüp MAOK) </v>
      </c>
      <c r="C37" s="419"/>
      <c r="D37" s="419"/>
      <c r="E37" s="419"/>
      <c r="F37" s="419"/>
      <c r="G37" s="6" t="str">
        <f>T2A!G35</f>
        <v>2 otsakut</v>
      </c>
      <c r="H37" s="6">
        <f>T2A!H35</f>
        <v>2</v>
      </c>
      <c r="I37" s="6"/>
      <c r="J37" s="6"/>
      <c r="K37" s="6"/>
      <c r="L37" s="6">
        <f>T2A!L35</f>
        <v>16</v>
      </c>
      <c r="M37" s="6">
        <f>T2A!M35</f>
        <v>2</v>
      </c>
      <c r="N37" s="6">
        <f>T2A!N35</f>
        <v>1</v>
      </c>
      <c r="O37" s="6">
        <f>T2A!O35</f>
        <v>4</v>
      </c>
      <c r="P37" s="6"/>
      <c r="Q37" s="6"/>
      <c r="R37" s="6"/>
      <c r="S37" s="8">
        <f>T2A!S35</f>
        <v>25</v>
      </c>
      <c r="T37" s="13">
        <v>183.43</v>
      </c>
      <c r="U37" s="6" t="s">
        <v>947</v>
      </c>
      <c r="V37" s="70">
        <f t="shared" si="35"/>
        <v>366.86</v>
      </c>
      <c r="W37" s="70"/>
      <c r="X37" s="70"/>
      <c r="Y37" s="70"/>
      <c r="Z37" s="70">
        <f t="shared" si="38"/>
        <v>2934.88</v>
      </c>
      <c r="AA37" s="70">
        <f t="shared" si="39"/>
        <v>366.86</v>
      </c>
      <c r="AB37" s="70">
        <f t="shared" si="44"/>
        <v>183.43</v>
      </c>
      <c r="AC37" s="70">
        <f t="shared" si="45"/>
        <v>733.72</v>
      </c>
      <c r="AD37" s="70"/>
      <c r="AE37" s="70"/>
      <c r="AF37" s="70"/>
      <c r="AG37" s="102">
        <f t="shared" si="42"/>
        <v>4585.75</v>
      </c>
    </row>
    <row r="38" spans="1:33" ht="24" customHeight="1" x14ac:dyDescent="0.25">
      <c r="A38" s="167">
        <f t="shared" si="3"/>
        <v>32</v>
      </c>
      <c r="B38" s="419" t="str">
        <f>T2A!B36</f>
        <v xml:space="preserve">Ø 50 cm plasttruubi kiviotsaku kivikindlustusega ehitamine (tüüp KOK) </v>
      </c>
      <c r="C38" s="419"/>
      <c r="D38" s="419"/>
      <c r="E38" s="419"/>
      <c r="F38" s="419"/>
      <c r="G38" s="6" t="str">
        <f>T2A!G36</f>
        <v>2 otsakut</v>
      </c>
      <c r="H38" s="6"/>
      <c r="I38" s="6"/>
      <c r="J38" s="6"/>
      <c r="K38" s="6"/>
      <c r="L38" s="6">
        <f>T2A!L36</f>
        <v>1</v>
      </c>
      <c r="M38" s="6"/>
      <c r="N38" s="6"/>
      <c r="O38" s="6"/>
      <c r="P38" s="6"/>
      <c r="Q38" s="6"/>
      <c r="R38" s="6"/>
      <c r="S38" s="8">
        <f>T2A!S36</f>
        <v>1</v>
      </c>
      <c r="T38" s="6">
        <v>454.86</v>
      </c>
      <c r="U38" s="6" t="s">
        <v>955</v>
      </c>
      <c r="V38" s="70"/>
      <c r="W38" s="70"/>
      <c r="X38" s="70"/>
      <c r="Y38" s="70"/>
      <c r="Z38" s="70">
        <f t="shared" si="38"/>
        <v>454.86</v>
      </c>
      <c r="AA38" s="70"/>
      <c r="AB38" s="70"/>
      <c r="AC38" s="70"/>
      <c r="AD38" s="70"/>
      <c r="AE38" s="70"/>
      <c r="AF38" s="70"/>
      <c r="AG38" s="102">
        <f t="shared" si="42"/>
        <v>454.86</v>
      </c>
    </row>
    <row r="39" spans="1:33" ht="24" customHeight="1" x14ac:dyDescent="0.25">
      <c r="A39" s="167">
        <f t="shared" si="3"/>
        <v>33</v>
      </c>
      <c r="B39" s="419" t="str">
        <f>T2A!B37</f>
        <v xml:space="preserve">Ø 60 cm plasttruubi mattotsaku kivikindlustusega ehitamine (tüüp MAOK) </v>
      </c>
      <c r="C39" s="419"/>
      <c r="D39" s="419"/>
      <c r="E39" s="419"/>
      <c r="F39" s="419"/>
      <c r="G39" s="6" t="str">
        <f>T2A!G37</f>
        <v>2 otsakut</v>
      </c>
      <c r="H39" s="6"/>
      <c r="I39" s="6">
        <f>T2A!I37</f>
        <v>2</v>
      </c>
      <c r="J39" s="6">
        <f>T2A!J37</f>
        <v>1</v>
      </c>
      <c r="K39" s="6">
        <f>T2A!K37</f>
        <v>5</v>
      </c>
      <c r="L39" s="6">
        <f>T2A!L37</f>
        <v>2</v>
      </c>
      <c r="M39" s="6">
        <f>T2A!M37</f>
        <v>2</v>
      </c>
      <c r="N39" s="6"/>
      <c r="O39" s="6"/>
      <c r="P39" s="6"/>
      <c r="Q39" s="6"/>
      <c r="R39" s="6"/>
      <c r="S39" s="8">
        <f>T2A!S37</f>
        <v>12</v>
      </c>
      <c r="T39" s="13">
        <v>183.43</v>
      </c>
      <c r="U39" s="6" t="s">
        <v>947</v>
      </c>
      <c r="V39" s="70"/>
      <c r="W39" s="70">
        <f t="shared" si="43"/>
        <v>366.86</v>
      </c>
      <c r="X39" s="70">
        <f t="shared" si="36"/>
        <v>183.43</v>
      </c>
      <c r="Y39" s="70">
        <f t="shared" si="37"/>
        <v>917.15000000000009</v>
      </c>
      <c r="Z39" s="70">
        <f t="shared" si="38"/>
        <v>366.86</v>
      </c>
      <c r="AA39" s="70">
        <f t="shared" si="39"/>
        <v>366.86</v>
      </c>
      <c r="AB39" s="70"/>
      <c r="AC39" s="70"/>
      <c r="AD39" s="70"/>
      <c r="AE39" s="70"/>
      <c r="AF39" s="70"/>
      <c r="AG39" s="102">
        <f t="shared" si="42"/>
        <v>2201.1600000000003</v>
      </c>
    </row>
    <row r="40" spans="1:33" ht="24" customHeight="1" x14ac:dyDescent="0.25">
      <c r="A40" s="167">
        <f t="shared" si="3"/>
        <v>34</v>
      </c>
      <c r="B40" s="419" t="str">
        <f>T2A!B38</f>
        <v xml:space="preserve">Ø 60 cm plasttruubi kiviotsaku kivikindlustusega ehitamine (tüüp KOK) </v>
      </c>
      <c r="C40" s="419"/>
      <c r="D40" s="419"/>
      <c r="E40" s="419"/>
      <c r="F40" s="419"/>
      <c r="G40" s="6" t="str">
        <f>T2A!G38</f>
        <v>2 otsakut</v>
      </c>
      <c r="H40" s="6"/>
      <c r="I40" s="6"/>
      <c r="J40" s="6"/>
      <c r="K40" s="6"/>
      <c r="L40" s="6">
        <f>T2A!L38</f>
        <v>2</v>
      </c>
      <c r="M40" s="6"/>
      <c r="N40" s="6"/>
      <c r="O40" s="6"/>
      <c r="P40" s="6"/>
      <c r="Q40" s="6"/>
      <c r="R40" s="6"/>
      <c r="S40" s="8">
        <f>T2A!S38</f>
        <v>2</v>
      </c>
      <c r="T40" s="6">
        <v>454.86</v>
      </c>
      <c r="U40" s="6" t="s">
        <v>955</v>
      </c>
      <c r="V40" s="70"/>
      <c r="W40" s="70"/>
      <c r="X40" s="70"/>
      <c r="Y40" s="70"/>
      <c r="Z40" s="70">
        <f t="shared" si="38"/>
        <v>909.72</v>
      </c>
      <c r="AA40" s="70"/>
      <c r="AB40" s="70"/>
      <c r="AC40" s="70"/>
      <c r="AD40" s="70"/>
      <c r="AE40" s="70"/>
      <c r="AF40" s="70"/>
      <c r="AG40" s="102">
        <f t="shared" si="42"/>
        <v>909.72</v>
      </c>
    </row>
    <row r="41" spans="1:33" ht="24" customHeight="1" x14ac:dyDescent="0.25">
      <c r="A41" s="167">
        <f t="shared" si="3"/>
        <v>35</v>
      </c>
      <c r="B41" s="419" t="str">
        <f>T2A!B39</f>
        <v xml:space="preserve">Ø 80 cm plasttruubi kiviotsaku kivikindlustusega ehitamine (tüüp KOK) </v>
      </c>
      <c r="C41" s="419"/>
      <c r="D41" s="419"/>
      <c r="E41" s="419"/>
      <c r="F41" s="419"/>
      <c r="G41" s="6" t="str">
        <f>T2A!G39</f>
        <v>2 otsakut</v>
      </c>
      <c r="H41" s="6"/>
      <c r="I41" s="6"/>
      <c r="J41" s="6">
        <f>T2A!J39</f>
        <v>3</v>
      </c>
      <c r="K41" s="6">
        <f>T2A!K39</f>
        <v>1</v>
      </c>
      <c r="L41" s="6">
        <f>T2A!L39</f>
        <v>2</v>
      </c>
      <c r="M41" s="6"/>
      <c r="N41" s="6"/>
      <c r="O41" s="6"/>
      <c r="P41" s="6"/>
      <c r="Q41" s="6"/>
      <c r="R41" s="6"/>
      <c r="S41" s="8">
        <f>T2A!S39</f>
        <v>6</v>
      </c>
      <c r="T41" s="6">
        <v>791.68</v>
      </c>
      <c r="U41" s="6" t="s">
        <v>954</v>
      </c>
      <c r="V41" s="70"/>
      <c r="W41" s="70"/>
      <c r="X41" s="70">
        <f t="shared" si="36"/>
        <v>2375.04</v>
      </c>
      <c r="Y41" s="70">
        <f t="shared" si="37"/>
        <v>791.68</v>
      </c>
      <c r="Z41" s="70">
        <f t="shared" si="38"/>
        <v>1583.36</v>
      </c>
      <c r="AA41" s="70"/>
      <c r="AB41" s="70"/>
      <c r="AC41" s="70"/>
      <c r="AD41" s="70"/>
      <c r="AE41" s="70"/>
      <c r="AF41" s="70"/>
      <c r="AG41" s="102">
        <f t="shared" si="42"/>
        <v>4750.08</v>
      </c>
    </row>
    <row r="42" spans="1:33" ht="24" customHeight="1" x14ac:dyDescent="0.25">
      <c r="A42" s="167">
        <f t="shared" si="3"/>
        <v>36</v>
      </c>
      <c r="B42" s="419" t="str">
        <f>T2A!B40</f>
        <v xml:space="preserve">Ø 100 cm plasttruubi kiviotsaku kivikindlustusega ehitamine (tüüp KOK) </v>
      </c>
      <c r="C42" s="419"/>
      <c r="D42" s="419"/>
      <c r="E42" s="419"/>
      <c r="F42" s="419"/>
      <c r="G42" s="6" t="str">
        <f>T2A!G40</f>
        <v>2 otsakut</v>
      </c>
      <c r="H42" s="6"/>
      <c r="I42" s="6"/>
      <c r="J42" s="6"/>
      <c r="K42" s="6"/>
      <c r="L42" s="6">
        <f>T2A!L40</f>
        <v>7</v>
      </c>
      <c r="M42" s="6"/>
      <c r="N42" s="6"/>
      <c r="O42" s="6"/>
      <c r="P42" s="6">
        <f>T2A!P40</f>
        <v>2</v>
      </c>
      <c r="Q42" s="6"/>
      <c r="R42" s="6"/>
      <c r="S42" s="8">
        <f>T2A!S40</f>
        <v>9</v>
      </c>
      <c r="T42" s="6">
        <v>1117.31</v>
      </c>
      <c r="U42" s="6" t="s">
        <v>948</v>
      </c>
      <c r="V42" s="70"/>
      <c r="W42" s="70"/>
      <c r="X42" s="70"/>
      <c r="Y42" s="70"/>
      <c r="Z42" s="70">
        <f t="shared" si="38"/>
        <v>7821.17</v>
      </c>
      <c r="AA42" s="70"/>
      <c r="AB42" s="70"/>
      <c r="AC42" s="70"/>
      <c r="AD42" s="70">
        <f t="shared" si="40"/>
        <v>2234.62</v>
      </c>
      <c r="AE42" s="70"/>
      <c r="AF42" s="70"/>
      <c r="AG42" s="102">
        <f t="shared" si="42"/>
        <v>10055.790000000001</v>
      </c>
    </row>
    <row r="43" spans="1:33" ht="24" customHeight="1" x14ac:dyDescent="0.25">
      <c r="A43" s="167">
        <f t="shared" si="3"/>
        <v>37</v>
      </c>
      <c r="B43" s="419" t="str">
        <f>T2A!B41</f>
        <v xml:space="preserve">Ø 140 cm plasttruubi kiviotsaku kivikindlustusega ehitamine (tüüp KOK) </v>
      </c>
      <c r="C43" s="419"/>
      <c r="D43" s="419"/>
      <c r="E43" s="419"/>
      <c r="F43" s="419"/>
      <c r="G43" s="6" t="str">
        <f>T2A!G41</f>
        <v>2 otsakut</v>
      </c>
      <c r="H43" s="6"/>
      <c r="I43" s="6"/>
      <c r="J43" s="6">
        <f>T2A!J41</f>
        <v>1</v>
      </c>
      <c r="K43" s="6"/>
      <c r="L43" s="6"/>
      <c r="M43" s="6"/>
      <c r="N43" s="6"/>
      <c r="O43" s="6"/>
      <c r="P43" s="6"/>
      <c r="Q43" s="6"/>
      <c r="R43" s="6"/>
      <c r="S43" s="8">
        <f>T2A!S41</f>
        <v>1</v>
      </c>
      <c r="T43" s="6">
        <v>1938.51</v>
      </c>
      <c r="U43" s="6" t="s">
        <v>953</v>
      </c>
      <c r="V43" s="70"/>
      <c r="W43" s="70"/>
      <c r="X43" s="70">
        <f t="shared" ref="X43:X52" si="47">J43*$T43</f>
        <v>1938.51</v>
      </c>
      <c r="Y43" s="70"/>
      <c r="Z43" s="70"/>
      <c r="AA43" s="70"/>
      <c r="AB43" s="70"/>
      <c r="AC43" s="70"/>
      <c r="AD43" s="70"/>
      <c r="AE43" s="70"/>
      <c r="AF43" s="70"/>
      <c r="AG43" s="102">
        <f t="shared" si="42"/>
        <v>1938.51</v>
      </c>
    </row>
    <row r="44" spans="1:33" ht="24" customHeight="1" x14ac:dyDescent="0.25">
      <c r="A44" s="167">
        <f t="shared" si="3"/>
        <v>38</v>
      </c>
      <c r="B44" s="419" t="str">
        <f>T2A!B42</f>
        <v xml:space="preserve">Ø 150 cm plasttruubi kiviotsaku kivikindlustusega ehitamine (tüüp KOK) </v>
      </c>
      <c r="C44" s="419"/>
      <c r="D44" s="419"/>
      <c r="E44" s="419"/>
      <c r="F44" s="419"/>
      <c r="G44" s="6" t="str">
        <f>T2A!G42</f>
        <v>2 otsakut</v>
      </c>
      <c r="H44" s="6"/>
      <c r="I44" s="6"/>
      <c r="J44" s="6">
        <f>T2A!J42</f>
        <v>4</v>
      </c>
      <c r="K44" s="6"/>
      <c r="L44" s="6"/>
      <c r="M44" s="6"/>
      <c r="N44" s="6"/>
      <c r="O44" s="6"/>
      <c r="P44" s="6"/>
      <c r="Q44" s="6"/>
      <c r="R44" s="6"/>
      <c r="S44" s="8">
        <f>T2A!S42</f>
        <v>4</v>
      </c>
      <c r="T44" s="6">
        <v>1938.51</v>
      </c>
      <c r="U44" s="6" t="s">
        <v>953</v>
      </c>
      <c r="V44" s="70"/>
      <c r="W44" s="70"/>
      <c r="X44" s="70">
        <f t="shared" si="47"/>
        <v>7754.04</v>
      </c>
      <c r="Y44" s="70"/>
      <c r="Z44" s="70"/>
      <c r="AA44" s="70"/>
      <c r="AB44" s="70"/>
      <c r="AC44" s="70"/>
      <c r="AD44" s="70"/>
      <c r="AE44" s="70"/>
      <c r="AF44" s="70"/>
      <c r="AG44" s="102">
        <f t="shared" si="42"/>
        <v>7754.04</v>
      </c>
    </row>
    <row r="45" spans="1:33" x14ac:dyDescent="0.25">
      <c r="A45" s="167">
        <f t="shared" si="3"/>
        <v>39</v>
      </c>
      <c r="B45" s="419" t="str">
        <f>T2A!B43</f>
        <v>Kruus teekatte taastamiseks</v>
      </c>
      <c r="C45" s="419"/>
      <c r="D45" s="419"/>
      <c r="E45" s="419"/>
      <c r="F45" s="419"/>
      <c r="G45" s="67" t="s">
        <v>447</v>
      </c>
      <c r="H45" s="70">
        <f>T2A!H43</f>
        <v>9</v>
      </c>
      <c r="I45" s="70"/>
      <c r="J45" s="70"/>
      <c r="K45" s="70"/>
      <c r="L45" s="70">
        <f>T2A!L43</f>
        <v>23.4</v>
      </c>
      <c r="M45" s="70"/>
      <c r="N45" s="70"/>
      <c r="O45" s="70"/>
      <c r="P45" s="70"/>
      <c r="Q45" s="70"/>
      <c r="R45" s="70"/>
      <c r="S45" s="102">
        <f>T2A!S43</f>
        <v>32.4</v>
      </c>
      <c r="T45" s="67">
        <v>15</v>
      </c>
      <c r="U45" s="67" t="s">
        <v>876</v>
      </c>
      <c r="V45" s="70">
        <f t="shared" ref="V45:V52" si="48">H45*$T45</f>
        <v>135</v>
      </c>
      <c r="W45" s="70"/>
      <c r="X45" s="70"/>
      <c r="Y45" s="70"/>
      <c r="Z45" s="70">
        <f t="shared" ref="Z45:Z52" si="49">L45*$T45</f>
        <v>351</v>
      </c>
      <c r="AA45" s="70"/>
      <c r="AB45" s="70"/>
      <c r="AC45" s="70"/>
      <c r="AD45" s="70"/>
      <c r="AE45" s="70"/>
      <c r="AF45" s="70"/>
      <c r="AG45" s="102">
        <f>SUM(V45:AF45)</f>
        <v>486</v>
      </c>
    </row>
    <row r="46" spans="1:33" x14ac:dyDescent="0.25">
      <c r="A46" s="167">
        <f t="shared" si="3"/>
        <v>40</v>
      </c>
      <c r="B46" s="419" t="str">
        <f>T2A!B44</f>
        <v>Täiendav kaeve truupide ehitamisel</v>
      </c>
      <c r="C46" s="419"/>
      <c r="D46" s="419"/>
      <c r="E46" s="419"/>
      <c r="F46" s="419"/>
      <c r="G46" s="67" t="s">
        <v>447</v>
      </c>
      <c r="H46" s="70">
        <f>T2A!H44</f>
        <v>42</v>
      </c>
      <c r="I46" s="70"/>
      <c r="J46" s="70">
        <f>T2A!J44</f>
        <v>176</v>
      </c>
      <c r="K46" s="70">
        <f>T2A!K44</f>
        <v>120</v>
      </c>
      <c r="L46" s="70">
        <f>T2A!L44</f>
        <v>253</v>
      </c>
      <c r="M46" s="70">
        <f>T2A!M44</f>
        <v>42</v>
      </c>
      <c r="N46" s="70">
        <f>T2A!N44</f>
        <v>12</v>
      </c>
      <c r="O46" s="70">
        <f>T2A!O44</f>
        <v>38</v>
      </c>
      <c r="P46" s="70">
        <f>T2A!P44</f>
        <v>10</v>
      </c>
      <c r="Q46" s="70"/>
      <c r="R46" s="70">
        <f>T2A!R44</f>
        <v>10</v>
      </c>
      <c r="S46" s="102">
        <f>T2A!S44</f>
        <v>703</v>
      </c>
      <c r="T46" s="13">
        <v>0.53</v>
      </c>
      <c r="U46" s="6" t="s">
        <v>879</v>
      </c>
      <c r="V46" s="70">
        <f t="shared" si="48"/>
        <v>22.26</v>
      </c>
      <c r="W46" s="70"/>
      <c r="X46" s="70">
        <f t="shared" si="47"/>
        <v>93.28</v>
      </c>
      <c r="Y46" s="70">
        <f t="shared" ref="Y46:Y52" si="50">K46*$T46</f>
        <v>63.6</v>
      </c>
      <c r="Z46" s="70">
        <f t="shared" si="49"/>
        <v>134.09</v>
      </c>
      <c r="AA46" s="70">
        <f t="shared" ref="AA46:AA50" si="51">M46*$T46</f>
        <v>22.26</v>
      </c>
      <c r="AB46" s="70">
        <f t="shared" ref="AB46:AB50" si="52">N46*$T46</f>
        <v>6.36</v>
      </c>
      <c r="AC46" s="70">
        <f t="shared" ref="AC46:AC50" si="53">O46*$T46</f>
        <v>20.14</v>
      </c>
      <c r="AD46" s="70">
        <f t="shared" ref="AD46:AD50" si="54">P46*$T46</f>
        <v>5.3000000000000007</v>
      </c>
      <c r="AE46" s="70"/>
      <c r="AF46" s="70">
        <f t="shared" ref="AF46:AF50" si="55">R46*$T46</f>
        <v>5.3000000000000007</v>
      </c>
      <c r="AG46" s="102">
        <f t="shared" si="42"/>
        <v>372.59000000000003</v>
      </c>
    </row>
    <row r="47" spans="1:33" x14ac:dyDescent="0.25">
      <c r="A47" s="167">
        <f t="shared" si="3"/>
        <v>41</v>
      </c>
      <c r="B47" s="419" t="str">
        <f>T2A!B45</f>
        <v>Veejuhtme täide mineraalpinnasega</v>
      </c>
      <c r="C47" s="419"/>
      <c r="D47" s="419"/>
      <c r="E47" s="419"/>
      <c r="F47" s="419"/>
      <c r="G47" s="67" t="s">
        <v>447</v>
      </c>
      <c r="H47" s="70">
        <f>T2A!H45</f>
        <v>122</v>
      </c>
      <c r="I47" s="70">
        <f>T2A!I45</f>
        <v>20</v>
      </c>
      <c r="J47" s="70">
        <f>T2A!J45</f>
        <v>410</v>
      </c>
      <c r="K47" s="70">
        <f>T2A!K45</f>
        <v>220</v>
      </c>
      <c r="L47" s="70">
        <f>T2A!L45</f>
        <v>343</v>
      </c>
      <c r="M47" s="70">
        <f>T2A!M45</f>
        <v>42</v>
      </c>
      <c r="N47" s="70">
        <f>T2A!N45</f>
        <v>12</v>
      </c>
      <c r="O47" s="70">
        <f>T2A!O45</f>
        <v>48</v>
      </c>
      <c r="P47" s="70">
        <f>T2A!P45</f>
        <v>20</v>
      </c>
      <c r="Q47" s="70"/>
      <c r="R47" s="70">
        <f>T2A!R45</f>
        <v>10</v>
      </c>
      <c r="S47" s="102">
        <f>T2A!S45</f>
        <v>1247</v>
      </c>
      <c r="T47" s="13">
        <v>0.53</v>
      </c>
      <c r="U47" s="6" t="s">
        <v>879</v>
      </c>
      <c r="V47" s="70">
        <f t="shared" si="48"/>
        <v>64.66</v>
      </c>
      <c r="W47" s="70">
        <f t="shared" ref="W47" si="56">I47*$T47</f>
        <v>10.600000000000001</v>
      </c>
      <c r="X47" s="70">
        <f t="shared" si="47"/>
        <v>217.3</v>
      </c>
      <c r="Y47" s="70">
        <f t="shared" si="50"/>
        <v>116.60000000000001</v>
      </c>
      <c r="Z47" s="70">
        <f t="shared" si="49"/>
        <v>181.79000000000002</v>
      </c>
      <c r="AA47" s="70">
        <f t="shared" si="51"/>
        <v>22.26</v>
      </c>
      <c r="AB47" s="70">
        <f t="shared" si="52"/>
        <v>6.36</v>
      </c>
      <c r="AC47" s="70">
        <f t="shared" si="53"/>
        <v>25.44</v>
      </c>
      <c r="AD47" s="70">
        <f t="shared" si="54"/>
        <v>10.600000000000001</v>
      </c>
      <c r="AE47" s="70"/>
      <c r="AF47" s="70">
        <f t="shared" si="55"/>
        <v>5.3000000000000007</v>
      </c>
      <c r="AG47" s="102">
        <f t="shared" si="42"/>
        <v>660.91000000000008</v>
      </c>
    </row>
    <row r="48" spans="1:33" x14ac:dyDescent="0.25">
      <c r="A48" s="167">
        <f t="shared" si="3"/>
        <v>42</v>
      </c>
      <c r="B48" s="419" t="str">
        <f>T2A!B46</f>
        <v>Tähispostid truubile</v>
      </c>
      <c r="C48" s="419"/>
      <c r="D48" s="419"/>
      <c r="E48" s="419"/>
      <c r="F48" s="419"/>
      <c r="G48" s="6" t="str">
        <f>T2A!G46</f>
        <v>tk</v>
      </c>
      <c r="H48" s="70">
        <f>T2A!H46</f>
        <v>2</v>
      </c>
      <c r="I48" s="70"/>
      <c r="J48" s="70"/>
      <c r="K48" s="70"/>
      <c r="L48" s="70">
        <f>T2A!L46</f>
        <v>24</v>
      </c>
      <c r="M48" s="70">
        <f>T2A!M46</f>
        <v>2</v>
      </c>
      <c r="N48" s="70">
        <f>T2A!N46</f>
        <v>2</v>
      </c>
      <c r="O48" s="70">
        <f>T2A!O46</f>
        <v>4</v>
      </c>
      <c r="P48" s="70"/>
      <c r="Q48" s="70"/>
      <c r="R48" s="70"/>
      <c r="S48" s="102">
        <f>T2A!S46</f>
        <v>34</v>
      </c>
      <c r="T48" s="13">
        <v>15</v>
      </c>
      <c r="U48" s="6" t="s">
        <v>876</v>
      </c>
      <c r="V48" s="70">
        <f t="shared" si="48"/>
        <v>30</v>
      </c>
      <c r="W48" s="70"/>
      <c r="X48" s="70"/>
      <c r="Y48" s="70"/>
      <c r="Z48" s="70">
        <f t="shared" si="49"/>
        <v>360</v>
      </c>
      <c r="AA48" s="70">
        <f t="shared" si="51"/>
        <v>30</v>
      </c>
      <c r="AB48" s="70">
        <f t="shared" si="52"/>
        <v>30</v>
      </c>
      <c r="AC48" s="70">
        <f t="shared" si="53"/>
        <v>60</v>
      </c>
      <c r="AD48" s="70"/>
      <c r="AE48" s="70"/>
      <c r="AF48" s="70"/>
      <c r="AG48" s="102">
        <f t="shared" si="42"/>
        <v>510</v>
      </c>
    </row>
    <row r="49" spans="1:33" x14ac:dyDescent="0.25">
      <c r="A49" s="167">
        <f t="shared" si="3"/>
        <v>43</v>
      </c>
      <c r="B49" s="419" t="str">
        <f>T2A!B47</f>
        <v xml:space="preserve">Truubitoru puitaluse ehitamine </v>
      </c>
      <c r="C49" s="419"/>
      <c r="D49" s="419"/>
      <c r="E49" s="419"/>
      <c r="F49" s="419"/>
      <c r="G49" s="6" t="str">
        <f>T2A!G47</f>
        <v>m</v>
      </c>
      <c r="H49" s="70">
        <f>T2A!H47</f>
        <v>122</v>
      </c>
      <c r="I49" s="70"/>
      <c r="J49" s="70">
        <f>T2A!J47</f>
        <v>250</v>
      </c>
      <c r="K49" s="70">
        <f>T2A!K47</f>
        <v>40</v>
      </c>
      <c r="L49" s="70">
        <f>T2A!L47</f>
        <v>34</v>
      </c>
      <c r="M49" s="70"/>
      <c r="N49" s="70"/>
      <c r="O49" s="70"/>
      <c r="P49" s="70"/>
      <c r="Q49" s="70"/>
      <c r="R49" s="70"/>
      <c r="S49" s="102">
        <f>T2A!S47</f>
        <v>446</v>
      </c>
      <c r="T49" s="6">
        <v>284.02999999999997</v>
      </c>
      <c r="U49" s="6" t="s">
        <v>949</v>
      </c>
      <c r="V49" s="70">
        <f t="shared" si="48"/>
        <v>34651.659999999996</v>
      </c>
      <c r="W49" s="70"/>
      <c r="X49" s="70">
        <f t="shared" si="47"/>
        <v>71007.5</v>
      </c>
      <c r="Y49" s="70">
        <f t="shared" si="50"/>
        <v>11361.199999999999</v>
      </c>
      <c r="Z49" s="70">
        <f t="shared" si="49"/>
        <v>9657.0199999999986</v>
      </c>
      <c r="AA49" s="70"/>
      <c r="AB49" s="70"/>
      <c r="AC49" s="70"/>
      <c r="AD49" s="70"/>
      <c r="AE49" s="70"/>
      <c r="AF49" s="70"/>
      <c r="AG49" s="102">
        <f t="shared" si="42"/>
        <v>126677.38</v>
      </c>
    </row>
    <row r="50" spans="1:33" ht="24" customHeight="1" x14ac:dyDescent="0.25">
      <c r="A50" s="167">
        <f t="shared" si="3"/>
        <v>44</v>
      </c>
      <c r="B50" s="419" t="str">
        <f>T2A!B48</f>
        <v>Ø 50…100 cm truubitoru (r/b, plast) väljatõstmine ja utiliseerimine</v>
      </c>
      <c r="C50" s="419"/>
      <c r="D50" s="419"/>
      <c r="E50" s="419"/>
      <c r="F50" s="419"/>
      <c r="G50" s="6" t="str">
        <f>T2A!G48</f>
        <v>m</v>
      </c>
      <c r="H50" s="70">
        <f>T2A!H48</f>
        <v>32</v>
      </c>
      <c r="I50" s="70"/>
      <c r="J50" s="70">
        <f>T2A!J48</f>
        <v>142</v>
      </c>
      <c r="K50" s="70">
        <f>T2A!K48</f>
        <v>92</v>
      </c>
      <c r="L50" s="70">
        <f>T2A!L48</f>
        <v>203</v>
      </c>
      <c r="M50" s="70">
        <f>T2A!M48</f>
        <v>44</v>
      </c>
      <c r="N50" s="70">
        <f>T2A!N48</f>
        <v>12</v>
      </c>
      <c r="O50" s="70">
        <f>T2A!O48</f>
        <v>32</v>
      </c>
      <c r="P50" s="70">
        <f>T2A!P48</f>
        <v>10</v>
      </c>
      <c r="Q50" s="70"/>
      <c r="R50" s="70">
        <f>T2A!R48</f>
        <v>8</v>
      </c>
      <c r="S50" s="102">
        <f>T2A!S48</f>
        <v>575</v>
      </c>
      <c r="T50" s="13">
        <v>21.22</v>
      </c>
      <c r="U50" s="6" t="s">
        <v>950</v>
      </c>
      <c r="V50" s="70">
        <f t="shared" si="48"/>
        <v>679.04</v>
      </c>
      <c r="W50" s="70"/>
      <c r="X50" s="70">
        <f t="shared" si="47"/>
        <v>3013.24</v>
      </c>
      <c r="Y50" s="70">
        <f t="shared" si="50"/>
        <v>1952.2399999999998</v>
      </c>
      <c r="Z50" s="70">
        <f t="shared" si="49"/>
        <v>4307.66</v>
      </c>
      <c r="AA50" s="70">
        <f t="shared" si="51"/>
        <v>933.68</v>
      </c>
      <c r="AB50" s="70">
        <f t="shared" si="52"/>
        <v>254.64</v>
      </c>
      <c r="AC50" s="70">
        <f t="shared" si="53"/>
        <v>679.04</v>
      </c>
      <c r="AD50" s="70">
        <f t="shared" si="54"/>
        <v>212.2</v>
      </c>
      <c r="AE50" s="70"/>
      <c r="AF50" s="70">
        <f t="shared" si="55"/>
        <v>169.76</v>
      </c>
      <c r="AG50" s="102">
        <f t="shared" si="42"/>
        <v>12201.500000000002</v>
      </c>
    </row>
    <row r="51" spans="1:33" x14ac:dyDescent="0.25">
      <c r="A51" s="167">
        <f t="shared" si="3"/>
        <v>45</v>
      </c>
      <c r="B51" s="419" t="str">
        <f>T2A!B49</f>
        <v>Truubi otsakute lammutamine ja utiliseerimine</v>
      </c>
      <c r="C51" s="419"/>
      <c r="D51" s="419"/>
      <c r="E51" s="419"/>
      <c r="F51" s="419"/>
      <c r="G51" s="67" t="s">
        <v>447</v>
      </c>
      <c r="H51" s="70">
        <f>T2A!H49</f>
        <v>2</v>
      </c>
      <c r="I51" s="70"/>
      <c r="J51" s="70"/>
      <c r="K51" s="70"/>
      <c r="L51" s="70">
        <f>T2A!L49</f>
        <v>22</v>
      </c>
      <c r="M51" s="70"/>
      <c r="N51" s="70"/>
      <c r="O51" s="70"/>
      <c r="P51" s="70"/>
      <c r="Q51" s="70"/>
      <c r="R51" s="70"/>
      <c r="S51" s="102">
        <f>T2A!S49</f>
        <v>24</v>
      </c>
      <c r="T51" s="13">
        <v>101.62</v>
      </c>
      <c r="U51" s="6" t="s">
        <v>951</v>
      </c>
      <c r="V51" s="70">
        <f t="shared" si="48"/>
        <v>203.24</v>
      </c>
      <c r="W51" s="70"/>
      <c r="X51" s="70"/>
      <c r="Y51" s="70"/>
      <c r="Z51" s="70">
        <f t="shared" si="49"/>
        <v>2235.6400000000003</v>
      </c>
      <c r="AA51" s="70"/>
      <c r="AB51" s="70"/>
      <c r="AC51" s="70"/>
      <c r="AD51" s="70"/>
      <c r="AE51" s="70"/>
      <c r="AF51" s="70"/>
      <c r="AG51" s="102">
        <f t="shared" si="42"/>
        <v>2438.88</v>
      </c>
    </row>
    <row r="52" spans="1:33" ht="24" customHeight="1" x14ac:dyDescent="0.25">
      <c r="A52" s="167">
        <f t="shared" si="3"/>
        <v>46</v>
      </c>
      <c r="B52" s="419" t="str">
        <f>T2A!B50</f>
        <v>Ø 40-150 cm truubi setetest puhastamine, setet kuni 1/2 Ø</v>
      </c>
      <c r="C52" s="419"/>
      <c r="D52" s="419"/>
      <c r="E52" s="419"/>
      <c r="F52" s="419"/>
      <c r="G52" s="6" t="str">
        <f>T2A!G50</f>
        <v>m</v>
      </c>
      <c r="H52" s="70">
        <f>T2A!H50</f>
        <v>39</v>
      </c>
      <c r="I52" s="70"/>
      <c r="J52" s="70">
        <f>T2A!J50</f>
        <v>166</v>
      </c>
      <c r="K52" s="70">
        <f>T2A!K50</f>
        <v>38</v>
      </c>
      <c r="L52" s="70">
        <f>T2A!L50</f>
        <v>15</v>
      </c>
      <c r="M52" s="70"/>
      <c r="N52" s="70"/>
      <c r="O52" s="70"/>
      <c r="P52" s="70"/>
      <c r="Q52" s="70">
        <f>T2A!Q50</f>
        <v>10</v>
      </c>
      <c r="R52" s="70"/>
      <c r="S52" s="102">
        <f>T2A!S50</f>
        <v>268</v>
      </c>
      <c r="T52" s="6">
        <v>14.64</v>
      </c>
      <c r="U52" s="6" t="s">
        <v>952</v>
      </c>
      <c r="V52" s="70">
        <f t="shared" si="48"/>
        <v>570.96</v>
      </c>
      <c r="W52" s="70"/>
      <c r="X52" s="70">
        <f t="shared" si="47"/>
        <v>2430.2400000000002</v>
      </c>
      <c r="Y52" s="70">
        <f t="shared" si="50"/>
        <v>556.32000000000005</v>
      </c>
      <c r="Z52" s="70">
        <f t="shared" si="49"/>
        <v>219.60000000000002</v>
      </c>
      <c r="AA52" s="70"/>
      <c r="AB52" s="70"/>
      <c r="AC52" s="70"/>
      <c r="AD52" s="70"/>
      <c r="AE52" s="70">
        <f t="shared" ref="AE52" si="57">Q52*$T52</f>
        <v>146.4</v>
      </c>
      <c r="AF52" s="70"/>
      <c r="AG52" s="102">
        <f t="shared" si="42"/>
        <v>3923.5200000000004</v>
      </c>
    </row>
    <row r="53" spans="1:33" x14ac:dyDescent="0.25">
      <c r="A53" s="167">
        <f t="shared" si="3"/>
        <v>47</v>
      </c>
      <c r="B53" s="418" t="s">
        <v>344</v>
      </c>
      <c r="C53" s="418"/>
      <c r="D53" s="418"/>
      <c r="E53" s="418"/>
      <c r="F53" s="418"/>
      <c r="G53" s="418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  <c r="T53" s="418"/>
      <c r="U53" s="418"/>
      <c r="V53" s="418"/>
      <c r="W53" s="418"/>
      <c r="X53" s="418"/>
      <c r="Y53" s="418"/>
      <c r="Z53" s="418"/>
      <c r="AA53" s="418"/>
      <c r="AB53" s="418"/>
      <c r="AC53" s="418"/>
      <c r="AD53" s="418"/>
      <c r="AE53" s="418"/>
      <c r="AF53" s="418"/>
      <c r="AG53" s="102">
        <f>SUM(AG27:AG52)</f>
        <v>306047.55000000005</v>
      </c>
    </row>
    <row r="54" spans="1:33" x14ac:dyDescent="0.25">
      <c r="A54" s="167">
        <f t="shared" si="3"/>
        <v>48</v>
      </c>
      <c r="B54" s="263" t="str">
        <f>T2A!B51</f>
        <v>IV.Keskkonnarajatiste rekonstrueerimine/ehitamine</v>
      </c>
      <c r="C54" s="263"/>
      <c r="D54" s="263"/>
      <c r="E54" s="263"/>
      <c r="F54" s="263"/>
      <c r="G54" s="263"/>
      <c r="H54" s="263"/>
      <c r="I54" s="263"/>
      <c r="J54" s="263"/>
      <c r="K54" s="263"/>
      <c r="L54" s="263"/>
      <c r="M54" s="263"/>
      <c r="N54" s="263"/>
      <c r="O54" s="263"/>
      <c r="P54" s="263"/>
      <c r="Q54" s="263"/>
      <c r="R54" s="263"/>
      <c r="S54" s="263"/>
      <c r="T54" s="263"/>
      <c r="U54" s="263"/>
      <c r="V54" s="263"/>
      <c r="W54" s="263"/>
      <c r="X54" s="263"/>
      <c r="Y54" s="263"/>
      <c r="Z54" s="263"/>
      <c r="AA54" s="263"/>
      <c r="AB54" s="263"/>
      <c r="AC54" s="263"/>
      <c r="AD54" s="263"/>
      <c r="AE54" s="263"/>
      <c r="AF54" s="263"/>
      <c r="AG54" s="263"/>
    </row>
    <row r="55" spans="1:33" x14ac:dyDescent="0.25">
      <c r="A55" s="167">
        <f t="shared" si="3"/>
        <v>49</v>
      </c>
      <c r="B55" s="262" t="str">
        <f>T2A!B52</f>
        <v>Settebasseini mahamärkimine</v>
      </c>
      <c r="C55" s="262"/>
      <c r="D55" s="262"/>
      <c r="E55" s="262"/>
      <c r="F55" s="262"/>
      <c r="G55" s="67" t="str">
        <f>T2A!G52</f>
        <v>tk</v>
      </c>
      <c r="H55" s="67"/>
      <c r="I55" s="67"/>
      <c r="J55" s="165">
        <f>T2A!J52</f>
        <v>2</v>
      </c>
      <c r="K55" s="67"/>
      <c r="L55" s="67"/>
      <c r="M55" s="67"/>
      <c r="N55" s="67"/>
      <c r="O55" s="67"/>
      <c r="P55" s="67"/>
      <c r="Q55" s="67"/>
      <c r="R55" s="67"/>
      <c r="S55" s="102">
        <f>T2A!S52</f>
        <v>2</v>
      </c>
      <c r="T55" s="222">
        <v>25</v>
      </c>
      <c r="U55" s="116" t="s">
        <v>876</v>
      </c>
      <c r="V55" s="70"/>
      <c r="W55" s="70"/>
      <c r="X55" s="70">
        <f t="shared" ref="X55:X58" si="58">J55*$T55</f>
        <v>50</v>
      </c>
      <c r="Y55" s="70"/>
      <c r="Z55" s="70"/>
      <c r="AA55" s="70"/>
      <c r="AB55" s="70"/>
      <c r="AC55" s="70"/>
      <c r="AD55" s="70"/>
      <c r="AE55" s="70"/>
      <c r="AF55" s="70"/>
      <c r="AG55" s="102">
        <f>SUM(V55:AF55)</f>
        <v>50</v>
      </c>
    </row>
    <row r="56" spans="1:33" x14ac:dyDescent="0.25">
      <c r="A56" s="167">
        <f t="shared" si="3"/>
        <v>50</v>
      </c>
      <c r="B56" s="262" t="str">
        <f>T2A!B53</f>
        <v>Settebasseini kaevamine, I-II gr. Pinnas</v>
      </c>
      <c r="C56" s="262"/>
      <c r="D56" s="262"/>
      <c r="E56" s="262"/>
      <c r="F56" s="262"/>
      <c r="G56" s="67" t="s">
        <v>447</v>
      </c>
      <c r="H56" s="67"/>
      <c r="I56" s="67"/>
      <c r="J56" s="165">
        <f>T2A!J53</f>
        <v>1357.1999999999998</v>
      </c>
      <c r="K56" s="67"/>
      <c r="L56" s="67"/>
      <c r="M56" s="67"/>
      <c r="N56" s="67"/>
      <c r="O56" s="67"/>
      <c r="P56" s="67"/>
      <c r="Q56" s="67"/>
      <c r="R56" s="67"/>
      <c r="S56" s="102">
        <f>T2A!S53</f>
        <v>1357.1999999999998</v>
      </c>
      <c r="T56" s="13">
        <v>0.53</v>
      </c>
      <c r="U56" s="6" t="s">
        <v>879</v>
      </c>
      <c r="V56" s="70"/>
      <c r="W56" s="70"/>
      <c r="X56" s="70">
        <f t="shared" si="58"/>
        <v>719.31599999999992</v>
      </c>
      <c r="Y56" s="70"/>
      <c r="Z56" s="70"/>
      <c r="AA56" s="70"/>
      <c r="AB56" s="70"/>
      <c r="AC56" s="70"/>
      <c r="AD56" s="70"/>
      <c r="AE56" s="70"/>
      <c r="AF56" s="70"/>
      <c r="AG56" s="102">
        <f t="shared" ref="AG56:AG57" si="59">SUM(V56:AF56)</f>
        <v>719.31599999999992</v>
      </c>
    </row>
    <row r="57" spans="1:33" x14ac:dyDescent="0.25">
      <c r="A57" s="167">
        <f>A56+1</f>
        <v>51</v>
      </c>
      <c r="B57" s="262" t="str">
        <f>T2A!B54</f>
        <v>Kaeve laialiajamine (60% kaevest)</v>
      </c>
      <c r="C57" s="262"/>
      <c r="D57" s="262"/>
      <c r="E57" s="262"/>
      <c r="F57" s="262"/>
      <c r="G57" s="67" t="s">
        <v>447</v>
      </c>
      <c r="H57" s="67"/>
      <c r="I57" s="67"/>
      <c r="J57" s="165">
        <f>T2A!J54</f>
        <v>814.31999999999982</v>
      </c>
      <c r="K57" s="67"/>
      <c r="L57" s="67"/>
      <c r="M57" s="67"/>
      <c r="N57" s="67"/>
      <c r="O57" s="67"/>
      <c r="P57" s="67"/>
      <c r="Q57" s="67"/>
      <c r="R57" s="67"/>
      <c r="S57" s="102">
        <f>T2A!S54</f>
        <v>814.31999999999982</v>
      </c>
      <c r="T57" s="13">
        <v>0.53</v>
      </c>
      <c r="U57" s="6" t="s">
        <v>879</v>
      </c>
      <c r="V57" s="70"/>
      <c r="W57" s="70"/>
      <c r="X57" s="70">
        <f t="shared" si="58"/>
        <v>431.5895999999999</v>
      </c>
      <c r="Y57" s="70"/>
      <c r="Z57" s="70"/>
      <c r="AA57" s="70"/>
      <c r="AB57" s="70"/>
      <c r="AC57" s="70"/>
      <c r="AD57" s="70"/>
      <c r="AE57" s="70"/>
      <c r="AF57" s="70"/>
      <c r="AG57" s="102">
        <f t="shared" si="59"/>
        <v>431.5895999999999</v>
      </c>
    </row>
    <row r="58" spans="1:33" ht="27" customHeight="1" x14ac:dyDescent="0.25">
      <c r="A58" s="167">
        <f t="shared" si="3"/>
        <v>52</v>
      </c>
      <c r="B58" s="272" t="str">
        <f>T2A!B55</f>
        <v>Sette eemaldamine settebasseinist pärast kraavide valmimist, 3 korda</v>
      </c>
      <c r="C58" s="272"/>
      <c r="D58" s="272"/>
      <c r="E58" s="272"/>
      <c r="F58" s="272"/>
      <c r="G58" s="67" t="s">
        <v>447</v>
      </c>
      <c r="H58" s="67"/>
      <c r="I58" s="165"/>
      <c r="J58" s="165">
        <f>T2A!J55</f>
        <v>135.72</v>
      </c>
      <c r="K58" s="67"/>
      <c r="L58" s="67"/>
      <c r="M58" s="67"/>
      <c r="N58" s="67"/>
      <c r="O58" s="67"/>
      <c r="P58" s="67"/>
      <c r="Q58" s="67"/>
      <c r="R58" s="67"/>
      <c r="S58" s="102">
        <f>T2A!S55</f>
        <v>135.72</v>
      </c>
      <c r="T58" s="13">
        <v>0.53</v>
      </c>
      <c r="U58" s="6" t="s">
        <v>879</v>
      </c>
      <c r="V58" s="70"/>
      <c r="W58" s="70"/>
      <c r="X58" s="70">
        <f t="shared" si="58"/>
        <v>71.931600000000003</v>
      </c>
      <c r="Y58" s="70"/>
      <c r="Z58" s="70"/>
      <c r="AA58" s="70"/>
      <c r="AB58" s="70"/>
      <c r="AC58" s="70"/>
      <c r="AD58" s="70"/>
      <c r="AE58" s="70"/>
      <c r="AF58" s="70"/>
      <c r="AG58" s="102">
        <f>SUM(V58:AF58)</f>
        <v>71.931600000000003</v>
      </c>
    </row>
    <row r="59" spans="1:33" x14ac:dyDescent="0.25">
      <c r="A59" s="167">
        <f t="shared" si="3"/>
        <v>53</v>
      </c>
      <c r="B59" s="418" t="s">
        <v>344</v>
      </c>
      <c r="C59" s="418"/>
      <c r="D59" s="418"/>
      <c r="E59" s="418"/>
      <c r="F59" s="418"/>
      <c r="G59" s="418"/>
      <c r="H59" s="418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8"/>
      <c r="T59" s="418"/>
      <c r="U59" s="418"/>
      <c r="V59" s="418"/>
      <c r="W59" s="418"/>
      <c r="X59" s="418"/>
      <c r="Y59" s="418"/>
      <c r="Z59" s="418"/>
      <c r="AA59" s="418"/>
      <c r="AB59" s="418"/>
      <c r="AC59" s="418"/>
      <c r="AD59" s="418"/>
      <c r="AE59" s="418"/>
      <c r="AF59" s="418"/>
      <c r="AG59" s="102">
        <f>SUM(AG55:AG58)</f>
        <v>1272.8371999999999</v>
      </c>
    </row>
    <row r="60" spans="1:33" x14ac:dyDescent="0.25">
      <c r="A60" s="167">
        <f t="shared" si="3"/>
        <v>54</v>
      </c>
      <c r="B60" s="260" t="str">
        <f>T2A!B56</f>
        <v>V.Muud tööd</v>
      </c>
      <c r="C60" s="260"/>
      <c r="D60" s="260"/>
      <c r="E60" s="260"/>
      <c r="F60" s="260"/>
      <c r="G60" s="260"/>
      <c r="H60" s="260"/>
      <c r="I60" s="260"/>
      <c r="J60" s="260"/>
      <c r="K60" s="260"/>
      <c r="L60" s="260"/>
      <c r="M60" s="260"/>
      <c r="N60" s="260"/>
      <c r="O60" s="260"/>
      <c r="P60" s="260"/>
      <c r="Q60" s="260"/>
      <c r="R60" s="260"/>
      <c r="S60" s="260"/>
      <c r="T60" s="260"/>
      <c r="U60" s="260"/>
      <c r="V60" s="260"/>
      <c r="W60" s="260"/>
      <c r="X60" s="260"/>
      <c r="Y60" s="260"/>
      <c r="Z60" s="260"/>
      <c r="AA60" s="260"/>
      <c r="AB60" s="260"/>
      <c r="AC60" s="260"/>
      <c r="AD60" s="260"/>
      <c r="AE60" s="260"/>
      <c r="AF60" s="260"/>
      <c r="AG60" s="260"/>
    </row>
    <row r="61" spans="1:33" x14ac:dyDescent="0.25">
      <c r="A61" s="167">
        <f t="shared" si="3"/>
        <v>55</v>
      </c>
      <c r="B61" s="261" t="str">
        <f>T2A!B57</f>
        <v>Nõuetekohase teostusmõõdistuse koostamine</v>
      </c>
      <c r="C61" s="261"/>
      <c r="D61" s="261"/>
      <c r="E61" s="261"/>
      <c r="F61" s="261"/>
      <c r="G61" s="167" t="str">
        <f>T2A!G57</f>
        <v>töö</v>
      </c>
      <c r="H61" s="6">
        <f>T2A!H57</f>
        <v>1</v>
      </c>
      <c r="I61" s="6">
        <f>T2A!I57</f>
        <v>1</v>
      </c>
      <c r="J61" s="6">
        <f>T2A!J57</f>
        <v>1</v>
      </c>
      <c r="K61" s="6">
        <f>T2A!K57</f>
        <v>1</v>
      </c>
      <c r="L61" s="6">
        <f>T2A!L57</f>
        <v>1</v>
      </c>
      <c r="M61" s="6">
        <f>T2A!M57</f>
        <v>1</v>
      </c>
      <c r="N61" s="6">
        <f>T2A!N57</f>
        <v>1</v>
      </c>
      <c r="O61" s="6">
        <f>T2A!O57</f>
        <v>1</v>
      </c>
      <c r="P61" s="6">
        <f>T2A!P57</f>
        <v>1</v>
      </c>
      <c r="Q61" s="6">
        <f>T2A!Q57</f>
        <v>1</v>
      </c>
      <c r="R61" s="6">
        <f>T2A!R57</f>
        <v>1</v>
      </c>
      <c r="S61" s="102">
        <f>SUM(H61:R61)</f>
        <v>11</v>
      </c>
      <c r="T61" s="6">
        <v>250</v>
      </c>
      <c r="U61" s="6" t="s">
        <v>876</v>
      </c>
      <c r="V61" s="70">
        <f>H61*$T61</f>
        <v>250</v>
      </c>
      <c r="W61" s="70">
        <f t="shared" ref="W61:AF62" si="60">I61*$T61</f>
        <v>250</v>
      </c>
      <c r="X61" s="70">
        <f t="shared" si="60"/>
        <v>250</v>
      </c>
      <c r="Y61" s="70">
        <f t="shared" si="60"/>
        <v>250</v>
      </c>
      <c r="Z61" s="70">
        <f t="shared" si="60"/>
        <v>250</v>
      </c>
      <c r="AA61" s="70">
        <f t="shared" si="60"/>
        <v>250</v>
      </c>
      <c r="AB61" s="70">
        <f t="shared" si="60"/>
        <v>250</v>
      </c>
      <c r="AC61" s="70">
        <f t="shared" si="60"/>
        <v>250</v>
      </c>
      <c r="AD61" s="70">
        <f t="shared" si="60"/>
        <v>250</v>
      </c>
      <c r="AE61" s="70">
        <f t="shared" si="60"/>
        <v>250</v>
      </c>
      <c r="AF61" s="70">
        <f t="shared" si="60"/>
        <v>250</v>
      </c>
      <c r="AG61" s="70">
        <f>SUM(V61:AF61)</f>
        <v>2750</v>
      </c>
    </row>
    <row r="62" spans="1:33" ht="24.75" customHeight="1" x14ac:dyDescent="0.25">
      <c r="A62" s="167">
        <f t="shared" si="3"/>
        <v>56</v>
      </c>
      <c r="B62" s="261" t="str">
        <f>T2A!B58</f>
        <v>Setteekraani paigaldamine (veejuhtmetele 109, 113, 119, 134, 142, 151, 203, 302, 310, 338, 601A, 1001).</v>
      </c>
      <c r="C62" s="261"/>
      <c r="D62" s="261"/>
      <c r="E62" s="261"/>
      <c r="F62" s="261"/>
      <c r="G62" s="167" t="str">
        <f>T2A!G58</f>
        <v>tk</v>
      </c>
      <c r="H62" s="167">
        <f>T2A!H58</f>
        <v>6</v>
      </c>
      <c r="I62" s="167">
        <f>T2A!I58</f>
        <v>1</v>
      </c>
      <c r="J62" s="167">
        <f>T2A!J58</f>
        <v>3</v>
      </c>
      <c r="K62" s="167">
        <f>T2A!K58</f>
        <v>0</v>
      </c>
      <c r="L62" s="167">
        <f>T2A!L58</f>
        <v>1</v>
      </c>
      <c r="M62" s="167">
        <f>T2A!M58</f>
        <v>0</v>
      </c>
      <c r="N62" s="167">
        <f>T2A!N58</f>
        <v>0</v>
      </c>
      <c r="O62" s="167">
        <f>T2A!O58</f>
        <v>0</v>
      </c>
      <c r="P62" s="167">
        <f>T2A!P58</f>
        <v>1</v>
      </c>
      <c r="Q62" s="167">
        <f>T2A!Q58</f>
        <v>0</v>
      </c>
      <c r="R62" s="167">
        <f>T2A!R58</f>
        <v>0</v>
      </c>
      <c r="S62" s="193">
        <f>T2A!S58</f>
        <v>12</v>
      </c>
      <c r="T62" s="6">
        <v>300</v>
      </c>
      <c r="U62" s="6" t="s">
        <v>876</v>
      </c>
      <c r="V62" s="70">
        <f>H62*$T62</f>
        <v>1800</v>
      </c>
      <c r="W62" s="70">
        <f t="shared" si="60"/>
        <v>300</v>
      </c>
      <c r="X62" s="70">
        <f t="shared" si="60"/>
        <v>900</v>
      </c>
      <c r="Y62" s="70"/>
      <c r="Z62" s="70">
        <f t="shared" si="60"/>
        <v>300</v>
      </c>
      <c r="AA62" s="70"/>
      <c r="AB62" s="70"/>
      <c r="AC62" s="70"/>
      <c r="AD62" s="70">
        <f t="shared" si="60"/>
        <v>300</v>
      </c>
      <c r="AE62" s="70"/>
      <c r="AF62" s="70"/>
      <c r="AG62" s="70">
        <f>SUM(V62:AF62)</f>
        <v>3600</v>
      </c>
    </row>
    <row r="63" spans="1:33" x14ac:dyDescent="0.25">
      <c r="A63" s="167">
        <f t="shared" si="3"/>
        <v>57</v>
      </c>
      <c r="B63" s="420" t="s">
        <v>344</v>
      </c>
      <c r="C63" s="420"/>
      <c r="D63" s="420"/>
      <c r="E63" s="420"/>
      <c r="F63" s="420"/>
      <c r="G63" s="420"/>
      <c r="H63" s="420"/>
      <c r="I63" s="420"/>
      <c r="J63" s="420"/>
      <c r="K63" s="420"/>
      <c r="L63" s="420"/>
      <c r="M63" s="420"/>
      <c r="N63" s="420"/>
      <c r="O63" s="420"/>
      <c r="P63" s="420"/>
      <c r="Q63" s="420"/>
      <c r="R63" s="420"/>
      <c r="S63" s="420"/>
      <c r="T63" s="420"/>
      <c r="U63" s="420"/>
      <c r="V63" s="420"/>
      <c r="W63" s="420"/>
      <c r="X63" s="420"/>
      <c r="Y63" s="420"/>
      <c r="Z63" s="420"/>
      <c r="AA63" s="420"/>
      <c r="AB63" s="420"/>
      <c r="AC63" s="420"/>
      <c r="AD63" s="420"/>
      <c r="AE63" s="420"/>
      <c r="AF63" s="420"/>
      <c r="AG63" s="102">
        <f>SUM(AG61:AG62)</f>
        <v>6350</v>
      </c>
    </row>
    <row r="64" spans="1:33" x14ac:dyDescent="0.25">
      <c r="A64" s="12" t="s">
        <v>56</v>
      </c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22"/>
      <c r="T64" s="12"/>
      <c r="U64" s="12"/>
      <c r="V64" s="12"/>
      <c r="W64" s="12"/>
      <c r="X64" s="421" t="s">
        <v>884</v>
      </c>
      <c r="Y64" s="421"/>
      <c r="Z64" s="421"/>
      <c r="AA64" s="421"/>
      <c r="AB64" s="421"/>
      <c r="AC64" s="421"/>
      <c r="AD64" s="421"/>
      <c r="AE64" s="421"/>
      <c r="AF64" s="421"/>
      <c r="AG64" s="185">
        <f>SUM(AG63,AG59,AG53,AG25,AG18)</f>
        <v>654309.24580000003</v>
      </c>
    </row>
    <row r="65" spans="1:33" x14ac:dyDescent="0.25">
      <c r="A65" s="18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22"/>
      <c r="T65" s="12"/>
      <c r="U65" s="12"/>
      <c r="V65" s="12"/>
      <c r="W65" s="12"/>
      <c r="X65" s="421" t="s">
        <v>959</v>
      </c>
      <c r="Y65" s="421"/>
      <c r="Z65" s="421"/>
      <c r="AA65" s="421"/>
      <c r="AB65" s="421"/>
      <c r="AC65" s="421"/>
      <c r="AD65" s="421"/>
      <c r="AE65" s="421"/>
      <c r="AF65" s="421"/>
      <c r="AG65" s="185">
        <f>0.2*AG64</f>
        <v>130861.84916000001</v>
      </c>
    </row>
    <row r="66" spans="1:33" x14ac:dyDescent="0.25">
      <c r="A66" s="18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22"/>
      <c r="T66" s="12"/>
      <c r="U66" s="12"/>
      <c r="V66" s="12"/>
      <c r="W66" s="12"/>
      <c r="X66" s="421" t="s">
        <v>885</v>
      </c>
      <c r="Y66" s="421"/>
      <c r="Z66" s="421"/>
      <c r="AA66" s="421"/>
      <c r="AB66" s="421"/>
      <c r="AC66" s="421"/>
      <c r="AD66" s="421"/>
      <c r="AE66" s="421"/>
      <c r="AF66" s="421"/>
      <c r="AG66" s="185">
        <f>SUM(AG64:AG65)</f>
        <v>785171.09496000002</v>
      </c>
    </row>
    <row r="67" spans="1:33" x14ac:dyDescent="0.25">
      <c r="A67" s="18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22"/>
      <c r="T67" s="12"/>
      <c r="U67" s="12"/>
      <c r="V67" s="12"/>
      <c r="W67" s="12"/>
    </row>
    <row r="68" spans="1:33" x14ac:dyDescent="0.25">
      <c r="A68" s="18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22"/>
      <c r="T68" s="12"/>
      <c r="U68" s="12"/>
      <c r="V68" s="12"/>
      <c r="W68" s="12"/>
    </row>
    <row r="69" spans="1:33" x14ac:dyDescent="0.25">
      <c r="A69" s="18"/>
      <c r="B69" s="29"/>
      <c r="C69" s="18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22"/>
      <c r="T69" s="12"/>
      <c r="U69" s="12"/>
      <c r="V69" s="12"/>
      <c r="W69" s="12"/>
    </row>
    <row r="70" spans="1:33" x14ac:dyDescent="0.2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22"/>
      <c r="T70" s="12"/>
      <c r="U70" s="12"/>
      <c r="V70" s="12"/>
      <c r="W70" s="12"/>
    </row>
  </sheetData>
  <mergeCells count="72">
    <mergeCell ref="B52:F52"/>
    <mergeCell ref="B45:F45"/>
    <mergeCell ref="B46:F46"/>
    <mergeCell ref="B47:F47"/>
    <mergeCell ref="B48:F48"/>
    <mergeCell ref="B49:F49"/>
    <mergeCell ref="B50:F50"/>
    <mergeCell ref="B31:F31"/>
    <mergeCell ref="B33:F33"/>
    <mergeCell ref="B34:F34"/>
    <mergeCell ref="X66:AF66"/>
    <mergeCell ref="X64:AF64"/>
    <mergeCell ref="X65:AF65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51:F51"/>
    <mergeCell ref="B23:F23"/>
    <mergeCell ref="B24:F24"/>
    <mergeCell ref="B61:F61"/>
    <mergeCell ref="B63:AF63"/>
    <mergeCell ref="B62:F62"/>
    <mergeCell ref="B56:F56"/>
    <mergeCell ref="B57:F57"/>
    <mergeCell ref="B58:F58"/>
    <mergeCell ref="B59:AF59"/>
    <mergeCell ref="B60:AG60"/>
    <mergeCell ref="B30:F30"/>
    <mergeCell ref="B32:F32"/>
    <mergeCell ref="B53:AF53"/>
    <mergeCell ref="B54:AG54"/>
    <mergeCell ref="B55:F55"/>
    <mergeCell ref="B44:F44"/>
    <mergeCell ref="B25:AF25"/>
    <mergeCell ref="B26:AG26"/>
    <mergeCell ref="B27:F27"/>
    <mergeCell ref="B28:F28"/>
    <mergeCell ref="B29:F29"/>
    <mergeCell ref="B18:AF18"/>
    <mergeCell ref="B19:AG19"/>
    <mergeCell ref="B20:F20"/>
    <mergeCell ref="B21:F21"/>
    <mergeCell ref="B22:F22"/>
    <mergeCell ref="B7:AG7"/>
    <mergeCell ref="B8:F8"/>
    <mergeCell ref="B9:F9"/>
    <mergeCell ref="B16:F16"/>
    <mergeCell ref="B17:F17"/>
    <mergeCell ref="B15:F15"/>
    <mergeCell ref="B10:F10"/>
    <mergeCell ref="B11:F11"/>
    <mergeCell ref="B12:F12"/>
    <mergeCell ref="B13:F13"/>
    <mergeCell ref="B14:F14"/>
    <mergeCell ref="U3:U5"/>
    <mergeCell ref="V3:AG3"/>
    <mergeCell ref="H4:R4"/>
    <mergeCell ref="V4:AF4"/>
    <mergeCell ref="AG4:AG5"/>
    <mergeCell ref="S3:S5"/>
    <mergeCell ref="T3:T5"/>
    <mergeCell ref="B6:F6"/>
    <mergeCell ref="A3:A5"/>
    <mergeCell ref="B3:F5"/>
    <mergeCell ref="G3:G5"/>
    <mergeCell ref="H3:R3"/>
  </mergeCells>
  <phoneticPr fontId="14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09721-7503-4D62-A3FC-58EF11457AEF}">
  <dimension ref="A1:W64"/>
  <sheetViews>
    <sheetView tabSelected="1" zoomScale="55" zoomScaleNormal="55" workbookViewId="0">
      <selection activeCell="B11" sqref="B11:V11"/>
    </sheetView>
  </sheetViews>
  <sheetFormatPr defaultRowHeight="15" x14ac:dyDescent="0.25"/>
  <cols>
    <col min="1" max="1" width="5.7109375" customWidth="1"/>
    <col min="23" max="23" width="11.7109375" customWidth="1"/>
  </cols>
  <sheetData>
    <row r="1" spans="1:23" ht="15.75" x14ac:dyDescent="0.25">
      <c r="A1" s="72" t="s">
        <v>970</v>
      </c>
    </row>
    <row r="3" spans="1:23" x14ac:dyDescent="0.25">
      <c r="A3" s="268" t="s">
        <v>2</v>
      </c>
      <c r="B3" s="269" t="s">
        <v>443</v>
      </c>
      <c r="C3" s="269"/>
      <c r="D3" s="269"/>
      <c r="E3" s="269"/>
      <c r="F3" s="269"/>
      <c r="G3" s="269" t="s">
        <v>444</v>
      </c>
      <c r="H3" s="269" t="s">
        <v>445</v>
      </c>
      <c r="I3" s="269"/>
      <c r="J3" s="269"/>
      <c r="K3" s="269"/>
      <c r="L3" s="269"/>
      <c r="M3" s="269"/>
      <c r="N3" s="271" t="s">
        <v>44</v>
      </c>
      <c r="O3" s="268" t="s">
        <v>866</v>
      </c>
      <c r="P3" s="294" t="s">
        <v>867</v>
      </c>
      <c r="Q3" s="275" t="s">
        <v>887</v>
      </c>
      <c r="R3" s="275"/>
      <c r="S3" s="275"/>
      <c r="T3" s="275"/>
      <c r="U3" s="275"/>
      <c r="V3" s="275"/>
      <c r="W3" s="275"/>
    </row>
    <row r="4" spans="1:23" x14ac:dyDescent="0.25">
      <c r="A4" s="268"/>
      <c r="B4" s="269"/>
      <c r="C4" s="269"/>
      <c r="D4" s="269"/>
      <c r="E4" s="269"/>
      <c r="F4" s="269"/>
      <c r="G4" s="269"/>
      <c r="H4" s="269" t="s">
        <v>362</v>
      </c>
      <c r="I4" s="269"/>
      <c r="J4" s="269"/>
      <c r="K4" s="269"/>
      <c r="L4" s="269"/>
      <c r="M4" s="269"/>
      <c r="N4" s="271"/>
      <c r="O4" s="268"/>
      <c r="P4" s="294"/>
      <c r="Q4" s="275" t="s">
        <v>362</v>
      </c>
      <c r="R4" s="275"/>
      <c r="S4" s="275"/>
      <c r="T4" s="275"/>
      <c r="U4" s="275"/>
      <c r="V4" s="275"/>
      <c r="W4" s="416" t="s">
        <v>626</v>
      </c>
    </row>
    <row r="5" spans="1:23" x14ac:dyDescent="0.25">
      <c r="A5" s="268"/>
      <c r="B5" s="269"/>
      <c r="C5" s="269"/>
      <c r="D5" s="269"/>
      <c r="E5" s="269"/>
      <c r="F5" s="269"/>
      <c r="G5" s="269"/>
      <c r="H5" s="6" t="str">
        <f>T2B!H5</f>
        <v>EH 1</v>
      </c>
      <c r="I5" s="6" t="str">
        <f>T2B!I5</f>
        <v>EH 6</v>
      </c>
      <c r="J5" s="6" t="str">
        <f>T2B!J5</f>
        <v>EH 7</v>
      </c>
      <c r="K5" s="6" t="str">
        <f>T2B!K5</f>
        <v>EH 8</v>
      </c>
      <c r="L5" s="6" t="str">
        <f>T2B!L5</f>
        <v>EH9</v>
      </c>
      <c r="M5" s="6" t="str">
        <f>T2B!M5</f>
        <v>EH10</v>
      </c>
      <c r="N5" s="271"/>
      <c r="O5" s="268"/>
      <c r="P5" s="294"/>
      <c r="Q5" s="67" t="str">
        <f>H5</f>
        <v>EH 1</v>
      </c>
      <c r="R5" s="67" t="str">
        <f t="shared" ref="R5:V5" si="0">I5</f>
        <v>EH 6</v>
      </c>
      <c r="S5" s="67" t="str">
        <f t="shared" si="0"/>
        <v>EH 7</v>
      </c>
      <c r="T5" s="67" t="str">
        <f t="shared" si="0"/>
        <v>EH 8</v>
      </c>
      <c r="U5" s="67" t="str">
        <f t="shared" si="0"/>
        <v>EH9</v>
      </c>
      <c r="V5" s="67" t="str">
        <f t="shared" si="0"/>
        <v>EH10</v>
      </c>
      <c r="W5" s="416"/>
    </row>
    <row r="6" spans="1:23" x14ac:dyDescent="0.25">
      <c r="A6" s="184" t="s">
        <v>36</v>
      </c>
      <c r="B6" s="422" t="str">
        <f>CHAR(CODE(A6)+1)</f>
        <v>B</v>
      </c>
      <c r="C6" s="422"/>
      <c r="D6" s="422"/>
      <c r="E6" s="422"/>
      <c r="F6" s="422"/>
      <c r="G6" s="184" t="str">
        <f>CHAR(CODE(B6)+1)</f>
        <v>C</v>
      </c>
      <c r="H6" s="184" t="str">
        <f>CHAR(CODE(G6)+1)</f>
        <v>D</v>
      </c>
      <c r="I6" s="184" t="str">
        <f t="shared" ref="I6:W6" si="1">CHAR(CODE(H6)+1)</f>
        <v>E</v>
      </c>
      <c r="J6" s="184" t="str">
        <f t="shared" si="1"/>
        <v>F</v>
      </c>
      <c r="K6" s="184" t="str">
        <f t="shared" si="1"/>
        <v>G</v>
      </c>
      <c r="L6" s="184" t="str">
        <f t="shared" si="1"/>
        <v>H</v>
      </c>
      <c r="M6" s="184" t="str">
        <f t="shared" si="1"/>
        <v>I</v>
      </c>
      <c r="N6" s="184" t="str">
        <f t="shared" si="1"/>
        <v>J</v>
      </c>
      <c r="O6" s="184" t="str">
        <f t="shared" si="1"/>
        <v>K</v>
      </c>
      <c r="P6" s="184" t="str">
        <f t="shared" si="1"/>
        <v>L</v>
      </c>
      <c r="Q6" s="184" t="str">
        <f t="shared" si="1"/>
        <v>M</v>
      </c>
      <c r="R6" s="184" t="str">
        <f t="shared" si="1"/>
        <v>N</v>
      </c>
      <c r="S6" s="184" t="str">
        <f t="shared" si="1"/>
        <v>O</v>
      </c>
      <c r="T6" s="184" t="str">
        <f t="shared" si="1"/>
        <v>P</v>
      </c>
      <c r="U6" s="184" t="str">
        <f t="shared" si="1"/>
        <v>Q</v>
      </c>
      <c r="V6" s="184" t="str">
        <f t="shared" si="1"/>
        <v>R</v>
      </c>
      <c r="W6" s="184" t="str">
        <f t="shared" si="1"/>
        <v>S</v>
      </c>
    </row>
    <row r="7" spans="1:23" x14ac:dyDescent="0.25">
      <c r="A7" s="186">
        <v>0</v>
      </c>
      <c r="B7" s="270" t="str">
        <f>T2B!B7</f>
        <v>Rekonstrueeritava tee koondpikkus</v>
      </c>
      <c r="C7" s="270"/>
      <c r="D7" s="270"/>
      <c r="E7" s="270"/>
      <c r="F7" s="270"/>
      <c r="G7" s="50" t="str">
        <f>T2B!G7</f>
        <v>m</v>
      </c>
      <c r="H7" s="187"/>
      <c r="I7" s="187">
        <f>T2B!I7</f>
        <v>6010</v>
      </c>
      <c r="J7" s="187">
        <f>T2B!J7</f>
        <v>1376</v>
      </c>
      <c r="K7" s="187">
        <f>T2B!K7</f>
        <v>94</v>
      </c>
      <c r="L7" s="187">
        <f>T2B!L7</f>
        <v>765</v>
      </c>
      <c r="M7" s="187"/>
      <c r="N7" s="188">
        <f>T2B!N7</f>
        <v>8245</v>
      </c>
      <c r="O7" s="6"/>
      <c r="P7" s="6"/>
      <c r="Q7" s="6"/>
      <c r="R7" s="6"/>
      <c r="S7" s="6"/>
      <c r="T7" s="6"/>
      <c r="U7" s="6"/>
      <c r="V7" s="6"/>
      <c r="W7" s="6"/>
    </row>
    <row r="8" spans="1:23" x14ac:dyDescent="0.25">
      <c r="A8" s="189">
        <v>1</v>
      </c>
      <c r="B8" s="260" t="str">
        <f>T2B!B8</f>
        <v>I.Ettevalmistustööd</v>
      </c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</row>
    <row r="9" spans="1:23" ht="36" customHeight="1" x14ac:dyDescent="0.25">
      <c r="A9" s="189">
        <f>A8+1</f>
        <v>2</v>
      </c>
      <c r="B9" s="232" t="str">
        <f>T2B!B9</f>
        <v>Tee parameetrite ja -elementide mahamärkimine (telg, servad, kraavide siseservad)</v>
      </c>
      <c r="C9" s="232"/>
      <c r="D9" s="232"/>
      <c r="E9" s="232"/>
      <c r="F9" s="232"/>
      <c r="G9" s="6" t="str">
        <f>T2B!G9</f>
        <v>m</v>
      </c>
      <c r="H9" s="70"/>
      <c r="I9" s="70">
        <f>T2B!I9</f>
        <v>6010</v>
      </c>
      <c r="J9" s="70">
        <f>T2B!J9</f>
        <v>1376</v>
      </c>
      <c r="K9" s="70">
        <f>T2B!K9</f>
        <v>94</v>
      </c>
      <c r="L9" s="70">
        <f>T2B!L9</f>
        <v>765</v>
      </c>
      <c r="M9" s="70"/>
      <c r="N9" s="102">
        <f>T2B!N9</f>
        <v>8245</v>
      </c>
      <c r="O9" s="67">
        <v>0.12</v>
      </c>
      <c r="P9" s="67" t="s">
        <v>888</v>
      </c>
      <c r="Q9" s="70"/>
      <c r="R9" s="70">
        <f t="shared" ref="R9:U9" si="2">I9*$O9</f>
        <v>721.19999999999993</v>
      </c>
      <c r="S9" s="70">
        <f t="shared" si="2"/>
        <v>165.12</v>
      </c>
      <c r="T9" s="70">
        <f t="shared" si="2"/>
        <v>11.28</v>
      </c>
      <c r="U9" s="70">
        <f t="shared" si="2"/>
        <v>91.8</v>
      </c>
      <c r="V9" s="70"/>
      <c r="W9" s="135">
        <f>SUM(Q9:V9)</f>
        <v>989.39999999999986</v>
      </c>
    </row>
    <row r="10" spans="1:23" ht="15" customHeight="1" x14ac:dyDescent="0.25">
      <c r="A10" s="189">
        <f t="shared" ref="A10:A54" si="3">A9+1</f>
        <v>3</v>
      </c>
      <c r="B10" s="232" t="str">
        <f>T2B!B10</f>
        <v>Tee rajatiste mahamärkimine</v>
      </c>
      <c r="C10" s="232"/>
      <c r="D10" s="232"/>
      <c r="E10" s="232"/>
      <c r="F10" s="232"/>
      <c r="G10" s="6" t="str">
        <f>T2B!G10</f>
        <v>tk</v>
      </c>
      <c r="H10" s="70">
        <f>T2B!H10</f>
        <v>1</v>
      </c>
      <c r="I10" s="70">
        <f>T2B!I10</f>
        <v>25</v>
      </c>
      <c r="J10" s="70">
        <f>T2B!J10</f>
        <v>10</v>
      </c>
      <c r="K10" s="70">
        <f>T2B!K10</f>
        <v>3</v>
      </c>
      <c r="L10" s="70">
        <f>T2B!L10</f>
        <v>5</v>
      </c>
      <c r="M10" s="70">
        <f>T2B!M10</f>
        <v>1</v>
      </c>
      <c r="N10" s="102">
        <f>T2B!N10</f>
        <v>45</v>
      </c>
      <c r="O10" s="177">
        <v>15</v>
      </c>
      <c r="P10" s="67" t="s">
        <v>876</v>
      </c>
      <c r="Q10" s="70">
        <f>H10*$O10</f>
        <v>15</v>
      </c>
      <c r="R10" s="70">
        <f t="shared" ref="R10" si="4">I10*$O10</f>
        <v>375</v>
      </c>
      <c r="S10" s="70">
        <f t="shared" ref="S10" si="5">J10*$O10</f>
        <v>150</v>
      </c>
      <c r="T10" s="70">
        <f t="shared" ref="T10" si="6">K10*$O10</f>
        <v>45</v>
      </c>
      <c r="U10" s="70">
        <f t="shared" ref="U10" si="7">L10*$O10</f>
        <v>75</v>
      </c>
      <c r="V10" s="70">
        <f>M10*$O10</f>
        <v>15</v>
      </c>
      <c r="W10" s="135">
        <f>SUM(Q10:V10)</f>
        <v>675</v>
      </c>
    </row>
    <row r="11" spans="1:23" x14ac:dyDescent="0.25">
      <c r="A11" s="189">
        <f t="shared" si="3"/>
        <v>4</v>
      </c>
      <c r="B11" s="424" t="s">
        <v>344</v>
      </c>
      <c r="C11" s="424"/>
      <c r="D11" s="424"/>
      <c r="E11" s="424"/>
      <c r="F11" s="424"/>
      <c r="G11" s="424"/>
      <c r="H11" s="424"/>
      <c r="I11" s="424"/>
      <c r="J11" s="424"/>
      <c r="K11" s="424"/>
      <c r="L11" s="424"/>
      <c r="M11" s="424"/>
      <c r="N11" s="424"/>
      <c r="O11" s="424"/>
      <c r="P11" s="424"/>
      <c r="Q11" s="424"/>
      <c r="R11" s="424"/>
      <c r="S11" s="424"/>
      <c r="T11" s="424"/>
      <c r="U11" s="424"/>
      <c r="V11" s="424"/>
      <c r="W11" s="192">
        <f>SUM(W9:W10)</f>
        <v>1664.3999999999999</v>
      </c>
    </row>
    <row r="12" spans="1:23" x14ac:dyDescent="0.25">
      <c r="A12" s="189">
        <f t="shared" si="3"/>
        <v>5</v>
      </c>
      <c r="B12" s="260" t="str">
        <f>T2B!B11</f>
        <v>II.Mullatööd / teemulde kujundamine</v>
      </c>
      <c r="C12" s="260"/>
      <c r="D12" s="260"/>
      <c r="E12" s="260"/>
      <c r="F12" s="260"/>
      <c r="G12" s="260"/>
      <c r="H12" s="260"/>
      <c r="I12" s="260"/>
      <c r="J12" s="260"/>
      <c r="K12" s="260"/>
      <c r="L12" s="260"/>
      <c r="M12" s="260"/>
      <c r="N12" s="260"/>
      <c r="O12" s="260"/>
      <c r="P12" s="260"/>
      <c r="Q12" s="260"/>
      <c r="R12" s="260"/>
      <c r="S12" s="260"/>
      <c r="T12" s="260"/>
      <c r="U12" s="260"/>
      <c r="V12" s="260"/>
      <c r="W12" s="260"/>
    </row>
    <row r="13" spans="1:23" ht="35.25" customHeight="1" x14ac:dyDescent="0.25">
      <c r="A13" s="189">
        <f t="shared" si="3"/>
        <v>6</v>
      </c>
      <c r="B13" s="425" t="str">
        <f>T2B!B12</f>
        <v>Olemasoleva teemulde töötlemine profiili koos teekraede likvideerimisega ning mulde tihendamisega</v>
      </c>
      <c r="C13" s="425"/>
      <c r="D13" s="425"/>
      <c r="E13" s="425"/>
      <c r="F13" s="425"/>
      <c r="G13" s="6" t="s">
        <v>512</v>
      </c>
      <c r="H13" s="70"/>
      <c r="I13" s="70">
        <f>T2B!I12</f>
        <v>54090</v>
      </c>
      <c r="J13" s="70">
        <f>T2B!J12</f>
        <v>12384</v>
      </c>
      <c r="K13" s="70">
        <f>T2B!K12</f>
        <v>846</v>
      </c>
      <c r="L13" s="70">
        <f>T2B!L12</f>
        <v>6885</v>
      </c>
      <c r="M13" s="70"/>
      <c r="N13" s="135">
        <f>T2B!N12</f>
        <v>74205</v>
      </c>
      <c r="O13" s="177">
        <v>0.26</v>
      </c>
      <c r="P13" s="67" t="s">
        <v>956</v>
      </c>
      <c r="Q13" s="70"/>
      <c r="R13" s="70">
        <f t="shared" ref="R13:U14" si="8">I13*$O13</f>
        <v>14063.4</v>
      </c>
      <c r="S13" s="70">
        <f t="shared" si="8"/>
        <v>3219.84</v>
      </c>
      <c r="T13" s="70">
        <f t="shared" si="8"/>
        <v>219.96</v>
      </c>
      <c r="U13" s="70">
        <f t="shared" si="8"/>
        <v>1790.1000000000001</v>
      </c>
      <c r="V13" s="70"/>
      <c r="W13" s="135">
        <f>SUM(Q13:V13)</f>
        <v>19293.299999999996</v>
      </c>
    </row>
    <row r="14" spans="1:23" ht="23.25" customHeight="1" x14ac:dyDescent="0.25">
      <c r="A14" s="189">
        <f t="shared" si="3"/>
        <v>7</v>
      </c>
      <c r="B14" s="425" t="str">
        <f>T2B!B13</f>
        <v>Teemulde ehitamine teekraavide pinnasest, koos tihendamisega</v>
      </c>
      <c r="C14" s="425"/>
      <c r="D14" s="425"/>
      <c r="E14" s="425"/>
      <c r="F14" s="425"/>
      <c r="G14" s="6" t="s">
        <v>447</v>
      </c>
      <c r="H14" s="70"/>
      <c r="I14" s="70">
        <f>T2B!I13</f>
        <v>41.16</v>
      </c>
      <c r="J14" s="70"/>
      <c r="K14" s="70"/>
      <c r="L14" s="70">
        <f>T2B!L13</f>
        <v>263.44</v>
      </c>
      <c r="M14" s="70"/>
      <c r="N14" s="135">
        <f>T2B!N13</f>
        <v>304.60000000000002</v>
      </c>
      <c r="O14" s="223">
        <v>3.1</v>
      </c>
      <c r="P14" s="168" t="s">
        <v>957</v>
      </c>
      <c r="Q14" s="70"/>
      <c r="R14" s="70">
        <f t="shared" si="8"/>
        <v>127.59599999999999</v>
      </c>
      <c r="S14" s="70"/>
      <c r="T14" s="70"/>
      <c r="U14" s="70">
        <f t="shared" si="8"/>
        <v>816.66399999999999</v>
      </c>
      <c r="V14" s="70"/>
      <c r="W14" s="135">
        <f>SUM(Q14:V14)</f>
        <v>944.26</v>
      </c>
    </row>
    <row r="15" spans="1:23" x14ac:dyDescent="0.25">
      <c r="A15" s="189">
        <f t="shared" si="3"/>
        <v>8</v>
      </c>
      <c r="B15" s="426" t="s">
        <v>344</v>
      </c>
      <c r="C15" s="426"/>
      <c r="D15" s="426"/>
      <c r="E15" s="426"/>
      <c r="F15" s="426"/>
      <c r="G15" s="426"/>
      <c r="H15" s="426"/>
      <c r="I15" s="426"/>
      <c r="J15" s="426"/>
      <c r="K15" s="426"/>
      <c r="L15" s="426"/>
      <c r="M15" s="426"/>
      <c r="N15" s="426"/>
      <c r="O15" s="426"/>
      <c r="P15" s="426"/>
      <c r="Q15" s="426"/>
      <c r="R15" s="426"/>
      <c r="S15" s="426"/>
      <c r="T15" s="426"/>
      <c r="U15" s="426"/>
      <c r="V15" s="426"/>
      <c r="W15" s="224">
        <f>SUM(W13:W14)</f>
        <v>20237.559999999994</v>
      </c>
    </row>
    <row r="16" spans="1:23" x14ac:dyDescent="0.25">
      <c r="A16" s="189">
        <f t="shared" si="3"/>
        <v>9</v>
      </c>
      <c r="B16" s="260" t="str">
        <f>T2B!B14</f>
        <v>III.Kattekonstruktsiooni rajamine</v>
      </c>
      <c r="C16" s="260"/>
      <c r="D16" s="260"/>
      <c r="E16" s="260"/>
      <c r="F16" s="260"/>
      <c r="G16" s="260"/>
      <c r="H16" s="260"/>
      <c r="I16" s="260"/>
      <c r="J16" s="260"/>
      <c r="K16" s="260"/>
      <c r="L16" s="260"/>
      <c r="M16" s="260"/>
      <c r="N16" s="260"/>
      <c r="O16" s="260"/>
      <c r="P16" s="260"/>
      <c r="Q16" s="260"/>
      <c r="R16" s="260"/>
      <c r="S16" s="260"/>
      <c r="T16" s="260"/>
      <c r="U16" s="260"/>
      <c r="V16" s="260"/>
      <c r="W16" s="260"/>
    </row>
    <row r="17" spans="1:23" ht="39.75" customHeight="1" x14ac:dyDescent="0.25">
      <c r="A17" s="189">
        <f t="shared" si="3"/>
        <v>10</v>
      </c>
      <c r="B17" s="423" t="str">
        <f>T2B!B15</f>
        <v>Geotekstiili 4. profiil (NGS 4), mitte kootud kangas, laiusega 5,0-8.0 m, paigaldamine tihendatud ja profileeritud muldkehale</v>
      </c>
      <c r="C17" s="423"/>
      <c r="D17" s="423"/>
      <c r="E17" s="423"/>
      <c r="F17" s="423"/>
      <c r="G17" s="6" t="s">
        <v>512</v>
      </c>
      <c r="H17" s="6"/>
      <c r="I17" s="70">
        <f>T2B!I15</f>
        <v>29756</v>
      </c>
      <c r="J17" s="70">
        <f>T2B!J15</f>
        <v>6805</v>
      </c>
      <c r="K17" s="70">
        <f>T2B!K15</f>
        <v>395</v>
      </c>
      <c r="L17" s="70">
        <f>T2B!L15</f>
        <v>3750</v>
      </c>
      <c r="M17" s="70"/>
      <c r="N17" s="135">
        <f>T2B!N15</f>
        <v>40706</v>
      </c>
      <c r="O17" s="67">
        <v>1.03</v>
      </c>
      <c r="P17" s="67" t="s">
        <v>889</v>
      </c>
      <c r="Q17" s="70"/>
      <c r="R17" s="70">
        <f t="shared" ref="R17:U19" si="9">I17*$O17</f>
        <v>30648.68</v>
      </c>
      <c r="S17" s="70">
        <f t="shared" si="9"/>
        <v>7009.1500000000005</v>
      </c>
      <c r="T17" s="70">
        <f t="shared" si="9"/>
        <v>406.85</v>
      </c>
      <c r="U17" s="70">
        <f t="shared" si="9"/>
        <v>3862.5</v>
      </c>
      <c r="V17" s="70"/>
      <c r="W17" s="102">
        <f>SUM(Q17:V17)</f>
        <v>41927.18</v>
      </c>
    </row>
    <row r="18" spans="1:23" ht="54.75" customHeight="1" x14ac:dyDescent="0.25">
      <c r="A18" s="189">
        <f t="shared" si="3"/>
        <v>11</v>
      </c>
      <c r="B18" s="423" t="str">
        <f>T2B!B16</f>
        <v>Kruusast teealuse ehitamine koos tihendamisega. Kruus fr 0/63 mm. Pos 3, H=20 cm. sh kruus fr 0/63 mm (Pos 3), geomeetriline maht koos hanke, pealelaadimise ja veoga</v>
      </c>
      <c r="C18" s="423"/>
      <c r="D18" s="423"/>
      <c r="E18" s="423"/>
      <c r="F18" s="423"/>
      <c r="G18" s="6" t="s">
        <v>447</v>
      </c>
      <c r="H18" s="6"/>
      <c r="I18" s="70">
        <f>T2B!I16</f>
        <v>6124.7800000000007</v>
      </c>
      <c r="J18" s="70">
        <f>T2B!J16</f>
        <v>1401.83</v>
      </c>
      <c r="K18" s="70">
        <f>T2B!K16</f>
        <v>81.37</v>
      </c>
      <c r="L18" s="70">
        <f>T2B!L16</f>
        <v>772.5</v>
      </c>
      <c r="M18" s="70"/>
      <c r="N18" s="135">
        <f>T2B!N16</f>
        <v>8380.48</v>
      </c>
      <c r="O18" s="67">
        <v>15</v>
      </c>
      <c r="P18" s="67" t="s">
        <v>876</v>
      </c>
      <c r="Q18" s="70"/>
      <c r="R18" s="70">
        <f t="shared" si="9"/>
        <v>91871.700000000012</v>
      </c>
      <c r="S18" s="70">
        <f t="shared" si="9"/>
        <v>21027.449999999997</v>
      </c>
      <c r="T18" s="70">
        <f t="shared" si="9"/>
        <v>1220.5500000000002</v>
      </c>
      <c r="U18" s="70">
        <f t="shared" si="9"/>
        <v>11587.5</v>
      </c>
      <c r="V18" s="70"/>
      <c r="W18" s="8">
        <f>SUM(Q18:V18)</f>
        <v>125707.20000000001</v>
      </c>
    </row>
    <row r="19" spans="1:23" ht="49.5" customHeight="1" x14ac:dyDescent="0.25">
      <c r="A19" s="189">
        <f t="shared" si="3"/>
        <v>12</v>
      </c>
      <c r="B19" s="423" t="str">
        <f>T2B!B17</f>
        <v>Kruusast teekatte ehitamine koos tihendamisega. Kruus fr 0/32 mm. Pos 6, H=10 cm. sh kruus fr 0/32 mm (Pos 6), geomeetriline maht koos hanke, pealelaadimise ja veoga</v>
      </c>
      <c r="C19" s="423"/>
      <c r="D19" s="423"/>
      <c r="E19" s="423"/>
      <c r="F19" s="423"/>
      <c r="G19" s="6" t="s">
        <v>447</v>
      </c>
      <c r="H19" s="6"/>
      <c r="I19" s="70">
        <f>T2B!I17</f>
        <v>2795.72</v>
      </c>
      <c r="J19" s="70">
        <f>T2B!J17</f>
        <v>639.66999999999996</v>
      </c>
      <c r="K19" s="70">
        <f>T2B!K17</f>
        <v>37.129999999999995</v>
      </c>
      <c r="L19" s="70">
        <f>T2B!L17</f>
        <v>352.5</v>
      </c>
      <c r="M19" s="70"/>
      <c r="N19" s="135">
        <f>T2B!N17</f>
        <v>3825.02</v>
      </c>
      <c r="O19" s="67">
        <v>15</v>
      </c>
      <c r="P19" s="67" t="s">
        <v>876</v>
      </c>
      <c r="Q19" s="70"/>
      <c r="R19" s="70">
        <f t="shared" si="9"/>
        <v>41935.799999999996</v>
      </c>
      <c r="S19" s="70">
        <f t="shared" si="9"/>
        <v>9595.0499999999993</v>
      </c>
      <c r="T19" s="70">
        <f t="shared" si="9"/>
        <v>556.94999999999993</v>
      </c>
      <c r="U19" s="70">
        <f t="shared" si="9"/>
        <v>5287.5</v>
      </c>
      <c r="V19" s="70"/>
      <c r="W19" s="102">
        <f>SUM(Q19:V19)</f>
        <v>57375.299999999988</v>
      </c>
    </row>
    <row r="20" spans="1:23" x14ac:dyDescent="0.25">
      <c r="A20" s="189">
        <f t="shared" si="3"/>
        <v>13</v>
      </c>
      <c r="B20" s="427" t="s">
        <v>344</v>
      </c>
      <c r="C20" s="427"/>
      <c r="D20" s="427"/>
      <c r="E20" s="427"/>
      <c r="F20" s="427"/>
      <c r="G20" s="427"/>
      <c r="H20" s="427"/>
      <c r="I20" s="427"/>
      <c r="J20" s="427"/>
      <c r="K20" s="427"/>
      <c r="L20" s="427"/>
      <c r="M20" s="427"/>
      <c r="N20" s="427"/>
      <c r="O20" s="427"/>
      <c r="P20" s="427"/>
      <c r="Q20" s="427"/>
      <c r="R20" s="427"/>
      <c r="S20" s="427"/>
      <c r="T20" s="427"/>
      <c r="U20" s="427"/>
      <c r="V20" s="427"/>
      <c r="W20" s="190">
        <f>SUM(W17:W19)</f>
        <v>225009.68</v>
      </c>
    </row>
    <row r="21" spans="1:23" x14ac:dyDescent="0.25">
      <c r="A21" s="189">
        <f t="shared" si="3"/>
        <v>14</v>
      </c>
      <c r="B21" s="260" t="str">
        <f>T2B!B18</f>
        <v>IV.Teede rajatised</v>
      </c>
      <c r="C21" s="260"/>
      <c r="D21" s="260"/>
      <c r="E21" s="260"/>
      <c r="F21" s="260"/>
      <c r="G21" s="260"/>
      <c r="H21" s="260"/>
      <c r="I21" s="260"/>
      <c r="J21" s="260"/>
      <c r="K21" s="260"/>
      <c r="L21" s="260"/>
      <c r="M21" s="260"/>
      <c r="N21" s="260"/>
      <c r="O21" s="260"/>
      <c r="P21" s="260"/>
      <c r="Q21" s="260"/>
      <c r="R21" s="260"/>
      <c r="S21" s="260"/>
      <c r="T21" s="260"/>
      <c r="U21" s="260"/>
      <c r="V21" s="260"/>
      <c r="W21" s="260"/>
    </row>
    <row r="22" spans="1:23" ht="24" customHeight="1" x14ac:dyDescent="0.25">
      <c r="A22" s="189">
        <f t="shared" si="3"/>
        <v>15</v>
      </c>
      <c r="B22" s="281" t="str">
        <f>T2B!B19</f>
        <v>Mahasõidukoht M3 muldkeha ja katendi ehitamine koos tihendamisega  (A=4,5m, R=10m L= 10m)</v>
      </c>
      <c r="C22" s="281"/>
      <c r="D22" s="281"/>
      <c r="E22" s="281"/>
      <c r="F22" s="281"/>
      <c r="G22" s="134" t="str">
        <f>T2B!G19</f>
        <v>tk</v>
      </c>
      <c r="H22" s="134">
        <f>T2B!H19</f>
        <v>1</v>
      </c>
      <c r="I22" s="134">
        <f>T2B!I19</f>
        <v>25</v>
      </c>
      <c r="J22" s="134">
        <f>T2B!J19</f>
        <v>7</v>
      </c>
      <c r="K22" s="134">
        <f>T2B!K19</f>
        <v>2</v>
      </c>
      <c r="L22" s="134">
        <f>T2B!L19</f>
        <v>3</v>
      </c>
      <c r="M22" s="134">
        <f>T2B!M19</f>
        <v>1</v>
      </c>
      <c r="N22" s="134">
        <f>T2B!N19</f>
        <v>39</v>
      </c>
      <c r="O22" s="428"/>
      <c r="P22" s="429"/>
      <c r="Q22" s="429"/>
      <c r="R22" s="429"/>
      <c r="S22" s="429"/>
      <c r="T22" s="429"/>
      <c r="U22" s="429"/>
      <c r="V22" s="429"/>
      <c r="W22" s="430"/>
    </row>
    <row r="23" spans="1:23" ht="22.5" customHeight="1" x14ac:dyDescent="0.25">
      <c r="A23" s="189">
        <f t="shared" si="3"/>
        <v>16</v>
      </c>
      <c r="B23" s="423" t="str">
        <f>T2B!B20</f>
        <v>Mahasõidukoht M3 muldkeha ehitamine kraavide rajamisel saadud või juurdeveetavast pinnasest, H=30 cm</v>
      </c>
      <c r="C23" s="423"/>
      <c r="D23" s="423"/>
      <c r="E23" s="423"/>
      <c r="F23" s="423"/>
      <c r="G23" s="6" t="s">
        <v>447</v>
      </c>
      <c r="H23" s="6">
        <f>T2B!H20</f>
        <v>39</v>
      </c>
      <c r="I23" s="6">
        <f>T2B!I20</f>
        <v>975</v>
      </c>
      <c r="J23" s="6">
        <f>T2B!J20</f>
        <v>273</v>
      </c>
      <c r="K23" s="6">
        <f>T2B!K20</f>
        <v>78</v>
      </c>
      <c r="L23" s="6">
        <f>T2B!L20</f>
        <v>117</v>
      </c>
      <c r="M23" s="6">
        <f>T2B!M20</f>
        <v>39</v>
      </c>
      <c r="N23" s="134">
        <f>T2B!N20</f>
        <v>1521</v>
      </c>
      <c r="O23" s="223">
        <v>3.1</v>
      </c>
      <c r="P23" s="168" t="s">
        <v>957</v>
      </c>
      <c r="Q23" s="70">
        <f t="shared" ref="Q23:Q26" si="10">H23*$O23</f>
        <v>120.9</v>
      </c>
      <c r="R23" s="70">
        <f t="shared" ref="R23:R26" si="11">I23*$O23</f>
        <v>3022.5</v>
      </c>
      <c r="S23" s="70">
        <f t="shared" ref="S23:S32" si="12">J23*$O23</f>
        <v>846.30000000000007</v>
      </c>
      <c r="T23" s="70">
        <f t="shared" ref="T23:T30" si="13">K23*$O23</f>
        <v>241.8</v>
      </c>
      <c r="U23" s="70">
        <f t="shared" ref="U23:U30" si="14">L23*$O23</f>
        <v>362.7</v>
      </c>
      <c r="V23" s="70">
        <f t="shared" ref="V23:V26" si="15">M23*$O23</f>
        <v>120.9</v>
      </c>
      <c r="W23" s="102">
        <f t="shared" ref="W23:W50" si="16">SUM(Q23:V23)</f>
        <v>4715.0999999999995</v>
      </c>
    </row>
    <row r="24" spans="1:23" ht="37.5" customHeight="1" x14ac:dyDescent="0.25">
      <c r="A24" s="189">
        <f t="shared" si="3"/>
        <v>17</v>
      </c>
      <c r="B24" s="423" t="str">
        <f>T2B!B21</f>
        <v>Mahasõidukoht M3 geotekstiili 4. profiil (NGS 4), mitte kootud kangas, laiusega 5,0 m, paigaldamine tihendatud ja profileeritud muldkehale</v>
      </c>
      <c r="C24" s="423"/>
      <c r="D24" s="423"/>
      <c r="E24" s="423"/>
      <c r="F24" s="423"/>
      <c r="G24" s="6" t="s">
        <v>512</v>
      </c>
      <c r="H24" s="6">
        <f>T2B!H21</f>
        <v>100</v>
      </c>
      <c r="I24" s="6">
        <f>T2B!I21</f>
        <v>2500</v>
      </c>
      <c r="J24" s="6">
        <f>T2B!J21</f>
        <v>700</v>
      </c>
      <c r="K24" s="6">
        <f>T2B!K21</f>
        <v>200</v>
      </c>
      <c r="L24" s="6">
        <f>T2B!L21</f>
        <v>300</v>
      </c>
      <c r="M24" s="6">
        <f>T2B!M21</f>
        <v>100</v>
      </c>
      <c r="N24" s="134">
        <f>T2B!N21</f>
        <v>3900</v>
      </c>
      <c r="O24" s="67">
        <v>1.03</v>
      </c>
      <c r="P24" s="67" t="s">
        <v>889</v>
      </c>
      <c r="Q24" s="70">
        <f t="shared" si="10"/>
        <v>103</v>
      </c>
      <c r="R24" s="70">
        <f t="shared" si="11"/>
        <v>2575</v>
      </c>
      <c r="S24" s="70">
        <f t="shared" si="12"/>
        <v>721</v>
      </c>
      <c r="T24" s="70">
        <f t="shared" si="13"/>
        <v>206</v>
      </c>
      <c r="U24" s="70">
        <f t="shared" si="14"/>
        <v>309</v>
      </c>
      <c r="V24" s="70">
        <f t="shared" si="15"/>
        <v>103</v>
      </c>
      <c r="W24" s="102">
        <f t="shared" si="16"/>
        <v>4017</v>
      </c>
    </row>
    <row r="25" spans="1:23" ht="39.75" customHeight="1" x14ac:dyDescent="0.25">
      <c r="A25" s="189">
        <f>A24+1</f>
        <v>18</v>
      </c>
      <c r="B25" s="423" t="str">
        <f>T2B!B22</f>
        <v>Mahasõidukoht M3 kruus fr 0/63 mm (Pos 3), geomeetriline maht koos hanke, pealelaadimise ja veoga, H=20cm</v>
      </c>
      <c r="C25" s="423"/>
      <c r="D25" s="423"/>
      <c r="E25" s="423"/>
      <c r="F25" s="423"/>
      <c r="G25" s="6" t="s">
        <v>447</v>
      </c>
      <c r="H25" s="6">
        <f>T2B!H22</f>
        <v>21</v>
      </c>
      <c r="I25" s="6">
        <f>T2B!I22</f>
        <v>525</v>
      </c>
      <c r="J25" s="6">
        <f>T2B!J22</f>
        <v>147</v>
      </c>
      <c r="K25" s="6">
        <f>T2B!K22</f>
        <v>42</v>
      </c>
      <c r="L25" s="6">
        <f>T2B!L22</f>
        <v>63</v>
      </c>
      <c r="M25" s="6">
        <f>T2B!M22</f>
        <v>21</v>
      </c>
      <c r="N25" s="134">
        <f>T2B!N22</f>
        <v>819</v>
      </c>
      <c r="O25" s="67">
        <v>15</v>
      </c>
      <c r="P25" s="67" t="s">
        <v>876</v>
      </c>
      <c r="Q25" s="70">
        <f t="shared" si="10"/>
        <v>315</v>
      </c>
      <c r="R25" s="70">
        <f t="shared" si="11"/>
        <v>7875</v>
      </c>
      <c r="S25" s="70">
        <f t="shared" si="12"/>
        <v>2205</v>
      </c>
      <c r="T25" s="70">
        <f t="shared" si="13"/>
        <v>630</v>
      </c>
      <c r="U25" s="70">
        <f t="shared" si="14"/>
        <v>945</v>
      </c>
      <c r="V25" s="70">
        <f t="shared" si="15"/>
        <v>315</v>
      </c>
      <c r="W25" s="102">
        <f t="shared" si="16"/>
        <v>12285</v>
      </c>
    </row>
    <row r="26" spans="1:23" ht="36.75" customHeight="1" x14ac:dyDescent="0.25">
      <c r="A26" s="189">
        <f t="shared" si="3"/>
        <v>19</v>
      </c>
      <c r="B26" s="423" t="str">
        <f>T2B!B23</f>
        <v>Mahasõidukoht M3 kruus fr 0/32 mm (Pos 6), geomeetriline maht koos hanke, pealelaadimise ja veoga, H=10cm</v>
      </c>
      <c r="C26" s="423"/>
      <c r="D26" s="423"/>
      <c r="E26" s="423"/>
      <c r="F26" s="423"/>
      <c r="G26" s="6" t="s">
        <v>447</v>
      </c>
      <c r="H26" s="6">
        <f>T2B!H23</f>
        <v>9</v>
      </c>
      <c r="I26" s="6">
        <f>T2B!I23</f>
        <v>225</v>
      </c>
      <c r="J26" s="6">
        <f>T2B!J23</f>
        <v>63</v>
      </c>
      <c r="K26" s="6">
        <f>T2B!K23</f>
        <v>18</v>
      </c>
      <c r="L26" s="6">
        <f>T2B!L23</f>
        <v>27</v>
      </c>
      <c r="M26" s="6">
        <f>T2B!M23</f>
        <v>9</v>
      </c>
      <c r="N26" s="134">
        <f>T2B!N23</f>
        <v>351</v>
      </c>
      <c r="O26" s="67">
        <v>15</v>
      </c>
      <c r="P26" s="67" t="s">
        <v>876</v>
      </c>
      <c r="Q26" s="70">
        <f t="shared" si="10"/>
        <v>135</v>
      </c>
      <c r="R26" s="70">
        <f t="shared" si="11"/>
        <v>3375</v>
      </c>
      <c r="S26" s="70">
        <f t="shared" si="12"/>
        <v>945</v>
      </c>
      <c r="T26" s="70">
        <f t="shared" si="13"/>
        <v>270</v>
      </c>
      <c r="U26" s="70">
        <f t="shared" si="14"/>
        <v>405</v>
      </c>
      <c r="V26" s="70">
        <f t="shared" si="15"/>
        <v>135</v>
      </c>
      <c r="W26" s="102">
        <f t="shared" si="16"/>
        <v>5265</v>
      </c>
    </row>
    <row r="27" spans="1:23" ht="38.25" customHeight="1" x14ac:dyDescent="0.25">
      <c r="A27" s="189">
        <f t="shared" si="3"/>
        <v>20</v>
      </c>
      <c r="B27" s="281" t="str">
        <f>T2B!B24</f>
        <v>Mahasõidukoht M5 muldkeha ja katendi ehitamine koos tihendamisega  (A=4,5m, R=15m L= 15m)</v>
      </c>
      <c r="C27" s="281"/>
      <c r="D27" s="281"/>
      <c r="E27" s="281"/>
      <c r="F27" s="281"/>
      <c r="G27" s="134" t="str">
        <f>T2B!G24</f>
        <v>tk</v>
      </c>
      <c r="H27" s="134">
        <f>T2B!H24</f>
        <v>0</v>
      </c>
      <c r="I27" s="134">
        <f>T2B!I24</f>
        <v>0</v>
      </c>
      <c r="J27" s="134">
        <f>T2B!J24</f>
        <v>0</v>
      </c>
      <c r="K27" s="134">
        <f>T2B!K24</f>
        <v>1</v>
      </c>
      <c r="L27" s="134">
        <f>T2B!L24</f>
        <v>1</v>
      </c>
      <c r="M27" s="134">
        <f>T2B!M24</f>
        <v>0</v>
      </c>
      <c r="N27" s="134">
        <f>T2B!N24</f>
        <v>2</v>
      </c>
      <c r="O27" s="428"/>
      <c r="P27" s="429"/>
      <c r="Q27" s="429"/>
      <c r="R27" s="429"/>
      <c r="S27" s="429"/>
      <c r="T27" s="429"/>
      <c r="U27" s="429"/>
      <c r="V27" s="429"/>
      <c r="W27" s="430"/>
    </row>
    <row r="28" spans="1:23" ht="41.25" customHeight="1" x14ac:dyDescent="0.25">
      <c r="A28" s="189">
        <f t="shared" si="3"/>
        <v>21</v>
      </c>
      <c r="B28" s="423" t="str">
        <f>T2B!B25</f>
        <v>Mahasõidukoht M5 geotekstiili 4. profiil (NGS 4), mitte kootud kangas, laiusega 5,0 m, paigaldamine tihendatud ja profileeritud muldkehale</v>
      </c>
      <c r="C28" s="423"/>
      <c r="D28" s="423"/>
      <c r="E28" s="423"/>
      <c r="F28" s="423"/>
      <c r="G28" s="6" t="s">
        <v>512</v>
      </c>
      <c r="H28" s="6">
        <f>T2B!H25</f>
        <v>0</v>
      </c>
      <c r="I28" s="6">
        <f>T2B!I25</f>
        <v>0</v>
      </c>
      <c r="J28" s="6">
        <f>T2B!J25</f>
        <v>0</v>
      </c>
      <c r="K28" s="6">
        <f>T2B!K25</f>
        <v>205</v>
      </c>
      <c r="L28" s="6">
        <f>T2B!L25</f>
        <v>205</v>
      </c>
      <c r="M28" s="6">
        <f>T2B!M25</f>
        <v>0</v>
      </c>
      <c r="N28" s="134">
        <f>T2B!N25</f>
        <v>410</v>
      </c>
      <c r="O28" s="67">
        <v>1.03</v>
      </c>
      <c r="P28" s="67" t="s">
        <v>889</v>
      </c>
      <c r="Q28" s="70"/>
      <c r="R28" s="70"/>
      <c r="S28" s="70"/>
      <c r="T28" s="70">
        <f t="shared" si="13"/>
        <v>211.15</v>
      </c>
      <c r="U28" s="70">
        <f t="shared" si="14"/>
        <v>211.15</v>
      </c>
      <c r="V28" s="70"/>
      <c r="W28" s="102">
        <f t="shared" si="16"/>
        <v>422.3</v>
      </c>
    </row>
    <row r="29" spans="1:23" ht="40.5" customHeight="1" x14ac:dyDescent="0.25">
      <c r="A29" s="189">
        <f t="shared" si="3"/>
        <v>22</v>
      </c>
      <c r="B29" s="423" t="str">
        <f>T2B!B26</f>
        <v>Mahasõidukoht M5 kruus fr 0/63 mm (Pos 3), geomeetriline maht koos hanke, pealelaadimise ja veoga, H=20cm</v>
      </c>
      <c r="C29" s="423"/>
      <c r="D29" s="423"/>
      <c r="E29" s="423"/>
      <c r="F29" s="423"/>
      <c r="G29" s="6" t="s">
        <v>447</v>
      </c>
      <c r="H29" s="6">
        <f>T2B!H26</f>
        <v>0</v>
      </c>
      <c r="I29" s="6">
        <f>T2B!I26</f>
        <v>0</v>
      </c>
      <c r="J29" s="6">
        <f>T2B!J26</f>
        <v>0</v>
      </c>
      <c r="K29" s="6">
        <f>T2B!K26</f>
        <v>39</v>
      </c>
      <c r="L29" s="6">
        <f>T2B!L26</f>
        <v>39</v>
      </c>
      <c r="M29" s="6">
        <f>T2B!M26</f>
        <v>0</v>
      </c>
      <c r="N29" s="134">
        <f>T2B!N26</f>
        <v>78</v>
      </c>
      <c r="O29" s="67">
        <v>15</v>
      </c>
      <c r="P29" s="67" t="s">
        <v>876</v>
      </c>
      <c r="Q29" s="70"/>
      <c r="R29" s="70"/>
      <c r="S29" s="70"/>
      <c r="T29" s="70">
        <f t="shared" si="13"/>
        <v>585</v>
      </c>
      <c r="U29" s="70">
        <f t="shared" si="14"/>
        <v>585</v>
      </c>
      <c r="V29" s="70"/>
      <c r="W29" s="102">
        <f t="shared" si="16"/>
        <v>1170</v>
      </c>
    </row>
    <row r="30" spans="1:23" ht="42.75" customHeight="1" x14ac:dyDescent="0.25">
      <c r="A30" s="189">
        <f t="shared" si="3"/>
        <v>23</v>
      </c>
      <c r="B30" s="423" t="str">
        <f>T2B!B27</f>
        <v>Mahasõidukoht M5 kruus fr 0/32 mm (Pos 6), geomeetriline maht koos hanke, pealelaadimise ja veoga, H=10cm</v>
      </c>
      <c r="C30" s="423"/>
      <c r="D30" s="423"/>
      <c r="E30" s="423"/>
      <c r="F30" s="423"/>
      <c r="G30" s="6" t="s">
        <v>447</v>
      </c>
      <c r="H30" s="6">
        <f>T2B!H27</f>
        <v>0</v>
      </c>
      <c r="I30" s="6">
        <f>T2B!I27</f>
        <v>0</v>
      </c>
      <c r="J30" s="6">
        <f>T2B!J27</f>
        <v>0</v>
      </c>
      <c r="K30" s="6">
        <f>T2B!K27</f>
        <v>17</v>
      </c>
      <c r="L30" s="6">
        <f>T2B!L27</f>
        <v>17</v>
      </c>
      <c r="M30" s="6">
        <f>T2B!M27</f>
        <v>0</v>
      </c>
      <c r="N30" s="134">
        <f>T2B!N27</f>
        <v>34</v>
      </c>
      <c r="O30" s="67">
        <v>15</v>
      </c>
      <c r="P30" s="67" t="s">
        <v>876</v>
      </c>
      <c r="Q30" s="70"/>
      <c r="R30" s="70"/>
      <c r="S30" s="70"/>
      <c r="T30" s="70">
        <f t="shared" si="13"/>
        <v>255</v>
      </c>
      <c r="U30" s="70">
        <f t="shared" si="14"/>
        <v>255</v>
      </c>
      <c r="V30" s="70"/>
      <c r="W30" s="102">
        <f t="shared" si="16"/>
        <v>510</v>
      </c>
    </row>
    <row r="31" spans="1:23" ht="37.5" customHeight="1" x14ac:dyDescent="0.25">
      <c r="A31" s="189">
        <f>A30+1</f>
        <v>24</v>
      </c>
      <c r="B31" s="281" t="str">
        <f>T2B!B28</f>
        <v>Mahasõidukoht M6 muldkeha ja katendi ehitamine koos tihendamisega  (A=4,5m, R1=15m, R2=5m, L=15m)</v>
      </c>
      <c r="C31" s="281"/>
      <c r="D31" s="281"/>
      <c r="E31" s="281"/>
      <c r="F31" s="281"/>
      <c r="G31" s="134" t="str">
        <f>T2B!G28</f>
        <v>tk</v>
      </c>
      <c r="H31" s="134">
        <f>T2B!H28</f>
        <v>0</v>
      </c>
      <c r="I31" s="134">
        <f>T2B!I28</f>
        <v>0</v>
      </c>
      <c r="J31" s="134">
        <f>T2B!J28</f>
        <v>1</v>
      </c>
      <c r="K31" s="134">
        <f>T2B!K28</f>
        <v>0</v>
      </c>
      <c r="L31" s="134">
        <f>T2B!L28</f>
        <v>0</v>
      </c>
      <c r="M31" s="134">
        <f>T2B!M28</f>
        <v>0</v>
      </c>
      <c r="N31" s="134">
        <f>T2B!N28</f>
        <v>1</v>
      </c>
      <c r="O31" s="428"/>
      <c r="P31" s="429"/>
      <c r="Q31" s="429"/>
      <c r="R31" s="429"/>
      <c r="S31" s="429"/>
      <c r="T31" s="429"/>
      <c r="U31" s="429"/>
      <c r="V31" s="429"/>
      <c r="W31" s="430"/>
    </row>
    <row r="32" spans="1:23" ht="39" customHeight="1" x14ac:dyDescent="0.25">
      <c r="A32" s="189">
        <f t="shared" si="3"/>
        <v>25</v>
      </c>
      <c r="B32" s="423" t="str">
        <f>T2B!B29</f>
        <v>Mahasõidukoht M6 geotekstiili 4. profiil (NGS 4), mitte kootud kangas, laiusega 5,0 m, paigaldamine tihendatud ja profileeritud muldkehale</v>
      </c>
      <c r="C32" s="423"/>
      <c r="D32" s="423"/>
      <c r="E32" s="423"/>
      <c r="F32" s="423"/>
      <c r="G32" s="6" t="s">
        <v>512</v>
      </c>
      <c r="H32" s="6">
        <f>T2B!H29</f>
        <v>0</v>
      </c>
      <c r="I32" s="6">
        <f>T2B!I29</f>
        <v>0</v>
      </c>
      <c r="J32" s="6">
        <f>T2B!J29</f>
        <v>151</v>
      </c>
      <c r="K32" s="6">
        <f>T2B!K29</f>
        <v>0</v>
      </c>
      <c r="L32" s="6">
        <f>T2B!L29</f>
        <v>0</v>
      </c>
      <c r="M32" s="6">
        <f>T2B!M29</f>
        <v>0</v>
      </c>
      <c r="N32" s="134">
        <f>T2B!N29</f>
        <v>151</v>
      </c>
      <c r="O32" s="67">
        <v>1.03</v>
      </c>
      <c r="P32" s="67" t="s">
        <v>889</v>
      </c>
      <c r="Q32" s="70"/>
      <c r="R32" s="70"/>
      <c r="S32" s="70">
        <f t="shared" si="12"/>
        <v>155.53</v>
      </c>
      <c r="T32" s="70"/>
      <c r="U32" s="70"/>
      <c r="V32" s="70"/>
      <c r="W32" s="102">
        <f t="shared" si="16"/>
        <v>155.53</v>
      </c>
    </row>
    <row r="33" spans="1:23" ht="40.5" customHeight="1" x14ac:dyDescent="0.25">
      <c r="A33" s="189">
        <f t="shared" si="3"/>
        <v>26</v>
      </c>
      <c r="B33" s="423" t="str">
        <f>T2B!B30</f>
        <v>Mahasõidukoht M6 kruus fr 0/63 mm (Pos 3), geomeetriline maht koos hanke, pealelaadimise ja veoga, H=20cm</v>
      </c>
      <c r="C33" s="423"/>
      <c r="D33" s="423"/>
      <c r="E33" s="423"/>
      <c r="F33" s="423"/>
      <c r="G33" s="6" t="s">
        <v>447</v>
      </c>
      <c r="H33" s="6">
        <f>T2B!H30</f>
        <v>0</v>
      </c>
      <c r="I33" s="6">
        <f>T2B!I30</f>
        <v>0</v>
      </c>
      <c r="J33" s="6">
        <f>T2B!J30</f>
        <v>29</v>
      </c>
      <c r="K33" s="6">
        <f>T2B!K30</f>
        <v>0</v>
      </c>
      <c r="L33" s="6">
        <f>T2B!L30</f>
        <v>0</v>
      </c>
      <c r="M33" s="6">
        <f>T2B!M30</f>
        <v>0</v>
      </c>
      <c r="N33" s="134">
        <f>T2B!N30</f>
        <v>29</v>
      </c>
      <c r="O33" s="67">
        <v>15</v>
      </c>
      <c r="P33" s="67" t="s">
        <v>876</v>
      </c>
      <c r="Q33" s="70"/>
      <c r="R33" s="70"/>
      <c r="S33" s="70">
        <f t="shared" ref="S33:S49" si="17">J33*$O33</f>
        <v>435</v>
      </c>
      <c r="T33" s="70"/>
      <c r="U33" s="70"/>
      <c r="V33" s="70"/>
      <c r="W33" s="102">
        <f t="shared" si="16"/>
        <v>435</v>
      </c>
    </row>
    <row r="34" spans="1:23" ht="39" customHeight="1" x14ac:dyDescent="0.25">
      <c r="A34" s="189">
        <f t="shared" si="3"/>
        <v>27</v>
      </c>
      <c r="B34" s="423" t="str">
        <f>T2B!B31</f>
        <v>Mahasõidukoht M6 kruus fr 0/32 mm (Pos 6), geomeetriline maht koos hanke, pealelaadimise ja veoga, H=10cm</v>
      </c>
      <c r="C34" s="423"/>
      <c r="D34" s="423"/>
      <c r="E34" s="423"/>
      <c r="F34" s="423"/>
      <c r="G34" s="6" t="s">
        <v>447</v>
      </c>
      <c r="H34" s="6">
        <f>T2B!H31</f>
        <v>0</v>
      </c>
      <c r="I34" s="6">
        <f>T2B!I31</f>
        <v>0</v>
      </c>
      <c r="J34" s="6">
        <f>T2B!J31</f>
        <v>12</v>
      </c>
      <c r="K34" s="6">
        <f>T2B!K31</f>
        <v>0</v>
      </c>
      <c r="L34" s="6">
        <f>T2B!L31</f>
        <v>0</v>
      </c>
      <c r="M34" s="6">
        <f>T2B!M31</f>
        <v>0</v>
      </c>
      <c r="N34" s="134">
        <f>T2B!N31</f>
        <v>12</v>
      </c>
      <c r="O34" s="67">
        <v>15</v>
      </c>
      <c r="P34" s="67" t="s">
        <v>876</v>
      </c>
      <c r="Q34" s="70"/>
      <c r="R34" s="70"/>
      <c r="S34" s="70">
        <f t="shared" si="17"/>
        <v>180</v>
      </c>
      <c r="T34" s="70"/>
      <c r="U34" s="70"/>
      <c r="V34" s="70"/>
      <c r="W34" s="102">
        <f t="shared" si="16"/>
        <v>180</v>
      </c>
    </row>
    <row r="35" spans="1:23" ht="32.25" customHeight="1" x14ac:dyDescent="0.25">
      <c r="A35" s="189">
        <f t="shared" si="3"/>
        <v>28</v>
      </c>
      <c r="B35" s="281" t="str">
        <f>T2B!B32</f>
        <v>Möödasõidukoha MS muldkeha ja katendi ehitamine koos tihendamisega</v>
      </c>
      <c r="C35" s="281"/>
      <c r="D35" s="281"/>
      <c r="E35" s="281"/>
      <c r="F35" s="281"/>
      <c r="G35" s="134" t="str">
        <f>T2B!G32</f>
        <v>tk</v>
      </c>
      <c r="H35" s="134">
        <f>T2B!H32</f>
        <v>0</v>
      </c>
      <c r="I35" s="134">
        <f>T2B!I32</f>
        <v>0</v>
      </c>
      <c r="J35" s="134">
        <f>T2B!J32</f>
        <v>1</v>
      </c>
      <c r="K35" s="134">
        <f>T2B!K32</f>
        <v>0</v>
      </c>
      <c r="L35" s="134">
        <f>T2B!L32</f>
        <v>0</v>
      </c>
      <c r="M35" s="134">
        <f>T2B!M32</f>
        <v>0</v>
      </c>
      <c r="N35" s="134">
        <f>T2B!N32</f>
        <v>1</v>
      </c>
      <c r="O35" s="428"/>
      <c r="P35" s="429"/>
      <c r="Q35" s="429"/>
      <c r="R35" s="429"/>
      <c r="S35" s="429"/>
      <c r="T35" s="429"/>
      <c r="U35" s="429"/>
      <c r="V35" s="429"/>
      <c r="W35" s="430"/>
    </row>
    <row r="36" spans="1:23" ht="36" customHeight="1" x14ac:dyDescent="0.25">
      <c r="A36" s="189">
        <f t="shared" si="3"/>
        <v>29</v>
      </c>
      <c r="B36" s="423" t="str">
        <f>T2B!B33</f>
        <v>Möödasõidukoha MS muldkeha ehitamine kraavide rajamisel saadud või juurdeveetavast pinnasest, H=30 cm</v>
      </c>
      <c r="C36" s="423"/>
      <c r="D36" s="423"/>
      <c r="E36" s="423"/>
      <c r="F36" s="423"/>
      <c r="G36" s="6" t="s">
        <v>447</v>
      </c>
      <c r="H36" s="6">
        <f>T2B!H33</f>
        <v>0</v>
      </c>
      <c r="I36" s="6">
        <f>T2B!I33</f>
        <v>0</v>
      </c>
      <c r="J36" s="6">
        <f>T2B!J33</f>
        <v>75</v>
      </c>
      <c r="K36" s="6">
        <f>T2B!K33</f>
        <v>0</v>
      </c>
      <c r="L36" s="6">
        <f>T2B!L33</f>
        <v>0</v>
      </c>
      <c r="M36" s="6">
        <f>T2B!M33</f>
        <v>0</v>
      </c>
      <c r="N36" s="134">
        <f>T2B!N33</f>
        <v>75</v>
      </c>
      <c r="O36" s="223">
        <v>3.1</v>
      </c>
      <c r="P36" s="168" t="s">
        <v>957</v>
      </c>
      <c r="Q36" s="70"/>
      <c r="R36" s="70"/>
      <c r="S36" s="70">
        <f t="shared" si="17"/>
        <v>232.5</v>
      </c>
      <c r="T36" s="70"/>
      <c r="U36" s="70"/>
      <c r="V36" s="70"/>
      <c r="W36" s="102">
        <f t="shared" si="16"/>
        <v>232.5</v>
      </c>
    </row>
    <row r="37" spans="1:23" ht="41.25" customHeight="1" x14ac:dyDescent="0.25">
      <c r="A37" s="189">
        <f t="shared" si="3"/>
        <v>30</v>
      </c>
      <c r="B37" s="423" t="str">
        <f>T2B!B34</f>
        <v>Möödasõidukoha MS geotekstiili 4. profiil (NGS 4), mitte kootud kangas, laiusega 5,0 m, paigaldamine tihendatud ja profileeritud muldkehale</v>
      </c>
      <c r="C37" s="423"/>
      <c r="D37" s="423"/>
      <c r="E37" s="423"/>
      <c r="F37" s="423"/>
      <c r="G37" s="6" t="s">
        <v>512</v>
      </c>
      <c r="H37" s="6">
        <f>T2B!H34</f>
        <v>0</v>
      </c>
      <c r="I37" s="6">
        <f>T2B!I34</f>
        <v>0</v>
      </c>
      <c r="J37" s="6">
        <f>T2B!J34</f>
        <v>250</v>
      </c>
      <c r="K37" s="6">
        <f>T2B!K34</f>
        <v>0</v>
      </c>
      <c r="L37" s="6">
        <f>T2B!L34</f>
        <v>0</v>
      </c>
      <c r="M37" s="6">
        <f>T2B!M34</f>
        <v>0</v>
      </c>
      <c r="N37" s="134">
        <f>T2B!N34</f>
        <v>250</v>
      </c>
      <c r="O37" s="67">
        <v>1.03</v>
      </c>
      <c r="P37" s="67" t="s">
        <v>889</v>
      </c>
      <c r="Q37" s="70"/>
      <c r="R37" s="70"/>
      <c r="S37" s="70">
        <f t="shared" si="17"/>
        <v>257.5</v>
      </c>
      <c r="T37" s="70"/>
      <c r="U37" s="70"/>
      <c r="V37" s="70"/>
      <c r="W37" s="102">
        <f t="shared" si="16"/>
        <v>257.5</v>
      </c>
    </row>
    <row r="38" spans="1:23" ht="39.75" customHeight="1" x14ac:dyDescent="0.25">
      <c r="A38" s="189">
        <f t="shared" si="3"/>
        <v>31</v>
      </c>
      <c r="B38" s="423" t="str">
        <f>T2B!B35</f>
        <v>Möödasõidukoha MS kruus fr 0/63 mm (Pos 3), geomeetriline maht koos hanke, pealelaadimise ja veoga, H=20cm</v>
      </c>
      <c r="C38" s="423"/>
      <c r="D38" s="423"/>
      <c r="E38" s="423"/>
      <c r="F38" s="423"/>
      <c r="G38" s="6" t="s">
        <v>447</v>
      </c>
      <c r="H38" s="6">
        <f>T2B!H35</f>
        <v>0</v>
      </c>
      <c r="I38" s="6">
        <f>T2B!I35</f>
        <v>0</v>
      </c>
      <c r="J38" s="6">
        <f>T2B!J35</f>
        <v>62</v>
      </c>
      <c r="K38" s="6">
        <f>T2B!K35</f>
        <v>0</v>
      </c>
      <c r="L38" s="6">
        <f>T2B!L35</f>
        <v>0</v>
      </c>
      <c r="M38" s="6">
        <f>T2B!M35</f>
        <v>0</v>
      </c>
      <c r="N38" s="134">
        <f>T2B!N35</f>
        <v>62</v>
      </c>
      <c r="O38" s="67">
        <v>15</v>
      </c>
      <c r="P38" s="67" t="s">
        <v>876</v>
      </c>
      <c r="Q38" s="70"/>
      <c r="R38" s="70"/>
      <c r="S38" s="70">
        <f t="shared" si="17"/>
        <v>930</v>
      </c>
      <c r="T38" s="70"/>
      <c r="U38" s="70"/>
      <c r="V38" s="70"/>
      <c r="W38" s="102">
        <f>SUM(Q38:V38)</f>
        <v>930</v>
      </c>
    </row>
    <row r="39" spans="1:23" ht="41.25" customHeight="1" x14ac:dyDescent="0.25">
      <c r="A39" s="189">
        <f t="shared" si="3"/>
        <v>32</v>
      </c>
      <c r="B39" s="423" t="str">
        <f>T2B!B36</f>
        <v>Möödasõidukoha MS kruus fr 0/32 mm (Pos 6), geomeetriline maht koos hanke, pealelaadimise ja veoga, H=10cm</v>
      </c>
      <c r="C39" s="423"/>
      <c r="D39" s="423"/>
      <c r="E39" s="423"/>
      <c r="F39" s="423"/>
      <c r="G39" s="6" t="s">
        <v>447</v>
      </c>
      <c r="H39" s="6">
        <f>T2B!H36</f>
        <v>0</v>
      </c>
      <c r="I39" s="6">
        <f>T2B!I36</f>
        <v>0</v>
      </c>
      <c r="J39" s="6">
        <f>T2B!J36</f>
        <v>23</v>
      </c>
      <c r="K39" s="6">
        <f>T2B!K36</f>
        <v>0</v>
      </c>
      <c r="L39" s="6">
        <f>T2B!L36</f>
        <v>0</v>
      </c>
      <c r="M39" s="6">
        <f>T2B!M36</f>
        <v>0</v>
      </c>
      <c r="N39" s="134">
        <f>T2B!N36</f>
        <v>23</v>
      </c>
      <c r="O39" s="67">
        <v>15</v>
      </c>
      <c r="P39" s="67" t="s">
        <v>876</v>
      </c>
      <c r="Q39" s="70"/>
      <c r="R39" s="70"/>
      <c r="S39" s="70">
        <f t="shared" si="17"/>
        <v>345</v>
      </c>
      <c r="T39" s="70"/>
      <c r="U39" s="70"/>
      <c r="V39" s="70"/>
      <c r="W39" s="102">
        <f t="shared" si="16"/>
        <v>345</v>
      </c>
    </row>
    <row r="40" spans="1:23" ht="32.25" customHeight="1" x14ac:dyDescent="0.25">
      <c r="A40" s="189">
        <f t="shared" si="3"/>
        <v>33</v>
      </c>
      <c r="B40" s="281" t="str">
        <f>T2B!B37</f>
        <v>T-kujulise tagasipööramiskoha TP-T muldkeha ja katendi ehitamine koos tihendamisega</v>
      </c>
      <c r="C40" s="281"/>
      <c r="D40" s="281"/>
      <c r="E40" s="281"/>
      <c r="F40" s="281"/>
      <c r="G40" s="134" t="str">
        <f>T2B!G37</f>
        <v>tk</v>
      </c>
      <c r="H40" s="134">
        <f>T2B!H37</f>
        <v>0</v>
      </c>
      <c r="I40" s="134">
        <f>T2B!I37</f>
        <v>0</v>
      </c>
      <c r="J40" s="134">
        <f>T2B!J37</f>
        <v>0</v>
      </c>
      <c r="K40" s="134">
        <f>T2B!K37</f>
        <v>0</v>
      </c>
      <c r="L40" s="134">
        <f>T2B!L37</f>
        <v>1</v>
      </c>
      <c r="M40" s="134">
        <f>T2B!M37</f>
        <v>0</v>
      </c>
      <c r="N40" s="134">
        <f>T2B!N37</f>
        <v>1</v>
      </c>
      <c r="O40" s="428"/>
      <c r="P40" s="429"/>
      <c r="Q40" s="429"/>
      <c r="R40" s="429"/>
      <c r="S40" s="429"/>
      <c r="T40" s="429"/>
      <c r="U40" s="429"/>
      <c r="V40" s="429"/>
      <c r="W40" s="430"/>
    </row>
    <row r="41" spans="1:23" ht="36" customHeight="1" x14ac:dyDescent="0.25">
      <c r="A41" s="189">
        <f>A40+1</f>
        <v>34</v>
      </c>
      <c r="B41" s="423" t="str">
        <f>T2B!B38</f>
        <v>T-kujulise tagasipööramiskoha TP-T muldkeha ehitamine juurdeveetavast või juurdeveetavast pinnasest, H=30 cm</v>
      </c>
      <c r="C41" s="423"/>
      <c r="D41" s="423"/>
      <c r="E41" s="423"/>
      <c r="F41" s="423"/>
      <c r="G41" s="6" t="s">
        <v>447</v>
      </c>
      <c r="H41" s="6">
        <f>T2B!H38</f>
        <v>0</v>
      </c>
      <c r="I41" s="6">
        <f>T2B!I38</f>
        <v>0</v>
      </c>
      <c r="J41" s="6">
        <f>T2B!J38</f>
        <v>0</v>
      </c>
      <c r="K41" s="6">
        <f>T2B!K38</f>
        <v>0</v>
      </c>
      <c r="L41" s="6">
        <f>T2B!L38</f>
        <v>298</v>
      </c>
      <c r="M41" s="6">
        <f>T2B!M38</f>
        <v>0</v>
      </c>
      <c r="N41" s="134">
        <f>T2B!N38</f>
        <v>298</v>
      </c>
      <c r="O41" s="223">
        <v>3.1</v>
      </c>
      <c r="P41" s="168" t="s">
        <v>957</v>
      </c>
      <c r="Q41" s="70"/>
      <c r="R41" s="70"/>
      <c r="S41" s="70"/>
      <c r="T41" s="70"/>
      <c r="U41" s="70">
        <f t="shared" ref="U41:U44" si="18">L41*$O41</f>
        <v>923.80000000000007</v>
      </c>
      <c r="V41" s="70"/>
      <c r="W41" s="102">
        <f t="shared" si="16"/>
        <v>923.80000000000007</v>
      </c>
    </row>
    <row r="42" spans="1:23" ht="44.25" customHeight="1" x14ac:dyDescent="0.25">
      <c r="A42" s="189">
        <f t="shared" si="3"/>
        <v>35</v>
      </c>
      <c r="B42" s="423" t="str">
        <f>T2B!B39</f>
        <v>T-kujulise tagasipööramiskoha TP-T geotekstiili 4. profiil (NGS 4), mitte kootud kangas, laiusega 5,0 m, paigaldamine tihendatud ja profileeritud muldkehale</v>
      </c>
      <c r="C42" s="423"/>
      <c r="D42" s="423"/>
      <c r="E42" s="423"/>
      <c r="F42" s="423"/>
      <c r="G42" s="6" t="s">
        <v>512</v>
      </c>
      <c r="H42" s="6">
        <f>T2B!H39</f>
        <v>0</v>
      </c>
      <c r="I42" s="6">
        <f>T2B!I39</f>
        <v>0</v>
      </c>
      <c r="J42" s="6">
        <f>T2B!J39</f>
        <v>0</v>
      </c>
      <c r="K42" s="6">
        <f>T2B!K39</f>
        <v>0</v>
      </c>
      <c r="L42" s="6">
        <f>T2B!L39</f>
        <v>722</v>
      </c>
      <c r="M42" s="6">
        <f>T2B!M39</f>
        <v>0</v>
      </c>
      <c r="N42" s="134">
        <f>T2B!N39</f>
        <v>722</v>
      </c>
      <c r="O42" s="67">
        <v>1.03</v>
      </c>
      <c r="P42" s="67" t="s">
        <v>889</v>
      </c>
      <c r="Q42" s="70"/>
      <c r="R42" s="70"/>
      <c r="S42" s="70"/>
      <c r="T42" s="70"/>
      <c r="U42" s="70">
        <f t="shared" si="18"/>
        <v>743.66</v>
      </c>
      <c r="V42" s="70"/>
      <c r="W42" s="102">
        <f t="shared" si="16"/>
        <v>743.66</v>
      </c>
    </row>
    <row r="43" spans="1:23" ht="42" customHeight="1" x14ac:dyDescent="0.25">
      <c r="A43" s="189">
        <f t="shared" si="3"/>
        <v>36</v>
      </c>
      <c r="B43" s="423" t="str">
        <f>T2B!B40</f>
        <v>T-kujulise tagasipööramiskoha TP-T kruus fr 0/63 mm (Pos 3), geomeetriline maht koos hanke, pealelaadimise ja veoga, H=20cm</v>
      </c>
      <c r="C43" s="423"/>
      <c r="D43" s="423"/>
      <c r="E43" s="423"/>
      <c r="F43" s="423"/>
      <c r="G43" s="6" t="s">
        <v>447</v>
      </c>
      <c r="H43" s="6">
        <f>T2B!H40</f>
        <v>0</v>
      </c>
      <c r="I43" s="6">
        <f>T2B!I40</f>
        <v>0</v>
      </c>
      <c r="J43" s="6">
        <f>T2B!J40</f>
        <v>0</v>
      </c>
      <c r="K43" s="6">
        <f>T2B!K40</f>
        <v>0</v>
      </c>
      <c r="L43" s="6">
        <f>T2B!L40</f>
        <v>154</v>
      </c>
      <c r="M43" s="6">
        <f>T2B!M40</f>
        <v>0</v>
      </c>
      <c r="N43" s="134">
        <f>T2B!N40</f>
        <v>154</v>
      </c>
      <c r="O43" s="67">
        <v>15</v>
      </c>
      <c r="P43" s="67" t="s">
        <v>876</v>
      </c>
      <c r="Q43" s="70"/>
      <c r="R43" s="70"/>
      <c r="S43" s="70"/>
      <c r="T43" s="70"/>
      <c r="U43" s="70">
        <f t="shared" si="18"/>
        <v>2310</v>
      </c>
      <c r="V43" s="70"/>
      <c r="W43" s="102">
        <f t="shared" si="16"/>
        <v>2310</v>
      </c>
    </row>
    <row r="44" spans="1:23" ht="42.75" customHeight="1" x14ac:dyDescent="0.25">
      <c r="A44" s="189">
        <f t="shared" si="3"/>
        <v>37</v>
      </c>
      <c r="B44" s="423" t="str">
        <f>T2B!B41</f>
        <v>T-kujulise tagasipööramiskoha TP-T  kruus fr 0/32 mm (Pos 6), geomeetriline maht koos hanke, pealelaadimise ja veoga, H=10cm</v>
      </c>
      <c r="C44" s="423"/>
      <c r="D44" s="423"/>
      <c r="E44" s="423"/>
      <c r="F44" s="423"/>
      <c r="G44" s="6" t="s">
        <v>447</v>
      </c>
      <c r="H44" s="6">
        <f>T2B!H41</f>
        <v>0</v>
      </c>
      <c r="I44" s="6">
        <f>T2B!I41</f>
        <v>0</v>
      </c>
      <c r="J44" s="6">
        <f>T2B!J41</f>
        <v>0</v>
      </c>
      <c r="K44" s="6">
        <f>T2B!K41</f>
        <v>0</v>
      </c>
      <c r="L44" s="6">
        <f>T2B!L41</f>
        <v>70</v>
      </c>
      <c r="M44" s="6">
        <f>T2B!M41</f>
        <v>0</v>
      </c>
      <c r="N44" s="134">
        <f>T2B!N41</f>
        <v>70</v>
      </c>
      <c r="O44" s="67">
        <v>15</v>
      </c>
      <c r="P44" s="67" t="s">
        <v>876</v>
      </c>
      <c r="Q44" s="70"/>
      <c r="R44" s="70"/>
      <c r="S44" s="70"/>
      <c r="T44" s="70"/>
      <c r="U44" s="70">
        <f t="shared" si="18"/>
        <v>1050</v>
      </c>
      <c r="V44" s="70"/>
      <c r="W44" s="102">
        <f t="shared" si="16"/>
        <v>1050</v>
      </c>
    </row>
    <row r="45" spans="1:23" ht="37.5" customHeight="1" x14ac:dyDescent="0.25">
      <c r="A45" s="189">
        <f t="shared" si="3"/>
        <v>38</v>
      </c>
      <c r="B45" s="281" t="str">
        <f>T2B!B42</f>
        <v>Silmuse kujulise tagasipööramiskoha TP-S muldkeha ja katendi ehitamine koos tihendamisega</v>
      </c>
      <c r="C45" s="281"/>
      <c r="D45" s="281"/>
      <c r="E45" s="281"/>
      <c r="F45" s="281"/>
      <c r="G45" s="134" t="str">
        <f>T2B!G42</f>
        <v>tk</v>
      </c>
      <c r="H45" s="134">
        <f>T2B!H42</f>
        <v>0</v>
      </c>
      <c r="I45" s="134">
        <f>T2B!I42</f>
        <v>0</v>
      </c>
      <c r="J45" s="134">
        <f>T2B!J42</f>
        <v>1</v>
      </c>
      <c r="K45" s="134">
        <f>T2B!K42</f>
        <v>0</v>
      </c>
      <c r="L45" s="134">
        <f>T2B!L42</f>
        <v>0</v>
      </c>
      <c r="M45" s="134">
        <f>T2B!M42</f>
        <v>0</v>
      </c>
      <c r="N45" s="134">
        <f>T2B!N42</f>
        <v>1</v>
      </c>
      <c r="O45" s="428"/>
      <c r="P45" s="429"/>
      <c r="Q45" s="429"/>
      <c r="R45" s="429"/>
      <c r="S45" s="429"/>
      <c r="T45" s="429"/>
      <c r="U45" s="429"/>
      <c r="V45" s="429"/>
      <c r="W45" s="430"/>
    </row>
    <row r="46" spans="1:23" ht="40.5" customHeight="1" x14ac:dyDescent="0.25">
      <c r="A46" s="189">
        <f t="shared" si="3"/>
        <v>39</v>
      </c>
      <c r="B46" s="423" t="str">
        <f>T2B!B43</f>
        <v>Silmuse kujulise tagasipööramiskoha TP-S muldkeha ehitamine juurdeveetavast või juurdeveetavast pinnasest, H=30 cm</v>
      </c>
      <c r="C46" s="423"/>
      <c r="D46" s="423"/>
      <c r="E46" s="423"/>
      <c r="F46" s="423"/>
      <c r="G46" s="6" t="s">
        <v>447</v>
      </c>
      <c r="H46" s="6">
        <f>T2B!H43</f>
        <v>0</v>
      </c>
      <c r="I46" s="6">
        <f>T2B!I43</f>
        <v>0</v>
      </c>
      <c r="J46" s="6">
        <f>T2B!J43</f>
        <v>380</v>
      </c>
      <c r="K46" s="6">
        <f>T2B!K43</f>
        <v>0</v>
      </c>
      <c r="L46" s="6">
        <f>T2B!L43</f>
        <v>0</v>
      </c>
      <c r="M46" s="6">
        <f>T2B!M43</f>
        <v>0</v>
      </c>
      <c r="N46" s="134">
        <f>T2B!N43</f>
        <v>380</v>
      </c>
      <c r="O46" s="223">
        <v>3.1</v>
      </c>
      <c r="P46" s="168" t="s">
        <v>957</v>
      </c>
      <c r="Q46" s="70"/>
      <c r="R46" s="70"/>
      <c r="S46" s="70">
        <f t="shared" si="17"/>
        <v>1178</v>
      </c>
      <c r="T46" s="70"/>
      <c r="U46" s="70"/>
      <c r="V46" s="70"/>
      <c r="W46" s="102">
        <f t="shared" si="16"/>
        <v>1178</v>
      </c>
    </row>
    <row r="47" spans="1:23" ht="42" customHeight="1" x14ac:dyDescent="0.25">
      <c r="A47" s="189">
        <f t="shared" si="3"/>
        <v>40</v>
      </c>
      <c r="B47" s="423" t="str">
        <f>T2B!B44</f>
        <v>Silmuse kujulise tagasipööramiskoha TP-S geotekstiili 4. profiil (NGS 4), mitte kootud kangas, laiusega 7,0 m, paigaldamine tihendatud ja profileeritud muldkehale</v>
      </c>
      <c r="C47" s="423"/>
      <c r="D47" s="423"/>
      <c r="E47" s="423"/>
      <c r="F47" s="423"/>
      <c r="G47" s="6" t="s">
        <v>512</v>
      </c>
      <c r="H47" s="6">
        <f>T2B!H44</f>
        <v>0</v>
      </c>
      <c r="I47" s="6">
        <f>T2B!I44</f>
        <v>0</v>
      </c>
      <c r="J47" s="6">
        <f>T2B!J44</f>
        <v>1071</v>
      </c>
      <c r="K47" s="6">
        <f>T2B!K44</f>
        <v>0</v>
      </c>
      <c r="L47" s="6">
        <f>T2B!L44</f>
        <v>0</v>
      </c>
      <c r="M47" s="6">
        <f>T2B!M44</f>
        <v>0</v>
      </c>
      <c r="N47" s="134">
        <f>T2B!N44</f>
        <v>1071</v>
      </c>
      <c r="O47" s="67">
        <v>1.03</v>
      </c>
      <c r="P47" s="67" t="s">
        <v>889</v>
      </c>
      <c r="Q47" s="70"/>
      <c r="R47" s="70"/>
      <c r="S47" s="70">
        <f t="shared" si="17"/>
        <v>1103.1300000000001</v>
      </c>
      <c r="T47" s="70"/>
      <c r="U47" s="70"/>
      <c r="V47" s="70"/>
      <c r="W47" s="102">
        <f t="shared" si="16"/>
        <v>1103.1300000000001</v>
      </c>
    </row>
    <row r="48" spans="1:23" ht="43.5" customHeight="1" x14ac:dyDescent="0.25">
      <c r="A48" s="189">
        <f t="shared" si="3"/>
        <v>41</v>
      </c>
      <c r="B48" s="423" t="str">
        <f>T2B!B45</f>
        <v>Silmuse kujulise tagasipööramiskoha TP-S kruus fr 0/63 mm (Pos 3), geomeetriline maht koos hanke, pealelaadimise ja veoga, H=20cm</v>
      </c>
      <c r="C48" s="423"/>
      <c r="D48" s="423"/>
      <c r="E48" s="423"/>
      <c r="F48" s="423"/>
      <c r="G48" s="6" t="s">
        <v>447</v>
      </c>
      <c r="H48" s="6">
        <f>T2B!H45</f>
        <v>0</v>
      </c>
      <c r="I48" s="6">
        <f>T2B!I45</f>
        <v>0</v>
      </c>
      <c r="J48" s="6">
        <f>T2B!J45</f>
        <v>205</v>
      </c>
      <c r="K48" s="6">
        <f>T2B!K45</f>
        <v>0</v>
      </c>
      <c r="L48" s="6">
        <f>T2B!L45</f>
        <v>0</v>
      </c>
      <c r="M48" s="6">
        <f>T2B!M45</f>
        <v>0</v>
      </c>
      <c r="N48" s="134">
        <f>T2B!N45</f>
        <v>205</v>
      </c>
      <c r="O48" s="67">
        <v>15</v>
      </c>
      <c r="P48" s="67" t="s">
        <v>876</v>
      </c>
      <c r="Q48" s="70"/>
      <c r="R48" s="70"/>
      <c r="S48" s="70">
        <f t="shared" si="17"/>
        <v>3075</v>
      </c>
      <c r="T48" s="70"/>
      <c r="U48" s="70"/>
      <c r="V48" s="70"/>
      <c r="W48" s="102">
        <f>SUM(Q48:V48)</f>
        <v>3075</v>
      </c>
    </row>
    <row r="49" spans="1:23" ht="41.25" customHeight="1" x14ac:dyDescent="0.25">
      <c r="A49" s="189">
        <f t="shared" si="3"/>
        <v>42</v>
      </c>
      <c r="B49" s="423" t="str">
        <f>T2B!B46</f>
        <v>Silmuse kujulise tagasipööramiskoha TP-S  kruus fr 0/32 mm (Pos 6), geomeetriline maht koos hanke, pealelaadimise ja veoga, H=10cm</v>
      </c>
      <c r="C49" s="423"/>
      <c r="D49" s="423"/>
      <c r="E49" s="423"/>
      <c r="F49" s="423"/>
      <c r="G49" s="6" t="s">
        <v>447</v>
      </c>
      <c r="H49" s="6">
        <f>T2B!H46</f>
        <v>0</v>
      </c>
      <c r="I49" s="6">
        <f>T2B!I46</f>
        <v>0</v>
      </c>
      <c r="J49" s="6">
        <f>T2B!J46</f>
        <v>88</v>
      </c>
      <c r="K49" s="6">
        <f>T2B!K46</f>
        <v>0</v>
      </c>
      <c r="L49" s="6">
        <f>T2B!L46</f>
        <v>0</v>
      </c>
      <c r="M49" s="6">
        <f>T2B!M46</f>
        <v>0</v>
      </c>
      <c r="N49" s="134">
        <f>T2B!N46</f>
        <v>88</v>
      </c>
      <c r="O49" s="67">
        <v>15</v>
      </c>
      <c r="P49" s="67" t="s">
        <v>876</v>
      </c>
      <c r="Q49" s="70"/>
      <c r="R49" s="70"/>
      <c r="S49" s="70">
        <f t="shared" si="17"/>
        <v>1320</v>
      </c>
      <c r="T49" s="70"/>
      <c r="U49" s="70"/>
      <c r="V49" s="70"/>
      <c r="W49" s="102">
        <f t="shared" si="16"/>
        <v>1320</v>
      </c>
    </row>
    <row r="50" spans="1:23" ht="41.25" customHeight="1" x14ac:dyDescent="0.25">
      <c r="A50" s="189">
        <f t="shared" si="3"/>
        <v>43</v>
      </c>
      <c r="B50" s="423" t="str">
        <f>T2B!B47</f>
        <v>Mahasõidukoht MM muldkeha ja katendi ehitamine koos tihendamisega (vastavalt lisas esitatud projektile)</v>
      </c>
      <c r="C50" s="423"/>
      <c r="D50" s="423"/>
      <c r="E50" s="423"/>
      <c r="F50" s="423"/>
      <c r="G50" s="134" t="str">
        <f>T2B!G47</f>
        <v>tk</v>
      </c>
      <c r="H50" s="6"/>
      <c r="I50" s="6">
        <f>T2B!I47</f>
        <v>2</v>
      </c>
      <c r="J50" s="6"/>
      <c r="K50" s="6"/>
      <c r="L50" s="6"/>
      <c r="M50" s="6"/>
      <c r="N50" s="135">
        <f>T2B!N47</f>
        <v>2</v>
      </c>
      <c r="O50" s="67">
        <v>4500</v>
      </c>
      <c r="P50" s="67" t="s">
        <v>876</v>
      </c>
      <c r="Q50" s="70"/>
      <c r="R50" s="70">
        <f>I50*$O50</f>
        <v>9000</v>
      </c>
      <c r="S50" s="70"/>
      <c r="T50" s="70"/>
      <c r="U50" s="70"/>
      <c r="V50" s="70"/>
      <c r="W50" s="102">
        <f t="shared" si="16"/>
        <v>9000</v>
      </c>
    </row>
    <row r="51" spans="1:23" x14ac:dyDescent="0.25">
      <c r="A51" s="189">
        <f t="shared" si="3"/>
        <v>44</v>
      </c>
      <c r="B51" s="427" t="s">
        <v>344</v>
      </c>
      <c r="C51" s="427"/>
      <c r="D51" s="427"/>
      <c r="E51" s="427"/>
      <c r="F51" s="427"/>
      <c r="G51" s="427"/>
      <c r="H51" s="427"/>
      <c r="I51" s="427"/>
      <c r="J51" s="427"/>
      <c r="K51" s="427"/>
      <c r="L51" s="427"/>
      <c r="M51" s="427"/>
      <c r="N51" s="427"/>
      <c r="O51" s="427"/>
      <c r="P51" s="427"/>
      <c r="Q51" s="427"/>
      <c r="R51" s="427"/>
      <c r="S51" s="427"/>
      <c r="T51" s="427"/>
      <c r="U51" s="427"/>
      <c r="V51" s="427"/>
      <c r="W51" s="102">
        <f>SUM(W22:W50)</f>
        <v>51623.519999999997</v>
      </c>
    </row>
    <row r="52" spans="1:23" x14ac:dyDescent="0.25">
      <c r="A52" s="189">
        <f t="shared" si="3"/>
        <v>45</v>
      </c>
      <c r="B52" s="260" t="str">
        <f>T2B!B48</f>
        <v>IV. Muud tööd</v>
      </c>
      <c r="C52" s="260"/>
      <c r="D52" s="260"/>
      <c r="E52" s="260"/>
      <c r="F52" s="260"/>
      <c r="G52" s="260"/>
      <c r="H52" s="260"/>
      <c r="I52" s="260"/>
      <c r="J52" s="260"/>
      <c r="K52" s="260"/>
      <c r="L52" s="260"/>
      <c r="M52" s="260"/>
      <c r="N52" s="260"/>
      <c r="O52" s="260"/>
      <c r="P52" s="260"/>
      <c r="Q52" s="260"/>
      <c r="R52" s="260"/>
      <c r="S52" s="260"/>
      <c r="T52" s="260"/>
      <c r="U52" s="260"/>
      <c r="V52" s="260"/>
      <c r="W52" s="260"/>
    </row>
    <row r="53" spans="1:23" x14ac:dyDescent="0.25">
      <c r="A53" s="189">
        <f t="shared" si="3"/>
        <v>46</v>
      </c>
      <c r="B53" s="255" t="s">
        <v>772</v>
      </c>
      <c r="C53" s="255"/>
      <c r="D53" s="255"/>
      <c r="E53" s="255"/>
      <c r="F53" s="255"/>
      <c r="G53" s="167" t="s">
        <v>773</v>
      </c>
      <c r="H53" s="101">
        <f>T2B!H49</f>
        <v>1</v>
      </c>
      <c r="I53" s="101">
        <f>T2B!I49</f>
        <v>1</v>
      </c>
      <c r="J53" s="101">
        <f>T2B!J49</f>
        <v>1</v>
      </c>
      <c r="K53" s="101">
        <f>T2B!K49</f>
        <v>1</v>
      </c>
      <c r="L53" s="101">
        <f>T2B!L49</f>
        <v>1</v>
      </c>
      <c r="M53" s="101">
        <f>T2B!M49</f>
        <v>1</v>
      </c>
      <c r="N53" s="102">
        <f>SUM(H53:M53)</f>
        <v>6</v>
      </c>
      <c r="O53" s="6">
        <v>250</v>
      </c>
      <c r="P53" s="6" t="s">
        <v>876</v>
      </c>
      <c r="Q53" s="70">
        <f>H53*$O53</f>
        <v>250</v>
      </c>
      <c r="R53" s="70">
        <f t="shared" ref="R53:V53" si="19">I53*$O53</f>
        <v>250</v>
      </c>
      <c r="S53" s="70">
        <f t="shared" si="19"/>
        <v>250</v>
      </c>
      <c r="T53" s="70">
        <f t="shared" si="19"/>
        <v>250</v>
      </c>
      <c r="U53" s="70">
        <f t="shared" si="19"/>
        <v>250</v>
      </c>
      <c r="V53" s="70">
        <f t="shared" si="19"/>
        <v>250</v>
      </c>
      <c r="W53" s="135">
        <f>SUM(Q53:V53)</f>
        <v>1500</v>
      </c>
    </row>
    <row r="54" spans="1:23" x14ac:dyDescent="0.25">
      <c r="A54" s="189">
        <f t="shared" si="3"/>
        <v>47</v>
      </c>
      <c r="B54" s="427" t="s">
        <v>344</v>
      </c>
      <c r="C54" s="427"/>
      <c r="D54" s="427"/>
      <c r="E54" s="427"/>
      <c r="F54" s="427"/>
      <c r="G54" s="427"/>
      <c r="H54" s="427"/>
      <c r="I54" s="427"/>
      <c r="J54" s="427"/>
      <c r="K54" s="427"/>
      <c r="L54" s="427"/>
      <c r="M54" s="427"/>
      <c r="N54" s="427"/>
      <c r="O54" s="427"/>
      <c r="P54" s="427"/>
      <c r="Q54" s="427"/>
      <c r="R54" s="427"/>
      <c r="S54" s="427"/>
      <c r="T54" s="427"/>
      <c r="U54" s="427"/>
      <c r="V54" s="427"/>
      <c r="W54" s="8">
        <f>SUM(W53)</f>
        <v>1500</v>
      </c>
    </row>
    <row r="55" spans="1:23" x14ac:dyDescent="0.25">
      <c r="S55" s="421" t="s">
        <v>884</v>
      </c>
      <c r="T55" s="421"/>
      <c r="U55" s="421"/>
      <c r="V55" s="421"/>
      <c r="W55" s="191">
        <f>SUM(W54,W51,W20,W15,W11)</f>
        <v>300035.16000000003</v>
      </c>
    </row>
    <row r="56" spans="1:23" x14ac:dyDescent="0.25">
      <c r="S56" s="421" t="s">
        <v>890</v>
      </c>
      <c r="T56" s="421"/>
      <c r="U56" s="421"/>
      <c r="V56" s="421"/>
      <c r="W56" s="191">
        <f>T14A!AG64</f>
        <v>654309.24580000003</v>
      </c>
    </row>
    <row r="57" spans="1:23" x14ac:dyDescent="0.25">
      <c r="S57" s="421" t="s">
        <v>959</v>
      </c>
      <c r="T57" s="421"/>
      <c r="U57" s="421"/>
      <c r="V57" s="421"/>
      <c r="W57" s="191">
        <f>(W56+W55)*0.2</f>
        <v>190868.88116000002</v>
      </c>
    </row>
    <row r="58" spans="1:23" x14ac:dyDescent="0.25">
      <c r="A58" s="4"/>
      <c r="B58" s="12"/>
      <c r="C58" s="12"/>
      <c r="S58" s="421" t="s">
        <v>885</v>
      </c>
      <c r="T58" s="421"/>
      <c r="U58" s="421"/>
      <c r="V58" s="421"/>
      <c r="W58" s="191">
        <f>W57+W56+W55</f>
        <v>1145213.2869600002</v>
      </c>
    </row>
    <row r="59" spans="1:23" x14ac:dyDescent="0.25">
      <c r="A59" s="4"/>
      <c r="B59" s="12"/>
      <c r="C59" s="12"/>
    </row>
    <row r="60" spans="1:23" x14ac:dyDescent="0.25">
      <c r="A60" s="18"/>
      <c r="B60" s="12"/>
    </row>
    <row r="61" spans="1:23" x14ac:dyDescent="0.25">
      <c r="A61" s="4"/>
    </row>
    <row r="62" spans="1:23" x14ac:dyDescent="0.25">
      <c r="A62" s="18"/>
      <c r="B62" s="12"/>
    </row>
    <row r="63" spans="1:23" x14ac:dyDescent="0.25">
      <c r="A63" s="18"/>
      <c r="B63" s="29"/>
    </row>
    <row r="64" spans="1:23" x14ac:dyDescent="0.25">
      <c r="A64" s="4"/>
    </row>
  </sheetData>
  <mergeCells count="70">
    <mergeCell ref="O27:W27"/>
    <mergeCell ref="O31:W31"/>
    <mergeCell ref="O35:W35"/>
    <mergeCell ref="O40:W40"/>
    <mergeCell ref="O45:W45"/>
    <mergeCell ref="B50:F50"/>
    <mergeCell ref="B46:F46"/>
    <mergeCell ref="B47:F47"/>
    <mergeCell ref="B48:F48"/>
    <mergeCell ref="B49:F49"/>
    <mergeCell ref="B40:F40"/>
    <mergeCell ref="B41:F41"/>
    <mergeCell ref="B42:F42"/>
    <mergeCell ref="B43:F43"/>
    <mergeCell ref="B44:F44"/>
    <mergeCell ref="B35:F35"/>
    <mergeCell ref="B36:F36"/>
    <mergeCell ref="B37:F37"/>
    <mergeCell ref="B38:F38"/>
    <mergeCell ref="B39:F39"/>
    <mergeCell ref="B54:V54"/>
    <mergeCell ref="S55:V55"/>
    <mergeCell ref="S56:V56"/>
    <mergeCell ref="S57:V57"/>
    <mergeCell ref="S58:V58"/>
    <mergeCell ref="B23:F23"/>
    <mergeCell ref="B51:V51"/>
    <mergeCell ref="B52:W52"/>
    <mergeCell ref="B53:F53"/>
    <mergeCell ref="B29:F29"/>
    <mergeCell ref="B30:F30"/>
    <mergeCell ref="B31:F31"/>
    <mergeCell ref="B24:F24"/>
    <mergeCell ref="B25:F25"/>
    <mergeCell ref="B26:F26"/>
    <mergeCell ref="B27:F27"/>
    <mergeCell ref="B28:F28"/>
    <mergeCell ref="B45:F45"/>
    <mergeCell ref="B32:F32"/>
    <mergeCell ref="B33:F33"/>
    <mergeCell ref="B34:F34"/>
    <mergeCell ref="B19:F19"/>
    <mergeCell ref="B20:V20"/>
    <mergeCell ref="B21:W21"/>
    <mergeCell ref="B22:F22"/>
    <mergeCell ref="O22:W22"/>
    <mergeCell ref="B18:F18"/>
    <mergeCell ref="B7:F7"/>
    <mergeCell ref="B8:W8"/>
    <mergeCell ref="B9:F9"/>
    <mergeCell ref="B10:F10"/>
    <mergeCell ref="B11:V11"/>
    <mergeCell ref="B12:W12"/>
    <mergeCell ref="B13:F13"/>
    <mergeCell ref="B14:F14"/>
    <mergeCell ref="B15:V15"/>
    <mergeCell ref="B16:W16"/>
    <mergeCell ref="B17:F17"/>
    <mergeCell ref="P3:P5"/>
    <mergeCell ref="Q3:W3"/>
    <mergeCell ref="H4:M4"/>
    <mergeCell ref="Q4:V4"/>
    <mergeCell ref="W4:W5"/>
    <mergeCell ref="N3:N5"/>
    <mergeCell ref="O3:O5"/>
    <mergeCell ref="B6:F6"/>
    <mergeCell ref="A3:A5"/>
    <mergeCell ref="B3:F5"/>
    <mergeCell ref="G3:G5"/>
    <mergeCell ref="H3:M3"/>
  </mergeCells>
  <phoneticPr fontId="1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D8A1B-3E5E-4C96-896E-D7E12A599555}">
  <dimension ref="A1:V74"/>
  <sheetViews>
    <sheetView zoomScale="70" zoomScaleNormal="70" workbookViewId="0">
      <selection activeCell="B29" sqref="B29:F29"/>
    </sheetView>
  </sheetViews>
  <sheetFormatPr defaultRowHeight="15" x14ac:dyDescent="0.25"/>
  <cols>
    <col min="1" max="1" width="4.5703125" customWidth="1"/>
    <col min="4" max="4" width="29.140625" customWidth="1"/>
    <col min="5" max="5" width="10" customWidth="1"/>
    <col min="6" max="6" width="8.7109375" customWidth="1"/>
    <col min="7" max="7" width="9.42578125" customWidth="1"/>
  </cols>
  <sheetData>
    <row r="1" spans="1:22" ht="15.75" x14ac:dyDescent="0.25">
      <c r="A1" s="72" t="s">
        <v>805</v>
      </c>
    </row>
    <row r="3" spans="1:22" x14ac:dyDescent="0.25">
      <c r="A3" s="268" t="s">
        <v>2</v>
      </c>
      <c r="B3" s="269" t="s">
        <v>443</v>
      </c>
      <c r="C3" s="269"/>
      <c r="D3" s="269"/>
      <c r="E3" s="269"/>
      <c r="F3" s="269"/>
      <c r="G3" s="269" t="s">
        <v>444</v>
      </c>
      <c r="H3" s="269" t="s">
        <v>445</v>
      </c>
      <c r="I3" s="269"/>
      <c r="J3" s="269"/>
      <c r="K3" s="269"/>
      <c r="L3" s="269"/>
      <c r="M3" s="269"/>
      <c r="N3" s="269"/>
      <c r="O3" s="269"/>
      <c r="P3" s="269"/>
      <c r="Q3" s="269"/>
      <c r="R3" s="269"/>
      <c r="S3" s="271" t="s">
        <v>44</v>
      </c>
      <c r="T3" s="173"/>
      <c r="U3" s="173"/>
      <c r="V3" s="173"/>
    </row>
    <row r="4" spans="1:22" x14ac:dyDescent="0.25">
      <c r="A4" s="268"/>
      <c r="B4" s="269"/>
      <c r="C4" s="269"/>
      <c r="D4" s="269"/>
      <c r="E4" s="269"/>
      <c r="F4" s="269"/>
      <c r="G4" s="269"/>
      <c r="H4" s="269" t="s">
        <v>362</v>
      </c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71"/>
      <c r="T4" s="173"/>
      <c r="U4" s="173"/>
      <c r="V4" s="173"/>
    </row>
    <row r="5" spans="1:22" x14ac:dyDescent="0.25">
      <c r="A5" s="268"/>
      <c r="B5" s="269"/>
      <c r="C5" s="269"/>
      <c r="D5" s="269"/>
      <c r="E5" s="269"/>
      <c r="F5" s="269"/>
      <c r="G5" s="269"/>
      <c r="H5" s="6" t="s">
        <v>42</v>
      </c>
      <c r="I5" s="6" t="s">
        <v>249</v>
      </c>
      <c r="J5" s="6" t="s">
        <v>43</v>
      </c>
      <c r="K5" s="6" t="s">
        <v>88</v>
      </c>
      <c r="L5" s="6" t="s">
        <v>89</v>
      </c>
      <c r="M5" s="6" t="s">
        <v>90</v>
      </c>
      <c r="N5" s="6" t="s">
        <v>91</v>
      </c>
      <c r="O5" s="6" t="s">
        <v>92</v>
      </c>
      <c r="P5" s="6" t="s">
        <v>93</v>
      </c>
      <c r="Q5" s="6" t="s">
        <v>94</v>
      </c>
      <c r="R5" s="6" t="s">
        <v>246</v>
      </c>
      <c r="S5" s="271"/>
      <c r="T5" s="173"/>
      <c r="U5" s="111"/>
      <c r="V5" s="173"/>
    </row>
    <row r="6" spans="1:22" x14ac:dyDescent="0.25">
      <c r="A6" s="50" t="s">
        <v>36</v>
      </c>
      <c r="B6" s="270" t="str">
        <f>CHAR(CODE(A6)+1)</f>
        <v>B</v>
      </c>
      <c r="C6" s="270"/>
      <c r="D6" s="270"/>
      <c r="E6" s="270"/>
      <c r="F6" s="270"/>
      <c r="G6" s="50" t="str">
        <f>CHAR(CODE(B6)+1)</f>
        <v>C</v>
      </c>
      <c r="H6" s="50" t="str">
        <f>CHAR(CODE(G6)+1)</f>
        <v>D</v>
      </c>
      <c r="I6" s="50" t="str">
        <f t="shared" ref="I6:S6" si="0">CHAR(CODE(H6)+1)</f>
        <v>E</v>
      </c>
      <c r="J6" s="50" t="str">
        <f t="shared" si="0"/>
        <v>F</v>
      </c>
      <c r="K6" s="50" t="str">
        <f t="shared" si="0"/>
        <v>G</v>
      </c>
      <c r="L6" s="50" t="str">
        <f t="shared" si="0"/>
        <v>H</v>
      </c>
      <c r="M6" s="50" t="str">
        <f t="shared" si="0"/>
        <v>I</v>
      </c>
      <c r="N6" s="50" t="str">
        <f t="shared" si="0"/>
        <v>J</v>
      </c>
      <c r="O6" s="50" t="str">
        <f t="shared" si="0"/>
        <v>K</v>
      </c>
      <c r="P6" s="50" t="str">
        <f t="shared" si="0"/>
        <v>L</v>
      </c>
      <c r="Q6" s="50" t="str">
        <f t="shared" si="0"/>
        <v>M</v>
      </c>
      <c r="R6" s="50" t="str">
        <f t="shared" si="0"/>
        <v>N</v>
      </c>
      <c r="S6" s="50" t="str">
        <f t="shared" si="0"/>
        <v>O</v>
      </c>
      <c r="U6" s="174"/>
    </row>
    <row r="7" spans="1:22" x14ac:dyDescent="0.25">
      <c r="A7" s="167">
        <v>1</v>
      </c>
      <c r="B7" s="260" t="s">
        <v>763</v>
      </c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</row>
    <row r="8" spans="1:22" x14ac:dyDescent="0.25">
      <c r="A8" s="167">
        <f>A7+1</f>
        <v>2</v>
      </c>
      <c r="B8" s="259" t="s">
        <v>806</v>
      </c>
      <c r="C8" s="259"/>
      <c r="D8" s="259"/>
      <c r="E8" s="259"/>
      <c r="F8" s="259"/>
      <c r="G8" s="6" t="s">
        <v>376</v>
      </c>
      <c r="H8" s="13">
        <f>SUMIFS('T8'!$S$9:$S$201,'T8'!$C$9:$C$201,T2A!H5)</f>
        <v>3.9513999999999996</v>
      </c>
      <c r="I8" s="13"/>
      <c r="J8" s="13">
        <f>SUMIFS('T8'!$S$9:$S$201,'T8'!$C$9:$C$201,T2A!J5)</f>
        <v>7.5888000000000018</v>
      </c>
      <c r="K8" s="13">
        <f>SUMIFS('T8'!$S$9:$S$201,'T8'!$C$9:$C$201,T2A!K5)</f>
        <v>1.3423999999999998</v>
      </c>
      <c r="L8" s="13">
        <f>SUMIFS('T8'!$S$9:$S$201,'T8'!$C$9:$C$201,T2A!L5)</f>
        <v>3.6794000000000007</v>
      </c>
      <c r="M8" s="13">
        <f>SUMIFS('T8'!$S$9:$S$201,'T8'!$C$9:$C$201,T2A!M5)</f>
        <v>0.6542</v>
      </c>
      <c r="N8" s="13">
        <f>SUMIFS('T8'!$S$9:$S$201,'T8'!$C$9:$C$201,T2A!N5)</f>
        <v>2.92E-2</v>
      </c>
      <c r="O8" s="13">
        <f>SUMIFS('T8'!$S$9:$S$201,'T8'!$C$9:$C$201,T2A!O5)</f>
        <v>0.37860000000000005</v>
      </c>
      <c r="P8" s="13"/>
      <c r="Q8" s="13">
        <f>SUMIFS('T8'!$S$9:$S$201,'T8'!$C$9:$C$201,T2A!Q5)</f>
        <v>0.16159999999999999</v>
      </c>
      <c r="R8" s="13"/>
      <c r="S8" s="78">
        <f t="shared" ref="S8:S17" si="1">SUM(H8:R8)</f>
        <v>17.785599999999999</v>
      </c>
      <c r="U8" s="111"/>
    </row>
    <row r="9" spans="1:22" x14ac:dyDescent="0.25">
      <c r="A9" s="167">
        <f t="shared" ref="A9:A58" si="2">A8+1</f>
        <v>3</v>
      </c>
      <c r="B9" s="259" t="s">
        <v>807</v>
      </c>
      <c r="C9" s="259"/>
      <c r="D9" s="259"/>
      <c r="E9" s="259"/>
      <c r="F9" s="259"/>
      <c r="G9" s="6" t="s">
        <v>376</v>
      </c>
      <c r="H9" s="13">
        <f>H8</f>
        <v>3.9513999999999996</v>
      </c>
      <c r="I9" s="13"/>
      <c r="J9" s="13">
        <f t="shared" ref="J9:Q9" si="3">J8</f>
        <v>7.5888000000000018</v>
      </c>
      <c r="K9" s="13">
        <f t="shared" si="3"/>
        <v>1.3423999999999998</v>
      </c>
      <c r="L9" s="13">
        <f t="shared" si="3"/>
        <v>3.6794000000000007</v>
      </c>
      <c r="M9" s="13">
        <f t="shared" si="3"/>
        <v>0.6542</v>
      </c>
      <c r="N9" s="13">
        <f t="shared" si="3"/>
        <v>2.92E-2</v>
      </c>
      <c r="O9" s="13">
        <f t="shared" si="3"/>
        <v>0.37860000000000005</v>
      </c>
      <c r="P9" s="13"/>
      <c r="Q9" s="13">
        <f t="shared" si="3"/>
        <v>0.16159999999999999</v>
      </c>
      <c r="R9" s="13"/>
      <c r="S9" s="78">
        <f t="shared" si="1"/>
        <v>17.785599999999999</v>
      </c>
      <c r="U9" s="111"/>
    </row>
    <row r="10" spans="1:22" x14ac:dyDescent="0.25">
      <c r="A10" s="167">
        <f t="shared" si="2"/>
        <v>4</v>
      </c>
      <c r="B10" s="259" t="s">
        <v>808</v>
      </c>
      <c r="C10" s="259"/>
      <c r="D10" s="259"/>
      <c r="E10" s="259"/>
      <c r="F10" s="259"/>
      <c r="G10" s="6" t="s">
        <v>376</v>
      </c>
      <c r="H10" s="13">
        <f>SUMIFS('T8'!$T$9:$T$201,'T8'!$C$9:$C$201,T2A!H5)</f>
        <v>5.0926</v>
      </c>
      <c r="I10" s="13">
        <f>SUMIFS('T8'!$T$9:$T$201,'T8'!$C$9:$C$201,T2A!I5)</f>
        <v>9.4199999999999992E-2</v>
      </c>
      <c r="J10" s="13">
        <f>SUMIFS('T8'!$T$9:$T$201,'T8'!$C$9:$C$201,T2A!J5)</f>
        <v>9.3916000000000022</v>
      </c>
      <c r="K10" s="13">
        <f>SUMIFS('T8'!$T$9:$T$201,'T8'!$C$9:$C$201,T2A!K5)</f>
        <v>7.7519999999999998</v>
      </c>
      <c r="L10" s="13">
        <f>SUMIFS('T8'!$T$9:$T$201,'T8'!$C$9:$C$201,T2A!L5)</f>
        <v>0.24340000000000001</v>
      </c>
      <c r="M10" s="13"/>
      <c r="N10" s="13"/>
      <c r="O10" s="13"/>
      <c r="P10" s="13">
        <f>SUMIFS('T8'!$T$9:$T$201,'T8'!$C$9:$C$201,T2A!P5)</f>
        <v>0.315</v>
      </c>
      <c r="Q10" s="13">
        <f>SUMIFS('T8'!$T$9:$T$201,'T8'!$C$9:$C$201,T2A!Q5)</f>
        <v>0.32319999999999999</v>
      </c>
      <c r="R10" s="13"/>
      <c r="S10" s="78">
        <f t="shared" si="1"/>
        <v>23.212000000000003</v>
      </c>
      <c r="U10" s="111"/>
    </row>
    <row r="11" spans="1:22" x14ac:dyDescent="0.25">
      <c r="A11" s="167">
        <f t="shared" si="2"/>
        <v>5</v>
      </c>
      <c r="B11" s="259" t="s">
        <v>809</v>
      </c>
      <c r="C11" s="259"/>
      <c r="D11" s="259"/>
      <c r="E11" s="259"/>
      <c r="F11" s="259"/>
      <c r="G11" s="6" t="s">
        <v>376</v>
      </c>
      <c r="H11" s="13">
        <f>H10</f>
        <v>5.0926</v>
      </c>
      <c r="I11" s="13">
        <f t="shared" ref="I11:Q11" si="4">I10</f>
        <v>9.4199999999999992E-2</v>
      </c>
      <c r="J11" s="13">
        <f t="shared" si="4"/>
        <v>9.3916000000000022</v>
      </c>
      <c r="K11" s="13">
        <f t="shared" si="4"/>
        <v>7.7519999999999998</v>
      </c>
      <c r="L11" s="13">
        <f t="shared" si="4"/>
        <v>0.24340000000000001</v>
      </c>
      <c r="M11" s="13"/>
      <c r="N11" s="13"/>
      <c r="O11" s="13"/>
      <c r="P11" s="13">
        <f t="shared" si="4"/>
        <v>0.315</v>
      </c>
      <c r="Q11" s="13">
        <f t="shared" si="4"/>
        <v>0.32319999999999999</v>
      </c>
      <c r="R11" s="13"/>
      <c r="S11" s="78">
        <f t="shared" si="1"/>
        <v>23.212000000000003</v>
      </c>
      <c r="U11" s="111"/>
    </row>
    <row r="12" spans="1:22" ht="16.5" customHeight="1" x14ac:dyDescent="0.25">
      <c r="A12" s="167">
        <f t="shared" si="2"/>
        <v>6</v>
      </c>
      <c r="B12" s="259" t="s">
        <v>810</v>
      </c>
      <c r="C12" s="259"/>
      <c r="D12" s="259"/>
      <c r="E12" s="259"/>
      <c r="F12" s="259"/>
      <c r="G12" s="6" t="s">
        <v>376</v>
      </c>
      <c r="H12" s="13">
        <f>SUMIFS('T8'!$U$9:$U$201,'T8'!$C$9:$C$201,T2A!H5)</f>
        <v>3.7412000000000001</v>
      </c>
      <c r="I12" s="13">
        <f>SUMIFS('T8'!$U$9:$U$201,'T8'!$C$9:$C$201,T2A!I5)</f>
        <v>0.18839999999999998</v>
      </c>
      <c r="J12" s="13">
        <f>SUMIFS('T8'!$U$9:$U$201,'T8'!$C$9:$C$201,T2A!J5)</f>
        <v>10.805800000000005</v>
      </c>
      <c r="K12" s="13">
        <f>SUMIFS('T8'!$U$9:$U$201,'T8'!$C$9:$C$201,T2A!K5)</f>
        <v>9.7266000000000012</v>
      </c>
      <c r="L12" s="13">
        <f>SUMIFS('T8'!$U$9:$U$201,'T8'!$C$9:$C$201,T2A!L5)</f>
        <v>1.0468000000000002</v>
      </c>
      <c r="M12" s="13">
        <f>SUMIFS('T8'!$U$9:$U$201,'T8'!$C$9:$C$201,T2A!M5)</f>
        <v>0.2102</v>
      </c>
      <c r="N12" s="13"/>
      <c r="O12" s="13">
        <f>SUMIFS('T8'!$U$9:$U$201,'T8'!$C$9:$C$201,T2A!O5)</f>
        <v>0.12620000000000001</v>
      </c>
      <c r="P12" s="13">
        <f>SUMIFS('T8'!$U$9:$U$201,'T8'!$C$9:$C$201,T2A!P5)</f>
        <v>0.315</v>
      </c>
      <c r="Q12" s="13"/>
      <c r="R12" s="13"/>
      <c r="S12" s="78">
        <f t="shared" si="1"/>
        <v>26.16020000000001</v>
      </c>
      <c r="U12" s="111"/>
    </row>
    <row r="13" spans="1:22" x14ac:dyDescent="0.25">
      <c r="A13" s="167">
        <f t="shared" si="2"/>
        <v>7</v>
      </c>
      <c r="B13" s="259" t="s">
        <v>811</v>
      </c>
      <c r="C13" s="259"/>
      <c r="D13" s="259"/>
      <c r="E13" s="259"/>
      <c r="F13" s="259"/>
      <c r="G13" s="6" t="s">
        <v>376</v>
      </c>
      <c r="H13" s="13">
        <f>H12</f>
        <v>3.7412000000000001</v>
      </c>
      <c r="I13" s="13">
        <f t="shared" ref="I13:P13" si="5">I12</f>
        <v>0.18839999999999998</v>
      </c>
      <c r="J13" s="13">
        <f t="shared" si="5"/>
        <v>10.805800000000005</v>
      </c>
      <c r="K13" s="13">
        <f t="shared" si="5"/>
        <v>9.7266000000000012</v>
      </c>
      <c r="L13" s="13">
        <f t="shared" si="5"/>
        <v>1.0468000000000002</v>
      </c>
      <c r="M13" s="13">
        <f t="shared" si="5"/>
        <v>0.2102</v>
      </c>
      <c r="N13" s="13"/>
      <c r="O13" s="13">
        <f t="shared" si="5"/>
        <v>0.12620000000000001</v>
      </c>
      <c r="P13" s="13">
        <f t="shared" si="5"/>
        <v>0.315</v>
      </c>
      <c r="Q13" s="13"/>
      <c r="R13" s="13"/>
      <c r="S13" s="78">
        <f t="shared" si="1"/>
        <v>26.16020000000001</v>
      </c>
      <c r="U13" s="111"/>
    </row>
    <row r="14" spans="1:22" x14ac:dyDescent="0.25">
      <c r="A14" s="167">
        <f t="shared" si="2"/>
        <v>8</v>
      </c>
      <c r="B14" s="259" t="s">
        <v>812</v>
      </c>
      <c r="C14" s="259"/>
      <c r="D14" s="259"/>
      <c r="E14" s="259"/>
      <c r="F14" s="259"/>
      <c r="G14" s="6" t="s">
        <v>376</v>
      </c>
      <c r="H14" s="13">
        <f>SUMIFS('T8'!$V$9:$V$201,'T8'!$C$9:$C$201,T2A!H5)</f>
        <v>2.7393999999999998</v>
      </c>
      <c r="I14" s="13">
        <f>SUMIFS('T8'!$V$9:$V$201,'T8'!$C$9:$C$201,T2A!I5)</f>
        <v>0.18839999999999998</v>
      </c>
      <c r="J14" s="13">
        <f>SUMIFS('T8'!$V$9:$V$201,'T8'!$C$9:$C$201,T2A!J5)</f>
        <v>5.9811999999999967</v>
      </c>
      <c r="K14" s="13">
        <f>SUMIFS('T8'!$V$9:$V$201,'T8'!$C$9:$C$201,T2A!K5)</f>
        <v>4.764800000000001</v>
      </c>
      <c r="L14" s="13"/>
      <c r="M14" s="13"/>
      <c r="N14" s="13"/>
      <c r="O14" s="13"/>
      <c r="P14" s="13"/>
      <c r="Q14" s="13"/>
      <c r="R14" s="13"/>
      <c r="S14" s="78">
        <f t="shared" si="1"/>
        <v>13.673799999999998</v>
      </c>
      <c r="U14" s="111"/>
    </row>
    <row r="15" spans="1:22" x14ac:dyDescent="0.25">
      <c r="A15" s="167">
        <f t="shared" si="2"/>
        <v>9</v>
      </c>
      <c r="B15" s="259" t="s">
        <v>813</v>
      </c>
      <c r="C15" s="259"/>
      <c r="D15" s="259"/>
      <c r="E15" s="259"/>
      <c r="F15" s="259"/>
      <c r="G15" s="6" t="s">
        <v>376</v>
      </c>
      <c r="H15" s="13">
        <f>H14</f>
        <v>2.7393999999999998</v>
      </c>
      <c r="I15" s="13">
        <f t="shared" ref="I15:K15" si="6">I14</f>
        <v>0.18839999999999998</v>
      </c>
      <c r="J15" s="13">
        <f t="shared" si="6"/>
        <v>5.9811999999999967</v>
      </c>
      <c r="K15" s="13">
        <f t="shared" si="6"/>
        <v>4.764800000000001</v>
      </c>
      <c r="L15" s="13"/>
      <c r="M15" s="13"/>
      <c r="N15" s="13"/>
      <c r="O15" s="13"/>
      <c r="P15" s="13"/>
      <c r="Q15" s="13"/>
      <c r="R15" s="13"/>
      <c r="S15" s="78">
        <f t="shared" si="1"/>
        <v>13.673799999999998</v>
      </c>
      <c r="U15" s="111"/>
    </row>
    <row r="16" spans="1:22" ht="17.25" customHeight="1" x14ac:dyDescent="0.25">
      <c r="A16" s="167">
        <f t="shared" si="2"/>
        <v>10</v>
      </c>
      <c r="B16" s="259" t="s">
        <v>814</v>
      </c>
      <c r="C16" s="259"/>
      <c r="D16" s="259"/>
      <c r="E16" s="259"/>
      <c r="F16" s="259"/>
      <c r="G16" s="6" t="s">
        <v>376</v>
      </c>
      <c r="H16" s="13">
        <f>H8+H10+H12+H14</f>
        <v>15.5246</v>
      </c>
      <c r="I16" s="13">
        <f t="shared" ref="I16:Q16" si="7">I8+I10+I12+I14</f>
        <v>0.47099999999999997</v>
      </c>
      <c r="J16" s="13">
        <f t="shared" si="7"/>
        <v>33.767400000000002</v>
      </c>
      <c r="K16" s="13">
        <f t="shared" si="7"/>
        <v>23.585800000000003</v>
      </c>
      <c r="L16" s="13">
        <f t="shared" si="7"/>
        <v>4.9696000000000007</v>
      </c>
      <c r="M16" s="13">
        <f t="shared" si="7"/>
        <v>0.86440000000000006</v>
      </c>
      <c r="N16" s="13">
        <f>N8+N10+N12+N14</f>
        <v>2.92E-2</v>
      </c>
      <c r="O16" s="13">
        <f t="shared" si="7"/>
        <v>0.50480000000000003</v>
      </c>
      <c r="P16" s="13">
        <f t="shared" si="7"/>
        <v>0.63</v>
      </c>
      <c r="Q16" s="13">
        <f t="shared" si="7"/>
        <v>0.48480000000000001</v>
      </c>
      <c r="R16" s="13"/>
      <c r="S16" s="78">
        <f t="shared" si="1"/>
        <v>80.831600000000023</v>
      </c>
      <c r="U16" s="111"/>
    </row>
    <row r="17" spans="1:22" ht="17.25" customHeight="1" x14ac:dyDescent="0.25">
      <c r="A17" s="167">
        <f t="shared" si="2"/>
        <v>11</v>
      </c>
      <c r="B17" s="259" t="s">
        <v>815</v>
      </c>
      <c r="C17" s="259"/>
      <c r="D17" s="259"/>
      <c r="E17" s="259"/>
      <c r="F17" s="259"/>
      <c r="G17" s="6" t="s">
        <v>34</v>
      </c>
      <c r="H17" s="6">
        <f>SUMIFS('T8'!$Z$9:$Z$201,'T8'!$C$9:$C$201,T2A!H5)</f>
        <v>2</v>
      </c>
      <c r="I17" s="6"/>
      <c r="J17" s="6"/>
      <c r="K17" s="6"/>
      <c r="L17" s="6"/>
      <c r="M17" s="6"/>
      <c r="N17" s="6"/>
      <c r="O17" s="6"/>
      <c r="P17" s="6"/>
      <c r="Q17" s="6">
        <f>SUMIFS('T8'!$Z$9:$Z$201,'T8'!$C$9:$C$201,T2A!Q5)</f>
        <v>1</v>
      </c>
      <c r="R17" s="6">
        <f>SUMIFS('T8'!$Z$9:$Z$201,'T8'!$C$9:$C$201,T2A!R5)</f>
        <v>2</v>
      </c>
      <c r="S17" s="8">
        <f t="shared" si="1"/>
        <v>5</v>
      </c>
      <c r="U17" s="111"/>
    </row>
    <row r="18" spans="1:22" x14ac:dyDescent="0.25">
      <c r="A18" s="167">
        <f t="shared" si="2"/>
        <v>12</v>
      </c>
      <c r="B18" s="260" t="s">
        <v>816</v>
      </c>
      <c r="C18" s="260"/>
      <c r="D18" s="260"/>
      <c r="E18" s="260"/>
      <c r="F18" s="260"/>
      <c r="G18" s="260"/>
      <c r="H18" s="260"/>
      <c r="I18" s="260"/>
      <c r="J18" s="260"/>
      <c r="K18" s="260"/>
      <c r="L18" s="260"/>
      <c r="M18" s="260"/>
      <c r="N18" s="260"/>
      <c r="O18" s="260"/>
      <c r="P18" s="260"/>
      <c r="Q18" s="260"/>
      <c r="R18" s="260"/>
      <c r="S18" s="260"/>
    </row>
    <row r="19" spans="1:22" x14ac:dyDescent="0.25">
      <c r="A19" s="167">
        <f t="shared" si="2"/>
        <v>13</v>
      </c>
      <c r="B19" s="226" t="s">
        <v>843</v>
      </c>
      <c r="C19" s="226"/>
      <c r="D19" s="226"/>
      <c r="E19" s="146" t="s">
        <v>563</v>
      </c>
      <c r="F19" s="146" t="s">
        <v>567</v>
      </c>
      <c r="G19" s="6" t="s">
        <v>31</v>
      </c>
      <c r="H19" s="8"/>
      <c r="I19" s="8">
        <f>SUMIFS('T8'!$F$9:$F$201,'T8'!$E$9:$E$201,T2A!$E$19,'T8'!$C$9:$C$201,T2A!I5)+SUMIFS('T8'!$F$9:$F$201,'T8'!$E$9:$E$201,T2A!$F$19,'T8'!$C$9:$C$201,T2A!I5)</f>
        <v>145</v>
      </c>
      <c r="J19" s="8"/>
      <c r="K19" s="8"/>
      <c r="L19" s="8"/>
      <c r="M19" s="8">
        <f>SUMIFS('T8'!$F$9:$F$201,'T8'!$E$9:$E$201,T2A!$E$19,'T8'!$C$9:$C$201,T2A!M5)+SUMIFS('T8'!$F$9:$F$201,'T8'!$E$9:$E$201,T2A!$F$19,'T8'!$C$9:$C$201,T2A!M5)</f>
        <v>765</v>
      </c>
      <c r="N19" s="8"/>
      <c r="O19" s="8">
        <f>SUMIFS('T8'!$F$9:$F$201,'T8'!$E$9:$E$201,T2A!$E$19,'T8'!$C$9:$C$201,T2A!O5)+SUMIFS('T8'!$F$9:$F$201,'T8'!$E$9:$E$201,T2A!$F$19,'T8'!$C$9:$C$201,T2A!O5)</f>
        <v>63</v>
      </c>
      <c r="P19" s="8"/>
      <c r="Q19" s="8"/>
      <c r="R19" s="8"/>
      <c r="S19" s="8">
        <f>SUM(H19:R19)</f>
        <v>973</v>
      </c>
    </row>
    <row r="20" spans="1:22" x14ac:dyDescent="0.25">
      <c r="A20" s="167">
        <f t="shared" si="2"/>
        <v>14</v>
      </c>
      <c r="B20" s="267" t="s">
        <v>817</v>
      </c>
      <c r="C20" s="267"/>
      <c r="D20" s="267"/>
      <c r="E20" s="267"/>
      <c r="F20" s="267"/>
      <c r="G20" s="6" t="s">
        <v>447</v>
      </c>
      <c r="H20" s="70">
        <f>SUMIFS('T8'!$M$9:$M$201,'T8'!$C$9:$C$201,T2A!H5)</f>
        <v>17832.899999999998</v>
      </c>
      <c r="I20" s="70">
        <f>SUMIFS('T8'!$M$9:$M$201,'T8'!$C$9:$C$201,T2A!I5)</f>
        <v>666.7</v>
      </c>
      <c r="J20" s="70">
        <f>SUMIFS('T8'!$M$9:$M$201,'T8'!$C$9:$C$201,T2A!J5)-'T12'!O12</f>
        <v>39398.900000000009</v>
      </c>
      <c r="K20" s="70">
        <f>SUMIFS('T8'!$M$9:$M$201,'T8'!$C$9:$C$201,T2A!K5)</f>
        <v>28409.8</v>
      </c>
      <c r="L20" s="70">
        <f>SUMIFS('T8'!$M$9:$M$201,'T8'!$C$9:$C$201,T2A!L5)</f>
        <v>12180.6</v>
      </c>
      <c r="M20" s="70">
        <f>SUMIFS('T8'!$M$9:$M$201,'T8'!$C$9:$C$201,T2A!M5)</f>
        <v>2849.5</v>
      </c>
      <c r="N20" s="70">
        <f>SUMIFS('T8'!$M$9:$M$201,'T8'!$C$9:$C$201,T2A!N5)</f>
        <v>73</v>
      </c>
      <c r="O20" s="70">
        <f>SUMIFS('T8'!$M$9:$M$201,'T8'!$C$9:$C$201,T2A!O5)</f>
        <v>1394.7</v>
      </c>
      <c r="P20" s="70">
        <f>SUMIFS('T8'!$M$9:$M$201,'T8'!$C$9:$C$201,T2A!P5)</f>
        <v>262.5</v>
      </c>
      <c r="Q20" s="70">
        <f>SUMIFS('T8'!$M$9:$M$201,'T8'!$C$9:$C$201,T2A!Q5)</f>
        <v>404</v>
      </c>
      <c r="R20" s="70"/>
      <c r="S20" s="102">
        <f>SUM(H20:R20)</f>
        <v>103472.6</v>
      </c>
      <c r="V20" s="172"/>
    </row>
    <row r="21" spans="1:22" ht="26.25" customHeight="1" x14ac:dyDescent="0.25">
      <c r="A21" s="167">
        <f t="shared" si="2"/>
        <v>15</v>
      </c>
      <c r="B21" s="255" t="s">
        <v>818</v>
      </c>
      <c r="C21" s="255"/>
      <c r="D21" s="255"/>
      <c r="E21" s="255"/>
      <c r="F21" s="255"/>
      <c r="G21" s="6" t="s">
        <v>447</v>
      </c>
      <c r="H21" s="70">
        <f>H20*0.1</f>
        <v>1783.29</v>
      </c>
      <c r="I21" s="70">
        <f t="shared" ref="I21:Q21" si="8">I20*0.1</f>
        <v>66.67</v>
      </c>
      <c r="J21" s="70">
        <f t="shared" si="8"/>
        <v>3939.8900000000012</v>
      </c>
      <c r="K21" s="70">
        <f t="shared" si="8"/>
        <v>2840.98</v>
      </c>
      <c r="L21" s="70">
        <f t="shared" si="8"/>
        <v>1218.0600000000002</v>
      </c>
      <c r="M21" s="70">
        <f t="shared" si="8"/>
        <v>284.95</v>
      </c>
      <c r="N21" s="70">
        <f t="shared" si="8"/>
        <v>7.3000000000000007</v>
      </c>
      <c r="O21" s="70">
        <f t="shared" si="8"/>
        <v>139.47</v>
      </c>
      <c r="P21" s="70">
        <f t="shared" si="8"/>
        <v>26.25</v>
      </c>
      <c r="Q21" s="70">
        <f t="shared" si="8"/>
        <v>40.400000000000006</v>
      </c>
      <c r="R21" s="70"/>
      <c r="S21" s="102">
        <f>SUM(H21:R21)</f>
        <v>10347.26</v>
      </c>
    </row>
    <row r="22" spans="1:22" ht="24.75" customHeight="1" x14ac:dyDescent="0.25">
      <c r="A22" s="167">
        <f t="shared" si="2"/>
        <v>16</v>
      </c>
      <c r="B22" s="255" t="s">
        <v>819</v>
      </c>
      <c r="C22" s="255"/>
      <c r="D22" s="255"/>
      <c r="E22" s="255"/>
      <c r="F22" s="255"/>
      <c r="G22" s="6" t="s">
        <v>447</v>
      </c>
      <c r="H22" s="6"/>
      <c r="I22" s="6"/>
      <c r="J22" s="6"/>
      <c r="K22" s="6"/>
      <c r="L22" s="70">
        <f>T2B!I9*0.1</f>
        <v>601</v>
      </c>
      <c r="M22" s="70">
        <f>T2B!J9*0.1</f>
        <v>137.6</v>
      </c>
      <c r="N22" s="70">
        <f>T2B!K9*0.1</f>
        <v>9.4</v>
      </c>
      <c r="O22" s="70">
        <f>T2B!L9*0.1</f>
        <v>76.5</v>
      </c>
      <c r="P22" s="6"/>
      <c r="Q22" s="6"/>
      <c r="R22" s="6"/>
      <c r="S22" s="102">
        <f>SUM(H22:R22)</f>
        <v>824.5</v>
      </c>
    </row>
    <row r="23" spans="1:22" ht="15.75" customHeight="1" x14ac:dyDescent="0.25">
      <c r="A23" s="167">
        <f t="shared" si="2"/>
        <v>17</v>
      </c>
      <c r="B23" s="255" t="s">
        <v>820</v>
      </c>
      <c r="C23" s="255"/>
      <c r="D23" s="255"/>
      <c r="E23" s="255"/>
      <c r="F23" s="255"/>
      <c r="G23" s="6" t="s">
        <v>447</v>
      </c>
      <c r="H23" s="70">
        <f>SUMIFS('T8'!$P$9:$P$201,'T8'!$C$9:$C$201,T2A!H5)</f>
        <v>10699.739999999998</v>
      </c>
      <c r="I23" s="70">
        <f>SUMIFS('T8'!$P$9:$P$201,'T8'!$C$9:$C$201,T2A!I5)</f>
        <v>300.83999999999997</v>
      </c>
      <c r="J23" s="70">
        <f>SUMIFS('T8'!$P$9:$P$201,'T8'!$C$9:$C$201,T2A!J5)</f>
        <v>24453.659999999989</v>
      </c>
      <c r="K23" s="70">
        <f>SUMIFS('T8'!$P$9:$P$201,'T8'!$C$9:$C$201,T2A!K5)</f>
        <v>17045.88</v>
      </c>
      <c r="L23" s="70">
        <f>SUMIFS('T8'!$P$9:$P$201,'T8'!$C$9:$C$201,T2A!L5)</f>
        <v>7308.36</v>
      </c>
      <c r="M23" s="70">
        <f>SUMIFS('T8'!$P$9:$P$201,'T8'!$C$9:$C$201,T2A!M5)</f>
        <v>1186.44</v>
      </c>
      <c r="N23" s="70">
        <f>SUMIFS('T8'!$P$9:$P$201,'T8'!$C$9:$C$201,T2A!N5)</f>
        <v>43.8</v>
      </c>
      <c r="O23" s="70">
        <f>SUMIFS('T8'!$P$9:$P$201,'T8'!$C$9:$C$201,T2A!O5)</f>
        <v>793.72799999999995</v>
      </c>
      <c r="P23" s="70">
        <f>SUMIFS('T8'!$P$9:$P$201,'T8'!$C$9:$C$201,T2A!P5)</f>
        <v>157.5</v>
      </c>
      <c r="Q23" s="70">
        <f>SUMIFS('T8'!$P$9:$P$201,'T8'!$C$9:$C$201,T2A!Q5)</f>
        <v>242.39999999999998</v>
      </c>
      <c r="R23" s="70"/>
      <c r="S23" s="102">
        <f>SUM(H23:R23)</f>
        <v>62232.348000000005</v>
      </c>
      <c r="U23" s="170"/>
    </row>
    <row r="24" spans="1:22" x14ac:dyDescent="0.25">
      <c r="A24" s="167">
        <f t="shared" si="2"/>
        <v>18</v>
      </c>
      <c r="B24" s="260" t="s">
        <v>822</v>
      </c>
      <c r="C24" s="260"/>
      <c r="D24" s="260"/>
      <c r="E24" s="260"/>
      <c r="F24" s="260"/>
      <c r="G24" s="260"/>
      <c r="H24" s="260"/>
      <c r="I24" s="260"/>
      <c r="J24" s="260"/>
      <c r="K24" s="260"/>
      <c r="L24" s="260"/>
      <c r="M24" s="260"/>
      <c r="N24" s="260"/>
      <c r="O24" s="260"/>
      <c r="P24" s="260"/>
      <c r="Q24" s="260"/>
      <c r="R24" s="260"/>
      <c r="S24" s="260"/>
    </row>
    <row r="25" spans="1:22" x14ac:dyDescent="0.25">
      <c r="A25" s="167">
        <f t="shared" si="2"/>
        <v>19</v>
      </c>
      <c r="B25" s="255" t="s">
        <v>821</v>
      </c>
      <c r="C25" s="255"/>
      <c r="D25" s="255"/>
      <c r="E25" s="255"/>
      <c r="F25" s="255"/>
      <c r="G25" s="6" t="s">
        <v>34</v>
      </c>
      <c r="H25" s="160">
        <f>'T10'!F41</f>
        <v>16</v>
      </c>
      <c r="I25" s="160"/>
      <c r="J25" s="160">
        <f>'T10'!H41</f>
        <v>60</v>
      </c>
      <c r="K25" s="160">
        <f>'T10'!I41</f>
        <v>35</v>
      </c>
      <c r="L25" s="160">
        <f>'T10'!J41</f>
        <v>10</v>
      </c>
      <c r="M25" s="160">
        <f>'T10'!K41</f>
        <v>2</v>
      </c>
      <c r="N25" s="160"/>
      <c r="O25" s="160"/>
      <c r="P25" s="160">
        <f>'T10'!N41</f>
        <v>1</v>
      </c>
      <c r="Q25" s="160">
        <f>'T10'!O41</f>
        <v>2</v>
      </c>
      <c r="R25" s="160"/>
      <c r="S25" s="102">
        <f>SUM(H25:R25)</f>
        <v>126</v>
      </c>
    </row>
    <row r="26" spans="1:22" x14ac:dyDescent="0.25">
      <c r="A26" s="167">
        <f t="shared" si="2"/>
        <v>20</v>
      </c>
      <c r="B26" s="256" t="s">
        <v>844</v>
      </c>
      <c r="C26" s="257"/>
      <c r="D26" s="257"/>
      <c r="E26" s="257"/>
      <c r="F26" s="258"/>
      <c r="G26" s="6" t="s">
        <v>34</v>
      </c>
      <c r="H26" s="160">
        <f>H25</f>
        <v>16</v>
      </c>
      <c r="I26" s="160"/>
      <c r="J26" s="160">
        <f t="shared" ref="J26:Q26" si="9">J25</f>
        <v>60</v>
      </c>
      <c r="K26" s="160">
        <f t="shared" si="9"/>
        <v>35</v>
      </c>
      <c r="L26" s="160">
        <f t="shared" si="9"/>
        <v>10</v>
      </c>
      <c r="M26" s="160">
        <f t="shared" si="9"/>
        <v>2</v>
      </c>
      <c r="N26" s="160"/>
      <c r="O26" s="160"/>
      <c r="P26" s="160">
        <f t="shared" si="9"/>
        <v>1</v>
      </c>
      <c r="Q26" s="160">
        <f t="shared" si="9"/>
        <v>2</v>
      </c>
      <c r="R26" s="160"/>
      <c r="S26" s="102">
        <f t="shared" ref="S26:S50" si="10">SUM(H26:R26)</f>
        <v>126</v>
      </c>
    </row>
    <row r="27" spans="1:22" x14ac:dyDescent="0.25">
      <c r="A27" s="167">
        <f t="shared" si="2"/>
        <v>21</v>
      </c>
      <c r="B27" s="226" t="s">
        <v>823</v>
      </c>
      <c r="C27" s="226"/>
      <c r="D27" s="226"/>
      <c r="E27" s="226"/>
      <c r="F27" s="226"/>
      <c r="G27" s="6" t="s">
        <v>34</v>
      </c>
      <c r="H27" s="6">
        <f>SUM('T10'!F25:F33)</f>
        <v>12</v>
      </c>
      <c r="I27" s="6">
        <f>SUM('T10'!G25:G33)</f>
        <v>2</v>
      </c>
      <c r="J27" s="6">
        <f>SUM('T10'!H25:H33)</f>
        <v>41</v>
      </c>
      <c r="K27" s="6">
        <f>SUM('T10'!I25:I33)</f>
        <v>22</v>
      </c>
      <c r="L27" s="6">
        <f>SUM('T10'!J25:J33)</f>
        <v>30</v>
      </c>
      <c r="M27" s="6">
        <f>SUM('T10'!K25:K33)</f>
        <v>4</v>
      </c>
      <c r="N27" s="6">
        <f>SUM('T10'!L25:L33)</f>
        <v>1</v>
      </c>
      <c r="O27" s="6">
        <f>SUM('T10'!M25:M33)</f>
        <v>4</v>
      </c>
      <c r="P27" s="6">
        <f>SUM('T10'!N25:N33)</f>
        <v>2</v>
      </c>
      <c r="Q27" s="6"/>
      <c r="R27" s="6">
        <f>SUM('T10'!P25:P33)</f>
        <v>1</v>
      </c>
      <c r="S27" s="102">
        <f t="shared" si="10"/>
        <v>119</v>
      </c>
    </row>
    <row r="28" spans="1:22" ht="26.25" customHeight="1" x14ac:dyDescent="0.25">
      <c r="A28" s="167">
        <f t="shared" si="2"/>
        <v>22</v>
      </c>
      <c r="B28" s="259" t="s">
        <v>824</v>
      </c>
      <c r="C28" s="259"/>
      <c r="D28" s="259"/>
      <c r="E28" s="259"/>
      <c r="F28" s="259"/>
      <c r="G28" s="6" t="s">
        <v>31</v>
      </c>
      <c r="H28" s="6">
        <f>SUM('T10'!F16)</f>
        <v>122</v>
      </c>
      <c r="I28" s="6"/>
      <c r="J28" s="6">
        <f>SUM('T10'!H16)</f>
        <v>320</v>
      </c>
      <c r="K28" s="6">
        <f>SUM('T10'!I16)</f>
        <v>160</v>
      </c>
      <c r="L28" s="6">
        <f>SUM('T10'!J16)</f>
        <v>204</v>
      </c>
      <c r="M28" s="6">
        <f>SUM('T10'!K16)</f>
        <v>20</v>
      </c>
      <c r="N28" s="6">
        <f>SUM('T10'!L16)</f>
        <v>12</v>
      </c>
      <c r="O28" s="6">
        <f>SUM('T10'!M16)</f>
        <v>48</v>
      </c>
      <c r="P28" s="6"/>
      <c r="Q28" s="6"/>
      <c r="R28" s="6">
        <f>SUM('T10'!P16)</f>
        <v>10</v>
      </c>
      <c r="S28" s="102">
        <f t="shared" si="10"/>
        <v>896</v>
      </c>
    </row>
    <row r="29" spans="1:22" ht="28.5" customHeight="1" x14ac:dyDescent="0.25">
      <c r="A29" s="167">
        <f t="shared" si="2"/>
        <v>23</v>
      </c>
      <c r="B29" s="259" t="s">
        <v>825</v>
      </c>
      <c r="C29" s="259"/>
      <c r="D29" s="259"/>
      <c r="E29" s="259"/>
      <c r="F29" s="259"/>
      <c r="G29" s="6" t="s">
        <v>31</v>
      </c>
      <c r="H29" s="6"/>
      <c r="I29" s="6">
        <f>'T10'!G17</f>
        <v>20</v>
      </c>
      <c r="J29" s="6">
        <f>'T10'!H17</f>
        <v>10</v>
      </c>
      <c r="K29" s="6">
        <f>'T10'!I17</f>
        <v>50</v>
      </c>
      <c r="L29" s="6">
        <f>'T10'!J17</f>
        <v>47</v>
      </c>
      <c r="M29" s="6">
        <f>'T10'!K17</f>
        <v>22</v>
      </c>
      <c r="N29" s="6"/>
      <c r="O29" s="6"/>
      <c r="P29" s="6"/>
      <c r="Q29" s="6"/>
      <c r="R29" s="6"/>
      <c r="S29" s="102">
        <f t="shared" si="10"/>
        <v>149</v>
      </c>
    </row>
    <row r="30" spans="1:22" ht="27" customHeight="1" x14ac:dyDescent="0.25">
      <c r="A30" s="167">
        <f>A29+1</f>
        <v>24</v>
      </c>
      <c r="B30" s="259" t="s">
        <v>845</v>
      </c>
      <c r="C30" s="259"/>
      <c r="D30" s="259"/>
      <c r="E30" s="259"/>
      <c r="F30" s="259"/>
      <c r="G30" s="6" t="s">
        <v>31</v>
      </c>
      <c r="H30" s="6"/>
      <c r="I30" s="6"/>
      <c r="J30" s="6">
        <f>'T10'!H18</f>
        <v>30</v>
      </c>
      <c r="K30" s="6">
        <f>'T10'!I18</f>
        <v>10</v>
      </c>
      <c r="L30" s="6">
        <f>'T10'!J18</f>
        <v>20</v>
      </c>
      <c r="M30" s="6"/>
      <c r="N30" s="6"/>
      <c r="O30" s="6"/>
      <c r="P30" s="6"/>
      <c r="Q30" s="6"/>
      <c r="R30" s="6"/>
      <c r="S30" s="102">
        <f t="shared" si="10"/>
        <v>60</v>
      </c>
    </row>
    <row r="31" spans="1:22" ht="28.5" customHeight="1" x14ac:dyDescent="0.25">
      <c r="A31" s="167">
        <f t="shared" si="2"/>
        <v>25</v>
      </c>
      <c r="B31" s="259" t="s">
        <v>826</v>
      </c>
      <c r="C31" s="259"/>
      <c r="D31" s="259"/>
      <c r="E31" s="259"/>
      <c r="F31" s="259"/>
      <c r="G31" s="6" t="s">
        <v>31</v>
      </c>
      <c r="H31" s="6"/>
      <c r="I31" s="6"/>
      <c r="J31" s="6"/>
      <c r="K31" s="6"/>
      <c r="L31" s="6">
        <f>'T10'!J19</f>
        <v>72</v>
      </c>
      <c r="M31" s="6"/>
      <c r="N31" s="6"/>
      <c r="O31" s="6"/>
      <c r="P31" s="6">
        <f>'T10'!N19</f>
        <v>20</v>
      </c>
      <c r="Q31" s="6"/>
      <c r="R31" s="6"/>
      <c r="S31" s="102">
        <f t="shared" si="10"/>
        <v>92</v>
      </c>
    </row>
    <row r="32" spans="1:22" ht="28.5" customHeight="1" x14ac:dyDescent="0.25">
      <c r="A32" s="167">
        <f t="shared" si="2"/>
        <v>26</v>
      </c>
      <c r="B32" s="259" t="s">
        <v>847</v>
      </c>
      <c r="C32" s="259"/>
      <c r="D32" s="259"/>
      <c r="E32" s="259"/>
      <c r="F32" s="259"/>
      <c r="G32" s="6" t="s">
        <v>31</v>
      </c>
      <c r="H32" s="6"/>
      <c r="I32" s="6"/>
      <c r="J32" s="6">
        <f>'T10'!H20</f>
        <v>10</v>
      </c>
      <c r="K32" s="6"/>
      <c r="L32" s="6"/>
      <c r="M32" s="6"/>
      <c r="N32" s="6"/>
      <c r="O32" s="6"/>
      <c r="P32" s="6"/>
      <c r="Q32" s="6"/>
      <c r="R32" s="6"/>
      <c r="S32" s="102">
        <f t="shared" si="10"/>
        <v>10</v>
      </c>
    </row>
    <row r="33" spans="1:21" ht="28.5" customHeight="1" x14ac:dyDescent="0.25">
      <c r="A33" s="167">
        <f t="shared" si="2"/>
        <v>27</v>
      </c>
      <c r="B33" s="259" t="s">
        <v>846</v>
      </c>
      <c r="C33" s="259"/>
      <c r="D33" s="259"/>
      <c r="E33" s="259"/>
      <c r="F33" s="259"/>
      <c r="G33" s="6" t="s">
        <v>31</v>
      </c>
      <c r="H33" s="6"/>
      <c r="I33" s="6"/>
      <c r="J33" s="6">
        <f>'T10'!H21</f>
        <v>40</v>
      </c>
      <c r="K33" s="6"/>
      <c r="L33" s="6"/>
      <c r="M33" s="6"/>
      <c r="N33" s="6"/>
      <c r="O33" s="6"/>
      <c r="P33" s="6"/>
      <c r="Q33" s="6"/>
      <c r="R33" s="6"/>
      <c r="S33" s="102">
        <f t="shared" si="10"/>
        <v>40</v>
      </c>
      <c r="U33" s="172"/>
    </row>
    <row r="34" spans="1:21" x14ac:dyDescent="0.25">
      <c r="A34" s="167">
        <f t="shared" si="2"/>
        <v>28</v>
      </c>
      <c r="B34" s="259" t="s">
        <v>827</v>
      </c>
      <c r="C34" s="259"/>
      <c r="D34" s="259"/>
      <c r="E34" s="259"/>
      <c r="F34" s="259"/>
      <c r="G34" s="6" t="s">
        <v>453</v>
      </c>
      <c r="H34" s="6">
        <f>'T10'!F25</f>
        <v>10</v>
      </c>
      <c r="I34" s="6"/>
      <c r="J34" s="6">
        <f>'T10'!H25</f>
        <v>32</v>
      </c>
      <c r="K34" s="6">
        <f>'T10'!I25</f>
        <v>16</v>
      </c>
      <c r="L34" s="6"/>
      <c r="M34" s="6"/>
      <c r="N34" s="6"/>
      <c r="O34" s="6"/>
      <c r="P34" s="6"/>
      <c r="Q34" s="6"/>
      <c r="R34" s="6">
        <f>'T10'!P25</f>
        <v>1</v>
      </c>
      <c r="S34" s="102">
        <f t="shared" si="10"/>
        <v>59</v>
      </c>
      <c r="T34" s="172"/>
    </row>
    <row r="35" spans="1:21" x14ac:dyDescent="0.25">
      <c r="A35" s="167">
        <f t="shared" si="2"/>
        <v>29</v>
      </c>
      <c r="B35" s="259" t="s">
        <v>828</v>
      </c>
      <c r="C35" s="259"/>
      <c r="D35" s="259"/>
      <c r="E35" s="259"/>
      <c r="F35" s="259"/>
      <c r="G35" s="6" t="s">
        <v>453</v>
      </c>
      <c r="H35" s="6">
        <f>'T10'!F26</f>
        <v>2</v>
      </c>
      <c r="I35" s="6"/>
      <c r="J35" s="6"/>
      <c r="K35" s="6"/>
      <c r="L35" s="6">
        <f>'T10'!J26</f>
        <v>16</v>
      </c>
      <c r="M35" s="6">
        <f>'T10'!K26</f>
        <v>2</v>
      </c>
      <c r="N35" s="6">
        <f>'T10'!L26</f>
        <v>1</v>
      </c>
      <c r="O35" s="6">
        <f>'T10'!M26</f>
        <v>4</v>
      </c>
      <c r="P35" s="6"/>
      <c r="Q35" s="6"/>
      <c r="R35" s="6"/>
      <c r="S35" s="102">
        <f t="shared" si="10"/>
        <v>25</v>
      </c>
    </row>
    <row r="36" spans="1:21" x14ac:dyDescent="0.25">
      <c r="A36" s="167">
        <f t="shared" si="2"/>
        <v>30</v>
      </c>
      <c r="B36" s="259" t="s">
        <v>830</v>
      </c>
      <c r="C36" s="259"/>
      <c r="D36" s="259"/>
      <c r="E36" s="259"/>
      <c r="F36" s="259"/>
      <c r="G36" s="6" t="s">
        <v>453</v>
      </c>
      <c r="H36" s="6"/>
      <c r="I36" s="6"/>
      <c r="J36" s="6"/>
      <c r="K36" s="6"/>
      <c r="L36" s="6">
        <f>'T10'!J27</f>
        <v>1</v>
      </c>
      <c r="M36" s="6"/>
      <c r="N36" s="6"/>
      <c r="O36" s="6"/>
      <c r="P36" s="6"/>
      <c r="Q36" s="6"/>
      <c r="R36" s="6"/>
      <c r="S36" s="102">
        <f t="shared" si="10"/>
        <v>1</v>
      </c>
    </row>
    <row r="37" spans="1:21" x14ac:dyDescent="0.25">
      <c r="A37" s="167">
        <f t="shared" si="2"/>
        <v>31</v>
      </c>
      <c r="B37" s="259" t="s">
        <v>829</v>
      </c>
      <c r="C37" s="259"/>
      <c r="D37" s="259"/>
      <c r="E37" s="259"/>
      <c r="F37" s="259"/>
      <c r="G37" s="6" t="s">
        <v>453</v>
      </c>
      <c r="H37" s="6"/>
      <c r="I37" s="6">
        <f>'T10'!G28</f>
        <v>2</v>
      </c>
      <c r="J37" s="6">
        <f>'T10'!H28</f>
        <v>1</v>
      </c>
      <c r="K37" s="6">
        <f>'T10'!I28</f>
        <v>5</v>
      </c>
      <c r="L37" s="6">
        <f>'T10'!J28</f>
        <v>2</v>
      </c>
      <c r="M37" s="6">
        <f>'T10'!K28</f>
        <v>2</v>
      </c>
      <c r="N37" s="6"/>
      <c r="O37" s="6"/>
      <c r="P37" s="6"/>
      <c r="Q37" s="6"/>
      <c r="R37" s="6"/>
      <c r="S37" s="102">
        <f t="shared" si="10"/>
        <v>12</v>
      </c>
    </row>
    <row r="38" spans="1:21" x14ac:dyDescent="0.25">
      <c r="A38" s="167">
        <f t="shared" si="2"/>
        <v>32</v>
      </c>
      <c r="B38" s="259" t="s">
        <v>831</v>
      </c>
      <c r="C38" s="259"/>
      <c r="D38" s="259"/>
      <c r="E38" s="259"/>
      <c r="F38" s="259"/>
      <c r="G38" s="6" t="s">
        <v>453</v>
      </c>
      <c r="H38" s="6"/>
      <c r="I38" s="6"/>
      <c r="J38" s="6"/>
      <c r="K38" s="6"/>
      <c r="L38" s="6">
        <f>'T10'!J29</f>
        <v>2</v>
      </c>
      <c r="M38" s="6"/>
      <c r="N38" s="6"/>
      <c r="O38" s="6"/>
      <c r="P38" s="6"/>
      <c r="Q38" s="6"/>
      <c r="R38" s="6"/>
      <c r="S38" s="102">
        <f t="shared" si="10"/>
        <v>2</v>
      </c>
    </row>
    <row r="39" spans="1:21" ht="15" customHeight="1" x14ac:dyDescent="0.25">
      <c r="A39" s="167">
        <f t="shared" si="2"/>
        <v>33</v>
      </c>
      <c r="B39" s="264" t="s">
        <v>848</v>
      </c>
      <c r="C39" s="265"/>
      <c r="D39" s="265"/>
      <c r="E39" s="265"/>
      <c r="F39" s="266"/>
      <c r="G39" s="6" t="s">
        <v>453</v>
      </c>
      <c r="H39" s="6"/>
      <c r="I39" s="6"/>
      <c r="J39" s="6">
        <f>'T10'!H30</f>
        <v>3</v>
      </c>
      <c r="K39" s="6">
        <f>'T10'!I30</f>
        <v>1</v>
      </c>
      <c r="L39" s="6">
        <f>'T10'!J30</f>
        <v>2</v>
      </c>
      <c r="M39" s="6"/>
      <c r="N39" s="6"/>
      <c r="O39" s="6"/>
      <c r="P39" s="6">
        <f>'T10'!N30</f>
        <v>0</v>
      </c>
      <c r="Q39" s="6"/>
      <c r="R39" s="6"/>
      <c r="S39" s="102">
        <f t="shared" si="10"/>
        <v>6</v>
      </c>
    </row>
    <row r="40" spans="1:21" x14ac:dyDescent="0.25">
      <c r="A40" s="167">
        <f t="shared" si="2"/>
        <v>34</v>
      </c>
      <c r="B40" s="264" t="s">
        <v>832</v>
      </c>
      <c r="C40" s="265"/>
      <c r="D40" s="265"/>
      <c r="E40" s="265"/>
      <c r="F40" s="266"/>
      <c r="G40" s="6" t="s">
        <v>453</v>
      </c>
      <c r="H40" s="6"/>
      <c r="I40" s="6"/>
      <c r="J40" s="6"/>
      <c r="K40" s="6"/>
      <c r="L40" s="6">
        <f>'T10'!J31</f>
        <v>7</v>
      </c>
      <c r="M40" s="6"/>
      <c r="N40" s="6"/>
      <c r="O40" s="6"/>
      <c r="P40" s="6">
        <f>'T10'!N31</f>
        <v>2</v>
      </c>
      <c r="Q40" s="6"/>
      <c r="R40" s="6"/>
      <c r="S40" s="102">
        <f t="shared" si="10"/>
        <v>9</v>
      </c>
    </row>
    <row r="41" spans="1:21" x14ac:dyDescent="0.25">
      <c r="A41" s="167">
        <f t="shared" si="2"/>
        <v>35</v>
      </c>
      <c r="B41" s="264" t="s">
        <v>849</v>
      </c>
      <c r="C41" s="265"/>
      <c r="D41" s="265"/>
      <c r="E41" s="265"/>
      <c r="F41" s="266"/>
      <c r="G41" s="6" t="s">
        <v>453</v>
      </c>
      <c r="H41" s="6"/>
      <c r="I41" s="6"/>
      <c r="J41" s="6">
        <f>'T10'!H32</f>
        <v>1</v>
      </c>
      <c r="K41" s="6"/>
      <c r="L41" s="6"/>
      <c r="M41" s="6"/>
      <c r="N41" s="6"/>
      <c r="O41" s="6"/>
      <c r="P41" s="6"/>
      <c r="Q41" s="6"/>
      <c r="R41" s="6"/>
      <c r="S41" s="102">
        <f t="shared" si="10"/>
        <v>1</v>
      </c>
    </row>
    <row r="42" spans="1:21" x14ac:dyDescent="0.25">
      <c r="A42" s="167">
        <f t="shared" si="2"/>
        <v>36</v>
      </c>
      <c r="B42" s="264" t="s">
        <v>850</v>
      </c>
      <c r="C42" s="265"/>
      <c r="D42" s="265"/>
      <c r="E42" s="265"/>
      <c r="F42" s="266"/>
      <c r="G42" s="6" t="s">
        <v>453</v>
      </c>
      <c r="H42" s="6"/>
      <c r="I42" s="6"/>
      <c r="J42" s="6">
        <f>'T10'!H33</f>
        <v>4</v>
      </c>
      <c r="K42" s="6"/>
      <c r="L42" s="6"/>
      <c r="M42" s="6"/>
      <c r="N42" s="6"/>
      <c r="O42" s="6"/>
      <c r="P42" s="6"/>
      <c r="Q42" s="6"/>
      <c r="R42" s="6"/>
      <c r="S42" s="102">
        <f t="shared" si="10"/>
        <v>4</v>
      </c>
    </row>
    <row r="43" spans="1:21" x14ac:dyDescent="0.25">
      <c r="A43" s="167">
        <f t="shared" si="2"/>
        <v>37</v>
      </c>
      <c r="B43" s="259" t="s">
        <v>836</v>
      </c>
      <c r="C43" s="259"/>
      <c r="D43" s="259"/>
      <c r="E43" s="259"/>
      <c r="F43" s="259"/>
      <c r="G43" s="6" t="s">
        <v>447</v>
      </c>
      <c r="H43" s="70">
        <f>'T10'!F35</f>
        <v>9</v>
      </c>
      <c r="I43" s="70"/>
      <c r="J43" s="70"/>
      <c r="K43" s="70"/>
      <c r="L43" s="70">
        <f>'T10'!J35</f>
        <v>23.4</v>
      </c>
      <c r="M43" s="70"/>
      <c r="N43" s="70"/>
      <c r="O43" s="70"/>
      <c r="P43" s="70"/>
      <c r="Q43" s="70"/>
      <c r="R43" s="70"/>
      <c r="S43" s="102">
        <f t="shared" si="10"/>
        <v>32.4</v>
      </c>
    </row>
    <row r="44" spans="1:21" x14ac:dyDescent="0.25">
      <c r="A44" s="167">
        <f t="shared" si="2"/>
        <v>38</v>
      </c>
      <c r="B44" s="259" t="s">
        <v>834</v>
      </c>
      <c r="C44" s="259"/>
      <c r="D44" s="259"/>
      <c r="E44" s="259"/>
      <c r="F44" s="259"/>
      <c r="G44" s="6" t="s">
        <v>447</v>
      </c>
      <c r="H44" s="70">
        <f>'T10'!F36</f>
        <v>42</v>
      </c>
      <c r="I44" s="70"/>
      <c r="J44" s="70">
        <f>'T10'!H36</f>
        <v>176</v>
      </c>
      <c r="K44" s="70">
        <f>'T10'!I36</f>
        <v>120</v>
      </c>
      <c r="L44" s="70">
        <f>'T10'!J36</f>
        <v>253</v>
      </c>
      <c r="M44" s="70">
        <f>'T10'!K36</f>
        <v>42</v>
      </c>
      <c r="N44" s="70">
        <f>'T10'!L36</f>
        <v>12</v>
      </c>
      <c r="O44" s="70">
        <f>'T10'!M36</f>
        <v>38</v>
      </c>
      <c r="P44" s="70">
        <f>'T10'!N36</f>
        <v>10</v>
      </c>
      <c r="Q44" s="70"/>
      <c r="R44" s="70">
        <f>'T10'!P36</f>
        <v>10</v>
      </c>
      <c r="S44" s="102">
        <f t="shared" si="10"/>
        <v>703</v>
      </c>
    </row>
    <row r="45" spans="1:21" x14ac:dyDescent="0.25">
      <c r="A45" s="167">
        <f t="shared" si="2"/>
        <v>39</v>
      </c>
      <c r="B45" s="259" t="s">
        <v>833</v>
      </c>
      <c r="C45" s="259"/>
      <c r="D45" s="259"/>
      <c r="E45" s="259"/>
      <c r="F45" s="259"/>
      <c r="G45" s="6" t="s">
        <v>447</v>
      </c>
      <c r="H45" s="70">
        <f>'T10'!F37</f>
        <v>122</v>
      </c>
      <c r="I45" s="70">
        <f>'T10'!G37</f>
        <v>20</v>
      </c>
      <c r="J45" s="70">
        <f>'T10'!H37</f>
        <v>410</v>
      </c>
      <c r="K45" s="70">
        <f>'T10'!I37</f>
        <v>220</v>
      </c>
      <c r="L45" s="70">
        <f>'T10'!J37</f>
        <v>343</v>
      </c>
      <c r="M45" s="70">
        <f>'T10'!K37</f>
        <v>42</v>
      </c>
      <c r="N45" s="70">
        <f>'T10'!L37</f>
        <v>12</v>
      </c>
      <c r="O45" s="70">
        <f>'T10'!M37</f>
        <v>48</v>
      </c>
      <c r="P45" s="70">
        <f>'T10'!N37</f>
        <v>20</v>
      </c>
      <c r="Q45" s="70"/>
      <c r="R45" s="70">
        <f>'T10'!P37</f>
        <v>10</v>
      </c>
      <c r="S45" s="102">
        <f t="shared" si="10"/>
        <v>1247</v>
      </c>
    </row>
    <row r="46" spans="1:21" x14ac:dyDescent="0.25">
      <c r="A46" s="167">
        <f>A45+1</f>
        <v>40</v>
      </c>
      <c r="B46" s="259" t="s">
        <v>837</v>
      </c>
      <c r="C46" s="259"/>
      <c r="D46" s="259"/>
      <c r="E46" s="259"/>
      <c r="F46" s="259"/>
      <c r="G46" s="6" t="s">
        <v>34</v>
      </c>
      <c r="H46" s="70">
        <f>'T10'!F38</f>
        <v>2</v>
      </c>
      <c r="I46" s="70"/>
      <c r="J46" s="70"/>
      <c r="K46" s="70"/>
      <c r="L46" s="70">
        <f>'T10'!J38</f>
        <v>24</v>
      </c>
      <c r="M46" s="70">
        <f>'T10'!K38</f>
        <v>2</v>
      </c>
      <c r="N46" s="70">
        <f>'T10'!L38</f>
        <v>2</v>
      </c>
      <c r="O46" s="70">
        <f>'T10'!M38</f>
        <v>4</v>
      </c>
      <c r="P46" s="70"/>
      <c r="Q46" s="70"/>
      <c r="R46" s="70">
        <f>'T10'!P38</f>
        <v>0</v>
      </c>
      <c r="S46" s="102">
        <f t="shared" si="10"/>
        <v>34</v>
      </c>
    </row>
    <row r="47" spans="1:21" x14ac:dyDescent="0.25">
      <c r="A47" s="167">
        <f t="shared" si="2"/>
        <v>41</v>
      </c>
      <c r="B47" s="259" t="s">
        <v>835</v>
      </c>
      <c r="C47" s="259"/>
      <c r="D47" s="259"/>
      <c r="E47" s="259"/>
      <c r="F47" s="259"/>
      <c r="G47" s="6" t="s">
        <v>31</v>
      </c>
      <c r="H47" s="70">
        <f>'T10'!F39</f>
        <v>122</v>
      </c>
      <c r="I47" s="70"/>
      <c r="J47" s="70">
        <f>'T10'!H39</f>
        <v>250</v>
      </c>
      <c r="K47" s="70">
        <f>'T10'!I39</f>
        <v>40</v>
      </c>
      <c r="L47" s="70">
        <f>'T10'!J39</f>
        <v>34</v>
      </c>
      <c r="M47" s="70"/>
      <c r="N47" s="70"/>
      <c r="O47" s="70"/>
      <c r="P47" s="70"/>
      <c r="Q47" s="70"/>
      <c r="R47" s="70"/>
      <c r="S47" s="102">
        <f t="shared" si="10"/>
        <v>446</v>
      </c>
    </row>
    <row r="48" spans="1:21" x14ac:dyDescent="0.25">
      <c r="A48" s="167">
        <f t="shared" si="2"/>
        <v>42</v>
      </c>
      <c r="B48" s="259" t="s">
        <v>854</v>
      </c>
      <c r="C48" s="259"/>
      <c r="D48" s="259"/>
      <c r="E48" s="259"/>
      <c r="F48" s="259"/>
      <c r="G48" s="6" t="s">
        <v>31</v>
      </c>
      <c r="H48" s="6">
        <f>'T10'!F8</f>
        <v>32</v>
      </c>
      <c r="I48" s="6"/>
      <c r="J48" s="6">
        <f>'T10'!H8</f>
        <v>142</v>
      </c>
      <c r="K48" s="6">
        <f>'T10'!I8</f>
        <v>92</v>
      </c>
      <c r="L48" s="6">
        <f>'T10'!J8</f>
        <v>203</v>
      </c>
      <c r="M48" s="6">
        <f>'T10'!K8</f>
        <v>44</v>
      </c>
      <c r="N48" s="6">
        <f>'T10'!L8</f>
        <v>12</v>
      </c>
      <c r="O48" s="6">
        <f>'T10'!M8</f>
        <v>32</v>
      </c>
      <c r="P48" s="6">
        <f>'T10'!N8</f>
        <v>10</v>
      </c>
      <c r="Q48" s="6"/>
      <c r="R48" s="6">
        <f>'T10'!P8</f>
        <v>8</v>
      </c>
      <c r="S48" s="102">
        <f t="shared" si="10"/>
        <v>575</v>
      </c>
    </row>
    <row r="49" spans="1:19" x14ac:dyDescent="0.25">
      <c r="A49" s="167">
        <f t="shared" si="2"/>
        <v>43</v>
      </c>
      <c r="B49" s="259" t="s">
        <v>838</v>
      </c>
      <c r="C49" s="259"/>
      <c r="D49" s="259"/>
      <c r="E49" s="259"/>
      <c r="F49" s="259"/>
      <c r="G49" s="6" t="s">
        <v>447</v>
      </c>
      <c r="H49" s="6">
        <f>'T10'!F9</f>
        <v>2</v>
      </c>
      <c r="I49" s="6"/>
      <c r="J49" s="6"/>
      <c r="K49" s="6"/>
      <c r="L49" s="6">
        <f>'T10'!J9</f>
        <v>22</v>
      </c>
      <c r="M49" s="6"/>
      <c r="N49" s="6"/>
      <c r="O49" s="6"/>
      <c r="P49" s="6"/>
      <c r="Q49" s="6"/>
      <c r="R49" s="6"/>
      <c r="S49" s="102">
        <f t="shared" si="10"/>
        <v>24</v>
      </c>
    </row>
    <row r="50" spans="1:19" x14ac:dyDescent="0.25">
      <c r="A50" s="167">
        <f t="shared" si="2"/>
        <v>44</v>
      </c>
      <c r="B50" s="259" t="s">
        <v>855</v>
      </c>
      <c r="C50" s="259"/>
      <c r="D50" s="259"/>
      <c r="E50" s="259"/>
      <c r="F50" s="259"/>
      <c r="G50" s="6" t="s">
        <v>31</v>
      </c>
      <c r="H50" s="6">
        <f>'T10'!F23</f>
        <v>39</v>
      </c>
      <c r="I50" s="6"/>
      <c r="J50" s="6">
        <f>'T10'!H23</f>
        <v>166</v>
      </c>
      <c r="K50" s="6">
        <f>'T10'!I23</f>
        <v>38</v>
      </c>
      <c r="L50" s="6">
        <f>'T10'!J23</f>
        <v>15</v>
      </c>
      <c r="M50" s="6"/>
      <c r="N50" s="6"/>
      <c r="O50" s="6"/>
      <c r="P50" s="6"/>
      <c r="Q50" s="6">
        <f>'T10'!O23</f>
        <v>10</v>
      </c>
      <c r="R50" s="6"/>
      <c r="S50" s="102">
        <f t="shared" si="10"/>
        <v>268</v>
      </c>
    </row>
    <row r="51" spans="1:19" x14ac:dyDescent="0.25">
      <c r="A51" s="167">
        <f t="shared" si="2"/>
        <v>45</v>
      </c>
      <c r="B51" s="263" t="s">
        <v>839</v>
      </c>
      <c r="C51" s="263"/>
      <c r="D51" s="263"/>
      <c r="E51" s="263"/>
      <c r="F51" s="263"/>
      <c r="G51" s="263"/>
      <c r="H51" s="263"/>
      <c r="I51" s="263"/>
      <c r="J51" s="263"/>
      <c r="K51" s="263"/>
      <c r="L51" s="263"/>
      <c r="M51" s="263"/>
      <c r="N51" s="263"/>
      <c r="O51" s="263"/>
      <c r="P51" s="263"/>
      <c r="Q51" s="263"/>
      <c r="R51" s="263"/>
      <c r="S51" s="263"/>
    </row>
    <row r="52" spans="1:19" x14ac:dyDescent="0.25">
      <c r="A52" s="167">
        <f t="shared" si="2"/>
        <v>46</v>
      </c>
      <c r="B52" s="262" t="s">
        <v>840</v>
      </c>
      <c r="C52" s="262"/>
      <c r="D52" s="262"/>
      <c r="E52" s="262"/>
      <c r="F52" s="262"/>
      <c r="G52" s="67" t="s">
        <v>34</v>
      </c>
      <c r="H52" s="67"/>
      <c r="I52" s="67"/>
      <c r="J52" s="67">
        <v>2</v>
      </c>
      <c r="K52" s="67"/>
      <c r="L52" s="67"/>
      <c r="M52" s="67"/>
      <c r="N52" s="67"/>
      <c r="O52" s="67"/>
      <c r="P52" s="67"/>
      <c r="Q52" s="67"/>
      <c r="R52" s="67"/>
      <c r="S52" s="135">
        <f t="shared" ref="S52:S55" si="11">SUM(H52:R52)</f>
        <v>2</v>
      </c>
    </row>
    <row r="53" spans="1:19" x14ac:dyDescent="0.25">
      <c r="A53" s="167">
        <f t="shared" si="2"/>
        <v>47</v>
      </c>
      <c r="B53" s="262" t="s">
        <v>841</v>
      </c>
      <c r="C53" s="262"/>
      <c r="D53" s="262"/>
      <c r="E53" s="262"/>
      <c r="F53" s="262"/>
      <c r="G53" s="67" t="s">
        <v>447</v>
      </c>
      <c r="H53" s="67"/>
      <c r="I53" s="67"/>
      <c r="J53" s="165">
        <f>'T12'!O12</f>
        <v>1357.1999999999998</v>
      </c>
      <c r="K53" s="67"/>
      <c r="L53" s="67"/>
      <c r="M53" s="67"/>
      <c r="N53" s="67"/>
      <c r="O53" s="67"/>
      <c r="P53" s="67"/>
      <c r="Q53" s="67"/>
      <c r="R53" s="67"/>
      <c r="S53" s="135">
        <f t="shared" si="11"/>
        <v>1357.1999999999998</v>
      </c>
    </row>
    <row r="54" spans="1:19" x14ac:dyDescent="0.25">
      <c r="A54" s="167">
        <f t="shared" si="2"/>
        <v>48</v>
      </c>
      <c r="B54" s="262" t="s">
        <v>820</v>
      </c>
      <c r="C54" s="262"/>
      <c r="D54" s="262"/>
      <c r="E54" s="262"/>
      <c r="F54" s="262"/>
      <c r="G54" s="67" t="s">
        <v>447</v>
      </c>
      <c r="H54" s="67"/>
      <c r="I54" s="165"/>
      <c r="J54" s="165">
        <f>J53*0.6</f>
        <v>814.31999999999982</v>
      </c>
      <c r="K54" s="67"/>
      <c r="L54" s="67"/>
      <c r="M54" s="67"/>
      <c r="N54" s="67"/>
      <c r="O54" s="67"/>
      <c r="P54" s="67"/>
      <c r="Q54" s="67"/>
      <c r="R54" s="67"/>
      <c r="S54" s="135">
        <f t="shared" si="11"/>
        <v>814.31999999999982</v>
      </c>
    </row>
    <row r="55" spans="1:19" x14ac:dyDescent="0.25">
      <c r="A55" s="167">
        <f t="shared" si="2"/>
        <v>49</v>
      </c>
      <c r="B55" s="262" t="s">
        <v>934</v>
      </c>
      <c r="C55" s="262"/>
      <c r="D55" s="262"/>
      <c r="E55" s="262"/>
      <c r="F55" s="262"/>
      <c r="G55" s="67" t="s">
        <v>447</v>
      </c>
      <c r="H55" s="67"/>
      <c r="I55" s="67"/>
      <c r="J55" s="165">
        <f>J53*0.1</f>
        <v>135.72</v>
      </c>
      <c r="K55" s="67"/>
      <c r="L55" s="67"/>
      <c r="M55" s="67"/>
      <c r="N55" s="67"/>
      <c r="O55" s="67"/>
      <c r="P55" s="67"/>
      <c r="Q55" s="67"/>
      <c r="R55" s="67"/>
      <c r="S55" s="135">
        <f t="shared" si="11"/>
        <v>135.72</v>
      </c>
    </row>
    <row r="56" spans="1:19" x14ac:dyDescent="0.25">
      <c r="A56" s="167">
        <f t="shared" si="2"/>
        <v>50</v>
      </c>
      <c r="B56" s="260" t="s">
        <v>842</v>
      </c>
      <c r="C56" s="260"/>
      <c r="D56" s="260"/>
      <c r="E56" s="260"/>
      <c r="F56" s="260"/>
      <c r="G56" s="260"/>
      <c r="H56" s="260"/>
      <c r="I56" s="260"/>
      <c r="J56" s="260"/>
      <c r="K56" s="260"/>
      <c r="L56" s="260"/>
      <c r="M56" s="260"/>
      <c r="N56" s="260"/>
      <c r="O56" s="260"/>
      <c r="P56" s="260"/>
      <c r="Q56" s="260"/>
      <c r="R56" s="260"/>
      <c r="S56" s="260"/>
    </row>
    <row r="57" spans="1:19" ht="18.75" customHeight="1" x14ac:dyDescent="0.25">
      <c r="A57" s="167">
        <f t="shared" si="2"/>
        <v>51</v>
      </c>
      <c r="B57" s="261" t="s">
        <v>772</v>
      </c>
      <c r="C57" s="261"/>
      <c r="D57" s="261"/>
      <c r="E57" s="261"/>
      <c r="F57" s="261"/>
      <c r="G57" s="167" t="s">
        <v>773</v>
      </c>
      <c r="H57" s="146">
        <v>1</v>
      </c>
      <c r="I57" s="146">
        <v>1</v>
      </c>
      <c r="J57" s="146">
        <v>1</v>
      </c>
      <c r="K57" s="146">
        <v>1</v>
      </c>
      <c r="L57" s="146">
        <v>1</v>
      </c>
      <c r="M57" s="146">
        <v>1</v>
      </c>
      <c r="N57" s="146">
        <v>1</v>
      </c>
      <c r="O57" s="146">
        <v>1</v>
      </c>
      <c r="P57" s="146">
        <v>1</v>
      </c>
      <c r="Q57" s="146">
        <v>1</v>
      </c>
      <c r="R57" s="146">
        <v>1</v>
      </c>
      <c r="S57" s="102">
        <f>SUM(H57:R57)</f>
        <v>11</v>
      </c>
    </row>
    <row r="58" spans="1:19" ht="26.25" customHeight="1" x14ac:dyDescent="0.25">
      <c r="A58" s="167">
        <f t="shared" si="2"/>
        <v>52</v>
      </c>
      <c r="B58" s="261" t="s">
        <v>864</v>
      </c>
      <c r="C58" s="261"/>
      <c r="D58" s="261"/>
      <c r="E58" s="261"/>
      <c r="F58" s="261"/>
      <c r="G58" s="167" t="s">
        <v>34</v>
      </c>
      <c r="H58" s="146">
        <f>'T13'!D7</f>
        <v>6</v>
      </c>
      <c r="I58" s="146">
        <f>'T13'!E7</f>
        <v>1</v>
      </c>
      <c r="J58" s="146">
        <f>'T13'!F7</f>
        <v>3</v>
      </c>
      <c r="K58" s="146"/>
      <c r="L58" s="146">
        <f>'T13'!H7</f>
        <v>1</v>
      </c>
      <c r="M58" s="146"/>
      <c r="N58" s="146"/>
      <c r="O58" s="146"/>
      <c r="P58" s="146">
        <f>'T13'!L7</f>
        <v>1</v>
      </c>
      <c r="Q58" s="146"/>
      <c r="R58" s="146"/>
      <c r="S58" s="102">
        <f>SUM(H58:R58)</f>
        <v>12</v>
      </c>
    </row>
    <row r="59" spans="1:19" ht="15" customHeight="1" x14ac:dyDescent="0.25">
      <c r="A59" s="83"/>
      <c r="B59" s="175"/>
      <c r="C59" s="175"/>
      <c r="D59" s="175"/>
      <c r="E59" s="175"/>
      <c r="F59" s="175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176"/>
    </row>
    <row r="60" spans="1:19" x14ac:dyDescent="0.25">
      <c r="A60" s="12" t="s">
        <v>9</v>
      </c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</row>
    <row r="61" spans="1:19" x14ac:dyDescent="0.25">
      <c r="A61" s="18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</row>
    <row r="62" spans="1:19" x14ac:dyDescent="0.25">
      <c r="A62" s="18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</row>
    <row r="63" spans="1:19" x14ac:dyDescent="0.25">
      <c r="A63" s="18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</row>
    <row r="64" spans="1:19" x14ac:dyDescent="0.25">
      <c r="A64" s="18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</row>
    <row r="65" spans="1:19" x14ac:dyDescent="0.25">
      <c r="A65" s="1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</row>
    <row r="66" spans="1:19" x14ac:dyDescent="0.25">
      <c r="A66" s="18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</row>
    <row r="67" spans="1:19" x14ac:dyDescent="0.25">
      <c r="A67" s="18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</row>
    <row r="68" spans="1:19" x14ac:dyDescent="0.25">
      <c r="A68" s="18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</row>
    <row r="69" spans="1:19" x14ac:dyDescent="0.25">
      <c r="A69" s="18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</row>
    <row r="70" spans="1:19" x14ac:dyDescent="0.25">
      <c r="A70" s="18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</row>
    <row r="71" spans="1:19" x14ac:dyDescent="0.25">
      <c r="A71" s="18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</row>
    <row r="72" spans="1:19" x14ac:dyDescent="0.25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</row>
    <row r="73" spans="1:19" x14ac:dyDescent="0.25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</row>
    <row r="74" spans="1:19" x14ac:dyDescent="0.25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</row>
  </sheetData>
  <mergeCells count="59">
    <mergeCell ref="S3:S5"/>
    <mergeCell ref="H4:R4"/>
    <mergeCell ref="B43:F43"/>
    <mergeCell ref="B58:F58"/>
    <mergeCell ref="B11:F11"/>
    <mergeCell ref="B7:S7"/>
    <mergeCell ref="B8:F8"/>
    <mergeCell ref="B9:F9"/>
    <mergeCell ref="B10:F10"/>
    <mergeCell ref="B12:F12"/>
    <mergeCell ref="B13:F13"/>
    <mergeCell ref="B14:F14"/>
    <mergeCell ref="B15:F15"/>
    <mergeCell ref="B16:F16"/>
    <mergeCell ref="B21:F21"/>
    <mergeCell ref="B22:F22"/>
    <mergeCell ref="A3:A5"/>
    <mergeCell ref="B3:F5"/>
    <mergeCell ref="G3:G5"/>
    <mergeCell ref="H3:R3"/>
    <mergeCell ref="B6:F6"/>
    <mergeCell ref="B23:F23"/>
    <mergeCell ref="B24:S24"/>
    <mergeCell ref="B17:F17"/>
    <mergeCell ref="B18:S18"/>
    <mergeCell ref="B20:F20"/>
    <mergeCell ref="B19:D19"/>
    <mergeCell ref="B45:F45"/>
    <mergeCell ref="B44:F44"/>
    <mergeCell ref="B27:F27"/>
    <mergeCell ref="B28:F28"/>
    <mergeCell ref="B29:F29"/>
    <mergeCell ref="B34:F34"/>
    <mergeCell ref="B35:F35"/>
    <mergeCell ref="B41:F41"/>
    <mergeCell ref="B42:F42"/>
    <mergeCell ref="B37:F37"/>
    <mergeCell ref="B38:F38"/>
    <mergeCell ref="B56:S56"/>
    <mergeCell ref="B57:F57"/>
    <mergeCell ref="B55:F55"/>
    <mergeCell ref="B33:F33"/>
    <mergeCell ref="B51:S51"/>
    <mergeCell ref="B52:F52"/>
    <mergeCell ref="B53:F53"/>
    <mergeCell ref="B54:F54"/>
    <mergeCell ref="B47:F47"/>
    <mergeCell ref="B46:F46"/>
    <mergeCell ref="B48:F48"/>
    <mergeCell ref="B49:F49"/>
    <mergeCell ref="B50:F50"/>
    <mergeCell ref="B36:F36"/>
    <mergeCell ref="B39:F39"/>
    <mergeCell ref="B40:F40"/>
    <mergeCell ref="B25:F25"/>
    <mergeCell ref="B26:F26"/>
    <mergeCell ref="B30:F30"/>
    <mergeCell ref="B31:F31"/>
    <mergeCell ref="B32:F32"/>
  </mergeCells>
  <phoneticPr fontId="1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51AC7-12F4-401C-BC53-6A0CFAAD0C3B}">
  <dimension ref="A1:W70"/>
  <sheetViews>
    <sheetView topLeftCell="A19" zoomScale="70" zoomScaleNormal="70" workbookViewId="0">
      <selection activeCell="B16" sqref="B16:F16"/>
    </sheetView>
  </sheetViews>
  <sheetFormatPr defaultRowHeight="15" x14ac:dyDescent="0.25"/>
  <cols>
    <col min="1" max="1" width="4.85546875" customWidth="1"/>
    <col min="6" max="6" width="54.42578125" customWidth="1"/>
    <col min="7" max="7" width="8.140625" customWidth="1"/>
  </cols>
  <sheetData>
    <row r="1" spans="1:23" ht="15.75" x14ac:dyDescent="0.25">
      <c r="A1" s="72" t="s">
        <v>762</v>
      </c>
    </row>
    <row r="2" spans="1:23" x14ac:dyDescent="0.25">
      <c r="N2" s="111"/>
    </row>
    <row r="3" spans="1:23" x14ac:dyDescent="0.25">
      <c r="A3" s="274" t="s">
        <v>2</v>
      </c>
      <c r="B3" s="275" t="s">
        <v>443</v>
      </c>
      <c r="C3" s="275"/>
      <c r="D3" s="275"/>
      <c r="E3" s="275"/>
      <c r="F3" s="275"/>
      <c r="G3" s="275" t="s">
        <v>444</v>
      </c>
      <c r="H3" s="275" t="s">
        <v>445</v>
      </c>
      <c r="I3" s="275"/>
      <c r="J3" s="275"/>
      <c r="K3" s="275"/>
      <c r="L3" s="275"/>
      <c r="M3" s="275"/>
      <c r="N3" s="276" t="s">
        <v>44</v>
      </c>
    </row>
    <row r="4" spans="1:23" x14ac:dyDescent="0.25">
      <c r="A4" s="274"/>
      <c r="B4" s="275"/>
      <c r="C4" s="275"/>
      <c r="D4" s="275"/>
      <c r="E4" s="275"/>
      <c r="F4" s="275"/>
      <c r="G4" s="275"/>
      <c r="H4" s="275" t="s">
        <v>362</v>
      </c>
      <c r="I4" s="275"/>
      <c r="J4" s="275"/>
      <c r="K4" s="275"/>
      <c r="L4" s="275"/>
      <c r="M4" s="275"/>
      <c r="N4" s="276"/>
    </row>
    <row r="5" spans="1:23" x14ac:dyDescent="0.25">
      <c r="A5" s="274"/>
      <c r="B5" s="275"/>
      <c r="C5" s="275"/>
      <c r="D5" s="275"/>
      <c r="E5" s="275"/>
      <c r="F5" s="275"/>
      <c r="G5" s="275"/>
      <c r="H5" s="67" t="s">
        <v>364</v>
      </c>
      <c r="I5" s="67" t="s">
        <v>368</v>
      </c>
      <c r="J5" s="67" t="s">
        <v>369</v>
      </c>
      <c r="K5" s="67" t="s">
        <v>370</v>
      </c>
      <c r="L5" s="67" t="s">
        <v>92</v>
      </c>
      <c r="M5" s="67" t="s">
        <v>93</v>
      </c>
      <c r="N5" s="276"/>
    </row>
    <row r="6" spans="1:23" x14ac:dyDescent="0.25">
      <c r="A6" s="160" t="s">
        <v>36</v>
      </c>
      <c r="B6" s="277" t="str">
        <f>CHAR(CODE(A6)+1)</f>
        <v>B</v>
      </c>
      <c r="C6" s="277"/>
      <c r="D6" s="277"/>
      <c r="E6" s="277"/>
      <c r="F6" s="277"/>
      <c r="G6" s="160" t="str">
        <f>CHAR(CODE(B6)+1)</f>
        <v>C</v>
      </c>
      <c r="H6" s="160" t="str">
        <f>CHAR(CODE(G6)+1)</f>
        <v>D</v>
      </c>
      <c r="I6" s="160" t="str">
        <f t="shared" ref="I6:N6" si="0">CHAR(CODE(H6)+1)</f>
        <v>E</v>
      </c>
      <c r="J6" s="160" t="str">
        <f t="shared" si="0"/>
        <v>F</v>
      </c>
      <c r="K6" s="160" t="str">
        <f t="shared" si="0"/>
        <v>G</v>
      </c>
      <c r="L6" s="160" t="str">
        <f t="shared" si="0"/>
        <v>H</v>
      </c>
      <c r="M6" s="160" t="str">
        <f t="shared" si="0"/>
        <v>I</v>
      </c>
      <c r="N6" s="160" t="str">
        <f t="shared" si="0"/>
        <v>J</v>
      </c>
    </row>
    <row r="7" spans="1:23" x14ac:dyDescent="0.25">
      <c r="A7" s="161">
        <v>0</v>
      </c>
      <c r="B7" s="275" t="s">
        <v>891</v>
      </c>
      <c r="C7" s="275"/>
      <c r="D7" s="275"/>
      <c r="E7" s="275"/>
      <c r="F7" s="275"/>
      <c r="G7" s="67" t="s">
        <v>31</v>
      </c>
      <c r="H7" s="162"/>
      <c r="I7" s="162">
        <f>'T11'!E13</f>
        <v>6010</v>
      </c>
      <c r="J7" s="162">
        <f>'T11'!E17</f>
        <v>1376</v>
      </c>
      <c r="K7" s="162">
        <f>'T11'!E21</f>
        <v>94</v>
      </c>
      <c r="L7" s="162">
        <f>'T11'!E26</f>
        <v>765</v>
      </c>
      <c r="M7" s="162"/>
      <c r="N7" s="163">
        <f>SUM(H7:M7)</f>
        <v>8245</v>
      </c>
      <c r="P7" s="111"/>
      <c r="Q7" s="111"/>
      <c r="R7" s="111"/>
      <c r="S7" s="111"/>
      <c r="T7" s="111"/>
      <c r="U7" s="111"/>
      <c r="V7" s="111"/>
      <c r="W7" s="111"/>
    </row>
    <row r="8" spans="1:23" x14ac:dyDescent="0.25">
      <c r="A8" s="164">
        <f>A7+1</f>
        <v>1</v>
      </c>
      <c r="B8" s="273" t="s">
        <v>763</v>
      </c>
      <c r="C8" s="273"/>
      <c r="D8" s="273"/>
      <c r="E8" s="273"/>
      <c r="F8" s="273"/>
      <c r="G8" s="273"/>
      <c r="H8" s="273"/>
      <c r="I8" s="273"/>
      <c r="J8" s="273"/>
      <c r="K8" s="273"/>
      <c r="L8" s="273"/>
      <c r="M8" s="273"/>
      <c r="N8" s="273"/>
      <c r="P8" s="111"/>
    </row>
    <row r="9" spans="1:23" ht="14.25" customHeight="1" x14ac:dyDescent="0.25">
      <c r="A9" s="164">
        <f t="shared" ref="A9:A49" si="1">A8+1</f>
        <v>2</v>
      </c>
      <c r="B9" s="272" t="s">
        <v>764</v>
      </c>
      <c r="C9" s="272"/>
      <c r="D9" s="272"/>
      <c r="E9" s="272"/>
      <c r="F9" s="272"/>
      <c r="G9" s="160" t="s">
        <v>31</v>
      </c>
      <c r="H9" s="165"/>
      <c r="I9" s="165">
        <f>I7</f>
        <v>6010</v>
      </c>
      <c r="J9" s="165">
        <f t="shared" ref="J9:L9" si="2">J7</f>
        <v>1376</v>
      </c>
      <c r="K9" s="165">
        <f t="shared" si="2"/>
        <v>94</v>
      </c>
      <c r="L9" s="165">
        <f t="shared" si="2"/>
        <v>765</v>
      </c>
      <c r="M9" s="165"/>
      <c r="N9" s="134">
        <f>SUM(H9:M9)</f>
        <v>8245</v>
      </c>
    </row>
    <row r="10" spans="1:23" ht="14.25" customHeight="1" x14ac:dyDescent="0.25">
      <c r="A10" s="164">
        <f t="shared" si="1"/>
        <v>3</v>
      </c>
      <c r="B10" s="272" t="s">
        <v>765</v>
      </c>
      <c r="C10" s="272"/>
      <c r="D10" s="272"/>
      <c r="E10" s="272"/>
      <c r="F10" s="272"/>
      <c r="G10" s="160" t="s">
        <v>34</v>
      </c>
      <c r="H10" s="67">
        <f t="shared" ref="H10:M10" si="3">H19+H24+H28+H32+H37+H42</f>
        <v>1</v>
      </c>
      <c r="I10" s="67">
        <f t="shared" si="3"/>
        <v>25</v>
      </c>
      <c r="J10" s="67">
        <f t="shared" si="3"/>
        <v>10</v>
      </c>
      <c r="K10" s="67">
        <f t="shared" si="3"/>
        <v>3</v>
      </c>
      <c r="L10" s="67">
        <f t="shared" si="3"/>
        <v>5</v>
      </c>
      <c r="M10" s="67">
        <f t="shared" si="3"/>
        <v>1</v>
      </c>
      <c r="N10" s="134">
        <f>SUM(H10:M10)</f>
        <v>45</v>
      </c>
    </row>
    <row r="11" spans="1:23" x14ac:dyDescent="0.25">
      <c r="A11" s="164">
        <f t="shared" si="1"/>
        <v>4</v>
      </c>
      <c r="B11" s="273" t="s">
        <v>766</v>
      </c>
      <c r="C11" s="273"/>
      <c r="D11" s="273"/>
      <c r="E11" s="273"/>
      <c r="F11" s="273"/>
      <c r="G11" s="273"/>
      <c r="H11" s="273"/>
      <c r="I11" s="273"/>
      <c r="J11" s="273"/>
      <c r="K11" s="273"/>
      <c r="L11" s="273"/>
      <c r="M11" s="273"/>
      <c r="N11" s="273"/>
    </row>
    <row r="12" spans="1:23" ht="18.75" customHeight="1" x14ac:dyDescent="0.25">
      <c r="A12" s="164">
        <f t="shared" si="1"/>
        <v>5</v>
      </c>
      <c r="B12" s="278" t="s">
        <v>767</v>
      </c>
      <c r="C12" s="278"/>
      <c r="D12" s="278"/>
      <c r="E12" s="278"/>
      <c r="F12" s="278"/>
      <c r="G12" s="67" t="s">
        <v>719</v>
      </c>
      <c r="H12" s="67"/>
      <c r="I12" s="67">
        <f t="shared" ref="I12:L12" si="4">I9*9</f>
        <v>54090</v>
      </c>
      <c r="J12" s="67">
        <f t="shared" si="4"/>
        <v>12384</v>
      </c>
      <c r="K12" s="67">
        <f t="shared" si="4"/>
        <v>846</v>
      </c>
      <c r="L12" s="67">
        <f t="shared" si="4"/>
        <v>6885</v>
      </c>
      <c r="M12" s="67"/>
      <c r="N12" s="134">
        <f>SUM(H12:M12)</f>
        <v>74205</v>
      </c>
    </row>
    <row r="13" spans="1:23" x14ac:dyDescent="0.25">
      <c r="A13" s="164">
        <f t="shared" si="1"/>
        <v>6</v>
      </c>
      <c r="B13" s="278" t="s">
        <v>768</v>
      </c>
      <c r="C13" s="278"/>
      <c r="D13" s="278"/>
      <c r="E13" s="278"/>
      <c r="F13" s="278"/>
      <c r="G13" s="67" t="s">
        <v>777</v>
      </c>
      <c r="H13" s="67"/>
      <c r="I13" s="165">
        <f>'T11'!L13</f>
        <v>41.16</v>
      </c>
      <c r="J13" s="67"/>
      <c r="K13" s="67"/>
      <c r="L13" s="165">
        <f>'T11'!L26</f>
        <v>263.44</v>
      </c>
      <c r="M13" s="67"/>
      <c r="N13" s="135">
        <f>SUM(H13:M13)</f>
        <v>304.60000000000002</v>
      </c>
    </row>
    <row r="14" spans="1:23" x14ac:dyDescent="0.25">
      <c r="A14" s="164">
        <f t="shared" si="1"/>
        <v>7</v>
      </c>
      <c r="B14" s="273" t="s">
        <v>769</v>
      </c>
      <c r="C14" s="273"/>
      <c r="D14" s="273"/>
      <c r="E14" s="273"/>
      <c r="F14" s="273"/>
      <c r="G14" s="273"/>
      <c r="H14" s="273"/>
      <c r="I14" s="273"/>
      <c r="J14" s="273"/>
      <c r="K14" s="273"/>
      <c r="L14" s="273"/>
      <c r="M14" s="273"/>
      <c r="N14" s="273"/>
    </row>
    <row r="15" spans="1:23" ht="28.5" customHeight="1" x14ac:dyDescent="0.25">
      <c r="A15" s="164">
        <f t="shared" si="1"/>
        <v>8</v>
      </c>
      <c r="B15" s="279" t="s">
        <v>774</v>
      </c>
      <c r="C15" s="279"/>
      <c r="D15" s="279"/>
      <c r="E15" s="279"/>
      <c r="F15" s="279"/>
      <c r="G15" s="67" t="s">
        <v>719</v>
      </c>
      <c r="H15" s="67"/>
      <c r="I15" s="67">
        <f>'T11'!J13</f>
        <v>29756</v>
      </c>
      <c r="J15" s="165">
        <f>'T11'!J17</f>
        <v>6805</v>
      </c>
      <c r="K15" s="67">
        <f>'T11'!J21</f>
        <v>395</v>
      </c>
      <c r="L15" s="67">
        <f>'T11'!J26</f>
        <v>3750</v>
      </c>
      <c r="M15" s="67"/>
      <c r="N15" s="135">
        <f>SUM(H15:M15)</f>
        <v>40706</v>
      </c>
      <c r="R15" s="172"/>
    </row>
    <row r="16" spans="1:23" ht="28.5" customHeight="1" x14ac:dyDescent="0.25">
      <c r="A16" s="164">
        <f t="shared" si="1"/>
        <v>9</v>
      </c>
      <c r="B16" s="272" t="s">
        <v>775</v>
      </c>
      <c r="C16" s="272"/>
      <c r="D16" s="272"/>
      <c r="E16" s="272"/>
      <c r="F16" s="272"/>
      <c r="G16" s="67" t="s">
        <v>777</v>
      </c>
      <c r="H16" s="165"/>
      <c r="I16" s="165">
        <f>'T11'!I13</f>
        <v>6124.7800000000007</v>
      </c>
      <c r="J16" s="165">
        <f>'T11'!I17</f>
        <v>1401.83</v>
      </c>
      <c r="K16" s="165">
        <f>'T11'!I21</f>
        <v>81.37</v>
      </c>
      <c r="L16" s="165">
        <f>'T11'!I26</f>
        <v>772.5</v>
      </c>
      <c r="M16" s="165"/>
      <c r="N16" s="135">
        <f>SUM(H16:M16)</f>
        <v>8380.48</v>
      </c>
    </row>
    <row r="17" spans="1:14" ht="28.5" customHeight="1" x14ac:dyDescent="0.25">
      <c r="A17" s="164">
        <f t="shared" si="1"/>
        <v>10</v>
      </c>
      <c r="B17" s="272" t="s">
        <v>776</v>
      </c>
      <c r="C17" s="272"/>
      <c r="D17" s="272"/>
      <c r="E17" s="272"/>
      <c r="F17" s="272"/>
      <c r="G17" s="67" t="s">
        <v>777</v>
      </c>
      <c r="H17" s="165"/>
      <c r="I17" s="165">
        <f>'T11'!G13</f>
        <v>2795.72</v>
      </c>
      <c r="J17" s="165">
        <f>'T11'!G17</f>
        <v>639.66999999999996</v>
      </c>
      <c r="K17" s="165">
        <f>'T11'!G21</f>
        <v>37.129999999999995</v>
      </c>
      <c r="L17" s="165">
        <f>'T11'!G26</f>
        <v>352.5</v>
      </c>
      <c r="M17" s="165"/>
      <c r="N17" s="135">
        <f t="shared" ref="N17" si="5">SUM(H17:M17)</f>
        <v>3825.02</v>
      </c>
    </row>
    <row r="18" spans="1:14" ht="15" customHeight="1" x14ac:dyDescent="0.25">
      <c r="A18" s="164">
        <f t="shared" si="1"/>
        <v>11</v>
      </c>
      <c r="B18" s="273" t="s">
        <v>770</v>
      </c>
      <c r="C18" s="273"/>
      <c r="D18" s="273"/>
      <c r="E18" s="273"/>
      <c r="F18" s="273"/>
      <c r="G18" s="273"/>
      <c r="H18" s="273"/>
      <c r="I18" s="273"/>
      <c r="J18" s="273"/>
      <c r="K18" s="273"/>
      <c r="L18" s="273"/>
      <c r="M18" s="273"/>
      <c r="N18" s="273"/>
    </row>
    <row r="19" spans="1:14" ht="15" customHeight="1" x14ac:dyDescent="0.25">
      <c r="A19" s="164">
        <f t="shared" si="1"/>
        <v>12</v>
      </c>
      <c r="B19" s="282" t="s">
        <v>785</v>
      </c>
      <c r="C19" s="282"/>
      <c r="D19" s="282"/>
      <c r="E19" s="282"/>
      <c r="F19" s="282"/>
      <c r="G19" s="134" t="s">
        <v>34</v>
      </c>
      <c r="H19" s="134">
        <f>'T7'!C7</f>
        <v>1</v>
      </c>
      <c r="I19" s="134">
        <f>'T7'!D7</f>
        <v>25</v>
      </c>
      <c r="J19" s="134">
        <f>'T7'!E7</f>
        <v>7</v>
      </c>
      <c r="K19" s="134">
        <f>'T7'!F7</f>
        <v>2</v>
      </c>
      <c r="L19" s="134">
        <f>'T7'!G7</f>
        <v>3</v>
      </c>
      <c r="M19" s="134">
        <f>'T7'!H7</f>
        <v>1</v>
      </c>
      <c r="N19" s="135">
        <f>SUM(H19:M19)</f>
        <v>39</v>
      </c>
    </row>
    <row r="20" spans="1:14" ht="15" customHeight="1" x14ac:dyDescent="0.25">
      <c r="A20" s="164">
        <f t="shared" si="1"/>
        <v>13</v>
      </c>
      <c r="B20" s="280" t="s">
        <v>801</v>
      </c>
      <c r="C20" s="280"/>
      <c r="D20" s="280"/>
      <c r="E20" s="280"/>
      <c r="F20" s="280"/>
      <c r="G20" s="67" t="s">
        <v>777</v>
      </c>
      <c r="H20" s="67">
        <f>H19*39</f>
        <v>39</v>
      </c>
      <c r="I20" s="67">
        <f t="shared" ref="I20:M20" si="6">I19*39</f>
        <v>975</v>
      </c>
      <c r="J20" s="67">
        <f t="shared" si="6"/>
        <v>273</v>
      </c>
      <c r="K20" s="67">
        <f t="shared" si="6"/>
        <v>78</v>
      </c>
      <c r="L20" s="67">
        <f t="shared" si="6"/>
        <v>117</v>
      </c>
      <c r="M20" s="67">
        <f t="shared" si="6"/>
        <v>39</v>
      </c>
      <c r="N20" s="135">
        <f t="shared" ref="N20:N40" si="7">SUM(H20:M20)</f>
        <v>1521</v>
      </c>
    </row>
    <row r="21" spans="1:14" ht="25.5" customHeight="1" x14ac:dyDescent="0.25">
      <c r="A21" s="164">
        <f t="shared" si="1"/>
        <v>14</v>
      </c>
      <c r="B21" s="280" t="s">
        <v>778</v>
      </c>
      <c r="C21" s="280"/>
      <c r="D21" s="280"/>
      <c r="E21" s="280"/>
      <c r="F21" s="280"/>
      <c r="G21" s="67" t="s">
        <v>719</v>
      </c>
      <c r="H21" s="67">
        <f>H19*100</f>
        <v>100</v>
      </c>
      <c r="I21" s="67">
        <f t="shared" ref="I21:M21" si="8">I19*100</f>
        <v>2500</v>
      </c>
      <c r="J21" s="67">
        <f t="shared" si="8"/>
        <v>700</v>
      </c>
      <c r="K21" s="67">
        <f t="shared" si="8"/>
        <v>200</v>
      </c>
      <c r="L21" s="67">
        <f t="shared" si="8"/>
        <v>300</v>
      </c>
      <c r="M21" s="67">
        <f t="shared" si="8"/>
        <v>100</v>
      </c>
      <c r="N21" s="135">
        <f t="shared" si="7"/>
        <v>3900</v>
      </c>
    </row>
    <row r="22" spans="1:14" ht="25.5" customHeight="1" x14ac:dyDescent="0.25">
      <c r="A22" s="164">
        <f t="shared" si="1"/>
        <v>15</v>
      </c>
      <c r="B22" s="280" t="s">
        <v>779</v>
      </c>
      <c r="C22" s="280"/>
      <c r="D22" s="280"/>
      <c r="E22" s="280"/>
      <c r="F22" s="280"/>
      <c r="G22" s="67" t="s">
        <v>777</v>
      </c>
      <c r="H22" s="67">
        <f>H19*21</f>
        <v>21</v>
      </c>
      <c r="I22" s="67">
        <f t="shared" ref="I22:M22" si="9">I19*21</f>
        <v>525</v>
      </c>
      <c r="J22" s="67">
        <f t="shared" si="9"/>
        <v>147</v>
      </c>
      <c r="K22" s="67">
        <f t="shared" si="9"/>
        <v>42</v>
      </c>
      <c r="L22" s="67">
        <f t="shared" si="9"/>
        <v>63</v>
      </c>
      <c r="M22" s="67">
        <f t="shared" si="9"/>
        <v>21</v>
      </c>
      <c r="N22" s="135">
        <f t="shared" si="7"/>
        <v>819</v>
      </c>
    </row>
    <row r="23" spans="1:14" ht="23.25" customHeight="1" x14ac:dyDescent="0.25">
      <c r="A23" s="164">
        <f t="shared" si="1"/>
        <v>16</v>
      </c>
      <c r="B23" s="280" t="s">
        <v>780</v>
      </c>
      <c r="C23" s="280"/>
      <c r="D23" s="280"/>
      <c r="E23" s="280"/>
      <c r="F23" s="280"/>
      <c r="G23" s="67" t="s">
        <v>777</v>
      </c>
      <c r="H23" s="67">
        <f>H19*9</f>
        <v>9</v>
      </c>
      <c r="I23" s="67">
        <f t="shared" ref="I23:M23" si="10">I19*9</f>
        <v>225</v>
      </c>
      <c r="J23" s="67">
        <f t="shared" si="10"/>
        <v>63</v>
      </c>
      <c r="K23" s="67">
        <f t="shared" si="10"/>
        <v>18</v>
      </c>
      <c r="L23" s="67">
        <f t="shared" si="10"/>
        <v>27</v>
      </c>
      <c r="M23" s="67">
        <f t="shared" si="10"/>
        <v>9</v>
      </c>
      <c r="N23" s="135">
        <f t="shared" si="7"/>
        <v>351</v>
      </c>
    </row>
    <row r="24" spans="1:14" ht="25.5" customHeight="1" x14ac:dyDescent="0.25">
      <c r="A24" s="164">
        <f t="shared" si="1"/>
        <v>17</v>
      </c>
      <c r="B24" s="282" t="s">
        <v>784</v>
      </c>
      <c r="C24" s="282"/>
      <c r="D24" s="282"/>
      <c r="E24" s="282"/>
      <c r="F24" s="282"/>
      <c r="G24" s="134" t="s">
        <v>34</v>
      </c>
      <c r="H24" s="134"/>
      <c r="I24" s="134"/>
      <c r="J24" s="134"/>
      <c r="K24" s="134">
        <f>'T7'!F8</f>
        <v>1</v>
      </c>
      <c r="L24" s="134">
        <f>'T7'!G8</f>
        <v>1</v>
      </c>
      <c r="M24" s="134"/>
      <c r="N24" s="135">
        <f t="shared" si="7"/>
        <v>2</v>
      </c>
    </row>
    <row r="25" spans="1:14" ht="25.5" customHeight="1" x14ac:dyDescent="0.25">
      <c r="A25" s="164">
        <f t="shared" si="1"/>
        <v>18</v>
      </c>
      <c r="B25" s="280" t="s">
        <v>781</v>
      </c>
      <c r="C25" s="280"/>
      <c r="D25" s="280"/>
      <c r="E25" s="280"/>
      <c r="F25" s="280"/>
      <c r="G25" s="67" t="s">
        <v>719</v>
      </c>
      <c r="H25" s="67"/>
      <c r="I25" s="67"/>
      <c r="J25" s="67"/>
      <c r="K25" s="67">
        <f>K24*205</f>
        <v>205</v>
      </c>
      <c r="L25" s="67">
        <f>L24*205</f>
        <v>205</v>
      </c>
      <c r="M25" s="67"/>
      <c r="N25" s="135">
        <f t="shared" si="7"/>
        <v>410</v>
      </c>
    </row>
    <row r="26" spans="1:14" ht="25.5" customHeight="1" x14ac:dyDescent="0.25">
      <c r="A26" s="164">
        <f t="shared" si="1"/>
        <v>19</v>
      </c>
      <c r="B26" s="280" t="s">
        <v>782</v>
      </c>
      <c r="C26" s="280"/>
      <c r="D26" s="280"/>
      <c r="E26" s="280"/>
      <c r="F26" s="280"/>
      <c r="G26" s="67" t="s">
        <v>777</v>
      </c>
      <c r="H26" s="67"/>
      <c r="I26" s="67"/>
      <c r="J26" s="67"/>
      <c r="K26" s="67">
        <f>K24*39</f>
        <v>39</v>
      </c>
      <c r="L26" s="67">
        <f>L24*39</f>
        <v>39</v>
      </c>
      <c r="M26" s="67"/>
      <c r="N26" s="135">
        <f t="shared" si="7"/>
        <v>78</v>
      </c>
    </row>
    <row r="27" spans="1:14" ht="25.5" customHeight="1" x14ac:dyDescent="0.25">
      <c r="A27" s="164">
        <f t="shared" si="1"/>
        <v>20</v>
      </c>
      <c r="B27" s="280" t="s">
        <v>783</v>
      </c>
      <c r="C27" s="280"/>
      <c r="D27" s="280"/>
      <c r="E27" s="280"/>
      <c r="F27" s="280"/>
      <c r="G27" s="67" t="s">
        <v>777</v>
      </c>
      <c r="H27" s="67"/>
      <c r="I27" s="67"/>
      <c r="J27" s="67"/>
      <c r="K27" s="67">
        <f>K24*17</f>
        <v>17</v>
      </c>
      <c r="L27" s="67">
        <f>L24*17</f>
        <v>17</v>
      </c>
      <c r="M27" s="67"/>
      <c r="N27" s="135">
        <f t="shared" si="7"/>
        <v>34</v>
      </c>
    </row>
    <row r="28" spans="1:14" ht="25.5" customHeight="1" x14ac:dyDescent="0.25">
      <c r="A28" s="164">
        <f t="shared" si="1"/>
        <v>21</v>
      </c>
      <c r="B28" s="281" t="s">
        <v>786</v>
      </c>
      <c r="C28" s="281"/>
      <c r="D28" s="281"/>
      <c r="E28" s="281"/>
      <c r="F28" s="281"/>
      <c r="G28" s="134" t="s">
        <v>34</v>
      </c>
      <c r="H28" s="134"/>
      <c r="I28" s="134"/>
      <c r="J28" s="134">
        <f>'T7'!E9</f>
        <v>1</v>
      </c>
      <c r="K28" s="134"/>
      <c r="L28" s="134"/>
      <c r="M28" s="134"/>
      <c r="N28" s="135">
        <f t="shared" si="7"/>
        <v>1</v>
      </c>
    </row>
    <row r="29" spans="1:14" ht="25.5" customHeight="1" x14ac:dyDescent="0.25">
      <c r="A29" s="164">
        <f t="shared" si="1"/>
        <v>22</v>
      </c>
      <c r="B29" s="280" t="s">
        <v>851</v>
      </c>
      <c r="C29" s="280"/>
      <c r="D29" s="280"/>
      <c r="E29" s="280"/>
      <c r="F29" s="280"/>
      <c r="G29" s="67" t="s">
        <v>719</v>
      </c>
      <c r="H29" s="67"/>
      <c r="I29" s="67"/>
      <c r="J29" s="67">
        <v>151</v>
      </c>
      <c r="K29" s="67"/>
      <c r="L29" s="67"/>
      <c r="M29" s="67"/>
      <c r="N29" s="135">
        <f t="shared" si="7"/>
        <v>151</v>
      </c>
    </row>
    <row r="30" spans="1:14" ht="25.5" customHeight="1" x14ac:dyDescent="0.25">
      <c r="A30" s="164">
        <f t="shared" si="1"/>
        <v>23</v>
      </c>
      <c r="B30" s="280" t="s">
        <v>852</v>
      </c>
      <c r="C30" s="280"/>
      <c r="D30" s="280"/>
      <c r="E30" s="280"/>
      <c r="F30" s="280"/>
      <c r="G30" s="67" t="s">
        <v>777</v>
      </c>
      <c r="H30" s="67"/>
      <c r="I30" s="67"/>
      <c r="J30" s="67">
        <v>29</v>
      </c>
      <c r="K30" s="67"/>
      <c r="L30" s="67"/>
      <c r="M30" s="67"/>
      <c r="N30" s="135">
        <f t="shared" si="7"/>
        <v>29</v>
      </c>
    </row>
    <row r="31" spans="1:14" ht="25.5" customHeight="1" x14ac:dyDescent="0.25">
      <c r="A31" s="164">
        <f t="shared" si="1"/>
        <v>24</v>
      </c>
      <c r="B31" s="280" t="s">
        <v>853</v>
      </c>
      <c r="C31" s="280"/>
      <c r="D31" s="280"/>
      <c r="E31" s="280"/>
      <c r="F31" s="280"/>
      <c r="G31" s="67" t="s">
        <v>777</v>
      </c>
      <c r="H31" s="67"/>
      <c r="I31" s="67"/>
      <c r="J31" s="67">
        <v>12</v>
      </c>
      <c r="K31" s="67"/>
      <c r="L31" s="67"/>
      <c r="M31" s="67"/>
      <c r="N31" s="135">
        <f t="shared" si="7"/>
        <v>12</v>
      </c>
    </row>
    <row r="32" spans="1:14" x14ac:dyDescent="0.25">
      <c r="A32" s="164">
        <f t="shared" si="1"/>
        <v>25</v>
      </c>
      <c r="B32" s="281" t="s">
        <v>787</v>
      </c>
      <c r="C32" s="281"/>
      <c r="D32" s="281"/>
      <c r="E32" s="281"/>
      <c r="F32" s="281"/>
      <c r="G32" s="134" t="s">
        <v>34</v>
      </c>
      <c r="H32" s="134"/>
      <c r="I32" s="134"/>
      <c r="J32" s="134">
        <f>'T7'!E10</f>
        <v>1</v>
      </c>
      <c r="K32" s="134"/>
      <c r="L32" s="134"/>
      <c r="M32" s="134"/>
      <c r="N32" s="135">
        <f t="shared" si="7"/>
        <v>1</v>
      </c>
    </row>
    <row r="33" spans="1:19" x14ac:dyDescent="0.25">
      <c r="A33" s="164">
        <f t="shared" si="1"/>
        <v>26</v>
      </c>
      <c r="B33" s="280" t="s">
        <v>802</v>
      </c>
      <c r="C33" s="280"/>
      <c r="D33" s="280"/>
      <c r="E33" s="280"/>
      <c r="F33" s="280"/>
      <c r="G33" s="67" t="s">
        <v>777</v>
      </c>
      <c r="H33" s="67"/>
      <c r="I33" s="67"/>
      <c r="J33" s="6">
        <v>75</v>
      </c>
      <c r="K33" s="67"/>
      <c r="L33" s="67"/>
      <c r="M33" s="67"/>
      <c r="N33" s="135">
        <f t="shared" si="7"/>
        <v>75</v>
      </c>
    </row>
    <row r="34" spans="1:19" ht="25.5" customHeight="1" x14ac:dyDescent="0.25">
      <c r="A34" s="164">
        <f t="shared" si="1"/>
        <v>27</v>
      </c>
      <c r="B34" s="280" t="s">
        <v>788</v>
      </c>
      <c r="C34" s="280"/>
      <c r="D34" s="280"/>
      <c r="E34" s="280"/>
      <c r="F34" s="280"/>
      <c r="G34" s="67" t="s">
        <v>719</v>
      </c>
      <c r="H34" s="67"/>
      <c r="I34" s="67"/>
      <c r="J34" s="6">
        <v>250</v>
      </c>
      <c r="K34" s="67"/>
      <c r="L34" s="67"/>
      <c r="M34" s="67"/>
      <c r="N34" s="135">
        <f t="shared" si="7"/>
        <v>250</v>
      </c>
    </row>
    <row r="35" spans="1:19" ht="25.5" customHeight="1" x14ac:dyDescent="0.25">
      <c r="A35" s="164">
        <f t="shared" si="1"/>
        <v>28</v>
      </c>
      <c r="B35" s="280" t="s">
        <v>789</v>
      </c>
      <c r="C35" s="280"/>
      <c r="D35" s="280"/>
      <c r="E35" s="280"/>
      <c r="F35" s="280"/>
      <c r="G35" s="67" t="s">
        <v>777</v>
      </c>
      <c r="H35" s="67"/>
      <c r="I35" s="67"/>
      <c r="J35" s="6">
        <v>62</v>
      </c>
      <c r="K35" s="67"/>
      <c r="L35" s="67"/>
      <c r="M35" s="67"/>
      <c r="N35" s="135">
        <f t="shared" si="7"/>
        <v>62</v>
      </c>
    </row>
    <row r="36" spans="1:19" ht="25.5" customHeight="1" x14ac:dyDescent="0.25">
      <c r="A36" s="164">
        <f t="shared" si="1"/>
        <v>29</v>
      </c>
      <c r="B36" s="280" t="s">
        <v>790</v>
      </c>
      <c r="C36" s="280"/>
      <c r="D36" s="280"/>
      <c r="E36" s="280"/>
      <c r="F36" s="280"/>
      <c r="G36" s="67" t="s">
        <v>777</v>
      </c>
      <c r="H36" s="67"/>
      <c r="I36" s="67"/>
      <c r="J36" s="6">
        <v>23</v>
      </c>
      <c r="K36" s="67"/>
      <c r="L36" s="67"/>
      <c r="M36" s="67"/>
      <c r="N36" s="135">
        <f t="shared" si="7"/>
        <v>23</v>
      </c>
    </row>
    <row r="37" spans="1:19" ht="25.5" customHeight="1" x14ac:dyDescent="0.25">
      <c r="A37" s="164">
        <f t="shared" si="1"/>
        <v>30</v>
      </c>
      <c r="B37" s="282" t="s">
        <v>791</v>
      </c>
      <c r="C37" s="282"/>
      <c r="D37" s="282"/>
      <c r="E37" s="282"/>
      <c r="F37" s="282"/>
      <c r="G37" s="134" t="s">
        <v>34</v>
      </c>
      <c r="H37" s="134"/>
      <c r="I37" s="134"/>
      <c r="J37" s="134"/>
      <c r="K37" s="134"/>
      <c r="L37" s="134">
        <f>'T7'!G11</f>
        <v>1</v>
      </c>
      <c r="M37" s="134"/>
      <c r="N37" s="135">
        <f t="shared" si="7"/>
        <v>1</v>
      </c>
    </row>
    <row r="38" spans="1:19" ht="25.5" customHeight="1" x14ac:dyDescent="0.25">
      <c r="A38" s="164">
        <f t="shared" si="1"/>
        <v>31</v>
      </c>
      <c r="B38" s="280" t="s">
        <v>803</v>
      </c>
      <c r="C38" s="280"/>
      <c r="D38" s="280"/>
      <c r="E38" s="280"/>
      <c r="F38" s="280"/>
      <c r="G38" s="67" t="s">
        <v>777</v>
      </c>
      <c r="H38" s="67"/>
      <c r="I38" s="67"/>
      <c r="J38" s="67"/>
      <c r="K38" s="67"/>
      <c r="L38" s="6">
        <f>L37*298</f>
        <v>298</v>
      </c>
      <c r="M38" s="67"/>
      <c r="N38" s="135">
        <f t="shared" si="7"/>
        <v>298</v>
      </c>
    </row>
    <row r="39" spans="1:19" ht="25.5" customHeight="1" x14ac:dyDescent="0.25">
      <c r="A39" s="164">
        <f t="shared" si="1"/>
        <v>32</v>
      </c>
      <c r="B39" s="280" t="s">
        <v>792</v>
      </c>
      <c r="C39" s="280"/>
      <c r="D39" s="280"/>
      <c r="E39" s="280"/>
      <c r="F39" s="280"/>
      <c r="G39" s="67" t="s">
        <v>719</v>
      </c>
      <c r="H39" s="67"/>
      <c r="I39" s="67"/>
      <c r="J39" s="67"/>
      <c r="K39" s="67"/>
      <c r="L39" s="6">
        <f t="shared" ref="L39" si="11">L37*722</f>
        <v>722</v>
      </c>
      <c r="M39" s="67"/>
      <c r="N39" s="135">
        <f t="shared" si="7"/>
        <v>722</v>
      </c>
      <c r="Q39" s="170"/>
      <c r="R39" s="170"/>
      <c r="S39" s="170"/>
    </row>
    <row r="40" spans="1:19" ht="25.5" customHeight="1" x14ac:dyDescent="0.25">
      <c r="A40" s="164">
        <f t="shared" si="1"/>
        <v>33</v>
      </c>
      <c r="B40" s="280" t="s">
        <v>793</v>
      </c>
      <c r="C40" s="280"/>
      <c r="D40" s="280"/>
      <c r="E40" s="280"/>
      <c r="F40" s="280"/>
      <c r="G40" s="67" t="s">
        <v>777</v>
      </c>
      <c r="H40" s="67"/>
      <c r="I40" s="67"/>
      <c r="J40" s="67"/>
      <c r="K40" s="67"/>
      <c r="L40" s="6">
        <f t="shared" ref="L40" si="12">L37*154</f>
        <v>154</v>
      </c>
      <c r="M40" s="67"/>
      <c r="N40" s="135">
        <f t="shared" si="7"/>
        <v>154</v>
      </c>
    </row>
    <row r="41" spans="1:19" ht="25.5" customHeight="1" x14ac:dyDescent="0.25">
      <c r="A41" s="164">
        <f t="shared" si="1"/>
        <v>34</v>
      </c>
      <c r="B41" s="280" t="s">
        <v>794</v>
      </c>
      <c r="C41" s="280"/>
      <c r="D41" s="280"/>
      <c r="E41" s="280"/>
      <c r="F41" s="280"/>
      <c r="G41" s="67" t="s">
        <v>777</v>
      </c>
      <c r="H41" s="67"/>
      <c r="I41" s="67"/>
      <c r="J41" s="67"/>
      <c r="K41" s="67"/>
      <c r="L41" s="6">
        <f>L37*70</f>
        <v>70</v>
      </c>
      <c r="M41" s="67"/>
      <c r="N41" s="135">
        <f>SUM(H41:M41)</f>
        <v>70</v>
      </c>
      <c r="R41" s="172"/>
      <c r="S41" s="172"/>
    </row>
    <row r="42" spans="1:19" ht="25.5" customHeight="1" x14ac:dyDescent="0.25">
      <c r="A42" s="164">
        <f t="shared" si="1"/>
        <v>35</v>
      </c>
      <c r="B42" s="282" t="s">
        <v>795</v>
      </c>
      <c r="C42" s="282"/>
      <c r="D42" s="282"/>
      <c r="E42" s="282"/>
      <c r="F42" s="282"/>
      <c r="G42" s="134" t="s">
        <v>34</v>
      </c>
      <c r="H42" s="134"/>
      <c r="I42" s="134"/>
      <c r="J42" s="134">
        <f>'T7'!E12</f>
        <v>1</v>
      </c>
      <c r="K42" s="134"/>
      <c r="L42" s="134"/>
      <c r="M42" s="134"/>
      <c r="N42" s="135">
        <f t="shared" ref="N42:N47" si="13">SUM(H42:M42)</f>
        <v>1</v>
      </c>
      <c r="R42" s="172"/>
      <c r="S42" s="172"/>
    </row>
    <row r="43" spans="1:19" ht="25.5" customHeight="1" x14ac:dyDescent="0.25">
      <c r="A43" s="164">
        <f t="shared" si="1"/>
        <v>36</v>
      </c>
      <c r="B43" s="280" t="s">
        <v>804</v>
      </c>
      <c r="C43" s="280"/>
      <c r="D43" s="280"/>
      <c r="E43" s="280"/>
      <c r="F43" s="280"/>
      <c r="G43" s="67" t="s">
        <v>777</v>
      </c>
      <c r="H43" s="67"/>
      <c r="I43" s="67"/>
      <c r="J43" s="67">
        <v>380</v>
      </c>
      <c r="K43" s="67"/>
      <c r="L43" s="67"/>
      <c r="M43" s="67"/>
      <c r="N43" s="135">
        <f t="shared" si="13"/>
        <v>380</v>
      </c>
      <c r="R43" s="172"/>
      <c r="S43" s="172"/>
    </row>
    <row r="44" spans="1:19" ht="25.5" customHeight="1" x14ac:dyDescent="0.25">
      <c r="A44" s="164">
        <f t="shared" si="1"/>
        <v>37</v>
      </c>
      <c r="B44" s="280" t="s">
        <v>798</v>
      </c>
      <c r="C44" s="280"/>
      <c r="D44" s="280"/>
      <c r="E44" s="280"/>
      <c r="F44" s="280"/>
      <c r="G44" s="67" t="s">
        <v>719</v>
      </c>
      <c r="H44" s="67"/>
      <c r="I44" s="67"/>
      <c r="J44" s="67">
        <v>1071</v>
      </c>
      <c r="K44" s="67"/>
      <c r="L44" s="67"/>
      <c r="M44" s="67"/>
      <c r="N44" s="135">
        <f t="shared" si="13"/>
        <v>1071</v>
      </c>
      <c r="R44" s="172"/>
      <c r="S44" s="172"/>
    </row>
    <row r="45" spans="1:19" ht="25.5" customHeight="1" x14ac:dyDescent="0.25">
      <c r="A45" s="164">
        <f t="shared" si="1"/>
        <v>38</v>
      </c>
      <c r="B45" s="280" t="s">
        <v>796</v>
      </c>
      <c r="C45" s="280"/>
      <c r="D45" s="280"/>
      <c r="E45" s="280"/>
      <c r="F45" s="280"/>
      <c r="G45" s="67" t="s">
        <v>777</v>
      </c>
      <c r="H45" s="67"/>
      <c r="I45" s="67"/>
      <c r="J45" s="67">
        <v>205</v>
      </c>
      <c r="K45" s="67"/>
      <c r="L45" s="67"/>
      <c r="M45" s="67"/>
      <c r="N45" s="135">
        <f t="shared" si="13"/>
        <v>205</v>
      </c>
      <c r="R45" s="172"/>
      <c r="S45" s="172"/>
    </row>
    <row r="46" spans="1:19" ht="25.5" customHeight="1" x14ac:dyDescent="0.25">
      <c r="A46" s="164">
        <f t="shared" si="1"/>
        <v>39</v>
      </c>
      <c r="B46" s="280" t="s">
        <v>797</v>
      </c>
      <c r="C46" s="280"/>
      <c r="D46" s="280"/>
      <c r="E46" s="280"/>
      <c r="F46" s="280"/>
      <c r="G46" s="67" t="s">
        <v>777</v>
      </c>
      <c r="H46" s="67"/>
      <c r="I46" s="67"/>
      <c r="J46" s="67">
        <v>88</v>
      </c>
      <c r="K46" s="67"/>
      <c r="L46" s="67"/>
      <c r="M46" s="67"/>
      <c r="N46" s="135">
        <f t="shared" si="13"/>
        <v>88</v>
      </c>
      <c r="R46" s="172"/>
      <c r="S46" s="172"/>
    </row>
    <row r="47" spans="1:19" ht="24.75" customHeight="1" x14ac:dyDescent="0.25">
      <c r="A47" s="164">
        <f t="shared" si="1"/>
        <v>40</v>
      </c>
      <c r="B47" s="281" t="s">
        <v>958</v>
      </c>
      <c r="C47" s="281"/>
      <c r="D47" s="281"/>
      <c r="E47" s="281"/>
      <c r="F47" s="281"/>
      <c r="G47" s="134" t="s">
        <v>34</v>
      </c>
      <c r="H47" s="67"/>
      <c r="I47" s="67">
        <v>2</v>
      </c>
      <c r="J47" s="67"/>
      <c r="K47" s="67"/>
      <c r="L47" s="67"/>
      <c r="M47" s="67"/>
      <c r="N47" s="135">
        <f t="shared" si="13"/>
        <v>2</v>
      </c>
      <c r="R47" s="172"/>
      <c r="S47" s="172"/>
    </row>
    <row r="48" spans="1:19" ht="15" customHeight="1" x14ac:dyDescent="0.25">
      <c r="A48" s="164">
        <f t="shared" si="1"/>
        <v>41</v>
      </c>
      <c r="B48" s="273" t="s">
        <v>771</v>
      </c>
      <c r="C48" s="273"/>
      <c r="D48" s="273"/>
      <c r="E48" s="273"/>
      <c r="F48" s="273"/>
      <c r="G48" s="273"/>
      <c r="H48" s="273"/>
      <c r="I48" s="273"/>
      <c r="J48" s="273"/>
      <c r="K48" s="273"/>
      <c r="L48" s="273"/>
      <c r="M48" s="273"/>
      <c r="N48" s="273"/>
    </row>
    <row r="49" spans="1:14" x14ac:dyDescent="0.25">
      <c r="A49" s="164">
        <f t="shared" si="1"/>
        <v>42</v>
      </c>
      <c r="B49" s="283" t="s">
        <v>772</v>
      </c>
      <c r="C49" s="283"/>
      <c r="D49" s="283"/>
      <c r="E49" s="283"/>
      <c r="F49" s="283"/>
      <c r="G49" s="160" t="s">
        <v>773</v>
      </c>
      <c r="H49" s="166">
        <v>1</v>
      </c>
      <c r="I49" s="166">
        <v>1</v>
      </c>
      <c r="J49" s="166">
        <v>1</v>
      </c>
      <c r="K49" s="166">
        <v>1</v>
      </c>
      <c r="L49" s="166">
        <v>1</v>
      </c>
      <c r="M49" s="166">
        <v>1</v>
      </c>
      <c r="N49" s="135">
        <f t="shared" ref="N49" si="14">SUM(H49:M49)</f>
        <v>6</v>
      </c>
    </row>
    <row r="50" spans="1:14" x14ac:dyDescent="0.25">
      <c r="A50" s="12" t="s">
        <v>9</v>
      </c>
      <c r="B50" s="12"/>
      <c r="C50" s="12"/>
      <c r="D50" s="12"/>
      <c r="E50" s="12"/>
    </row>
    <row r="51" spans="1:14" x14ac:dyDescent="0.25">
      <c r="A51" s="18"/>
      <c r="B51" s="29"/>
      <c r="C51" s="29"/>
      <c r="D51" s="29"/>
      <c r="E51" s="29"/>
    </row>
    <row r="52" spans="1:14" x14ac:dyDescent="0.25">
      <c r="A52" s="18"/>
      <c r="B52" s="29"/>
      <c r="C52" s="29"/>
      <c r="D52" s="29"/>
      <c r="E52" s="29"/>
    </row>
    <row r="53" spans="1:14" x14ac:dyDescent="0.25">
      <c r="A53" s="18"/>
      <c r="B53" s="29"/>
      <c r="C53" s="29"/>
      <c r="D53" s="29"/>
      <c r="E53" s="29"/>
    </row>
    <row r="54" spans="1:14" x14ac:dyDescent="0.25">
      <c r="A54" s="18"/>
      <c r="B54" s="29"/>
      <c r="C54" s="29"/>
      <c r="D54" s="29"/>
      <c r="E54" s="29"/>
    </row>
    <row r="55" spans="1:14" x14ac:dyDescent="0.25">
      <c r="A55" s="18"/>
      <c r="B55" s="29"/>
      <c r="C55" s="29"/>
      <c r="D55" s="29"/>
      <c r="E55" s="29"/>
    </row>
    <row r="56" spans="1:14" x14ac:dyDescent="0.25">
      <c r="A56" s="18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</row>
    <row r="57" spans="1:14" x14ac:dyDescent="0.25">
      <c r="A57" s="18"/>
      <c r="B57" s="29"/>
      <c r="C57" s="29"/>
      <c r="D57" s="29"/>
      <c r="E57" s="29"/>
    </row>
    <row r="58" spans="1:14" x14ac:dyDescent="0.25">
      <c r="A58" s="18"/>
      <c r="B58" s="29"/>
    </row>
    <row r="69" spans="6:6" x14ac:dyDescent="0.25">
      <c r="F69" s="171"/>
    </row>
    <row r="70" spans="6:6" x14ac:dyDescent="0.25">
      <c r="F70" s="171"/>
    </row>
  </sheetData>
  <mergeCells count="50">
    <mergeCell ref="B45:F45"/>
    <mergeCell ref="B46:F46"/>
    <mergeCell ref="B47:F47"/>
    <mergeCell ref="B48:N48"/>
    <mergeCell ref="B49:F49"/>
    <mergeCell ref="B33:F33"/>
    <mergeCell ref="B37:F37"/>
    <mergeCell ref="B38:F38"/>
    <mergeCell ref="B39:F39"/>
    <mergeCell ref="B29:F29"/>
    <mergeCell ref="B30:F30"/>
    <mergeCell ref="B31:F31"/>
    <mergeCell ref="B32:F32"/>
    <mergeCell ref="B43:F43"/>
    <mergeCell ref="B44:F44"/>
    <mergeCell ref="B34:F34"/>
    <mergeCell ref="B35:F35"/>
    <mergeCell ref="B36:F36"/>
    <mergeCell ref="B41:F41"/>
    <mergeCell ref="B42:F42"/>
    <mergeCell ref="B40:F40"/>
    <mergeCell ref="B15:F15"/>
    <mergeCell ref="B16:F16"/>
    <mergeCell ref="B26:F26"/>
    <mergeCell ref="B27:F27"/>
    <mergeCell ref="B28:F28"/>
    <mergeCell ref="B19:F19"/>
    <mergeCell ref="B18:N18"/>
    <mergeCell ref="B20:F20"/>
    <mergeCell ref="B21:F21"/>
    <mergeCell ref="B22:F22"/>
    <mergeCell ref="B23:F23"/>
    <mergeCell ref="B24:F24"/>
    <mergeCell ref="B25:F25"/>
    <mergeCell ref="B17:F17"/>
    <mergeCell ref="B11:N11"/>
    <mergeCell ref="A3:A5"/>
    <mergeCell ref="B3:F5"/>
    <mergeCell ref="G3:G5"/>
    <mergeCell ref="H3:M3"/>
    <mergeCell ref="N3:N5"/>
    <mergeCell ref="H4:M4"/>
    <mergeCell ref="B6:F6"/>
    <mergeCell ref="B7:F7"/>
    <mergeCell ref="B8:N8"/>
    <mergeCell ref="B9:F9"/>
    <mergeCell ref="B10:F10"/>
    <mergeCell ref="B12:F12"/>
    <mergeCell ref="B13:F13"/>
    <mergeCell ref="B14:N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6BF4F-2B64-4103-826F-D3567D9F2172}">
  <dimension ref="A1:P45"/>
  <sheetViews>
    <sheetView topLeftCell="A14" workbookViewId="0">
      <selection activeCell="B36" sqref="B36:D36"/>
    </sheetView>
  </sheetViews>
  <sheetFormatPr defaultRowHeight="15" x14ac:dyDescent="0.25"/>
  <cols>
    <col min="1" max="1" width="4.28515625" customWidth="1"/>
  </cols>
  <sheetData>
    <row r="1" spans="1:12" ht="15.75" x14ac:dyDescent="0.25">
      <c r="A1" s="72" t="s">
        <v>506</v>
      </c>
    </row>
    <row r="3" spans="1:12" ht="15" customHeight="1" x14ac:dyDescent="0.25">
      <c r="A3" s="284" t="s">
        <v>2</v>
      </c>
      <c r="B3" s="284" t="s">
        <v>507</v>
      </c>
      <c r="C3" s="284"/>
      <c r="D3" s="284"/>
      <c r="E3" s="284"/>
      <c r="F3" s="284"/>
      <c r="G3" s="284"/>
      <c r="H3" s="284" t="s">
        <v>444</v>
      </c>
      <c r="I3" s="284" t="s">
        <v>508</v>
      </c>
    </row>
    <row r="4" spans="1:12" x14ac:dyDescent="0.25">
      <c r="A4" s="284"/>
      <c r="B4" s="284"/>
      <c r="C4" s="284"/>
      <c r="D4" s="284"/>
      <c r="E4" s="284"/>
      <c r="F4" s="284"/>
      <c r="G4" s="284"/>
      <c r="H4" s="284"/>
      <c r="I4" s="284"/>
    </row>
    <row r="5" spans="1:12" x14ac:dyDescent="0.25">
      <c r="A5" s="89" t="s">
        <v>36</v>
      </c>
      <c r="B5" s="285" t="str">
        <f>CHAR(CODE(A5)+1)</f>
        <v>B</v>
      </c>
      <c r="C5" s="285"/>
      <c r="D5" s="285"/>
      <c r="E5" s="285"/>
      <c r="F5" s="285"/>
      <c r="G5" s="285"/>
      <c r="H5" s="89" t="str">
        <f>CHAR(CODE(B5)+1)</f>
        <v>C</v>
      </c>
      <c r="I5" s="89" t="str">
        <f>CHAR(CODE(H5)+1)</f>
        <v>D</v>
      </c>
    </row>
    <row r="6" spans="1:12" x14ac:dyDescent="0.25">
      <c r="A6" s="81">
        <v>1</v>
      </c>
      <c r="B6" s="225" t="s">
        <v>509</v>
      </c>
      <c r="C6" s="225"/>
      <c r="D6" s="225"/>
      <c r="E6" s="225"/>
      <c r="F6" s="225"/>
      <c r="G6" s="225"/>
      <c r="H6" s="105"/>
      <c r="I6" s="105"/>
      <c r="L6" s="153"/>
    </row>
    <row r="7" spans="1:12" x14ac:dyDescent="0.25">
      <c r="A7" s="81">
        <f>A6+1</f>
        <v>2</v>
      </c>
      <c r="B7" s="268" t="str">
        <f>'T10'!B16:C16</f>
        <v>plasttruup Ø50 cm, tüüp 50P, SN8</v>
      </c>
      <c r="C7" s="268"/>
      <c r="D7" s="268"/>
      <c r="E7" s="268"/>
      <c r="F7" s="268"/>
      <c r="G7" s="268"/>
      <c r="H7" s="81" t="s">
        <v>31</v>
      </c>
      <c r="I7" s="81">
        <f>'T10'!Q16</f>
        <v>896</v>
      </c>
    </row>
    <row r="8" spans="1:12" x14ac:dyDescent="0.25">
      <c r="A8" s="81">
        <f t="shared" ref="A8:A39" si="0">A7+1</f>
        <v>3</v>
      </c>
      <c r="B8" s="268" t="str">
        <f>'T10'!B17:C17</f>
        <v>plasttruup Ø60 cm, tüüp 60P, SN8</v>
      </c>
      <c r="C8" s="268"/>
      <c r="D8" s="268"/>
      <c r="E8" s="268"/>
      <c r="F8" s="268"/>
      <c r="G8" s="268"/>
      <c r="H8" s="81" t="s">
        <v>31</v>
      </c>
      <c r="I8" s="81">
        <f>'T10'!Q17</f>
        <v>149</v>
      </c>
    </row>
    <row r="9" spans="1:12" x14ac:dyDescent="0.25">
      <c r="A9" s="81">
        <f t="shared" si="0"/>
        <v>4</v>
      </c>
      <c r="B9" s="268" t="str">
        <f>'T10'!B18:C18</f>
        <v>plasttruup Ø80 cm, tüüp 80P, SN8</v>
      </c>
      <c r="C9" s="268"/>
      <c r="D9" s="268"/>
      <c r="E9" s="268"/>
      <c r="F9" s="268"/>
      <c r="G9" s="268"/>
      <c r="H9" s="81" t="s">
        <v>31</v>
      </c>
      <c r="I9" s="81">
        <f>'T10'!Q18</f>
        <v>60</v>
      </c>
    </row>
    <row r="10" spans="1:12" x14ac:dyDescent="0.25">
      <c r="A10" s="81">
        <f t="shared" si="0"/>
        <v>5</v>
      </c>
      <c r="B10" s="268" t="str">
        <f>'T10'!B19:C19</f>
        <v>plasttruup Ø100 cm, tüüp 100P, SN8</v>
      </c>
      <c r="C10" s="268"/>
      <c r="D10" s="268"/>
      <c r="E10" s="268"/>
      <c r="F10" s="268"/>
      <c r="G10" s="268"/>
      <c r="H10" s="81" t="s">
        <v>31</v>
      </c>
      <c r="I10" s="81">
        <f>'T10'!Q19</f>
        <v>92</v>
      </c>
    </row>
    <row r="11" spans="1:12" x14ac:dyDescent="0.25">
      <c r="A11" s="81">
        <f t="shared" si="0"/>
        <v>6</v>
      </c>
      <c r="B11" s="268" t="str">
        <f>'T10'!B20:C20</f>
        <v>plasttruup Ø140 cm, tüüp 140P, SN8</v>
      </c>
      <c r="C11" s="268"/>
      <c r="D11" s="268"/>
      <c r="E11" s="268"/>
      <c r="F11" s="268"/>
      <c r="G11" s="268"/>
      <c r="H11" s="81" t="s">
        <v>31</v>
      </c>
      <c r="I11" s="81">
        <f>'T10'!Q20</f>
        <v>10</v>
      </c>
    </row>
    <row r="12" spans="1:12" x14ac:dyDescent="0.25">
      <c r="A12" s="81">
        <f t="shared" si="0"/>
        <v>7</v>
      </c>
      <c r="B12" s="268" t="str">
        <f>'T10'!B21:C21</f>
        <v>plasttruup Ø150 cm, tüüp 150P, SN8</v>
      </c>
      <c r="C12" s="268"/>
      <c r="D12" s="268"/>
      <c r="E12" s="268"/>
      <c r="F12" s="268"/>
      <c r="G12" s="268"/>
      <c r="H12" s="81" t="s">
        <v>31</v>
      </c>
      <c r="I12" s="81">
        <f>'T10'!Q21</f>
        <v>40</v>
      </c>
    </row>
    <row r="13" spans="1:12" x14ac:dyDescent="0.25">
      <c r="A13" s="81">
        <f t="shared" si="0"/>
        <v>8</v>
      </c>
      <c r="B13" s="268" t="str">
        <f>'T10'!B41:D41</f>
        <v>plasttoru Ø30 cm, L= 8 m</v>
      </c>
      <c r="C13" s="268"/>
      <c r="D13" s="268"/>
      <c r="E13" s="268"/>
      <c r="F13" s="268"/>
      <c r="G13" s="268"/>
      <c r="H13" s="81" t="s">
        <v>34</v>
      </c>
      <c r="I13" s="81">
        <f>'T10'!Q41</f>
        <v>126</v>
      </c>
    </row>
    <row r="14" spans="1:12" x14ac:dyDescent="0.25">
      <c r="A14" s="81">
        <f t="shared" si="0"/>
        <v>9</v>
      </c>
      <c r="B14" s="268" t="s">
        <v>510</v>
      </c>
      <c r="C14" s="268"/>
      <c r="D14" s="268"/>
      <c r="E14" s="268"/>
      <c r="F14" s="268"/>
      <c r="G14" s="268"/>
      <c r="H14" s="81" t="s">
        <v>447</v>
      </c>
      <c r="I14" s="106">
        <f>'T10'!G56</f>
        <v>422.59999999999997</v>
      </c>
    </row>
    <row r="15" spans="1:12" x14ac:dyDescent="0.25">
      <c r="A15" s="81">
        <f t="shared" si="0"/>
        <v>10</v>
      </c>
      <c r="B15" s="268" t="s">
        <v>511</v>
      </c>
      <c r="C15" s="268"/>
      <c r="D15" s="268"/>
      <c r="E15" s="268"/>
      <c r="F15" s="268"/>
      <c r="G15" s="268"/>
      <c r="H15" s="81" t="s">
        <v>512</v>
      </c>
      <c r="I15" s="106">
        <f>'T10'!I56</f>
        <v>2004.8</v>
      </c>
    </row>
    <row r="16" spans="1:12" x14ac:dyDescent="0.25">
      <c r="A16" s="81">
        <f t="shared" si="0"/>
        <v>11</v>
      </c>
      <c r="B16" s="268" t="s">
        <v>513</v>
      </c>
      <c r="C16" s="268"/>
      <c r="D16" s="268"/>
      <c r="E16" s="268"/>
      <c r="F16" s="268"/>
      <c r="G16" s="268"/>
      <c r="H16" s="81" t="s">
        <v>447</v>
      </c>
      <c r="I16" s="106">
        <f>'T10'!K56</f>
        <v>299.60000000000008</v>
      </c>
    </row>
    <row r="17" spans="1:12" x14ac:dyDescent="0.25">
      <c r="A17" s="81">
        <f t="shared" si="0"/>
        <v>12</v>
      </c>
      <c r="B17" s="268" t="s">
        <v>514</v>
      </c>
      <c r="C17" s="268"/>
      <c r="D17" s="268"/>
      <c r="E17" s="268"/>
      <c r="F17" s="268"/>
      <c r="G17" s="268"/>
      <c r="H17" s="81" t="s">
        <v>512</v>
      </c>
      <c r="I17" s="106">
        <f>'T10'!M56</f>
        <v>5942</v>
      </c>
    </row>
    <row r="18" spans="1:12" x14ac:dyDescent="0.25">
      <c r="A18" s="81">
        <f t="shared" si="0"/>
        <v>13</v>
      </c>
      <c r="B18" s="268" t="s">
        <v>515</v>
      </c>
      <c r="C18" s="268"/>
      <c r="D18" s="268"/>
      <c r="E18" s="268"/>
      <c r="F18" s="268"/>
      <c r="G18" s="268"/>
      <c r="H18" s="81" t="s">
        <v>476</v>
      </c>
      <c r="I18" s="106">
        <f>'T10'!O56</f>
        <v>177.55</v>
      </c>
    </row>
    <row r="19" spans="1:12" x14ac:dyDescent="0.25">
      <c r="A19" s="81">
        <f t="shared" si="0"/>
        <v>14</v>
      </c>
      <c r="B19" s="268" t="s">
        <v>516</v>
      </c>
      <c r="C19" s="268"/>
      <c r="D19" s="268"/>
      <c r="E19" s="268"/>
      <c r="F19" s="268"/>
      <c r="G19" s="268"/>
      <c r="H19" s="81" t="s">
        <v>34</v>
      </c>
      <c r="I19" s="106">
        <f>'T10'!Q56</f>
        <v>32075</v>
      </c>
    </row>
    <row r="20" spans="1:12" x14ac:dyDescent="0.25">
      <c r="A20" s="81">
        <f t="shared" si="0"/>
        <v>15</v>
      </c>
      <c r="B20" s="268" t="str">
        <f>'T10'!B35:D35</f>
        <v>Teekatte taastamine (kruus)</v>
      </c>
      <c r="C20" s="268"/>
      <c r="D20" s="268"/>
      <c r="E20" s="268"/>
      <c r="F20" s="268"/>
      <c r="G20" s="268"/>
      <c r="H20" s="81" t="s">
        <v>447</v>
      </c>
      <c r="I20" s="106">
        <f>'T10'!Q35</f>
        <v>32.4</v>
      </c>
    </row>
    <row r="21" spans="1:12" x14ac:dyDescent="0.25">
      <c r="A21" s="81">
        <f t="shared" si="0"/>
        <v>16</v>
      </c>
      <c r="B21" s="268" t="str">
        <f>'T10'!B36:D36</f>
        <v>Täiendav kaeve ja lisakaeve truubi eemaldamiseks</v>
      </c>
      <c r="C21" s="268"/>
      <c r="D21" s="268"/>
      <c r="E21" s="268"/>
      <c r="F21" s="268"/>
      <c r="G21" s="268"/>
      <c r="H21" s="81" t="s">
        <v>447</v>
      </c>
      <c r="I21" s="106">
        <f>'T10'!Q36</f>
        <v>703</v>
      </c>
    </row>
    <row r="22" spans="1:12" x14ac:dyDescent="0.25">
      <c r="A22" s="81">
        <f t="shared" si="0"/>
        <v>17</v>
      </c>
      <c r="B22" s="268" t="str">
        <f>'T10'!B37:D37</f>
        <v>Veejuhtme täide (min. pinnas)</v>
      </c>
      <c r="C22" s="268"/>
      <c r="D22" s="268"/>
      <c r="E22" s="268"/>
      <c r="F22" s="268"/>
      <c r="G22" s="268"/>
      <c r="H22" s="81" t="s">
        <v>447</v>
      </c>
      <c r="I22" s="106">
        <f>'T10'!Q37</f>
        <v>1247</v>
      </c>
    </row>
    <row r="23" spans="1:12" x14ac:dyDescent="0.25">
      <c r="A23" s="81">
        <f t="shared" si="0"/>
        <v>18</v>
      </c>
      <c r="B23" s="268" t="str">
        <f>'T10'!B38:D38</f>
        <v>Tähispost</v>
      </c>
      <c r="C23" s="268"/>
      <c r="D23" s="268"/>
      <c r="E23" s="268"/>
      <c r="F23" s="268"/>
      <c r="G23" s="268"/>
      <c r="H23" s="81" t="str">
        <f>'T10'!E38</f>
        <v>tk</v>
      </c>
      <c r="I23" s="106">
        <f>'T10'!Q38</f>
        <v>34</v>
      </c>
    </row>
    <row r="24" spans="1:12" x14ac:dyDescent="0.25">
      <c r="A24" s="81">
        <f t="shared" si="0"/>
        <v>19</v>
      </c>
      <c r="B24" s="268" t="str">
        <f>'T10'!B39:D39</f>
        <v>Puitalus</v>
      </c>
      <c r="C24" s="268"/>
      <c r="D24" s="268"/>
      <c r="E24" s="268"/>
      <c r="F24" s="268"/>
      <c r="G24" s="268"/>
      <c r="H24" s="81" t="str">
        <f>'T10'!E39</f>
        <v>m</v>
      </c>
      <c r="I24" s="106">
        <f>'T10'!Q39</f>
        <v>446</v>
      </c>
    </row>
    <row r="25" spans="1:12" x14ac:dyDescent="0.25">
      <c r="A25" s="81">
        <f t="shared" si="0"/>
        <v>20</v>
      </c>
      <c r="B25" s="225" t="s">
        <v>962</v>
      </c>
      <c r="C25" s="225"/>
      <c r="D25" s="225"/>
      <c r="E25" s="225"/>
      <c r="F25" s="225"/>
      <c r="G25" s="225"/>
      <c r="H25" s="67"/>
      <c r="I25" s="106"/>
    </row>
    <row r="26" spans="1:12" x14ac:dyDescent="0.25">
      <c r="A26" s="81">
        <f t="shared" si="0"/>
        <v>21</v>
      </c>
      <c r="B26" s="274" t="s">
        <v>963</v>
      </c>
      <c r="C26" s="274"/>
      <c r="D26" s="274"/>
      <c r="E26" s="274"/>
      <c r="F26" s="274"/>
      <c r="G26" s="274"/>
      <c r="H26" s="67" t="s">
        <v>34</v>
      </c>
      <c r="I26" s="106">
        <f>24*'T13'!O7</f>
        <v>288</v>
      </c>
    </row>
    <row r="27" spans="1:12" x14ac:dyDescent="0.25">
      <c r="A27" s="81">
        <f t="shared" si="0"/>
        <v>22</v>
      </c>
      <c r="B27" s="274" t="s">
        <v>964</v>
      </c>
      <c r="C27" s="274"/>
      <c r="D27" s="274"/>
      <c r="E27" s="274"/>
      <c r="F27" s="274"/>
      <c r="G27" s="274"/>
      <c r="H27" s="67" t="s">
        <v>34</v>
      </c>
      <c r="I27" s="106">
        <f>5*'T13'!O7</f>
        <v>60</v>
      </c>
    </row>
    <row r="28" spans="1:12" x14ac:dyDescent="0.25">
      <c r="A28" s="81">
        <f t="shared" si="0"/>
        <v>23</v>
      </c>
      <c r="B28" s="274" t="s">
        <v>965</v>
      </c>
      <c r="C28" s="274"/>
      <c r="D28" s="274"/>
      <c r="E28" s="274"/>
      <c r="F28" s="274"/>
      <c r="G28" s="274"/>
      <c r="H28" s="67" t="s">
        <v>31</v>
      </c>
      <c r="I28" s="106">
        <f>8*'T13'!O7</f>
        <v>96</v>
      </c>
    </row>
    <row r="29" spans="1:12" x14ac:dyDescent="0.25">
      <c r="A29" s="81">
        <f t="shared" si="0"/>
        <v>24</v>
      </c>
      <c r="B29" s="274" t="s">
        <v>966</v>
      </c>
      <c r="C29" s="274"/>
      <c r="D29" s="274"/>
      <c r="E29" s="274"/>
      <c r="F29" s="274"/>
      <c r="G29" s="274"/>
      <c r="H29" s="67" t="s">
        <v>777</v>
      </c>
      <c r="I29" s="106">
        <f>0.1*'T13'!O7</f>
        <v>1.2000000000000002</v>
      </c>
    </row>
    <row r="30" spans="1:12" x14ac:dyDescent="0.25">
      <c r="A30" s="81">
        <f t="shared" si="0"/>
        <v>25</v>
      </c>
      <c r="B30" s="274" t="s">
        <v>967</v>
      </c>
      <c r="C30" s="274"/>
      <c r="D30" s="274"/>
      <c r="E30" s="274"/>
      <c r="F30" s="274"/>
      <c r="G30" s="274"/>
      <c r="H30" s="67" t="s">
        <v>719</v>
      </c>
      <c r="I30" s="106">
        <f>6*'T13'!O7</f>
        <v>72</v>
      </c>
    </row>
    <row r="31" spans="1:12" x14ac:dyDescent="0.25">
      <c r="A31" s="81">
        <f t="shared" si="0"/>
        <v>26</v>
      </c>
      <c r="B31" s="225" t="s">
        <v>518</v>
      </c>
      <c r="C31" s="225"/>
      <c r="D31" s="225"/>
      <c r="E31" s="225"/>
      <c r="F31" s="225"/>
      <c r="G31" s="225"/>
      <c r="H31" s="225"/>
      <c r="I31" s="225"/>
    </row>
    <row r="32" spans="1:12" ht="86.25" customHeight="1" x14ac:dyDescent="0.25">
      <c r="A32" s="81">
        <f t="shared" si="0"/>
        <v>27</v>
      </c>
      <c r="B32" s="268" t="s">
        <v>519</v>
      </c>
      <c r="C32" s="268"/>
      <c r="D32" s="268"/>
      <c r="E32" s="81" t="s">
        <v>444</v>
      </c>
      <c r="F32" s="81" t="s">
        <v>758</v>
      </c>
      <c r="G32" s="81" t="str">
        <f>'T11'!B7</f>
        <v>EH 6: Kõksi - Tammelaane - Villemuse tee</v>
      </c>
      <c r="H32" s="81" t="str">
        <f>'T11'!B14</f>
        <v>EH 7: 2. Kõksi tee</v>
      </c>
      <c r="I32" s="81" t="str">
        <f>'T11'!B18</f>
        <v>EH 8: Kõksi tee</v>
      </c>
      <c r="J32" s="81" t="str">
        <f>'T11'!B22</f>
        <v>EH 9: Tammelaane tee</v>
      </c>
      <c r="K32" s="81" t="s">
        <v>759</v>
      </c>
      <c r="L32" s="81" t="s">
        <v>520</v>
      </c>
    </row>
    <row r="33" spans="1:16" x14ac:dyDescent="0.25">
      <c r="A33" s="81">
        <f t="shared" si="0"/>
        <v>28</v>
      </c>
      <c r="B33" s="268" t="s">
        <v>521</v>
      </c>
      <c r="C33" s="268"/>
      <c r="D33" s="268"/>
      <c r="E33" s="81" t="s">
        <v>447</v>
      </c>
      <c r="F33" s="106">
        <f>T2B!H17+T2B!H23+T2B!H27+T2B!H31+T2B!H36+T2B!H41+T2B!H46</f>
        <v>9</v>
      </c>
      <c r="G33" s="106">
        <f>T2B!I17+T2B!I23+T2B!I27+T2B!I31+T2B!I36+T2B!I41+T2B!I46</f>
        <v>3020.72</v>
      </c>
      <c r="H33" s="106">
        <f>T2B!J17+T2B!J23+T2B!J27+T2B!J31+T2B!J36+T2B!J41+T2B!J46</f>
        <v>825.67</v>
      </c>
      <c r="I33" s="106">
        <f>T2B!K17+T2B!K23+T2B!K27+T2B!K31+T2B!K36+T2B!K41+T2B!K46</f>
        <v>72.13</v>
      </c>
      <c r="J33" s="106">
        <f>T2B!L17+T2B!L23+T2B!L27+T2B!L31+T2B!L36+T2B!L41+T2B!L46</f>
        <v>466.5</v>
      </c>
      <c r="K33" s="106">
        <f>T2B!M17+T2B!M23+T2B!M27+T2B!M31+T2B!M36+T2B!M41+T2B!M46</f>
        <v>9</v>
      </c>
      <c r="L33" s="107">
        <f>SUM(F33:K33)</f>
        <v>4403.0200000000004</v>
      </c>
    </row>
    <row r="34" spans="1:16" x14ac:dyDescent="0.25">
      <c r="A34" s="81">
        <f t="shared" si="0"/>
        <v>29</v>
      </c>
      <c r="B34" s="268" t="s">
        <v>522</v>
      </c>
      <c r="C34" s="268"/>
      <c r="D34" s="268"/>
      <c r="E34" s="81" t="s">
        <v>447</v>
      </c>
      <c r="F34" s="106">
        <f>T2B!H16+T2B!H22+T2B!H26+T2B!H30+T2B!H35+T2B!H40+T2B!H45</f>
        <v>21</v>
      </c>
      <c r="G34" s="106">
        <f>T2B!I16+T2B!I22+T2B!I26+T2B!I30+T2B!I35+T2B!I40+T2B!I45</f>
        <v>6649.7800000000007</v>
      </c>
      <c r="H34" s="106">
        <f>T2B!J16+T2B!J22+T2B!J26+T2B!J30+T2B!J35+T2B!J40+T2B!J45</f>
        <v>1844.83</v>
      </c>
      <c r="I34" s="106">
        <f>T2B!K16+T2B!K22+T2B!K26+T2B!K30+T2B!K35+T2B!K40+T2B!K45</f>
        <v>162.37</v>
      </c>
      <c r="J34" s="106">
        <f>T2B!L16+T2B!L22+T2B!L26+T2B!L30+T2B!L35+T2B!L40+T2B!L45</f>
        <v>1028.5</v>
      </c>
      <c r="K34" s="106">
        <f>T2B!M16+T2B!M22+T2B!M26+T2B!M30+T2B!M35+T2B!M40+T2B!M45</f>
        <v>21</v>
      </c>
      <c r="L34" s="107">
        <f t="shared" ref="L34:L35" si="1">SUM(F34:K34)</f>
        <v>9727.4800000000014</v>
      </c>
    </row>
    <row r="35" spans="1:16" ht="27.75" customHeight="1" x14ac:dyDescent="0.25">
      <c r="A35" s="81">
        <f t="shared" si="0"/>
        <v>30</v>
      </c>
      <c r="B35" s="268" t="s">
        <v>523</v>
      </c>
      <c r="C35" s="268"/>
      <c r="D35" s="268"/>
      <c r="E35" s="81" t="s">
        <v>512</v>
      </c>
      <c r="F35" s="81">
        <f>T2B!H15+T2B!H21+T2B!H25+T2B!H29+T2B!H34+T2B!H39+T2B!H44</f>
        <v>100</v>
      </c>
      <c r="G35" s="81">
        <f>T2B!I15+T2B!I21+T2B!I25+T2B!I29+T2B!I34+T2B!I39+T2B!I44</f>
        <v>32256</v>
      </c>
      <c r="H35" s="81">
        <f>T2B!J15+T2B!J21+T2B!J25+T2B!J29+T2B!J34+T2B!J39+T2B!J44</f>
        <v>8977</v>
      </c>
      <c r="I35" s="81">
        <f>T2B!K15+T2B!K21+T2B!K25+T2B!K29+T2B!K34+T2B!K39+T2B!K44</f>
        <v>800</v>
      </c>
      <c r="J35" s="81">
        <f>T2B!L15+T2B!L21+T2B!L25+T2B!L29+T2B!L34+T2B!L39+T2B!L44</f>
        <v>4977</v>
      </c>
      <c r="K35" s="81">
        <f>T2B!M15+T2B!M21+T2B!M25+T2B!M29+T2B!M34+T2B!M39+T2B!M44</f>
        <v>100</v>
      </c>
      <c r="L35" s="107">
        <f t="shared" si="1"/>
        <v>47210</v>
      </c>
    </row>
    <row r="36" spans="1:16" ht="27.75" customHeight="1" x14ac:dyDescent="0.25">
      <c r="A36" s="81">
        <f t="shared" si="0"/>
        <v>31</v>
      </c>
      <c r="B36" s="268" t="s">
        <v>799</v>
      </c>
      <c r="C36" s="268"/>
      <c r="D36" s="268"/>
      <c r="E36" s="81" t="s">
        <v>447</v>
      </c>
      <c r="F36" s="106">
        <f>T2B!H13+T2B!H20+T2B!H33+T2B!H38+T2B!H43-F37</f>
        <v>19</v>
      </c>
      <c r="G36" s="106">
        <f>T2B!I13+T2B!I20+T2B!I33+T2B!I38+T2B!I43-G37</f>
        <v>816.16</v>
      </c>
      <c r="H36" s="106"/>
      <c r="I36" s="106">
        <f>T2B!K13+T2B!K20+T2B!K33+T2B!K38+T2B!K43-I37</f>
        <v>28</v>
      </c>
      <c r="J36" s="106">
        <f>T2B!L13+T2B!L20+T2B!L33+T2B!L38+T2B!L43-J37</f>
        <v>578.44000000000005</v>
      </c>
      <c r="K36" s="106">
        <f>T2B!M13+T2B!M20+T2B!M33+T2B!M38+T2B!M43-K37</f>
        <v>28</v>
      </c>
      <c r="L36" s="107">
        <f>SUM(F36:K36)</f>
        <v>1469.6</v>
      </c>
      <c r="N36" s="172"/>
      <c r="P36" s="172"/>
    </row>
    <row r="37" spans="1:16" ht="27.75" customHeight="1" x14ac:dyDescent="0.25">
      <c r="A37" s="81">
        <f t="shared" si="0"/>
        <v>32</v>
      </c>
      <c r="B37" s="268" t="s">
        <v>800</v>
      </c>
      <c r="C37" s="268"/>
      <c r="D37" s="268"/>
      <c r="E37" s="81" t="s">
        <v>447</v>
      </c>
      <c r="F37" s="106">
        <v>20</v>
      </c>
      <c r="G37" s="106">
        <v>200</v>
      </c>
      <c r="H37" s="81">
        <v>728</v>
      </c>
      <c r="I37" s="81">
        <v>50</v>
      </c>
      <c r="J37" s="106">
        <v>100</v>
      </c>
      <c r="K37" s="81">
        <v>11</v>
      </c>
      <c r="L37" s="107">
        <f t="shared" ref="L37:L38" si="2">SUM(F37:K37)</f>
        <v>1109</v>
      </c>
      <c r="O37" s="172"/>
    </row>
    <row r="38" spans="1:16" ht="27" customHeight="1" x14ac:dyDescent="0.25">
      <c r="A38" s="81">
        <f t="shared" si="0"/>
        <v>33</v>
      </c>
      <c r="B38" s="268" t="s">
        <v>524</v>
      </c>
      <c r="C38" s="268"/>
      <c r="D38" s="268"/>
      <c r="E38" s="81" t="s">
        <v>34</v>
      </c>
      <c r="F38" s="81"/>
      <c r="G38" s="81">
        <v>2</v>
      </c>
      <c r="H38" s="81"/>
      <c r="I38" s="81">
        <v>1</v>
      </c>
      <c r="J38" s="81">
        <v>1</v>
      </c>
      <c r="K38" s="81"/>
      <c r="L38" s="107">
        <f t="shared" si="2"/>
        <v>4</v>
      </c>
      <c r="N38" s="172"/>
    </row>
    <row r="39" spans="1:16" ht="27" customHeight="1" x14ac:dyDescent="0.25">
      <c r="A39" s="81">
        <f t="shared" si="0"/>
        <v>34</v>
      </c>
      <c r="B39" s="268" t="s">
        <v>960</v>
      </c>
      <c r="C39" s="268"/>
      <c r="D39" s="268"/>
      <c r="E39" s="81" t="s">
        <v>34</v>
      </c>
      <c r="F39" s="81"/>
      <c r="G39" s="81">
        <v>2</v>
      </c>
      <c r="H39" s="81"/>
      <c r="I39" s="81"/>
      <c r="J39" s="81"/>
      <c r="K39" s="81"/>
      <c r="L39" s="107"/>
    </row>
    <row r="40" spans="1:16" x14ac:dyDescent="0.25">
      <c r="A40" s="29" t="s">
        <v>56</v>
      </c>
      <c r="B40" s="104"/>
      <c r="C40" s="104"/>
      <c r="D40" s="104"/>
      <c r="E40" s="104"/>
      <c r="F40" s="104"/>
      <c r="G40" s="104"/>
      <c r="H40" s="18"/>
      <c r="I40" s="18"/>
    </row>
    <row r="41" spans="1:16" x14ac:dyDescent="0.25">
      <c r="A41" s="104">
        <v>1</v>
      </c>
      <c r="B41" s="29" t="s">
        <v>525</v>
      </c>
      <c r="C41" s="29"/>
      <c r="D41" s="29"/>
      <c r="E41" s="29"/>
      <c r="F41" s="29"/>
      <c r="G41" s="29"/>
      <c r="H41" s="29"/>
      <c r="I41" s="29"/>
    </row>
    <row r="42" spans="1:16" x14ac:dyDescent="0.25">
      <c r="A42" s="104">
        <v>2</v>
      </c>
      <c r="B42" s="29" t="s">
        <v>526</v>
      </c>
      <c r="C42" s="29"/>
      <c r="D42" s="29"/>
      <c r="E42" s="29"/>
      <c r="F42" s="29"/>
      <c r="G42" s="29"/>
      <c r="H42" s="29"/>
      <c r="I42" s="29"/>
    </row>
    <row r="43" spans="1:16" x14ac:dyDescent="0.25">
      <c r="A43" s="18"/>
      <c r="B43" s="29"/>
      <c r="C43" s="29"/>
      <c r="D43" s="29"/>
      <c r="E43" s="29"/>
      <c r="F43" s="29"/>
      <c r="G43" s="29"/>
      <c r="H43" s="29"/>
      <c r="I43" s="29"/>
    </row>
    <row r="44" spans="1:16" x14ac:dyDescent="0.25">
      <c r="A44" s="18"/>
      <c r="B44" s="29"/>
      <c r="C44" s="29"/>
      <c r="D44" s="29"/>
      <c r="E44" s="29"/>
      <c r="F44" s="29"/>
      <c r="G44" s="29"/>
      <c r="H44" s="29"/>
      <c r="I44" s="29"/>
    </row>
    <row r="45" spans="1:16" x14ac:dyDescent="0.25">
      <c r="A45" s="83"/>
      <c r="B45" s="12"/>
      <c r="C45" s="12"/>
      <c r="D45" s="12"/>
      <c r="E45" s="12"/>
      <c r="F45" s="12"/>
      <c r="G45" s="12"/>
      <c r="H45" s="12"/>
      <c r="I45" s="12"/>
    </row>
  </sheetData>
  <mergeCells count="39">
    <mergeCell ref="B31:I31"/>
    <mergeCell ref="B32:D32"/>
    <mergeCell ref="B25:G25"/>
    <mergeCell ref="B26:G26"/>
    <mergeCell ref="B27:G27"/>
    <mergeCell ref="B28:G28"/>
    <mergeCell ref="B29:G29"/>
    <mergeCell ref="B30:G30"/>
    <mergeCell ref="B33:D33"/>
    <mergeCell ref="B34:D34"/>
    <mergeCell ref="B35:D35"/>
    <mergeCell ref="B36:D36"/>
    <mergeCell ref="B38:D38"/>
    <mergeCell ref="B10:G10"/>
    <mergeCell ref="B11:G11"/>
    <mergeCell ref="B12:G12"/>
    <mergeCell ref="B13:G13"/>
    <mergeCell ref="B24:G24"/>
    <mergeCell ref="H3:H4"/>
    <mergeCell ref="I3:I4"/>
    <mergeCell ref="B5:G5"/>
    <mergeCell ref="B7:G7"/>
    <mergeCell ref="B8:G8"/>
    <mergeCell ref="B37:D37"/>
    <mergeCell ref="B39:D39"/>
    <mergeCell ref="B6:G6"/>
    <mergeCell ref="A3:A4"/>
    <mergeCell ref="B3:G4"/>
    <mergeCell ref="B9:G9"/>
    <mergeCell ref="B14:G14"/>
    <mergeCell ref="B15:G15"/>
    <mergeCell ref="B22:G22"/>
    <mergeCell ref="B23:G23"/>
    <mergeCell ref="B16:G16"/>
    <mergeCell ref="B17:G17"/>
    <mergeCell ref="B18:G18"/>
    <mergeCell ref="B19:G19"/>
    <mergeCell ref="B20:G20"/>
    <mergeCell ref="B21:G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1DAB2-AB13-488F-A435-C77683D926BE}">
  <dimension ref="A1:H16"/>
  <sheetViews>
    <sheetView workbookViewId="0">
      <selection activeCell="G4" sqref="G4:G5"/>
    </sheetView>
  </sheetViews>
  <sheetFormatPr defaultRowHeight="15" x14ac:dyDescent="0.25"/>
  <cols>
    <col min="1" max="1" width="6.28515625" customWidth="1"/>
    <col min="2" max="2" width="7.140625" customWidth="1"/>
    <col min="3" max="3" width="10.140625" customWidth="1"/>
    <col min="4" max="4" width="5" customWidth="1"/>
    <col min="5" max="5" width="11.5703125" customWidth="1"/>
    <col min="6" max="6" width="19.85546875" customWidth="1"/>
    <col min="7" max="7" width="6.7109375" customWidth="1"/>
    <col min="8" max="8" width="6.5703125" customWidth="1"/>
    <col min="10" max="10" width="14" customWidth="1"/>
    <col min="11" max="11" width="14.85546875" customWidth="1"/>
    <col min="12" max="12" width="19.42578125" customWidth="1"/>
  </cols>
  <sheetData>
    <row r="1" spans="1:8" ht="15.75" x14ac:dyDescent="0.25">
      <c r="A1" s="72" t="s">
        <v>336</v>
      </c>
    </row>
    <row r="3" spans="1:8" x14ac:dyDescent="0.25">
      <c r="A3" s="291" t="s">
        <v>337</v>
      </c>
      <c r="B3" s="291" t="s">
        <v>338</v>
      </c>
      <c r="C3" s="291"/>
      <c r="D3" s="292" t="s">
        <v>339</v>
      </c>
      <c r="E3" s="292"/>
      <c r="F3" s="292"/>
      <c r="G3" s="292"/>
      <c r="H3" s="292"/>
    </row>
    <row r="4" spans="1:8" x14ac:dyDescent="0.25">
      <c r="A4" s="291"/>
      <c r="B4" s="291"/>
      <c r="C4" s="291"/>
      <c r="D4" s="292" t="s">
        <v>340</v>
      </c>
      <c r="E4" s="292" t="s">
        <v>341</v>
      </c>
      <c r="F4" s="292"/>
      <c r="G4" s="291" t="s">
        <v>342</v>
      </c>
      <c r="H4" s="291" t="s">
        <v>343</v>
      </c>
    </row>
    <row r="5" spans="1:8" ht="23.25" customHeight="1" x14ac:dyDescent="0.25">
      <c r="A5" s="291"/>
      <c r="B5" s="291"/>
      <c r="C5" s="291"/>
      <c r="D5" s="292"/>
      <c r="E5" s="292"/>
      <c r="F5" s="292"/>
      <c r="G5" s="291"/>
      <c r="H5" s="291"/>
    </row>
    <row r="6" spans="1:8" x14ac:dyDescent="0.25">
      <c r="A6" s="36" t="s">
        <v>42</v>
      </c>
      <c r="B6" s="290">
        <v>3101740020081</v>
      </c>
      <c r="C6" s="290"/>
      <c r="D6" s="79" t="s">
        <v>345</v>
      </c>
      <c r="E6" s="290" t="s">
        <v>346</v>
      </c>
      <c r="F6" s="290"/>
      <c r="G6" s="74">
        <v>182.8</v>
      </c>
      <c r="H6" s="73"/>
    </row>
    <row r="7" spans="1:8" x14ac:dyDescent="0.25">
      <c r="A7" s="36" t="s">
        <v>249</v>
      </c>
      <c r="B7" s="287">
        <v>3101740020050</v>
      </c>
      <c r="C7" s="288"/>
      <c r="D7" s="79" t="s">
        <v>347</v>
      </c>
      <c r="E7" s="287" t="s">
        <v>348</v>
      </c>
      <c r="F7" s="288"/>
      <c r="G7" s="74">
        <v>11</v>
      </c>
      <c r="H7" s="75"/>
    </row>
    <row r="8" spans="1:8" x14ac:dyDescent="0.25">
      <c r="A8" s="36" t="s">
        <v>43</v>
      </c>
      <c r="B8" s="287">
        <v>3020838000030</v>
      </c>
      <c r="C8" s="288"/>
      <c r="D8" s="79" t="s">
        <v>349</v>
      </c>
      <c r="E8" s="287" t="s">
        <v>346</v>
      </c>
      <c r="F8" s="288"/>
      <c r="G8" s="74">
        <v>709.9</v>
      </c>
      <c r="H8" s="75"/>
    </row>
    <row r="9" spans="1:8" x14ac:dyDescent="0.25">
      <c r="A9" s="36" t="s">
        <v>88</v>
      </c>
      <c r="B9" s="287">
        <v>3101740020050</v>
      </c>
      <c r="C9" s="288"/>
      <c r="D9" s="79" t="s">
        <v>350</v>
      </c>
      <c r="E9" s="289" t="s">
        <v>346</v>
      </c>
      <c r="F9" s="288"/>
      <c r="G9" s="74">
        <v>460</v>
      </c>
      <c r="H9" s="75"/>
    </row>
    <row r="10" spans="1:8" x14ac:dyDescent="0.25">
      <c r="A10" s="36" t="s">
        <v>89</v>
      </c>
      <c r="B10" s="287">
        <v>3101740020050</v>
      </c>
      <c r="C10" s="288"/>
      <c r="D10" s="79" t="s">
        <v>351</v>
      </c>
      <c r="E10" s="287" t="s">
        <v>352</v>
      </c>
      <c r="F10" s="288"/>
      <c r="G10" s="74"/>
      <c r="H10" s="75">
        <v>6.01</v>
      </c>
    </row>
    <row r="11" spans="1:8" x14ac:dyDescent="0.25">
      <c r="A11" s="36" t="s">
        <v>90</v>
      </c>
      <c r="B11" s="287">
        <v>3101740020050</v>
      </c>
      <c r="C11" s="288"/>
      <c r="D11" s="73">
        <v>103</v>
      </c>
      <c r="E11" s="287" t="s">
        <v>353</v>
      </c>
      <c r="F11" s="288"/>
      <c r="G11" s="74"/>
      <c r="H11" s="75">
        <v>1.38</v>
      </c>
    </row>
    <row r="12" spans="1:8" x14ac:dyDescent="0.25">
      <c r="A12" s="36" t="s">
        <v>91</v>
      </c>
      <c r="B12" s="287">
        <v>3101740020050</v>
      </c>
      <c r="C12" s="288"/>
      <c r="D12" s="73">
        <v>104</v>
      </c>
      <c r="E12" s="287" t="s">
        <v>354</v>
      </c>
      <c r="F12" s="288"/>
      <c r="G12" s="74"/>
      <c r="H12" s="75">
        <v>0.09</v>
      </c>
    </row>
    <row r="13" spans="1:8" x14ac:dyDescent="0.25">
      <c r="A13" s="36" t="s">
        <v>92</v>
      </c>
      <c r="B13" s="287">
        <v>3020838000030</v>
      </c>
      <c r="C13" s="288"/>
      <c r="D13" s="73">
        <v>102</v>
      </c>
      <c r="E13" s="287" t="s">
        <v>355</v>
      </c>
      <c r="F13" s="288"/>
      <c r="G13" s="74"/>
      <c r="H13" s="75">
        <v>0.77</v>
      </c>
    </row>
    <row r="14" spans="1:8" x14ac:dyDescent="0.25">
      <c r="A14" s="36" t="s">
        <v>93</v>
      </c>
      <c r="B14" s="287">
        <v>3101950010010</v>
      </c>
      <c r="C14" s="288"/>
      <c r="D14" s="79" t="s">
        <v>347</v>
      </c>
      <c r="E14" s="287" t="s">
        <v>356</v>
      </c>
      <c r="F14" s="288"/>
      <c r="G14" s="74"/>
      <c r="H14" s="75"/>
    </row>
    <row r="15" spans="1:8" x14ac:dyDescent="0.25">
      <c r="A15" s="36" t="s">
        <v>94</v>
      </c>
      <c r="B15" s="287">
        <v>3101790010010</v>
      </c>
      <c r="C15" s="288"/>
      <c r="D15" s="79" t="s">
        <v>349</v>
      </c>
      <c r="E15" s="287" t="s">
        <v>357</v>
      </c>
      <c r="F15" s="288"/>
      <c r="G15" s="74"/>
      <c r="H15" s="75"/>
    </row>
    <row r="16" spans="1:8" x14ac:dyDescent="0.25">
      <c r="A16" s="286" t="s">
        <v>344</v>
      </c>
      <c r="B16" s="286"/>
      <c r="C16" s="286"/>
      <c r="D16" s="286"/>
      <c r="E16" s="286"/>
      <c r="F16" s="286"/>
      <c r="G16" s="77">
        <f>SUM(G6:G15)</f>
        <v>1363.7</v>
      </c>
      <c r="H16" s="78">
        <f>SUM(H6:H15)</f>
        <v>8.25</v>
      </c>
    </row>
  </sheetData>
  <mergeCells count="28">
    <mergeCell ref="A3:A5"/>
    <mergeCell ref="B3:C5"/>
    <mergeCell ref="D3:H3"/>
    <mergeCell ref="D4:D5"/>
    <mergeCell ref="E4:F5"/>
    <mergeCell ref="G4:G5"/>
    <mergeCell ref="H4:H5"/>
    <mergeCell ref="B6:C6"/>
    <mergeCell ref="E6:F6"/>
    <mergeCell ref="B7:C7"/>
    <mergeCell ref="E7:F7"/>
    <mergeCell ref="E14:F14"/>
    <mergeCell ref="B11:C11"/>
    <mergeCell ref="E11:F11"/>
    <mergeCell ref="A16:F16"/>
    <mergeCell ref="B8:C8"/>
    <mergeCell ref="B14:C14"/>
    <mergeCell ref="B15:C15"/>
    <mergeCell ref="E8:F8"/>
    <mergeCell ref="E15:F15"/>
    <mergeCell ref="B12:C12"/>
    <mergeCell ref="E12:F12"/>
    <mergeCell ref="B13:C13"/>
    <mergeCell ref="E13:F13"/>
    <mergeCell ref="B9:C9"/>
    <mergeCell ref="E9:F9"/>
    <mergeCell ref="B10:C10"/>
    <mergeCell ref="E10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B87FE-D018-49B6-800E-0118EC69DED5}">
  <dimension ref="A1:R14"/>
  <sheetViews>
    <sheetView workbookViewId="0">
      <selection activeCell="D12" sqref="D12"/>
    </sheetView>
  </sheetViews>
  <sheetFormatPr defaultRowHeight="15" x14ac:dyDescent="0.25"/>
  <cols>
    <col min="1" max="1" width="5" customWidth="1"/>
    <col min="2" max="2" width="26.28515625" customWidth="1"/>
    <col min="3" max="3" width="6.28515625" customWidth="1"/>
    <col min="17" max="17" width="12.28515625" customWidth="1"/>
    <col min="18" max="18" width="14.28515625" customWidth="1"/>
  </cols>
  <sheetData>
    <row r="1" spans="1:18" ht="15.75" x14ac:dyDescent="0.25">
      <c r="A1" s="72" t="s">
        <v>388</v>
      </c>
      <c r="B1" s="80"/>
      <c r="C1" s="80"/>
    </row>
    <row r="2" spans="1:18" x14ac:dyDescent="0.25">
      <c r="A2" s="80"/>
      <c r="B2" s="80"/>
      <c r="C2" s="80"/>
    </row>
    <row r="3" spans="1:18" x14ac:dyDescent="0.25">
      <c r="A3" s="268" t="s">
        <v>2</v>
      </c>
      <c r="B3" s="269" t="s">
        <v>358</v>
      </c>
      <c r="C3" s="269"/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69"/>
      <c r="R3" s="269"/>
    </row>
    <row r="4" spans="1:18" x14ac:dyDescent="0.25">
      <c r="A4" s="268"/>
      <c r="B4" s="269" t="s">
        <v>341</v>
      </c>
      <c r="C4" s="268" t="s">
        <v>359</v>
      </c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8" t="s">
        <v>360</v>
      </c>
      <c r="R4" s="268" t="s">
        <v>361</v>
      </c>
    </row>
    <row r="5" spans="1:18" x14ac:dyDescent="0.25">
      <c r="A5" s="268"/>
      <c r="B5" s="269"/>
      <c r="C5" s="268"/>
      <c r="D5" s="269" t="s">
        <v>362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 t="s">
        <v>363</v>
      </c>
      <c r="Q5" s="268"/>
      <c r="R5" s="268"/>
    </row>
    <row r="6" spans="1:18" x14ac:dyDescent="0.25">
      <c r="A6" s="268"/>
      <c r="B6" s="269"/>
      <c r="C6" s="268"/>
      <c r="D6" s="6" t="s">
        <v>364</v>
      </c>
      <c r="E6" s="6" t="s">
        <v>249</v>
      </c>
      <c r="F6" s="6" t="s">
        <v>365</v>
      </c>
      <c r="G6" s="6" t="s">
        <v>366</v>
      </c>
      <c r="H6" s="6" t="s">
        <v>367</v>
      </c>
      <c r="I6" s="6" t="s">
        <v>368</v>
      </c>
      <c r="J6" s="6" t="s">
        <v>369</v>
      </c>
      <c r="K6" s="6" t="s">
        <v>370</v>
      </c>
      <c r="L6" s="6" t="s">
        <v>371</v>
      </c>
      <c r="M6" s="6" t="s">
        <v>372</v>
      </c>
      <c r="N6" s="6" t="s">
        <v>373</v>
      </c>
      <c r="O6" s="6" t="s">
        <v>374</v>
      </c>
      <c r="P6" s="269"/>
      <c r="Q6" s="268"/>
      <c r="R6" s="268"/>
    </row>
    <row r="7" spans="1:18" ht="51" x14ac:dyDescent="0.25">
      <c r="A7" s="6">
        <v>1</v>
      </c>
      <c r="B7" s="81" t="s">
        <v>375</v>
      </c>
      <c r="C7" s="6" t="s">
        <v>376</v>
      </c>
      <c r="D7" s="68">
        <f>[1]T1!G6</f>
        <v>231.6</v>
      </c>
      <c r="E7" s="68">
        <f>[1]T1!G7</f>
        <v>11</v>
      </c>
      <c r="F7" s="68">
        <f>[1]T1!G8</f>
        <v>709.9</v>
      </c>
      <c r="G7" s="68">
        <f>[1]T1!G9</f>
        <v>4.8</v>
      </c>
      <c r="H7" s="68">
        <f>[1]T1!G10</f>
        <v>490.9</v>
      </c>
      <c r="I7" s="68"/>
      <c r="J7" s="68"/>
      <c r="K7" s="68"/>
      <c r="L7" s="68"/>
      <c r="M7" s="68"/>
      <c r="N7" s="68"/>
      <c r="O7" s="68"/>
      <c r="P7" s="68">
        <f>SUM(D7:O7)</f>
        <v>1448.1999999999998</v>
      </c>
      <c r="Q7" s="268" t="s">
        <v>377</v>
      </c>
      <c r="R7" s="268" t="s">
        <v>378</v>
      </c>
    </row>
    <row r="8" spans="1:18" ht="63.75" x14ac:dyDescent="0.25">
      <c r="A8" s="6">
        <f>A7+1</f>
        <v>2</v>
      </c>
      <c r="B8" s="81" t="s">
        <v>379</v>
      </c>
      <c r="C8" s="6" t="s">
        <v>380</v>
      </c>
      <c r="D8" s="13"/>
      <c r="E8" s="13"/>
      <c r="F8" s="13">
        <f>[1]T1!H8</f>
        <v>1.03</v>
      </c>
      <c r="G8" s="13"/>
      <c r="H8" s="13"/>
      <c r="I8" s="13"/>
      <c r="J8" s="13"/>
      <c r="K8" s="13"/>
      <c r="L8" s="13"/>
      <c r="M8" s="13">
        <f>[1]T1!H15</f>
        <v>0.53</v>
      </c>
      <c r="N8" s="13">
        <f>[1]T1!H16</f>
        <v>0.92</v>
      </c>
      <c r="O8" s="13">
        <f>[1]T1!H17</f>
        <v>3.33</v>
      </c>
      <c r="P8" s="13">
        <f>SUM(D8:O8)</f>
        <v>5.8100000000000005</v>
      </c>
      <c r="Q8" s="268"/>
      <c r="R8" s="268"/>
    </row>
    <row r="9" spans="1:18" ht="51" x14ac:dyDescent="0.25">
      <c r="A9" s="6">
        <f t="shared" ref="A9:A14" si="0">A8+1</f>
        <v>3</v>
      </c>
      <c r="B9" s="81" t="s">
        <v>381</v>
      </c>
      <c r="C9" s="6" t="s">
        <v>382</v>
      </c>
      <c r="D9" s="70">
        <v>1</v>
      </c>
      <c r="E9" s="70">
        <v>1</v>
      </c>
      <c r="F9" s="70">
        <v>1</v>
      </c>
      <c r="G9" s="70">
        <v>1</v>
      </c>
      <c r="H9" s="70">
        <v>1</v>
      </c>
      <c r="I9" s="70">
        <v>1</v>
      </c>
      <c r="J9" s="70">
        <v>1</v>
      </c>
      <c r="K9" s="70">
        <v>1</v>
      </c>
      <c r="L9" s="70">
        <v>1</v>
      </c>
      <c r="M9" s="70">
        <v>1</v>
      </c>
      <c r="N9" s="70">
        <v>1</v>
      </c>
      <c r="O9" s="70">
        <v>1</v>
      </c>
      <c r="P9" s="70">
        <f t="shared" ref="P9:P14" si="1">SUM(D9:O9)</f>
        <v>12</v>
      </c>
      <c r="Q9" s="268"/>
      <c r="R9" s="268"/>
    </row>
    <row r="10" spans="1:18" ht="38.25" x14ac:dyDescent="0.25">
      <c r="A10" s="6">
        <f t="shared" si="0"/>
        <v>4</v>
      </c>
      <c r="B10" s="81" t="s">
        <v>383</v>
      </c>
      <c r="C10" s="6" t="s">
        <v>382</v>
      </c>
      <c r="D10" s="70">
        <v>1</v>
      </c>
      <c r="E10" s="70">
        <v>1</v>
      </c>
      <c r="F10" s="70">
        <v>1</v>
      </c>
      <c r="G10" s="70">
        <v>1</v>
      </c>
      <c r="H10" s="70">
        <v>1</v>
      </c>
      <c r="I10" s="70">
        <v>1</v>
      </c>
      <c r="J10" s="70">
        <v>1</v>
      </c>
      <c r="K10" s="70">
        <v>1</v>
      </c>
      <c r="L10" s="70">
        <v>1</v>
      </c>
      <c r="M10" s="70">
        <v>1</v>
      </c>
      <c r="N10" s="70">
        <v>1</v>
      </c>
      <c r="O10" s="70">
        <v>1</v>
      </c>
      <c r="P10" s="70">
        <f t="shared" si="1"/>
        <v>12</v>
      </c>
      <c r="Q10" s="268"/>
      <c r="R10" s="268"/>
    </row>
    <row r="11" spans="1:18" ht="89.25" x14ac:dyDescent="0.25">
      <c r="A11" s="6">
        <f t="shared" si="0"/>
        <v>5</v>
      </c>
      <c r="B11" s="81" t="s">
        <v>384</v>
      </c>
      <c r="C11" s="6" t="s">
        <v>380</v>
      </c>
      <c r="D11" s="6"/>
      <c r="E11" s="6"/>
      <c r="F11" s="6"/>
      <c r="G11" s="6"/>
      <c r="H11" s="6"/>
      <c r="I11" s="13">
        <f>[1]T1!I11</f>
        <v>6.01</v>
      </c>
      <c r="J11" s="13">
        <f>[1]T1!I12</f>
        <v>1.45</v>
      </c>
      <c r="K11" s="13">
        <f>[1]T1!I13</f>
        <v>0.09</v>
      </c>
      <c r="L11" s="13">
        <f>[1]T1!I14</f>
        <v>0.67</v>
      </c>
      <c r="M11" s="6"/>
      <c r="N11" s="6"/>
      <c r="O11" s="6"/>
      <c r="P11" s="13">
        <f t="shared" si="1"/>
        <v>8.2200000000000006</v>
      </c>
      <c r="Q11" s="268"/>
      <c r="R11" s="268"/>
    </row>
    <row r="12" spans="1:18" ht="51" x14ac:dyDescent="0.25">
      <c r="A12" s="6">
        <f t="shared" si="0"/>
        <v>6</v>
      </c>
      <c r="B12" s="81" t="s">
        <v>385</v>
      </c>
      <c r="C12" s="6" t="s">
        <v>34</v>
      </c>
      <c r="D12" s="6"/>
      <c r="E12" s="6"/>
      <c r="F12" s="6"/>
      <c r="G12" s="6"/>
      <c r="H12" s="6"/>
      <c r="I12" s="6">
        <v>2</v>
      </c>
      <c r="J12" s="6"/>
      <c r="K12" s="6"/>
      <c r="L12" s="6"/>
      <c r="M12" s="6"/>
      <c r="N12" s="6"/>
      <c r="O12" s="6"/>
      <c r="P12" s="70">
        <f t="shared" si="1"/>
        <v>2</v>
      </c>
      <c r="Q12" s="268"/>
      <c r="R12" s="268"/>
    </row>
    <row r="13" spans="1:18" ht="51" x14ac:dyDescent="0.25">
      <c r="A13" s="6">
        <f t="shared" si="0"/>
        <v>7</v>
      </c>
      <c r="B13" s="81" t="s">
        <v>386</v>
      </c>
      <c r="C13" s="6" t="s">
        <v>34</v>
      </c>
      <c r="D13" s="6"/>
      <c r="E13" s="6"/>
      <c r="F13" s="6"/>
      <c r="G13" s="6"/>
      <c r="H13" s="6"/>
      <c r="I13" s="6"/>
      <c r="J13" s="6"/>
      <c r="K13" s="6">
        <v>1</v>
      </c>
      <c r="L13" s="6">
        <v>1</v>
      </c>
      <c r="M13" s="6"/>
      <c r="N13" s="6"/>
      <c r="O13" s="6"/>
      <c r="P13" s="70">
        <f t="shared" si="1"/>
        <v>2</v>
      </c>
      <c r="Q13" s="268"/>
      <c r="R13" s="268"/>
    </row>
    <row r="14" spans="1:18" ht="38.25" x14ac:dyDescent="0.25">
      <c r="A14" s="6">
        <f t="shared" si="0"/>
        <v>8</v>
      </c>
      <c r="B14" s="81" t="s">
        <v>387</v>
      </c>
      <c r="C14" s="6" t="s">
        <v>382</v>
      </c>
      <c r="D14" s="6"/>
      <c r="E14" s="6"/>
      <c r="F14" s="6"/>
      <c r="G14" s="6"/>
      <c r="H14" s="6"/>
      <c r="I14" s="70">
        <v>1</v>
      </c>
      <c r="J14" s="70">
        <v>1</v>
      </c>
      <c r="K14" s="70">
        <v>1</v>
      </c>
      <c r="L14" s="70">
        <v>1</v>
      </c>
      <c r="M14" s="6"/>
      <c r="N14" s="6"/>
      <c r="O14" s="6"/>
      <c r="P14" s="70">
        <f t="shared" si="1"/>
        <v>4</v>
      </c>
      <c r="Q14" s="268"/>
      <c r="R14" s="268"/>
    </row>
  </sheetData>
  <mergeCells count="11">
    <mergeCell ref="Q7:Q14"/>
    <mergeCell ref="R7:R14"/>
    <mergeCell ref="A3:A6"/>
    <mergeCell ref="B3:R3"/>
    <mergeCell ref="B4:B6"/>
    <mergeCell ref="C4:C6"/>
    <mergeCell ref="D4:P4"/>
    <mergeCell ref="Q4:Q6"/>
    <mergeCell ref="R4:R6"/>
    <mergeCell ref="D5:O5"/>
    <mergeCell ref="P5:P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5B6F5-8521-4E74-B2FA-8528F14D8A26}">
  <dimension ref="A1:H36"/>
  <sheetViews>
    <sheetView workbookViewId="0">
      <selection activeCell="C7" sqref="C7"/>
    </sheetView>
  </sheetViews>
  <sheetFormatPr defaultRowHeight="15" x14ac:dyDescent="0.25"/>
  <cols>
    <col min="1" max="1" width="5.28515625" customWidth="1"/>
    <col min="2" max="2" width="9.5703125" customWidth="1"/>
    <col min="3" max="3" width="11.5703125" customWidth="1"/>
    <col min="4" max="4" width="10.85546875" customWidth="1"/>
    <col min="5" max="5" width="33.28515625" customWidth="1"/>
    <col min="6" max="6" width="11.140625" customWidth="1"/>
    <col min="7" max="7" width="9.5703125" bestFit="1" customWidth="1"/>
  </cols>
  <sheetData>
    <row r="1" spans="1:8" ht="15.75" x14ac:dyDescent="0.25">
      <c r="A1" s="72" t="s">
        <v>432</v>
      </c>
    </row>
    <row r="3" spans="1:8" x14ac:dyDescent="0.25">
      <c r="A3" s="284" t="s">
        <v>2</v>
      </c>
      <c r="B3" s="235" t="s">
        <v>389</v>
      </c>
      <c r="C3" s="235"/>
      <c r="D3" s="235"/>
      <c r="E3" s="235"/>
      <c r="F3" s="235"/>
      <c r="G3" s="235"/>
      <c r="H3" s="235"/>
    </row>
    <row r="4" spans="1:8" x14ac:dyDescent="0.25">
      <c r="A4" s="284"/>
      <c r="B4" s="235" t="s">
        <v>390</v>
      </c>
      <c r="C4" s="284" t="s">
        <v>391</v>
      </c>
      <c r="D4" s="292" t="s">
        <v>392</v>
      </c>
      <c r="E4" s="292" t="s">
        <v>393</v>
      </c>
      <c r="F4" s="292"/>
      <c r="G4" s="292"/>
      <c r="H4" s="284" t="s">
        <v>394</v>
      </c>
    </row>
    <row r="5" spans="1:8" x14ac:dyDescent="0.25">
      <c r="A5" s="284"/>
      <c r="B5" s="235"/>
      <c r="C5" s="284"/>
      <c r="D5" s="292"/>
      <c r="E5" s="235" t="s">
        <v>392</v>
      </c>
      <c r="F5" s="235" t="s">
        <v>395</v>
      </c>
      <c r="G5" s="235"/>
      <c r="H5" s="284"/>
    </row>
    <row r="6" spans="1:8" x14ac:dyDescent="0.25">
      <c r="A6" s="284"/>
      <c r="B6" s="235"/>
      <c r="C6" s="284"/>
      <c r="D6" s="292"/>
      <c r="E6" s="235"/>
      <c r="F6" s="82" t="s">
        <v>396</v>
      </c>
      <c r="G6" s="76" t="s">
        <v>397</v>
      </c>
      <c r="H6" s="284"/>
    </row>
    <row r="7" spans="1:8" ht="51" x14ac:dyDescent="0.25">
      <c r="A7" s="6">
        <v>1</v>
      </c>
      <c r="B7" s="6" t="s">
        <v>398</v>
      </c>
      <c r="C7" s="6" t="s">
        <v>399</v>
      </c>
      <c r="D7" s="36" t="s">
        <v>400</v>
      </c>
      <c r="E7" s="81" t="s">
        <v>401</v>
      </c>
      <c r="F7" s="13">
        <v>6466427.3200000003</v>
      </c>
      <c r="G7" s="13">
        <v>607882.03</v>
      </c>
      <c r="H7" s="13">
        <v>46.25</v>
      </c>
    </row>
    <row r="8" spans="1:8" ht="38.25" x14ac:dyDescent="0.25">
      <c r="A8" s="6">
        <v>2</v>
      </c>
      <c r="B8" s="6" t="s">
        <v>402</v>
      </c>
      <c r="C8" s="6" t="s">
        <v>399</v>
      </c>
      <c r="D8" s="36" t="s">
        <v>400</v>
      </c>
      <c r="E8" s="81" t="s">
        <v>403</v>
      </c>
      <c r="F8" s="13">
        <v>6467864.54</v>
      </c>
      <c r="G8" s="13">
        <v>607709.69999999995</v>
      </c>
      <c r="H8" s="6">
        <v>48.08</v>
      </c>
    </row>
    <row r="9" spans="1:8" ht="38.25" x14ac:dyDescent="0.25">
      <c r="A9" s="6">
        <v>3</v>
      </c>
      <c r="B9" s="6" t="s">
        <v>404</v>
      </c>
      <c r="C9" s="6" t="s">
        <v>399</v>
      </c>
      <c r="D9" s="36" t="s">
        <v>400</v>
      </c>
      <c r="E9" s="81" t="s">
        <v>405</v>
      </c>
      <c r="F9" s="13">
        <v>6469229.1299999999</v>
      </c>
      <c r="G9" s="13">
        <v>607564.11</v>
      </c>
      <c r="H9" s="6">
        <v>51.98</v>
      </c>
    </row>
    <row r="10" spans="1:8" ht="51" x14ac:dyDescent="0.25">
      <c r="A10" s="6">
        <v>4</v>
      </c>
      <c r="B10" s="6" t="s">
        <v>406</v>
      </c>
      <c r="C10" s="6" t="s">
        <v>399</v>
      </c>
      <c r="D10" s="36" t="s">
        <v>400</v>
      </c>
      <c r="E10" s="81" t="s">
        <v>407</v>
      </c>
      <c r="F10" s="13">
        <v>6469416.2199999997</v>
      </c>
      <c r="G10" s="13">
        <v>609015.37</v>
      </c>
      <c r="H10" s="6">
        <v>46.76</v>
      </c>
    </row>
    <row r="11" spans="1:8" ht="51" x14ac:dyDescent="0.25">
      <c r="A11" s="6">
        <v>5</v>
      </c>
      <c r="B11" s="6" t="s">
        <v>408</v>
      </c>
      <c r="C11" s="6" t="s">
        <v>399</v>
      </c>
      <c r="D11" s="36" t="s">
        <v>400</v>
      </c>
      <c r="E11" s="81" t="s">
        <v>409</v>
      </c>
      <c r="F11" s="13">
        <v>6469526.6600000001</v>
      </c>
      <c r="G11" s="13">
        <v>610419.81000000006</v>
      </c>
      <c r="H11" s="6">
        <v>41.97</v>
      </c>
    </row>
    <row r="12" spans="1:8" ht="25.5" x14ac:dyDescent="0.25">
      <c r="A12" s="6">
        <v>6</v>
      </c>
      <c r="B12" s="6" t="s">
        <v>410</v>
      </c>
      <c r="C12" s="6" t="s">
        <v>399</v>
      </c>
      <c r="D12" s="36" t="s">
        <v>400</v>
      </c>
      <c r="E12" s="81" t="s">
        <v>411</v>
      </c>
      <c r="F12" s="13">
        <v>6470046.5199999996</v>
      </c>
      <c r="G12" s="13">
        <v>608252.98</v>
      </c>
      <c r="H12" s="6">
        <v>50.82</v>
      </c>
    </row>
    <row r="13" spans="1:8" ht="38.25" x14ac:dyDescent="0.25">
      <c r="A13" s="6">
        <v>7</v>
      </c>
      <c r="B13" s="6" t="s">
        <v>412</v>
      </c>
      <c r="C13" s="6" t="s">
        <v>399</v>
      </c>
      <c r="D13" s="36" t="s">
        <v>400</v>
      </c>
      <c r="E13" s="81" t="s">
        <v>413</v>
      </c>
      <c r="F13" s="13">
        <v>6467959.2800000003</v>
      </c>
      <c r="G13" s="13">
        <v>609161.54</v>
      </c>
      <c r="H13" s="6">
        <v>45.38</v>
      </c>
    </row>
    <row r="14" spans="1:8" ht="38.25" x14ac:dyDescent="0.25">
      <c r="A14" s="6">
        <v>8</v>
      </c>
      <c r="B14" s="6" t="s">
        <v>414</v>
      </c>
      <c r="C14" s="6" t="s">
        <v>399</v>
      </c>
      <c r="D14" s="36" t="s">
        <v>400</v>
      </c>
      <c r="E14" s="81" t="s">
        <v>415</v>
      </c>
      <c r="F14" s="13">
        <v>6470643.6299999999</v>
      </c>
      <c r="G14" s="13">
        <v>605501.17000000004</v>
      </c>
      <c r="H14" s="6">
        <v>50.47</v>
      </c>
    </row>
    <row r="15" spans="1:8" ht="25.5" x14ac:dyDescent="0.25">
      <c r="A15" s="6">
        <v>9</v>
      </c>
      <c r="B15" s="6" t="s">
        <v>416</v>
      </c>
      <c r="C15" s="6" t="s">
        <v>399</v>
      </c>
      <c r="D15" s="36" t="s">
        <v>400</v>
      </c>
      <c r="E15" s="81" t="s">
        <v>417</v>
      </c>
      <c r="F15" s="13">
        <v>6470742.9000000004</v>
      </c>
      <c r="G15" s="13">
        <v>610411.38</v>
      </c>
      <c r="H15" s="6">
        <v>38.99</v>
      </c>
    </row>
    <row r="16" spans="1:8" ht="25.5" x14ac:dyDescent="0.25">
      <c r="A16" s="6">
        <v>10</v>
      </c>
      <c r="B16" s="6" t="s">
        <v>418</v>
      </c>
      <c r="C16" s="6" t="s">
        <v>399</v>
      </c>
      <c r="D16" s="36" t="s">
        <v>400</v>
      </c>
      <c r="E16" s="81" t="s">
        <v>419</v>
      </c>
      <c r="F16" s="13">
        <v>6468350.21</v>
      </c>
      <c r="G16" s="13">
        <v>613316.28</v>
      </c>
      <c r="H16" s="6">
        <v>35.049999999999997</v>
      </c>
    </row>
    <row r="17" spans="1:8" ht="25.5" x14ac:dyDescent="0.25">
      <c r="A17" s="6">
        <v>11</v>
      </c>
      <c r="B17" s="6" t="s">
        <v>420</v>
      </c>
      <c r="C17" s="6" t="s">
        <v>399</v>
      </c>
      <c r="D17" s="36" t="s">
        <v>400</v>
      </c>
      <c r="E17" s="81" t="s">
        <v>421</v>
      </c>
      <c r="F17" s="13">
        <v>6468055.6500000004</v>
      </c>
      <c r="G17" s="13">
        <v>611290.53</v>
      </c>
      <c r="H17" s="6">
        <v>37.29</v>
      </c>
    </row>
    <row r="18" spans="1:8" ht="38.25" x14ac:dyDescent="0.25">
      <c r="A18" s="6">
        <v>12</v>
      </c>
      <c r="B18" s="6" t="s">
        <v>422</v>
      </c>
      <c r="C18" s="6" t="s">
        <v>399</v>
      </c>
      <c r="D18" s="36" t="s">
        <v>400</v>
      </c>
      <c r="E18" s="81" t="s">
        <v>423</v>
      </c>
      <c r="F18" s="13">
        <v>6467385.3899999997</v>
      </c>
      <c r="G18" s="13">
        <v>612358.04</v>
      </c>
      <c r="H18" s="6">
        <v>35.270000000000003</v>
      </c>
    </row>
    <row r="19" spans="1:8" ht="38.25" x14ac:dyDescent="0.25">
      <c r="A19" s="6">
        <v>13</v>
      </c>
      <c r="B19" s="6" t="s">
        <v>424</v>
      </c>
      <c r="C19" s="6" t="s">
        <v>399</v>
      </c>
      <c r="D19" s="36" t="s">
        <v>400</v>
      </c>
      <c r="E19" s="81" t="s">
        <v>425</v>
      </c>
      <c r="F19" s="13">
        <v>6468890.4699999997</v>
      </c>
      <c r="G19" s="13">
        <v>610793.59</v>
      </c>
      <c r="H19" s="6">
        <v>40.869999999999997</v>
      </c>
    </row>
    <row r="20" spans="1:8" ht="38.25" x14ac:dyDescent="0.25">
      <c r="A20" s="6">
        <v>14</v>
      </c>
      <c r="B20" s="6">
        <v>589</v>
      </c>
      <c r="C20" s="6" t="s">
        <v>426</v>
      </c>
      <c r="D20" s="36" t="s">
        <v>427</v>
      </c>
      <c r="E20" s="81" t="s">
        <v>428</v>
      </c>
      <c r="F20" s="13">
        <v>6468645</v>
      </c>
      <c r="G20" s="13">
        <v>613417</v>
      </c>
      <c r="H20" s="6">
        <v>37.029000000000003</v>
      </c>
    </row>
    <row r="21" spans="1:8" x14ac:dyDescent="0.25">
      <c r="A21" s="12" t="s">
        <v>429</v>
      </c>
    </row>
    <row r="22" spans="1:8" x14ac:dyDescent="0.25">
      <c r="A22" s="83">
        <v>1</v>
      </c>
      <c r="B22" t="s">
        <v>430</v>
      </c>
      <c r="C22" s="29"/>
      <c r="D22" s="29"/>
      <c r="E22" s="29"/>
      <c r="F22" s="29"/>
      <c r="G22" s="29"/>
      <c r="H22" s="29"/>
    </row>
    <row r="23" spans="1:8" x14ac:dyDescent="0.25">
      <c r="A23" s="83">
        <v>2</v>
      </c>
      <c r="B23" t="s">
        <v>431</v>
      </c>
      <c r="C23" s="29"/>
      <c r="D23" s="29"/>
      <c r="E23" s="29"/>
      <c r="F23" s="29"/>
      <c r="G23" s="29"/>
      <c r="H23" s="29"/>
    </row>
    <row r="24" spans="1:8" x14ac:dyDescent="0.25">
      <c r="A24" s="83"/>
      <c r="B24" s="29"/>
      <c r="C24" s="29"/>
      <c r="D24" s="29"/>
      <c r="E24" s="29"/>
      <c r="F24" s="29"/>
      <c r="G24" s="29"/>
      <c r="H24" s="29"/>
    </row>
    <row r="25" spans="1:8" x14ac:dyDescent="0.25">
      <c r="A25" s="83"/>
      <c r="B25" s="29"/>
      <c r="C25" s="29"/>
      <c r="D25" s="29"/>
      <c r="E25" s="29"/>
      <c r="F25" s="29"/>
      <c r="G25" s="29"/>
      <c r="H25" s="29"/>
    </row>
    <row r="26" spans="1:8" x14ac:dyDescent="0.25">
      <c r="A26" s="83"/>
      <c r="B26" s="29"/>
      <c r="C26" s="29"/>
      <c r="D26" s="29"/>
      <c r="E26" s="29"/>
      <c r="F26" s="29"/>
      <c r="G26" s="29"/>
      <c r="H26" s="29"/>
    </row>
    <row r="27" spans="1:8" x14ac:dyDescent="0.25">
      <c r="A27" s="83"/>
      <c r="B27" s="29"/>
      <c r="C27" s="29"/>
      <c r="D27" s="29"/>
      <c r="E27" s="29"/>
      <c r="F27" s="29"/>
      <c r="G27" s="29"/>
      <c r="H27" s="29"/>
    </row>
    <row r="28" spans="1:8" x14ac:dyDescent="0.25">
      <c r="A28" s="83"/>
      <c r="B28" s="29"/>
      <c r="C28" s="29"/>
      <c r="D28" s="29"/>
      <c r="E28" s="29"/>
      <c r="F28" s="29"/>
      <c r="G28" s="29"/>
      <c r="H28" s="29"/>
    </row>
    <row r="29" spans="1:8" x14ac:dyDescent="0.25">
      <c r="A29" s="83"/>
      <c r="B29" s="29"/>
      <c r="C29" s="29"/>
      <c r="D29" s="29"/>
      <c r="E29" s="29"/>
      <c r="F29" s="29"/>
      <c r="G29" s="29"/>
      <c r="H29" s="29"/>
    </row>
    <row r="30" spans="1:8" x14ac:dyDescent="0.25">
      <c r="A30" s="83"/>
      <c r="B30" s="29"/>
      <c r="C30" s="29"/>
      <c r="D30" s="29"/>
      <c r="E30" s="29"/>
      <c r="F30" s="29"/>
      <c r="G30" s="29"/>
      <c r="H30" s="29"/>
    </row>
    <row r="31" spans="1:8" x14ac:dyDescent="0.25">
      <c r="A31" s="83"/>
      <c r="B31" s="29"/>
      <c r="C31" s="29"/>
      <c r="D31" s="29"/>
      <c r="E31" s="29"/>
      <c r="F31" s="29"/>
      <c r="G31" s="29"/>
      <c r="H31" s="29"/>
    </row>
    <row r="32" spans="1:8" x14ac:dyDescent="0.25">
      <c r="A32" s="83"/>
      <c r="B32" s="29"/>
      <c r="C32" s="29"/>
      <c r="D32" s="29"/>
      <c r="E32" s="29"/>
      <c r="F32" s="29"/>
      <c r="G32" s="29"/>
      <c r="H32" s="29"/>
    </row>
    <row r="33" spans="1:8" x14ac:dyDescent="0.25">
      <c r="A33" s="83"/>
      <c r="B33" s="29"/>
      <c r="C33" s="29"/>
      <c r="D33" s="29"/>
      <c r="E33" s="29"/>
      <c r="F33" s="29"/>
      <c r="G33" s="29"/>
      <c r="H33" s="29"/>
    </row>
    <row r="34" spans="1:8" x14ac:dyDescent="0.25">
      <c r="A34" s="83"/>
      <c r="B34" s="29"/>
      <c r="C34" s="29"/>
      <c r="D34" s="29"/>
      <c r="E34" s="29"/>
      <c r="F34" s="29"/>
      <c r="G34" s="29"/>
      <c r="H34" s="29"/>
    </row>
    <row r="35" spans="1:8" x14ac:dyDescent="0.25">
      <c r="B35" s="29"/>
      <c r="C35" s="29"/>
      <c r="D35" s="29"/>
      <c r="E35" s="29"/>
      <c r="F35" s="29"/>
      <c r="G35" s="29"/>
      <c r="H35" s="29"/>
    </row>
    <row r="36" spans="1:8" x14ac:dyDescent="0.25">
      <c r="B36" s="29"/>
      <c r="C36" s="29"/>
      <c r="D36" s="29"/>
      <c r="E36" s="29"/>
      <c r="F36" s="29"/>
      <c r="G36" s="29"/>
      <c r="H36" s="29"/>
    </row>
  </sheetData>
  <mergeCells count="9">
    <mergeCell ref="A3:A6"/>
    <mergeCell ref="B3:H3"/>
    <mergeCell ref="B4:B6"/>
    <mergeCell ref="C4:C6"/>
    <mergeCell ref="D4:D6"/>
    <mergeCell ref="E4:G4"/>
    <mergeCell ref="H4:H6"/>
    <mergeCell ref="E5:E6"/>
    <mergeCell ref="F5:G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6B22B-A8BA-41F1-96CC-19770083DC67}">
  <dimension ref="A1:X44"/>
  <sheetViews>
    <sheetView workbookViewId="0">
      <selection activeCell="D3" sqref="D3"/>
    </sheetView>
  </sheetViews>
  <sheetFormatPr defaultRowHeight="15" x14ac:dyDescent="0.25"/>
  <cols>
    <col min="1" max="1" width="3.7109375" customWidth="1"/>
    <col min="2" max="2" width="35.5703125" customWidth="1"/>
    <col min="3" max="3" width="12.42578125" customWidth="1"/>
    <col min="4" max="4" width="14.7109375" customWidth="1"/>
    <col min="5" max="6" width="8.140625" customWidth="1"/>
    <col min="7" max="8" width="9" customWidth="1"/>
    <col min="9" max="9" width="8.42578125" customWidth="1"/>
    <col min="10" max="10" width="6.5703125" customWidth="1"/>
    <col min="11" max="11" width="5.42578125" customWidth="1"/>
    <col min="12" max="12" width="4.85546875" customWidth="1"/>
    <col min="13" max="13" width="4.28515625" customWidth="1"/>
    <col min="14" max="14" width="5.7109375" customWidth="1"/>
    <col min="15" max="15" width="7.28515625" customWidth="1"/>
    <col min="16" max="16" width="6" customWidth="1"/>
    <col min="17" max="17" width="12" customWidth="1"/>
    <col min="18" max="18" width="12.140625" customWidth="1"/>
    <col min="19" max="19" width="10.7109375" customWidth="1"/>
    <col min="20" max="20" width="10.140625" customWidth="1"/>
  </cols>
  <sheetData>
    <row r="1" spans="1:24" ht="15.75" x14ac:dyDescent="0.25">
      <c r="A1" s="84" t="s">
        <v>433</v>
      </c>
      <c r="B1" s="84"/>
      <c r="C1" s="84"/>
    </row>
    <row r="2" spans="1:24" ht="15.75" customHeight="1" x14ac:dyDescent="0.25">
      <c r="B2" s="85"/>
      <c r="C2" s="85"/>
      <c r="N2" s="86"/>
      <c r="O2" s="86"/>
      <c r="P2" s="86"/>
      <c r="Q2" s="109"/>
    </row>
    <row r="3" spans="1:24" ht="41.25" customHeight="1" x14ac:dyDescent="0.25">
      <c r="A3" s="284" t="s">
        <v>2</v>
      </c>
      <c r="B3" s="284" t="s">
        <v>434</v>
      </c>
      <c r="C3" s="76" t="s">
        <v>346</v>
      </c>
      <c r="D3" s="76" t="s">
        <v>352</v>
      </c>
      <c r="E3" s="76" t="s">
        <v>353</v>
      </c>
      <c r="F3" s="76" t="s">
        <v>354</v>
      </c>
      <c r="G3" s="76" t="s">
        <v>355</v>
      </c>
      <c r="H3" s="76" t="s">
        <v>356</v>
      </c>
      <c r="I3" s="291" t="s">
        <v>44</v>
      </c>
      <c r="J3" s="87"/>
      <c r="K3" s="87"/>
      <c r="L3" s="87"/>
      <c r="M3" s="87"/>
      <c r="N3" s="87"/>
      <c r="O3" s="87"/>
      <c r="T3" s="110"/>
    </row>
    <row r="4" spans="1:24" x14ac:dyDescent="0.25">
      <c r="A4" s="284"/>
      <c r="B4" s="284"/>
      <c r="C4" s="76" t="s">
        <v>42</v>
      </c>
      <c r="D4" s="76" t="s">
        <v>89</v>
      </c>
      <c r="E4" s="76" t="s">
        <v>90</v>
      </c>
      <c r="F4" s="76" t="s">
        <v>91</v>
      </c>
      <c r="G4" s="76" t="s">
        <v>92</v>
      </c>
      <c r="H4" s="76" t="s">
        <v>93</v>
      </c>
      <c r="I4" s="291"/>
      <c r="J4" s="88"/>
      <c r="K4" s="87"/>
      <c r="L4" s="87"/>
      <c r="M4" s="87"/>
      <c r="N4" s="87"/>
      <c r="O4" s="87"/>
      <c r="Q4" s="11"/>
      <c r="R4" s="11"/>
      <c r="S4" s="11"/>
      <c r="T4" s="11"/>
      <c r="U4" s="108"/>
      <c r="V4" s="108"/>
      <c r="W4" s="108"/>
      <c r="X4" s="108"/>
    </row>
    <row r="5" spans="1:24" x14ac:dyDescent="0.25">
      <c r="A5" s="50" t="s">
        <v>36</v>
      </c>
      <c r="B5" s="50" t="str">
        <f t="shared" ref="B5" si="0">CHAR(CODE(A5)+1)</f>
        <v>B</v>
      </c>
      <c r="C5" s="50" t="str">
        <f t="shared" ref="C5" si="1">CHAR(CODE(B5)+1)</f>
        <v>C</v>
      </c>
      <c r="D5" s="50" t="str">
        <f>CHAR(CODE(C5)+1)</f>
        <v>D</v>
      </c>
      <c r="E5" s="50" t="str">
        <f t="shared" ref="E5" si="2">CHAR(CODE(D5)+1)</f>
        <v>E</v>
      </c>
      <c r="F5" s="50" t="str">
        <f t="shared" ref="F5" si="3">CHAR(CODE(E5)+1)</f>
        <v>F</v>
      </c>
      <c r="G5" s="50" t="str">
        <f t="shared" ref="G5" si="4">CHAR(CODE(F5)+1)</f>
        <v>G</v>
      </c>
      <c r="H5" s="50" t="str">
        <f t="shared" ref="H5" si="5">CHAR(CODE(G5)+1)</f>
        <v>H</v>
      </c>
      <c r="I5" s="50" t="str">
        <f t="shared" ref="I5" si="6">CHAR(CODE(H5)+1)</f>
        <v>I</v>
      </c>
      <c r="J5" s="87"/>
      <c r="K5" s="87"/>
      <c r="L5" s="87"/>
      <c r="M5" s="87"/>
      <c r="N5" s="87"/>
      <c r="O5" s="87"/>
      <c r="Q5" s="11"/>
      <c r="R5" s="11"/>
      <c r="S5" s="11"/>
      <c r="T5" s="11"/>
      <c r="U5" s="108"/>
      <c r="V5" s="108"/>
      <c r="W5" s="108"/>
      <c r="X5" s="108"/>
    </row>
    <row r="6" spans="1:24" x14ac:dyDescent="0.25">
      <c r="A6" s="6">
        <v>1</v>
      </c>
      <c r="B6" s="90" t="s">
        <v>435</v>
      </c>
      <c r="C6" s="90"/>
      <c r="D6" s="81">
        <v>2</v>
      </c>
      <c r="E6" s="81"/>
      <c r="F6" s="81"/>
      <c r="G6" s="81"/>
      <c r="H6" s="81"/>
      <c r="I6" s="91">
        <f>SUM(C6:H6)</f>
        <v>2</v>
      </c>
      <c r="J6" s="87"/>
      <c r="K6" s="87"/>
      <c r="L6" s="87"/>
      <c r="M6" s="87"/>
      <c r="N6" s="87"/>
      <c r="O6" s="87"/>
      <c r="Q6" s="11"/>
      <c r="R6" s="11"/>
      <c r="S6" s="11"/>
      <c r="T6" s="11"/>
      <c r="U6" s="108"/>
      <c r="V6" s="108"/>
      <c r="W6" s="108"/>
      <c r="X6" s="108"/>
    </row>
    <row r="7" spans="1:24" ht="25.5" x14ac:dyDescent="0.25">
      <c r="A7" s="6">
        <f t="shared" ref="A7:A12" si="7">A6+1</f>
        <v>2</v>
      </c>
      <c r="B7" s="90" t="s">
        <v>440</v>
      </c>
      <c r="C7" s="81">
        <v>1</v>
      </c>
      <c r="D7" s="81">
        <v>25</v>
      </c>
      <c r="E7" s="81">
        <v>7</v>
      </c>
      <c r="F7" s="81">
        <v>2</v>
      </c>
      <c r="G7" s="81">
        <v>3</v>
      </c>
      <c r="H7" s="81">
        <v>1</v>
      </c>
      <c r="I7" s="91">
        <f>SUM(C7:H7)</f>
        <v>39</v>
      </c>
      <c r="J7" s="87"/>
      <c r="K7" s="87"/>
      <c r="L7" s="87"/>
      <c r="M7" s="87"/>
      <c r="N7" s="87"/>
      <c r="O7" s="87"/>
      <c r="Q7" s="11"/>
      <c r="R7" s="11"/>
      <c r="S7" s="11"/>
      <c r="T7" s="11"/>
      <c r="U7" s="108"/>
      <c r="V7" s="108"/>
      <c r="W7" s="108"/>
      <c r="X7" s="108"/>
    </row>
    <row r="8" spans="1:24" ht="25.5" x14ac:dyDescent="0.25">
      <c r="A8" s="6">
        <f t="shared" si="7"/>
        <v>3</v>
      </c>
      <c r="B8" s="90" t="s">
        <v>439</v>
      </c>
      <c r="C8" s="90"/>
      <c r="D8" s="81"/>
      <c r="E8" s="81"/>
      <c r="F8" s="81">
        <v>1</v>
      </c>
      <c r="G8" s="81">
        <v>1</v>
      </c>
      <c r="H8" s="81"/>
      <c r="I8" s="91">
        <f>SUM(C8:H8)</f>
        <v>2</v>
      </c>
      <c r="J8" s="87"/>
      <c r="K8" s="87"/>
      <c r="L8" s="87"/>
      <c r="M8" s="87"/>
      <c r="N8" s="87"/>
      <c r="O8" s="87"/>
      <c r="Q8" s="11"/>
      <c r="R8" s="11"/>
      <c r="S8" s="11"/>
      <c r="T8" s="11"/>
      <c r="U8" s="108"/>
      <c r="V8" s="108"/>
      <c r="W8" s="108"/>
      <c r="X8" s="108"/>
    </row>
    <row r="9" spans="1:24" ht="25.5" x14ac:dyDescent="0.25">
      <c r="A9" s="6">
        <f t="shared" si="7"/>
        <v>4</v>
      </c>
      <c r="B9" s="90" t="s">
        <v>441</v>
      </c>
      <c r="C9" s="90"/>
      <c r="D9" s="81"/>
      <c r="E9" s="81">
        <v>1</v>
      </c>
      <c r="F9" s="81"/>
      <c r="G9" s="81"/>
      <c r="H9" s="81"/>
      <c r="I9" s="91">
        <f t="shared" ref="I9:I12" si="8">SUM(C9:H9)</f>
        <v>1</v>
      </c>
      <c r="J9" s="87"/>
      <c r="K9" s="87"/>
      <c r="L9" s="87"/>
      <c r="M9" s="87"/>
      <c r="N9" s="87"/>
      <c r="O9" s="87"/>
      <c r="Q9" s="11"/>
      <c r="R9" s="11"/>
      <c r="S9" s="11"/>
      <c r="T9" s="11"/>
      <c r="U9" s="108"/>
      <c r="V9" s="108"/>
      <c r="W9" s="108"/>
      <c r="X9" s="108"/>
    </row>
    <row r="10" spans="1:24" x14ac:dyDescent="0.25">
      <c r="A10" s="6">
        <f t="shared" si="7"/>
        <v>5</v>
      </c>
      <c r="B10" s="90" t="s">
        <v>436</v>
      </c>
      <c r="C10" s="90"/>
      <c r="D10" s="81"/>
      <c r="E10" s="81">
        <v>1</v>
      </c>
      <c r="F10" s="81"/>
      <c r="G10" s="81"/>
      <c r="H10" s="81"/>
      <c r="I10" s="91">
        <f t="shared" si="8"/>
        <v>1</v>
      </c>
      <c r="J10" s="87"/>
      <c r="K10" s="87"/>
      <c r="L10" s="87"/>
      <c r="M10" s="87"/>
      <c r="N10" s="87"/>
      <c r="O10" s="87"/>
      <c r="T10" s="110"/>
    </row>
    <row r="11" spans="1:24" x14ac:dyDescent="0.25">
      <c r="A11" s="6">
        <f t="shared" si="7"/>
        <v>6</v>
      </c>
      <c r="B11" s="90" t="s">
        <v>437</v>
      </c>
      <c r="C11" s="90"/>
      <c r="D11" s="81"/>
      <c r="E11" s="81"/>
      <c r="F11" s="81"/>
      <c r="G11" s="81">
        <v>1</v>
      </c>
      <c r="H11" s="81"/>
      <c r="I11" s="91">
        <f t="shared" si="8"/>
        <v>1</v>
      </c>
      <c r="J11" s="87"/>
      <c r="K11" s="87"/>
      <c r="L11" s="87"/>
      <c r="M11" s="87"/>
      <c r="N11" s="87"/>
      <c r="O11" s="87"/>
    </row>
    <row r="12" spans="1:24" ht="25.5" x14ac:dyDescent="0.25">
      <c r="A12" s="6">
        <f t="shared" si="7"/>
        <v>7</v>
      </c>
      <c r="B12" s="90" t="s">
        <v>438</v>
      </c>
      <c r="C12" s="90"/>
      <c r="D12" s="81"/>
      <c r="E12" s="81">
        <v>1</v>
      </c>
      <c r="F12" s="81"/>
      <c r="G12" s="81"/>
      <c r="H12" s="81"/>
      <c r="I12" s="91">
        <f t="shared" si="8"/>
        <v>1</v>
      </c>
      <c r="J12" s="87"/>
      <c r="K12" s="87"/>
      <c r="L12" s="87"/>
      <c r="M12" s="87"/>
      <c r="N12" s="87"/>
      <c r="O12" s="87"/>
    </row>
    <row r="13" spans="1:24" x14ac:dyDescent="0.25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U13" s="87"/>
      <c r="V13" s="87"/>
      <c r="W13" s="87"/>
    </row>
    <row r="14" spans="1:24" x14ac:dyDescent="0.25">
      <c r="A14" s="18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U14" s="87"/>
      <c r="V14" s="87"/>
      <c r="W14" s="87"/>
    </row>
    <row r="15" spans="1:24" x14ac:dyDescent="0.25">
      <c r="A15" s="18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U15" s="87"/>
      <c r="V15" s="87"/>
      <c r="W15" s="87"/>
    </row>
    <row r="16" spans="1:24" x14ac:dyDescent="0.25">
      <c r="A16" s="83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U16" s="87"/>
      <c r="V16" s="87"/>
      <c r="W16" s="87"/>
    </row>
    <row r="17" spans="1:23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87"/>
      <c r="V17" s="87"/>
      <c r="W17" s="87"/>
    </row>
    <row r="18" spans="1:23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87"/>
      <c r="S18" s="87"/>
      <c r="T18" s="87"/>
      <c r="U18" s="87"/>
      <c r="V18" s="87"/>
      <c r="W18" s="87"/>
    </row>
    <row r="19" spans="1:23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87"/>
      <c r="S19" s="87"/>
      <c r="T19" s="87"/>
      <c r="U19" s="87"/>
      <c r="V19" s="87"/>
      <c r="W19" s="87"/>
    </row>
    <row r="20" spans="1:23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87"/>
      <c r="S20" s="87"/>
      <c r="T20" s="87"/>
      <c r="U20" s="87"/>
      <c r="V20" s="87"/>
      <c r="W20" s="87"/>
    </row>
    <row r="21" spans="1:23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87"/>
      <c r="S21" s="87"/>
      <c r="T21" s="87"/>
      <c r="U21" s="87"/>
      <c r="V21" s="87"/>
      <c r="W21" s="87"/>
    </row>
    <row r="22" spans="1:23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87"/>
      <c r="S22" s="87"/>
      <c r="T22" s="87"/>
      <c r="U22" s="87"/>
      <c r="V22" s="87"/>
      <c r="W22" s="87"/>
    </row>
    <row r="23" spans="1:23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</row>
    <row r="24" spans="1:23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</row>
    <row r="25" spans="1:23" x14ac:dyDescent="0.2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</row>
    <row r="26" spans="1:23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</row>
    <row r="27" spans="1:23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</row>
    <row r="28" spans="1:23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</row>
    <row r="29" spans="1:23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</row>
    <row r="30" spans="1:23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</row>
    <row r="31" spans="1:23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</row>
    <row r="32" spans="1:23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</row>
    <row r="33" spans="1:20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</row>
    <row r="34" spans="1:20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</row>
    <row r="35" spans="1:20" x14ac:dyDescent="0.25">
      <c r="R35" s="12"/>
      <c r="S35" s="12"/>
      <c r="T35" s="12"/>
    </row>
    <row r="36" spans="1:20" x14ac:dyDescent="0.25">
      <c r="R36" s="12"/>
      <c r="S36" s="12"/>
      <c r="T36" s="12"/>
    </row>
    <row r="37" spans="1:20" x14ac:dyDescent="0.25">
      <c r="R37" s="12"/>
      <c r="S37" s="12"/>
      <c r="T37" s="12"/>
    </row>
    <row r="38" spans="1:20" x14ac:dyDescent="0.25">
      <c r="R38" s="12"/>
      <c r="S38" s="12"/>
      <c r="T38" s="12"/>
    </row>
    <row r="39" spans="1:20" x14ac:dyDescent="0.25">
      <c r="R39" s="12"/>
      <c r="S39" s="12"/>
      <c r="T39" s="12"/>
    </row>
    <row r="40" spans="1:20" x14ac:dyDescent="0.25">
      <c r="R40" s="12"/>
      <c r="S40" s="12"/>
      <c r="T40" s="12"/>
    </row>
    <row r="41" spans="1:20" x14ac:dyDescent="0.25">
      <c r="R41" s="12"/>
      <c r="S41" s="12"/>
      <c r="T41" s="12"/>
    </row>
    <row r="42" spans="1:20" x14ac:dyDescent="0.25">
      <c r="R42" s="12"/>
      <c r="S42" s="12"/>
      <c r="T42" s="12"/>
    </row>
    <row r="43" spans="1:20" x14ac:dyDescent="0.25">
      <c r="R43" s="12"/>
      <c r="S43" s="12"/>
      <c r="T43" s="12"/>
    </row>
    <row r="44" spans="1:20" x14ac:dyDescent="0.25">
      <c r="R44" s="12"/>
      <c r="S44" s="12"/>
      <c r="T44" s="12"/>
    </row>
  </sheetData>
  <mergeCells count="3">
    <mergeCell ref="A3:A4"/>
    <mergeCell ref="B3:B4"/>
    <mergeCell ref="I3:I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405D0-6778-40D8-B4D8-7F7E3AF366C6}">
  <dimension ref="A1:AE269"/>
  <sheetViews>
    <sheetView zoomScale="70" zoomScaleNormal="70" workbookViewId="0">
      <pane ySplit="8" topLeftCell="A176" activePane="bottomLeft" state="frozen"/>
      <selection pane="bottomLeft" activeCell="A3" sqref="A3:AD213"/>
    </sheetView>
  </sheetViews>
  <sheetFormatPr defaultRowHeight="15" x14ac:dyDescent="0.25"/>
  <cols>
    <col min="1" max="1" width="5.28515625" customWidth="1"/>
    <col min="2" max="2" width="8.5703125" customWidth="1"/>
    <col min="5" max="5" width="10.85546875" customWidth="1"/>
    <col min="6" max="6" width="7.28515625" customWidth="1"/>
    <col min="18" max="18" width="8.28515625" customWidth="1"/>
    <col min="21" max="21" width="10.28515625" customWidth="1"/>
    <col min="22" max="22" width="9.5703125" customWidth="1"/>
    <col min="24" max="24" width="9.5703125" customWidth="1"/>
    <col min="25" max="25" width="9.7109375" customWidth="1"/>
    <col min="28" max="28" width="7.42578125" customWidth="1"/>
    <col min="30" max="30" width="15.42578125" customWidth="1"/>
  </cols>
  <sheetData>
    <row r="1" spans="1:31" ht="15.75" x14ac:dyDescent="0.25">
      <c r="A1" s="84" t="s">
        <v>528</v>
      </c>
    </row>
    <row r="2" spans="1:31" x14ac:dyDescent="0.25">
      <c r="F2" s="111"/>
      <c r="L2" s="111"/>
      <c r="T2" s="111"/>
      <c r="AC2" s="111"/>
    </row>
    <row r="3" spans="1:31" ht="15" customHeight="1" x14ac:dyDescent="0.25">
      <c r="A3" s="268" t="s">
        <v>2</v>
      </c>
      <c r="B3" s="268" t="s">
        <v>5</v>
      </c>
      <c r="C3" s="268"/>
      <c r="D3" s="268"/>
      <c r="E3" s="268"/>
      <c r="F3" s="268"/>
      <c r="G3" s="268"/>
      <c r="H3" s="268"/>
      <c r="I3" s="268" t="s">
        <v>529</v>
      </c>
      <c r="J3" s="268"/>
      <c r="K3" s="268" t="s">
        <v>530</v>
      </c>
      <c r="L3" s="268"/>
      <c r="M3" s="268"/>
      <c r="N3" s="268"/>
      <c r="O3" s="268"/>
      <c r="P3" s="268" t="s">
        <v>531</v>
      </c>
      <c r="Q3" s="268"/>
      <c r="R3" s="268" t="s">
        <v>532</v>
      </c>
      <c r="S3" s="268" t="s">
        <v>533</v>
      </c>
      <c r="T3" s="268"/>
      <c r="U3" s="268"/>
      <c r="V3" s="268"/>
      <c r="W3" s="268"/>
      <c r="X3" s="268" t="s">
        <v>534</v>
      </c>
      <c r="Y3" s="268"/>
      <c r="Z3" s="268" t="s">
        <v>535</v>
      </c>
      <c r="AA3" s="294" t="s">
        <v>536</v>
      </c>
      <c r="AB3" s="294" t="s">
        <v>537</v>
      </c>
      <c r="AC3" s="294" t="s">
        <v>538</v>
      </c>
      <c r="AD3" s="268" t="s">
        <v>9</v>
      </c>
      <c r="AE3" s="86"/>
    </row>
    <row r="4" spans="1:31" ht="14.25" customHeight="1" x14ac:dyDescent="0.25">
      <c r="A4" s="268"/>
      <c r="B4" s="268" t="s">
        <v>10</v>
      </c>
      <c r="C4" s="268" t="s">
        <v>4</v>
      </c>
      <c r="D4" s="268" t="s">
        <v>539</v>
      </c>
      <c r="E4" s="294" t="s">
        <v>540</v>
      </c>
      <c r="F4" s="294" t="s">
        <v>17</v>
      </c>
      <c r="G4" s="268" t="s">
        <v>541</v>
      </c>
      <c r="H4" s="294" t="s">
        <v>542</v>
      </c>
      <c r="I4" s="268" t="s">
        <v>543</v>
      </c>
      <c r="J4" s="268" t="s">
        <v>544</v>
      </c>
      <c r="K4" s="268" t="s">
        <v>545</v>
      </c>
      <c r="L4" s="268"/>
      <c r="M4" s="268"/>
      <c r="N4" s="268" t="s">
        <v>546</v>
      </c>
      <c r="O4" s="294" t="s">
        <v>20</v>
      </c>
      <c r="P4" s="268"/>
      <c r="Q4" s="268"/>
      <c r="R4" s="268"/>
      <c r="S4" s="268" t="s">
        <v>547</v>
      </c>
      <c r="T4" s="268"/>
      <c r="U4" s="268" t="s">
        <v>548</v>
      </c>
      <c r="V4" s="268"/>
      <c r="W4" s="268" t="s">
        <v>549</v>
      </c>
      <c r="X4" s="268" t="s">
        <v>550</v>
      </c>
      <c r="Y4" s="294" t="s">
        <v>551</v>
      </c>
      <c r="Z4" s="268"/>
      <c r="AA4" s="294"/>
      <c r="AB4" s="294"/>
      <c r="AC4" s="294"/>
      <c r="AD4" s="268"/>
      <c r="AE4" s="86"/>
    </row>
    <row r="5" spans="1:31" ht="15" customHeight="1" x14ac:dyDescent="0.25">
      <c r="A5" s="268"/>
      <c r="B5" s="268"/>
      <c r="C5" s="268"/>
      <c r="D5" s="268"/>
      <c r="E5" s="294"/>
      <c r="F5" s="294"/>
      <c r="G5" s="268"/>
      <c r="H5" s="294"/>
      <c r="I5" s="268"/>
      <c r="J5" s="268"/>
      <c r="K5" s="294" t="s">
        <v>552</v>
      </c>
      <c r="L5" s="294"/>
      <c r="M5" s="268" t="s">
        <v>44</v>
      </c>
      <c r="N5" s="268"/>
      <c r="O5" s="294"/>
      <c r="P5" s="268"/>
      <c r="Q5" s="268"/>
      <c r="R5" s="268"/>
      <c r="S5" s="268"/>
      <c r="T5" s="268"/>
      <c r="U5" s="268"/>
      <c r="V5" s="268"/>
      <c r="W5" s="268"/>
      <c r="X5" s="268"/>
      <c r="Y5" s="294"/>
      <c r="Z5" s="268"/>
      <c r="AA5" s="294"/>
      <c r="AB5" s="294"/>
      <c r="AC5" s="294"/>
      <c r="AD5" s="268"/>
      <c r="AE5" s="86"/>
    </row>
    <row r="6" spans="1:31" ht="48" customHeight="1" x14ac:dyDescent="0.25">
      <c r="A6" s="268"/>
      <c r="B6" s="268"/>
      <c r="C6" s="268"/>
      <c r="D6" s="268"/>
      <c r="E6" s="294"/>
      <c r="F6" s="294"/>
      <c r="G6" s="268"/>
      <c r="H6" s="294"/>
      <c r="I6" s="268"/>
      <c r="J6" s="268"/>
      <c r="K6" s="81" t="s">
        <v>553</v>
      </c>
      <c r="L6" s="81" t="s">
        <v>554</v>
      </c>
      <c r="M6" s="268"/>
      <c r="N6" s="268"/>
      <c r="O6" s="294"/>
      <c r="P6" s="48" t="s">
        <v>555</v>
      </c>
      <c r="Q6" s="48" t="s">
        <v>556</v>
      </c>
      <c r="R6" s="268"/>
      <c r="S6" s="48" t="s">
        <v>557</v>
      </c>
      <c r="T6" s="48" t="s">
        <v>558</v>
      </c>
      <c r="U6" s="48" t="s">
        <v>559</v>
      </c>
      <c r="V6" s="48" t="s">
        <v>560</v>
      </c>
      <c r="W6" s="268"/>
      <c r="X6" s="268"/>
      <c r="Y6" s="294"/>
      <c r="Z6" s="268"/>
      <c r="AA6" s="294"/>
      <c r="AB6" s="294"/>
      <c r="AC6" s="294"/>
      <c r="AD6" s="268"/>
      <c r="AE6" s="86"/>
    </row>
    <row r="7" spans="1:31" ht="15" customHeight="1" x14ac:dyDescent="0.25">
      <c r="A7" s="268"/>
      <c r="B7" s="268"/>
      <c r="C7" s="268"/>
      <c r="D7" s="268"/>
      <c r="E7" s="294"/>
      <c r="F7" s="6" t="s">
        <v>31</v>
      </c>
      <c r="G7" s="6" t="s">
        <v>31</v>
      </c>
      <c r="H7" s="294"/>
      <c r="I7" s="6" t="s">
        <v>31</v>
      </c>
      <c r="J7" s="6" t="s">
        <v>719</v>
      </c>
      <c r="K7" s="6" t="s">
        <v>447</v>
      </c>
      <c r="L7" s="6" t="s">
        <v>447</v>
      </c>
      <c r="M7" s="6" t="s">
        <v>447</v>
      </c>
      <c r="N7" s="6" t="s">
        <v>447</v>
      </c>
      <c r="O7" s="6" t="s">
        <v>447</v>
      </c>
      <c r="P7" s="6" t="s">
        <v>447</v>
      </c>
      <c r="Q7" s="6" t="s">
        <v>447</v>
      </c>
      <c r="R7" s="6" t="s">
        <v>447</v>
      </c>
      <c r="S7" s="6" t="s">
        <v>376</v>
      </c>
      <c r="T7" s="6" t="s">
        <v>376</v>
      </c>
      <c r="U7" s="6" t="s">
        <v>376</v>
      </c>
      <c r="V7" s="6" t="s">
        <v>376</v>
      </c>
      <c r="W7" s="6" t="s">
        <v>376</v>
      </c>
      <c r="X7" s="6" t="s">
        <v>376</v>
      </c>
      <c r="Y7" s="6" t="s">
        <v>376</v>
      </c>
      <c r="Z7" s="6" t="s">
        <v>34</v>
      </c>
      <c r="AA7" s="6" t="s">
        <v>31</v>
      </c>
      <c r="AB7" s="6" t="s">
        <v>517</v>
      </c>
      <c r="AC7" s="6" t="s">
        <v>34</v>
      </c>
      <c r="AD7" s="268"/>
      <c r="AE7" s="86"/>
    </row>
    <row r="8" spans="1:31" x14ac:dyDescent="0.25">
      <c r="A8" s="49" t="s">
        <v>36</v>
      </c>
      <c r="B8" s="100" t="str">
        <f>CHAR(CODE(A8)+1)</f>
        <v>B</v>
      </c>
      <c r="C8" s="100" t="str">
        <f t="shared" ref="C8:AD8" si="0">CHAR(CODE(B8)+1)</f>
        <v>C</v>
      </c>
      <c r="D8" s="100" t="str">
        <f t="shared" si="0"/>
        <v>D</v>
      </c>
      <c r="E8" s="100" t="str">
        <f t="shared" si="0"/>
        <v>E</v>
      </c>
      <c r="F8" s="100" t="str">
        <f t="shared" si="0"/>
        <v>F</v>
      </c>
      <c r="G8" s="100" t="str">
        <f t="shared" si="0"/>
        <v>G</v>
      </c>
      <c r="H8" s="100" t="str">
        <f t="shared" si="0"/>
        <v>H</v>
      </c>
      <c r="I8" s="100" t="str">
        <f t="shared" si="0"/>
        <v>I</v>
      </c>
      <c r="J8" s="100" t="str">
        <f t="shared" si="0"/>
        <v>J</v>
      </c>
      <c r="K8" s="100" t="str">
        <f t="shared" si="0"/>
        <v>K</v>
      </c>
      <c r="L8" s="100" t="str">
        <f t="shared" si="0"/>
        <v>L</v>
      </c>
      <c r="M8" s="100" t="str">
        <f t="shared" si="0"/>
        <v>M</v>
      </c>
      <c r="N8" s="100" t="str">
        <f t="shared" si="0"/>
        <v>N</v>
      </c>
      <c r="O8" s="100" t="str">
        <f t="shared" si="0"/>
        <v>O</v>
      </c>
      <c r="P8" s="100" t="str">
        <f t="shared" si="0"/>
        <v>P</v>
      </c>
      <c r="Q8" s="100" t="str">
        <f t="shared" si="0"/>
        <v>Q</v>
      </c>
      <c r="R8" s="100" t="str">
        <f t="shared" si="0"/>
        <v>R</v>
      </c>
      <c r="S8" s="100" t="str">
        <f t="shared" si="0"/>
        <v>S</v>
      </c>
      <c r="T8" s="100" t="str">
        <f t="shared" si="0"/>
        <v>T</v>
      </c>
      <c r="U8" s="100" t="str">
        <f t="shared" si="0"/>
        <v>U</v>
      </c>
      <c r="V8" s="100" t="str">
        <f t="shared" si="0"/>
        <v>V</v>
      </c>
      <c r="W8" s="100" t="str">
        <f t="shared" si="0"/>
        <v>W</v>
      </c>
      <c r="X8" s="100" t="str">
        <f t="shared" si="0"/>
        <v>X</v>
      </c>
      <c r="Y8" s="100" t="str">
        <f t="shared" si="0"/>
        <v>Y</v>
      </c>
      <c r="Z8" s="100" t="str">
        <f t="shared" si="0"/>
        <v>Z</v>
      </c>
      <c r="AA8" s="100" t="str">
        <f>CHAR(CODE(Z8)+7)</f>
        <v>a</v>
      </c>
      <c r="AB8" s="100" t="str">
        <f t="shared" si="0"/>
        <v>b</v>
      </c>
      <c r="AC8" s="100" t="str">
        <f t="shared" si="0"/>
        <v>c</v>
      </c>
      <c r="AD8" s="100" t="str">
        <f t="shared" si="0"/>
        <v>d</v>
      </c>
    </row>
    <row r="9" spans="1:31" s="47" customFormat="1" x14ac:dyDescent="0.25">
      <c r="A9" s="46">
        <v>1</v>
      </c>
      <c r="B9" s="46">
        <v>109</v>
      </c>
      <c r="C9" s="46" t="s">
        <v>42</v>
      </c>
      <c r="D9" s="46" t="s">
        <v>627</v>
      </c>
      <c r="E9" s="46" t="s">
        <v>566</v>
      </c>
      <c r="F9" s="46">
        <v>584</v>
      </c>
      <c r="G9" s="46">
        <v>0.6</v>
      </c>
      <c r="H9" s="132" t="s">
        <v>630</v>
      </c>
      <c r="I9" s="131">
        <v>1.2</v>
      </c>
      <c r="J9" s="131">
        <v>1.2</v>
      </c>
      <c r="K9" s="133">
        <f>F9*J9</f>
        <v>700.8</v>
      </c>
      <c r="L9" s="69"/>
      <c r="M9" s="69">
        <f>K9+L9</f>
        <v>700.8</v>
      </c>
      <c r="N9" s="46"/>
      <c r="O9" s="46"/>
      <c r="P9" s="69">
        <f>M9*0.6</f>
        <v>420.47999999999996</v>
      </c>
      <c r="Q9" s="46"/>
      <c r="R9" s="46"/>
      <c r="S9" s="53">
        <f>2*F9/10000</f>
        <v>0.1168</v>
      </c>
      <c r="T9" s="53">
        <f>4*F9/10000</f>
        <v>0.2336</v>
      </c>
      <c r="U9" s="53">
        <f>2*F9/10000</f>
        <v>0.1168</v>
      </c>
      <c r="V9" s="53">
        <f>2*F9/10000</f>
        <v>0.1168</v>
      </c>
      <c r="W9" s="46"/>
      <c r="X9" s="53">
        <f>SUM(S9:V9)</f>
        <v>0.58399999999999996</v>
      </c>
      <c r="Y9" s="53">
        <f>X9</f>
        <v>0.58399999999999996</v>
      </c>
      <c r="Z9" s="46"/>
      <c r="AA9" s="46"/>
      <c r="AB9" s="46"/>
      <c r="AC9" s="69">
        <v>1</v>
      </c>
      <c r="AD9" s="46"/>
    </row>
    <row r="10" spans="1:31" x14ac:dyDescent="0.25">
      <c r="A10" s="6">
        <f>A9+1</f>
        <v>2</v>
      </c>
      <c r="B10" s="6">
        <v>113</v>
      </c>
      <c r="C10" s="6" t="s">
        <v>42</v>
      </c>
      <c r="D10" s="6" t="s">
        <v>627</v>
      </c>
      <c r="E10" s="6" t="s">
        <v>566</v>
      </c>
      <c r="F10" s="6">
        <v>571</v>
      </c>
      <c r="G10" s="130">
        <v>0.6</v>
      </c>
      <c r="H10" s="79" t="s">
        <v>630</v>
      </c>
      <c r="I10" s="36">
        <v>1.2</v>
      </c>
      <c r="J10" s="36">
        <v>1.2</v>
      </c>
      <c r="K10" s="73">
        <f t="shared" ref="K10:K37" si="1">F10*J10</f>
        <v>685.19999999999993</v>
      </c>
      <c r="L10" s="70"/>
      <c r="M10" s="70">
        <f t="shared" ref="M10:M37" si="2">K10+L10</f>
        <v>685.19999999999993</v>
      </c>
      <c r="N10" s="6"/>
      <c r="O10" s="6"/>
      <c r="P10" s="70">
        <f t="shared" ref="P10:P37" si="3">M10*0.6</f>
        <v>411.11999999999995</v>
      </c>
      <c r="Q10" s="6"/>
      <c r="R10" s="6"/>
      <c r="S10" s="13">
        <f>2*F10/10000</f>
        <v>0.1142</v>
      </c>
      <c r="T10" s="13">
        <f>4*F10/10000</f>
        <v>0.22839999999999999</v>
      </c>
      <c r="U10" s="13">
        <f>2*F10/10000</f>
        <v>0.1142</v>
      </c>
      <c r="V10" s="13">
        <f>2*F10/10000</f>
        <v>0.1142</v>
      </c>
      <c r="W10" s="6"/>
      <c r="X10" s="13">
        <f>SUM(S10:V10)</f>
        <v>0.57099999999999995</v>
      </c>
      <c r="Y10" s="13">
        <f>X10</f>
        <v>0.57099999999999995</v>
      </c>
      <c r="Z10" s="6"/>
      <c r="AA10" s="6"/>
      <c r="AB10" s="6"/>
      <c r="AC10" s="70">
        <v>1</v>
      </c>
      <c r="AD10" s="6"/>
    </row>
    <row r="11" spans="1:31" ht="25.5" x14ac:dyDescent="0.25">
      <c r="A11" s="6">
        <f t="shared" ref="A11:A74" si="4">A10+1</f>
        <v>3</v>
      </c>
      <c r="B11" s="6">
        <v>119</v>
      </c>
      <c r="C11" s="6" t="s">
        <v>42</v>
      </c>
      <c r="D11" s="81" t="s">
        <v>631</v>
      </c>
      <c r="E11" s="6" t="s">
        <v>566</v>
      </c>
      <c r="F11" s="6">
        <v>673</v>
      </c>
      <c r="G11" s="6">
        <v>0.6</v>
      </c>
      <c r="H11" s="79" t="s">
        <v>630</v>
      </c>
      <c r="I11" s="36">
        <v>1.2</v>
      </c>
      <c r="J11" s="36">
        <v>1.2</v>
      </c>
      <c r="K11" s="73">
        <f t="shared" si="1"/>
        <v>807.6</v>
      </c>
      <c r="L11" s="70"/>
      <c r="M11" s="70">
        <f t="shared" si="2"/>
        <v>807.6</v>
      </c>
      <c r="N11" s="6"/>
      <c r="O11" s="6"/>
      <c r="P11" s="70">
        <f t="shared" si="3"/>
        <v>484.56</v>
      </c>
      <c r="Q11" s="6"/>
      <c r="R11" s="6"/>
      <c r="S11" s="13">
        <f>2*F11/10000</f>
        <v>0.1346</v>
      </c>
      <c r="T11" s="13">
        <f>4*F11/10000</f>
        <v>0.26919999999999999</v>
      </c>
      <c r="U11" s="13">
        <f>2*F11/10000</f>
        <v>0.1346</v>
      </c>
      <c r="V11" s="13">
        <f>2*F11/10000</f>
        <v>0.1346</v>
      </c>
      <c r="W11" s="6"/>
      <c r="X11" s="13">
        <f t="shared" ref="X11:X33" si="5">SUM(S11:V11)</f>
        <v>0.67300000000000004</v>
      </c>
      <c r="Y11" s="13">
        <f t="shared" ref="Y11:Y73" si="6">X11</f>
        <v>0.67300000000000004</v>
      </c>
      <c r="Z11" s="6">
        <v>1</v>
      </c>
      <c r="AA11" s="6"/>
      <c r="AB11" s="6"/>
      <c r="AC11" s="70">
        <v>1</v>
      </c>
      <c r="AD11" s="6"/>
    </row>
    <row r="12" spans="1:31" x14ac:dyDescent="0.25">
      <c r="A12" s="6">
        <f t="shared" si="4"/>
        <v>4</v>
      </c>
      <c r="B12" s="6">
        <v>120</v>
      </c>
      <c r="C12" s="6" t="s">
        <v>42</v>
      </c>
      <c r="D12" s="36" t="s">
        <v>632</v>
      </c>
      <c r="E12" s="6" t="s">
        <v>566</v>
      </c>
      <c r="F12" s="6">
        <v>353</v>
      </c>
      <c r="G12" s="6">
        <v>0.6</v>
      </c>
      <c r="H12" s="79" t="s">
        <v>630</v>
      </c>
      <c r="I12" s="36">
        <v>1.2</v>
      </c>
      <c r="J12" s="36">
        <v>1.2</v>
      </c>
      <c r="K12" s="73">
        <f t="shared" si="1"/>
        <v>423.59999999999997</v>
      </c>
      <c r="L12" s="70"/>
      <c r="M12" s="70">
        <f t="shared" si="2"/>
        <v>423.59999999999997</v>
      </c>
      <c r="N12" s="6"/>
      <c r="O12" s="6"/>
      <c r="P12" s="70">
        <f t="shared" si="3"/>
        <v>254.15999999999997</v>
      </c>
      <c r="Q12" s="6"/>
      <c r="R12" s="6"/>
      <c r="S12" s="13">
        <f>2*F12/10000</f>
        <v>7.0599999999999996E-2</v>
      </c>
      <c r="T12" s="13">
        <f>4*F12/10000</f>
        <v>0.14119999999999999</v>
      </c>
      <c r="U12" s="13">
        <f>2*F12/10000</f>
        <v>7.0599999999999996E-2</v>
      </c>
      <c r="V12" s="13">
        <f>2*F12/10000</f>
        <v>7.0599999999999996E-2</v>
      </c>
      <c r="W12" s="6"/>
      <c r="X12" s="13">
        <f t="shared" si="5"/>
        <v>0.35299999999999998</v>
      </c>
      <c r="Y12" s="13">
        <f t="shared" si="6"/>
        <v>0.35299999999999998</v>
      </c>
      <c r="Z12" s="6"/>
      <c r="AA12" s="6"/>
      <c r="AB12" s="6"/>
      <c r="AC12" s="70"/>
      <c r="AD12" s="6"/>
    </row>
    <row r="13" spans="1:31" x14ac:dyDescent="0.25">
      <c r="A13" s="6">
        <f t="shared" si="4"/>
        <v>5</v>
      </c>
      <c r="B13" s="6">
        <v>124</v>
      </c>
      <c r="C13" s="6" t="s">
        <v>42</v>
      </c>
      <c r="D13" s="36" t="s">
        <v>632</v>
      </c>
      <c r="E13" s="6" t="s">
        <v>566</v>
      </c>
      <c r="F13" s="6">
        <v>353</v>
      </c>
      <c r="G13" s="6">
        <v>0.6</v>
      </c>
      <c r="H13" s="79" t="s">
        <v>630</v>
      </c>
      <c r="I13" s="36">
        <v>1.2</v>
      </c>
      <c r="J13" s="36">
        <v>1.2</v>
      </c>
      <c r="K13" s="73">
        <f t="shared" si="1"/>
        <v>423.59999999999997</v>
      </c>
      <c r="L13" s="70"/>
      <c r="M13" s="70">
        <f t="shared" si="2"/>
        <v>423.59999999999997</v>
      </c>
      <c r="N13" s="6"/>
      <c r="O13" s="6"/>
      <c r="P13" s="70">
        <f t="shared" si="3"/>
        <v>254.15999999999997</v>
      </c>
      <c r="Q13" s="6"/>
      <c r="R13" s="6"/>
      <c r="S13" s="13">
        <f>4*F13/10000</f>
        <v>0.14119999999999999</v>
      </c>
      <c r="T13" s="13">
        <f>6*F13/10000</f>
        <v>0.21179999999999999</v>
      </c>
      <c r="U13" s="13"/>
      <c r="V13" s="13"/>
      <c r="W13" s="6"/>
      <c r="X13" s="13">
        <f t="shared" si="5"/>
        <v>0.35299999999999998</v>
      </c>
      <c r="Y13" s="13">
        <f t="shared" si="6"/>
        <v>0.35299999999999998</v>
      </c>
      <c r="Z13" s="6"/>
      <c r="AA13" s="6"/>
      <c r="AB13" s="6"/>
      <c r="AC13" s="70"/>
      <c r="AD13" s="6"/>
    </row>
    <row r="14" spans="1:31" x14ac:dyDescent="0.25">
      <c r="A14" s="6">
        <f t="shared" si="4"/>
        <v>6</v>
      </c>
      <c r="B14" s="6">
        <v>128</v>
      </c>
      <c r="C14" s="6" t="s">
        <v>42</v>
      </c>
      <c r="D14" s="36" t="s">
        <v>632</v>
      </c>
      <c r="E14" s="6" t="s">
        <v>566</v>
      </c>
      <c r="F14" s="6">
        <v>357</v>
      </c>
      <c r="G14" s="6">
        <v>0.6</v>
      </c>
      <c r="H14" s="79" t="s">
        <v>630</v>
      </c>
      <c r="I14" s="36">
        <v>1.2</v>
      </c>
      <c r="J14" s="36">
        <v>1.2</v>
      </c>
      <c r="K14" s="73">
        <f t="shared" si="1"/>
        <v>428.4</v>
      </c>
      <c r="L14" s="70"/>
      <c r="M14" s="70">
        <f t="shared" si="2"/>
        <v>428.4</v>
      </c>
      <c r="N14" s="6"/>
      <c r="O14" s="6"/>
      <c r="P14" s="70">
        <f t="shared" si="3"/>
        <v>257.03999999999996</v>
      </c>
      <c r="Q14" s="6"/>
      <c r="R14" s="6"/>
      <c r="S14" s="13">
        <f>4*F14/10000</f>
        <v>0.14280000000000001</v>
      </c>
      <c r="T14" s="13">
        <f>6*F14/10000</f>
        <v>0.2142</v>
      </c>
      <c r="U14" s="13"/>
      <c r="V14" s="13"/>
      <c r="W14" s="6"/>
      <c r="X14" s="13">
        <f t="shared" si="5"/>
        <v>0.35699999999999998</v>
      </c>
      <c r="Y14" s="13">
        <f t="shared" si="6"/>
        <v>0.35699999999999998</v>
      </c>
      <c r="Z14" s="6"/>
      <c r="AA14" s="6"/>
      <c r="AB14" s="6"/>
      <c r="AC14" s="70"/>
      <c r="AD14" s="6"/>
    </row>
    <row r="15" spans="1:31" x14ac:dyDescent="0.25">
      <c r="A15" s="6">
        <f t="shared" si="4"/>
        <v>7</v>
      </c>
      <c r="B15" s="6">
        <v>130</v>
      </c>
      <c r="C15" s="6" t="s">
        <v>42</v>
      </c>
      <c r="D15" s="36" t="s">
        <v>632</v>
      </c>
      <c r="E15" s="6" t="s">
        <v>566</v>
      </c>
      <c r="F15" s="6">
        <v>361</v>
      </c>
      <c r="G15" s="6">
        <v>0.6</v>
      </c>
      <c r="H15" s="79" t="s">
        <v>630</v>
      </c>
      <c r="I15" s="36">
        <v>1.2</v>
      </c>
      <c r="J15" s="36">
        <v>1.2</v>
      </c>
      <c r="K15" s="73">
        <f t="shared" si="1"/>
        <v>433.2</v>
      </c>
      <c r="L15" s="70"/>
      <c r="M15" s="70">
        <f t="shared" si="2"/>
        <v>433.2</v>
      </c>
      <c r="N15" s="6"/>
      <c r="O15" s="6"/>
      <c r="P15" s="70">
        <f t="shared" si="3"/>
        <v>259.91999999999996</v>
      </c>
      <c r="Q15" s="6"/>
      <c r="R15" s="6"/>
      <c r="S15" s="13">
        <f>4*F15/10000</f>
        <v>0.1444</v>
      </c>
      <c r="T15" s="13">
        <f>6*F15/10000</f>
        <v>0.21659999999999999</v>
      </c>
      <c r="U15" s="13"/>
      <c r="V15" s="13"/>
      <c r="W15" s="6"/>
      <c r="X15" s="13">
        <f t="shared" si="5"/>
        <v>0.36099999999999999</v>
      </c>
      <c r="Y15" s="13">
        <f t="shared" si="6"/>
        <v>0.36099999999999999</v>
      </c>
      <c r="Z15" s="6"/>
      <c r="AA15" s="6"/>
      <c r="AB15" s="6"/>
      <c r="AC15" s="70"/>
      <c r="AD15" s="6"/>
    </row>
    <row r="16" spans="1:31" x14ac:dyDescent="0.25">
      <c r="A16" s="6">
        <f t="shared" si="4"/>
        <v>8</v>
      </c>
      <c r="B16" s="6">
        <v>134</v>
      </c>
      <c r="C16" s="6" t="s">
        <v>42</v>
      </c>
      <c r="D16" s="36" t="s">
        <v>632</v>
      </c>
      <c r="E16" s="6" t="s">
        <v>606</v>
      </c>
      <c r="F16" s="6">
        <v>614</v>
      </c>
      <c r="G16" s="6">
        <v>0.6</v>
      </c>
      <c r="H16" s="79" t="s">
        <v>630</v>
      </c>
      <c r="I16" s="36">
        <v>1.2</v>
      </c>
      <c r="J16" s="36">
        <v>1.2</v>
      </c>
      <c r="K16" s="73">
        <f t="shared" si="1"/>
        <v>736.8</v>
      </c>
      <c r="L16" s="70"/>
      <c r="M16" s="70">
        <f t="shared" si="2"/>
        <v>736.8</v>
      </c>
      <c r="N16" s="6"/>
      <c r="O16" s="6"/>
      <c r="P16" s="70">
        <f t="shared" si="3"/>
        <v>442.08</v>
      </c>
      <c r="Q16" s="6"/>
      <c r="R16" s="6"/>
      <c r="S16" s="13">
        <f>6*F16/10000</f>
        <v>0.36840000000000001</v>
      </c>
      <c r="T16" s="13"/>
      <c r="U16" s="13"/>
      <c r="V16" s="13"/>
      <c r="W16" s="6"/>
      <c r="X16" s="13">
        <f t="shared" si="5"/>
        <v>0.36840000000000001</v>
      </c>
      <c r="Y16" s="13">
        <f t="shared" si="6"/>
        <v>0.36840000000000001</v>
      </c>
      <c r="Z16" s="6"/>
      <c r="AA16" s="6"/>
      <c r="AB16" s="6"/>
      <c r="AC16" s="70">
        <v>1</v>
      </c>
      <c r="AD16" s="6"/>
    </row>
    <row r="17" spans="1:30" x14ac:dyDescent="0.25">
      <c r="A17" s="6">
        <f t="shared" si="4"/>
        <v>9</v>
      </c>
      <c r="B17" s="6">
        <v>135</v>
      </c>
      <c r="C17" s="6" t="s">
        <v>42</v>
      </c>
      <c r="D17" s="36" t="s">
        <v>632</v>
      </c>
      <c r="E17" s="6" t="s">
        <v>566</v>
      </c>
      <c r="F17" s="6">
        <v>354</v>
      </c>
      <c r="G17" s="6">
        <v>0.6</v>
      </c>
      <c r="H17" s="79" t="s">
        <v>630</v>
      </c>
      <c r="I17" s="36">
        <v>1.2</v>
      </c>
      <c r="J17" s="36">
        <v>1.2</v>
      </c>
      <c r="K17" s="73">
        <f t="shared" si="1"/>
        <v>424.8</v>
      </c>
      <c r="L17" s="70"/>
      <c r="M17" s="70">
        <f t="shared" si="2"/>
        <v>424.8</v>
      </c>
      <c r="N17" s="6"/>
      <c r="O17" s="6"/>
      <c r="P17" s="70">
        <f t="shared" si="3"/>
        <v>254.88</v>
      </c>
      <c r="Q17" s="6"/>
      <c r="R17" s="6"/>
      <c r="S17" s="13">
        <f t="shared" ref="S17:S22" si="7">2*F17/10000</f>
        <v>7.0800000000000002E-2</v>
      </c>
      <c r="T17" s="13">
        <f>4*F17/10000</f>
        <v>0.1416</v>
      </c>
      <c r="U17" s="13">
        <f>2*F17/10000</f>
        <v>7.0800000000000002E-2</v>
      </c>
      <c r="V17" s="13">
        <f>2*F17/10000</f>
        <v>7.0800000000000002E-2</v>
      </c>
      <c r="W17" s="6"/>
      <c r="X17" s="13">
        <f t="shared" si="5"/>
        <v>0.35399999999999998</v>
      </c>
      <c r="Y17" s="13">
        <f t="shared" si="6"/>
        <v>0.35399999999999998</v>
      </c>
      <c r="Z17" s="6"/>
      <c r="AA17" s="6"/>
      <c r="AB17" s="6"/>
      <c r="AC17" s="70"/>
      <c r="AD17" s="6"/>
    </row>
    <row r="18" spans="1:30" x14ac:dyDescent="0.25">
      <c r="A18" s="6">
        <f t="shared" si="4"/>
        <v>10</v>
      </c>
      <c r="B18" s="6">
        <v>136</v>
      </c>
      <c r="C18" s="6" t="s">
        <v>42</v>
      </c>
      <c r="D18" s="36" t="s">
        <v>632</v>
      </c>
      <c r="E18" s="6" t="s">
        <v>566</v>
      </c>
      <c r="F18" s="6">
        <v>355</v>
      </c>
      <c r="G18" s="6">
        <v>0.6</v>
      </c>
      <c r="H18" s="79" t="s">
        <v>630</v>
      </c>
      <c r="I18" s="36">
        <v>1.2</v>
      </c>
      <c r="J18" s="36">
        <v>1.2</v>
      </c>
      <c r="K18" s="73">
        <f t="shared" si="1"/>
        <v>426</v>
      </c>
      <c r="L18" s="70"/>
      <c r="M18" s="70">
        <f t="shared" si="2"/>
        <v>426</v>
      </c>
      <c r="N18" s="6"/>
      <c r="O18" s="6"/>
      <c r="P18" s="70">
        <f t="shared" si="3"/>
        <v>255.6</v>
      </c>
      <c r="Q18" s="6"/>
      <c r="R18" s="6"/>
      <c r="S18" s="13">
        <f t="shared" si="7"/>
        <v>7.0999999999999994E-2</v>
      </c>
      <c r="T18" s="13">
        <f>4*F18/10000</f>
        <v>0.14199999999999999</v>
      </c>
      <c r="U18" s="13">
        <f>4*F18/10000</f>
        <v>0.14199999999999999</v>
      </c>
      <c r="V18" s="13"/>
      <c r="W18" s="6"/>
      <c r="X18" s="13">
        <f t="shared" si="5"/>
        <v>0.35499999999999998</v>
      </c>
      <c r="Y18" s="13">
        <f t="shared" si="6"/>
        <v>0.35499999999999998</v>
      </c>
      <c r="Z18" s="6"/>
      <c r="AA18" s="6"/>
      <c r="AB18" s="6"/>
      <c r="AC18" s="70"/>
      <c r="AD18" s="6"/>
    </row>
    <row r="19" spans="1:30" x14ac:dyDescent="0.25">
      <c r="A19" s="6">
        <f t="shared" si="4"/>
        <v>11</v>
      </c>
      <c r="B19" s="6">
        <v>139</v>
      </c>
      <c r="C19" s="6" t="s">
        <v>42</v>
      </c>
      <c r="D19" s="36" t="s">
        <v>632</v>
      </c>
      <c r="E19" s="6" t="s">
        <v>566</v>
      </c>
      <c r="F19" s="6">
        <v>355</v>
      </c>
      <c r="G19" s="6">
        <v>0.6</v>
      </c>
      <c r="H19" s="79" t="s">
        <v>630</v>
      </c>
      <c r="I19" s="36">
        <v>1.2</v>
      </c>
      <c r="J19" s="36">
        <v>1.2</v>
      </c>
      <c r="K19" s="73">
        <f t="shared" si="1"/>
        <v>426</v>
      </c>
      <c r="L19" s="70"/>
      <c r="M19" s="70">
        <f t="shared" si="2"/>
        <v>426</v>
      </c>
      <c r="N19" s="6"/>
      <c r="O19" s="6"/>
      <c r="P19" s="70">
        <f t="shared" si="3"/>
        <v>255.6</v>
      </c>
      <c r="Q19" s="6"/>
      <c r="R19" s="6"/>
      <c r="S19" s="13">
        <f t="shared" si="7"/>
        <v>7.0999999999999994E-2</v>
      </c>
      <c r="T19" s="13">
        <f>6*F19/10000</f>
        <v>0.21299999999999999</v>
      </c>
      <c r="U19" s="13">
        <f>2*F19/10000</f>
        <v>7.0999999999999994E-2</v>
      </c>
      <c r="V19" s="13"/>
      <c r="W19" s="6"/>
      <c r="X19" s="13">
        <f t="shared" si="5"/>
        <v>0.35499999999999998</v>
      </c>
      <c r="Y19" s="13">
        <f t="shared" si="6"/>
        <v>0.35499999999999998</v>
      </c>
      <c r="Z19" s="6"/>
      <c r="AA19" s="6"/>
      <c r="AB19" s="6"/>
      <c r="AC19" s="70"/>
      <c r="AD19" s="6"/>
    </row>
    <row r="20" spans="1:30" ht="25.5" x14ac:dyDescent="0.25">
      <c r="A20" s="6">
        <f t="shared" si="4"/>
        <v>12</v>
      </c>
      <c r="B20" s="6">
        <v>142</v>
      </c>
      <c r="C20" s="6" t="s">
        <v>42</v>
      </c>
      <c r="D20" s="48" t="s">
        <v>633</v>
      </c>
      <c r="E20" s="6" t="s">
        <v>566</v>
      </c>
      <c r="F20" s="6">
        <v>900</v>
      </c>
      <c r="G20" s="6">
        <v>0.6</v>
      </c>
      <c r="H20" s="79" t="s">
        <v>630</v>
      </c>
      <c r="I20" s="36">
        <v>1.2</v>
      </c>
      <c r="J20" s="36">
        <v>1.2</v>
      </c>
      <c r="K20" s="73">
        <f t="shared" si="1"/>
        <v>1080</v>
      </c>
      <c r="L20" s="70"/>
      <c r="M20" s="70">
        <f t="shared" si="2"/>
        <v>1080</v>
      </c>
      <c r="N20" s="6"/>
      <c r="O20" s="6"/>
      <c r="P20" s="70">
        <f t="shared" si="3"/>
        <v>648</v>
      </c>
      <c r="Q20" s="6"/>
      <c r="R20" s="6"/>
      <c r="S20" s="13">
        <f t="shared" si="7"/>
        <v>0.18</v>
      </c>
      <c r="T20" s="13">
        <f t="shared" ref="T20:T26" si="8">2*F20/10000</f>
        <v>0.18</v>
      </c>
      <c r="U20" s="13">
        <f>4*F20/10000</f>
        <v>0.36</v>
      </c>
      <c r="V20" s="13">
        <f>2*F20/10000</f>
        <v>0.18</v>
      </c>
      <c r="W20" s="6"/>
      <c r="X20" s="13">
        <f t="shared" si="5"/>
        <v>0.89999999999999991</v>
      </c>
      <c r="Y20" s="13">
        <f t="shared" si="6"/>
        <v>0.89999999999999991</v>
      </c>
      <c r="Z20" s="6"/>
      <c r="AA20" s="6"/>
      <c r="AB20" s="6"/>
      <c r="AC20" s="70">
        <v>2</v>
      </c>
      <c r="AD20" s="6"/>
    </row>
    <row r="21" spans="1:30" x14ac:dyDescent="0.25">
      <c r="A21" s="6">
        <f t="shared" si="4"/>
        <v>13</v>
      </c>
      <c r="B21" s="6">
        <v>143</v>
      </c>
      <c r="C21" s="6" t="s">
        <v>42</v>
      </c>
      <c r="D21" s="36" t="s">
        <v>632</v>
      </c>
      <c r="E21" s="6" t="s">
        <v>566</v>
      </c>
      <c r="F21" s="6">
        <v>362</v>
      </c>
      <c r="G21" s="6">
        <v>0.6</v>
      </c>
      <c r="H21" s="79" t="s">
        <v>630</v>
      </c>
      <c r="I21" s="36">
        <v>1.2</v>
      </c>
      <c r="J21" s="36">
        <v>1.2</v>
      </c>
      <c r="K21" s="73">
        <f t="shared" si="1"/>
        <v>434.4</v>
      </c>
      <c r="L21" s="70"/>
      <c r="M21" s="70">
        <f t="shared" si="2"/>
        <v>434.4</v>
      </c>
      <c r="N21" s="6"/>
      <c r="O21" s="6"/>
      <c r="P21" s="70">
        <f t="shared" si="3"/>
        <v>260.64</v>
      </c>
      <c r="Q21" s="6"/>
      <c r="R21" s="6"/>
      <c r="S21" s="13">
        <f t="shared" si="7"/>
        <v>7.2400000000000006E-2</v>
      </c>
      <c r="T21" s="13">
        <f t="shared" si="8"/>
        <v>7.2400000000000006E-2</v>
      </c>
      <c r="U21" s="13">
        <f>4*F21/10000</f>
        <v>0.14480000000000001</v>
      </c>
      <c r="V21" s="13">
        <f>2*F21/10000</f>
        <v>7.2400000000000006E-2</v>
      </c>
      <c r="W21" s="6"/>
      <c r="X21" s="13">
        <f t="shared" si="5"/>
        <v>0.36200000000000004</v>
      </c>
      <c r="Y21" s="13">
        <f t="shared" si="6"/>
        <v>0.36200000000000004</v>
      </c>
      <c r="Z21" s="6"/>
      <c r="AA21" s="6"/>
      <c r="AB21" s="6"/>
      <c r="AC21" s="70"/>
      <c r="AD21" s="6"/>
    </row>
    <row r="22" spans="1:30" x14ac:dyDescent="0.25">
      <c r="A22" s="6">
        <f t="shared" si="4"/>
        <v>14</v>
      </c>
      <c r="B22" s="6">
        <v>144</v>
      </c>
      <c r="C22" s="6" t="s">
        <v>42</v>
      </c>
      <c r="D22" s="36" t="s">
        <v>632</v>
      </c>
      <c r="E22" s="6" t="s">
        <v>566</v>
      </c>
      <c r="F22" s="6">
        <v>361</v>
      </c>
      <c r="G22" s="6">
        <v>0.6</v>
      </c>
      <c r="H22" s="79" t="s">
        <v>630</v>
      </c>
      <c r="I22" s="36">
        <v>1.2</v>
      </c>
      <c r="J22" s="36">
        <v>1.2</v>
      </c>
      <c r="K22" s="73">
        <f t="shared" si="1"/>
        <v>433.2</v>
      </c>
      <c r="L22" s="70"/>
      <c r="M22" s="70">
        <f t="shared" si="2"/>
        <v>433.2</v>
      </c>
      <c r="N22" s="6"/>
      <c r="O22" s="6"/>
      <c r="P22" s="70">
        <f t="shared" si="3"/>
        <v>259.91999999999996</v>
      </c>
      <c r="Q22" s="6"/>
      <c r="R22" s="6"/>
      <c r="S22" s="13">
        <f t="shared" si="7"/>
        <v>7.22E-2</v>
      </c>
      <c r="T22" s="13">
        <f t="shared" si="8"/>
        <v>7.22E-2</v>
      </c>
      <c r="U22" s="13">
        <f>4*F22/10000</f>
        <v>0.1444</v>
      </c>
      <c r="V22" s="13">
        <f>2*F22/10000</f>
        <v>7.22E-2</v>
      </c>
      <c r="W22" s="6"/>
      <c r="X22" s="13">
        <f t="shared" si="5"/>
        <v>0.36099999999999999</v>
      </c>
      <c r="Y22" s="13">
        <f t="shared" si="6"/>
        <v>0.36099999999999999</v>
      </c>
      <c r="Z22" s="6"/>
      <c r="AA22" s="6"/>
      <c r="AB22" s="6"/>
      <c r="AC22" s="70"/>
      <c r="AD22" s="6"/>
    </row>
    <row r="23" spans="1:30" ht="38.25" x14ac:dyDescent="0.25">
      <c r="A23" s="6">
        <f t="shared" si="4"/>
        <v>15</v>
      </c>
      <c r="B23" s="6">
        <v>146</v>
      </c>
      <c r="C23" s="6" t="s">
        <v>42</v>
      </c>
      <c r="D23" s="48" t="s">
        <v>634</v>
      </c>
      <c r="E23" s="6" t="s">
        <v>566</v>
      </c>
      <c r="F23" s="6">
        <v>1200</v>
      </c>
      <c r="G23" s="6">
        <v>0.6</v>
      </c>
      <c r="H23" s="79" t="s">
        <v>630</v>
      </c>
      <c r="I23" s="36">
        <v>1.2</v>
      </c>
      <c r="J23" s="36">
        <v>1.2</v>
      </c>
      <c r="K23" s="73">
        <f t="shared" si="1"/>
        <v>1440</v>
      </c>
      <c r="L23" s="70"/>
      <c r="M23" s="70">
        <f t="shared" si="2"/>
        <v>1440</v>
      </c>
      <c r="N23" s="6"/>
      <c r="O23" s="6"/>
      <c r="P23" s="70">
        <f t="shared" si="3"/>
        <v>864</v>
      </c>
      <c r="Q23" s="6"/>
      <c r="R23" s="6"/>
      <c r="S23" s="13">
        <f>4*F23/10000</f>
        <v>0.48</v>
      </c>
      <c r="T23" s="13">
        <f t="shared" si="8"/>
        <v>0.24</v>
      </c>
      <c r="U23" s="13">
        <f>2*F23/10000</f>
        <v>0.24</v>
      </c>
      <c r="V23" s="13">
        <f>2*F23/10000</f>
        <v>0.24</v>
      </c>
      <c r="W23" s="6"/>
      <c r="X23" s="13">
        <f t="shared" si="5"/>
        <v>1.2</v>
      </c>
      <c r="Y23" s="13">
        <f t="shared" si="6"/>
        <v>1.2</v>
      </c>
      <c r="Z23" s="6">
        <v>1</v>
      </c>
      <c r="AA23" s="6"/>
      <c r="AB23" s="6"/>
      <c r="AC23" s="70">
        <v>3</v>
      </c>
      <c r="AD23" s="81" t="s">
        <v>718</v>
      </c>
    </row>
    <row r="24" spans="1:30" x14ac:dyDescent="0.25">
      <c r="A24" s="6">
        <f t="shared" si="4"/>
        <v>16</v>
      </c>
      <c r="B24" s="6">
        <v>147</v>
      </c>
      <c r="C24" s="6" t="s">
        <v>42</v>
      </c>
      <c r="D24" s="36" t="s">
        <v>635</v>
      </c>
      <c r="E24" s="6" t="s">
        <v>566</v>
      </c>
      <c r="F24" s="6">
        <v>435</v>
      </c>
      <c r="G24" s="6">
        <v>0.6</v>
      </c>
      <c r="H24" s="79" t="s">
        <v>630</v>
      </c>
      <c r="I24" s="36">
        <v>1.2</v>
      </c>
      <c r="J24" s="36">
        <v>1.2</v>
      </c>
      <c r="K24" s="73">
        <f t="shared" si="1"/>
        <v>522</v>
      </c>
      <c r="L24" s="70"/>
      <c r="M24" s="70">
        <f t="shared" si="2"/>
        <v>522</v>
      </c>
      <c r="N24" s="6"/>
      <c r="O24" s="6"/>
      <c r="P24" s="70">
        <f t="shared" si="3"/>
        <v>313.2</v>
      </c>
      <c r="Q24" s="6"/>
      <c r="R24" s="6"/>
      <c r="S24" s="13">
        <f>8*F24/10000</f>
        <v>0.34799999999999998</v>
      </c>
      <c r="T24" s="13">
        <f t="shared" si="8"/>
        <v>8.6999999999999994E-2</v>
      </c>
      <c r="U24" s="13"/>
      <c r="V24" s="13"/>
      <c r="W24" s="6"/>
      <c r="X24" s="13">
        <f t="shared" si="5"/>
        <v>0.43499999999999994</v>
      </c>
      <c r="Y24" s="13">
        <f t="shared" si="6"/>
        <v>0.43499999999999994</v>
      </c>
      <c r="Z24" s="6"/>
      <c r="AA24" s="6"/>
      <c r="AB24" s="6"/>
      <c r="AC24" s="70"/>
      <c r="AD24" s="6"/>
    </row>
    <row r="25" spans="1:30" x14ac:dyDescent="0.25">
      <c r="A25" s="6">
        <f t="shared" si="4"/>
        <v>17</v>
      </c>
      <c r="B25" s="6">
        <v>148</v>
      </c>
      <c r="C25" s="6" t="s">
        <v>42</v>
      </c>
      <c r="D25" s="36" t="s">
        <v>635</v>
      </c>
      <c r="E25" s="6" t="s">
        <v>566</v>
      </c>
      <c r="F25" s="6">
        <v>710</v>
      </c>
      <c r="G25" s="6">
        <v>0.6</v>
      </c>
      <c r="H25" s="79" t="s">
        <v>630</v>
      </c>
      <c r="I25" s="36">
        <v>1.2</v>
      </c>
      <c r="J25" s="36">
        <v>1.2</v>
      </c>
      <c r="K25" s="73">
        <f t="shared" si="1"/>
        <v>852</v>
      </c>
      <c r="L25" s="70"/>
      <c r="M25" s="70">
        <f t="shared" si="2"/>
        <v>852</v>
      </c>
      <c r="N25" s="6"/>
      <c r="O25" s="6"/>
      <c r="P25" s="70">
        <f t="shared" si="3"/>
        <v>511.2</v>
      </c>
      <c r="Q25" s="6"/>
      <c r="R25" s="6"/>
      <c r="S25" s="13">
        <f>4*F25/10000</f>
        <v>0.28399999999999997</v>
      </c>
      <c r="T25" s="13">
        <f t="shared" si="8"/>
        <v>0.14199999999999999</v>
      </c>
      <c r="U25" s="13">
        <f>2*F25/10000</f>
        <v>0.14199999999999999</v>
      </c>
      <c r="V25" s="13">
        <f>2*F25/10000</f>
        <v>0.14199999999999999</v>
      </c>
      <c r="W25" s="6"/>
      <c r="X25" s="13">
        <f t="shared" si="5"/>
        <v>0.71</v>
      </c>
      <c r="Y25" s="13">
        <f t="shared" si="6"/>
        <v>0.71</v>
      </c>
      <c r="Z25" s="6"/>
      <c r="AA25" s="6"/>
      <c r="AB25" s="6"/>
      <c r="AC25" s="70">
        <v>1</v>
      </c>
      <c r="AD25" s="6"/>
    </row>
    <row r="26" spans="1:30" ht="25.5" x14ac:dyDescent="0.25">
      <c r="A26" s="6">
        <f t="shared" si="4"/>
        <v>18</v>
      </c>
      <c r="B26" s="6">
        <v>149</v>
      </c>
      <c r="C26" s="6" t="s">
        <v>42</v>
      </c>
      <c r="D26" s="48" t="s">
        <v>633</v>
      </c>
      <c r="E26" s="6" t="s">
        <v>566</v>
      </c>
      <c r="F26" s="6">
        <v>377</v>
      </c>
      <c r="G26" s="6">
        <v>0.6</v>
      </c>
      <c r="H26" s="79" t="s">
        <v>630</v>
      </c>
      <c r="I26" s="36">
        <v>1.2</v>
      </c>
      <c r="J26" s="36">
        <v>1.2</v>
      </c>
      <c r="K26" s="73">
        <f t="shared" si="1"/>
        <v>452.4</v>
      </c>
      <c r="L26" s="70"/>
      <c r="M26" s="70">
        <f t="shared" si="2"/>
        <v>452.4</v>
      </c>
      <c r="N26" s="6"/>
      <c r="O26" s="6"/>
      <c r="P26" s="70">
        <f t="shared" si="3"/>
        <v>271.44</v>
      </c>
      <c r="Q26" s="6"/>
      <c r="R26" s="6"/>
      <c r="S26" s="13">
        <f>4*F26/10000</f>
        <v>0.15079999999999999</v>
      </c>
      <c r="T26" s="13">
        <f t="shared" si="8"/>
        <v>7.5399999999999995E-2</v>
      </c>
      <c r="U26" s="13">
        <f>2*F26/10000</f>
        <v>7.5399999999999995E-2</v>
      </c>
      <c r="V26" s="13">
        <f>2*F26/10000</f>
        <v>7.5399999999999995E-2</v>
      </c>
      <c r="W26" s="6"/>
      <c r="X26" s="13">
        <f t="shared" si="5"/>
        <v>0.377</v>
      </c>
      <c r="Y26" s="13">
        <f t="shared" si="6"/>
        <v>0.377</v>
      </c>
      <c r="Z26" s="6"/>
      <c r="AA26" s="6"/>
      <c r="AB26" s="6"/>
      <c r="AC26" s="70"/>
      <c r="AD26" s="6"/>
    </row>
    <row r="27" spans="1:30" x14ac:dyDescent="0.25">
      <c r="A27" s="6">
        <f t="shared" si="4"/>
        <v>19</v>
      </c>
      <c r="B27" s="6">
        <v>150</v>
      </c>
      <c r="C27" s="6" t="s">
        <v>42</v>
      </c>
      <c r="D27" s="36" t="s">
        <v>636</v>
      </c>
      <c r="E27" s="6" t="s">
        <v>606</v>
      </c>
      <c r="F27" s="6">
        <v>261</v>
      </c>
      <c r="G27" s="6">
        <v>0.6</v>
      </c>
      <c r="H27" s="79" t="s">
        <v>630</v>
      </c>
      <c r="I27" s="36">
        <v>1.2</v>
      </c>
      <c r="J27" s="36">
        <v>0.5</v>
      </c>
      <c r="K27" s="73">
        <f t="shared" si="1"/>
        <v>130.5</v>
      </c>
      <c r="L27" s="70"/>
      <c r="M27" s="70">
        <f t="shared" si="2"/>
        <v>130.5</v>
      </c>
      <c r="N27" s="6"/>
      <c r="O27" s="6"/>
      <c r="P27" s="70">
        <f t="shared" si="3"/>
        <v>78.3</v>
      </c>
      <c r="Q27" s="6"/>
      <c r="R27" s="6"/>
      <c r="S27" s="13">
        <f>6*F27/10000</f>
        <v>0.15659999999999999</v>
      </c>
      <c r="T27" s="13"/>
      <c r="U27" s="13"/>
      <c r="V27" s="13"/>
      <c r="W27" s="6"/>
      <c r="X27" s="13">
        <f t="shared" si="5"/>
        <v>0.15659999999999999</v>
      </c>
      <c r="Y27" s="13">
        <f t="shared" si="6"/>
        <v>0.15659999999999999</v>
      </c>
      <c r="Z27" s="6"/>
      <c r="AA27" s="6"/>
      <c r="AB27" s="6"/>
      <c r="AC27" s="70"/>
      <c r="AD27" s="6"/>
    </row>
    <row r="28" spans="1:30" x14ac:dyDescent="0.25">
      <c r="A28" s="6">
        <f t="shared" si="4"/>
        <v>20</v>
      </c>
      <c r="B28" s="6">
        <v>151</v>
      </c>
      <c r="C28" s="6" t="s">
        <v>42</v>
      </c>
      <c r="D28" s="36" t="s">
        <v>637</v>
      </c>
      <c r="E28" s="6" t="s">
        <v>566</v>
      </c>
      <c r="F28" s="6">
        <v>481</v>
      </c>
      <c r="G28" s="6">
        <v>0.6</v>
      </c>
      <c r="H28" s="79" t="s">
        <v>630</v>
      </c>
      <c r="I28" s="36">
        <v>1.2</v>
      </c>
      <c r="J28" s="36">
        <v>1.2</v>
      </c>
      <c r="K28" s="73">
        <f t="shared" si="1"/>
        <v>577.19999999999993</v>
      </c>
      <c r="L28" s="70"/>
      <c r="M28" s="70">
        <f t="shared" si="2"/>
        <v>577.19999999999993</v>
      </c>
      <c r="N28" s="6"/>
      <c r="O28" s="6"/>
      <c r="P28" s="70">
        <f t="shared" si="3"/>
        <v>346.31999999999994</v>
      </c>
      <c r="Q28" s="6"/>
      <c r="R28" s="6"/>
      <c r="S28" s="13">
        <f>2*F28/10000</f>
        <v>9.6199999999999994E-2</v>
      </c>
      <c r="T28" s="13">
        <f t="shared" ref="T28:T39" si="9">4*F28/10000</f>
        <v>0.19239999999999999</v>
      </c>
      <c r="U28" s="13">
        <f>4*F28/10000</f>
        <v>0.19239999999999999</v>
      </c>
      <c r="V28" s="13">
        <f>2*F28/10000</f>
        <v>9.6199999999999994E-2</v>
      </c>
      <c r="W28" s="6"/>
      <c r="X28" s="13">
        <f t="shared" si="5"/>
        <v>0.57719999999999994</v>
      </c>
      <c r="Y28" s="13">
        <f t="shared" si="6"/>
        <v>0.57719999999999994</v>
      </c>
      <c r="Z28" s="6"/>
      <c r="AA28" s="6"/>
      <c r="AB28" s="6"/>
      <c r="AC28" s="70">
        <v>1</v>
      </c>
      <c r="AD28" s="6"/>
    </row>
    <row r="29" spans="1:30" x14ac:dyDescent="0.25">
      <c r="A29" s="6">
        <f t="shared" si="4"/>
        <v>21</v>
      </c>
      <c r="B29" s="6">
        <v>152</v>
      </c>
      <c r="C29" s="6" t="s">
        <v>42</v>
      </c>
      <c r="D29" s="36" t="s">
        <v>637</v>
      </c>
      <c r="E29" s="6" t="s">
        <v>566</v>
      </c>
      <c r="F29" s="6">
        <v>465</v>
      </c>
      <c r="G29" s="6">
        <v>0.6</v>
      </c>
      <c r="H29" s="79" t="s">
        <v>630</v>
      </c>
      <c r="I29" s="36">
        <v>1.2</v>
      </c>
      <c r="J29" s="36">
        <v>1.2</v>
      </c>
      <c r="K29" s="73">
        <f t="shared" si="1"/>
        <v>558</v>
      </c>
      <c r="L29" s="70"/>
      <c r="M29" s="70">
        <f t="shared" si="2"/>
        <v>558</v>
      </c>
      <c r="N29" s="6"/>
      <c r="O29" s="6"/>
      <c r="P29" s="70">
        <f t="shared" si="3"/>
        <v>334.8</v>
      </c>
      <c r="Q29" s="6"/>
      <c r="R29" s="6"/>
      <c r="S29" s="13">
        <f>4*F29/10000</f>
        <v>0.186</v>
      </c>
      <c r="T29" s="13">
        <f t="shared" si="9"/>
        <v>0.186</v>
      </c>
      <c r="U29" s="13">
        <f>2*F29/10000</f>
        <v>9.2999999999999999E-2</v>
      </c>
      <c r="V29" s="13"/>
      <c r="W29" s="6"/>
      <c r="X29" s="13">
        <f t="shared" si="5"/>
        <v>0.46499999999999997</v>
      </c>
      <c r="Y29" s="13">
        <f t="shared" si="6"/>
        <v>0.46499999999999997</v>
      </c>
      <c r="Z29" s="6"/>
      <c r="AA29" s="6"/>
      <c r="AB29" s="6"/>
      <c r="AC29" s="70">
        <v>1</v>
      </c>
      <c r="AD29" s="6"/>
    </row>
    <row r="30" spans="1:30" x14ac:dyDescent="0.25">
      <c r="A30" s="6">
        <f t="shared" si="4"/>
        <v>22</v>
      </c>
      <c r="B30" s="6">
        <v>154</v>
      </c>
      <c r="C30" s="6" t="s">
        <v>42</v>
      </c>
      <c r="D30" s="36" t="s">
        <v>637</v>
      </c>
      <c r="E30" s="6" t="s">
        <v>566</v>
      </c>
      <c r="F30" s="6">
        <v>384</v>
      </c>
      <c r="G30" s="6">
        <v>0.6</v>
      </c>
      <c r="H30" s="79" t="s">
        <v>630</v>
      </c>
      <c r="I30" s="36">
        <v>1.2</v>
      </c>
      <c r="J30" s="36">
        <v>1.2</v>
      </c>
      <c r="K30" s="73">
        <f t="shared" si="1"/>
        <v>460.79999999999995</v>
      </c>
      <c r="L30" s="70"/>
      <c r="M30" s="70">
        <f t="shared" si="2"/>
        <v>460.79999999999995</v>
      </c>
      <c r="N30" s="6"/>
      <c r="O30" s="6"/>
      <c r="P30" s="70">
        <f t="shared" si="3"/>
        <v>276.47999999999996</v>
      </c>
      <c r="Q30" s="6"/>
      <c r="R30" s="6"/>
      <c r="S30" s="13"/>
      <c r="T30" s="13">
        <f t="shared" si="9"/>
        <v>0.15359999999999999</v>
      </c>
      <c r="U30" s="13">
        <f t="shared" ref="U30:U36" si="10">4*F30/10000</f>
        <v>0.15359999999999999</v>
      </c>
      <c r="V30" s="13">
        <f t="shared" ref="V30:V35" si="11">4*F30/10000</f>
        <v>0.15359999999999999</v>
      </c>
      <c r="W30" s="6"/>
      <c r="X30" s="13">
        <f t="shared" si="5"/>
        <v>0.46079999999999999</v>
      </c>
      <c r="Y30" s="13">
        <f t="shared" si="6"/>
        <v>0.46079999999999999</v>
      </c>
      <c r="Z30" s="6"/>
      <c r="AA30" s="6"/>
      <c r="AB30" s="6"/>
      <c r="AC30" s="70"/>
      <c r="AD30" s="6"/>
    </row>
    <row r="31" spans="1:30" x14ac:dyDescent="0.25">
      <c r="A31" s="6">
        <f t="shared" si="4"/>
        <v>23</v>
      </c>
      <c r="B31" s="6">
        <v>155</v>
      </c>
      <c r="C31" s="6" t="s">
        <v>42</v>
      </c>
      <c r="D31" s="36" t="s">
        <v>637</v>
      </c>
      <c r="E31" s="6" t="s">
        <v>566</v>
      </c>
      <c r="F31" s="6">
        <v>404</v>
      </c>
      <c r="G31" s="6">
        <v>0.6</v>
      </c>
      <c r="H31" s="79" t="s">
        <v>630</v>
      </c>
      <c r="I31" s="36">
        <v>1.2</v>
      </c>
      <c r="J31" s="36">
        <v>1.2</v>
      </c>
      <c r="K31" s="73">
        <f t="shared" si="1"/>
        <v>484.79999999999995</v>
      </c>
      <c r="L31" s="70"/>
      <c r="M31" s="70">
        <f t="shared" si="2"/>
        <v>484.79999999999995</v>
      </c>
      <c r="N31" s="6"/>
      <c r="O31" s="6"/>
      <c r="P31" s="70">
        <f t="shared" si="3"/>
        <v>290.87999999999994</v>
      </c>
      <c r="Q31" s="6"/>
      <c r="R31" s="6"/>
      <c r="S31" s="13"/>
      <c r="T31" s="13">
        <f t="shared" si="9"/>
        <v>0.16159999999999999</v>
      </c>
      <c r="U31" s="13">
        <f t="shared" si="10"/>
        <v>0.16159999999999999</v>
      </c>
      <c r="V31" s="13">
        <f t="shared" si="11"/>
        <v>0.16159999999999999</v>
      </c>
      <c r="W31" s="6"/>
      <c r="X31" s="13">
        <f t="shared" si="5"/>
        <v>0.48480000000000001</v>
      </c>
      <c r="Y31" s="13">
        <f t="shared" si="6"/>
        <v>0.48480000000000001</v>
      </c>
      <c r="Z31" s="6"/>
      <c r="AA31" s="6"/>
      <c r="AB31" s="6"/>
      <c r="AC31" s="70"/>
      <c r="AD31" s="6"/>
    </row>
    <row r="32" spans="1:30" x14ac:dyDescent="0.25">
      <c r="A32" s="6">
        <f>A31+1</f>
        <v>24</v>
      </c>
      <c r="B32" s="6">
        <v>158</v>
      </c>
      <c r="C32" s="6" t="s">
        <v>42</v>
      </c>
      <c r="D32" s="36" t="s">
        <v>637</v>
      </c>
      <c r="E32" s="6" t="s">
        <v>566</v>
      </c>
      <c r="F32" s="6">
        <v>436</v>
      </c>
      <c r="G32" s="6">
        <v>0.6</v>
      </c>
      <c r="H32" s="79" t="s">
        <v>630</v>
      </c>
      <c r="I32" s="36">
        <v>1.2</v>
      </c>
      <c r="J32" s="36">
        <v>1.2</v>
      </c>
      <c r="K32" s="73">
        <f t="shared" si="1"/>
        <v>523.19999999999993</v>
      </c>
      <c r="L32" s="70"/>
      <c r="M32" s="70">
        <f t="shared" si="2"/>
        <v>523.19999999999993</v>
      </c>
      <c r="N32" s="6"/>
      <c r="O32" s="6"/>
      <c r="P32" s="70">
        <f t="shared" si="3"/>
        <v>313.91999999999996</v>
      </c>
      <c r="Q32" s="6"/>
      <c r="R32" s="6"/>
      <c r="S32" s="13"/>
      <c r="T32" s="13">
        <f t="shared" si="9"/>
        <v>0.1744</v>
      </c>
      <c r="U32" s="13">
        <f t="shared" si="10"/>
        <v>0.1744</v>
      </c>
      <c r="V32" s="13">
        <f t="shared" si="11"/>
        <v>0.1744</v>
      </c>
      <c r="W32" s="6"/>
      <c r="X32" s="13">
        <f t="shared" si="5"/>
        <v>0.5232</v>
      </c>
      <c r="Y32" s="13">
        <f t="shared" si="6"/>
        <v>0.5232</v>
      </c>
      <c r="Z32" s="6"/>
      <c r="AA32" s="6"/>
      <c r="AB32" s="6"/>
      <c r="AC32" s="70"/>
      <c r="AD32" s="6"/>
    </row>
    <row r="33" spans="1:30" x14ac:dyDescent="0.25">
      <c r="A33" s="6">
        <f t="shared" si="4"/>
        <v>25</v>
      </c>
      <c r="B33" s="6">
        <v>163</v>
      </c>
      <c r="C33" s="6" t="s">
        <v>42</v>
      </c>
      <c r="D33" s="36" t="s">
        <v>637</v>
      </c>
      <c r="E33" s="6" t="s">
        <v>566</v>
      </c>
      <c r="F33" s="6">
        <v>894</v>
      </c>
      <c r="G33" s="6">
        <v>0.6</v>
      </c>
      <c r="H33" s="79" t="s">
        <v>630</v>
      </c>
      <c r="I33" s="36">
        <v>1.2</v>
      </c>
      <c r="J33" s="36">
        <v>1.2</v>
      </c>
      <c r="K33" s="73">
        <f t="shared" si="1"/>
        <v>1072.8</v>
      </c>
      <c r="L33" s="70"/>
      <c r="M33" s="70">
        <f t="shared" si="2"/>
        <v>1072.8</v>
      </c>
      <c r="N33" s="6"/>
      <c r="O33" s="6"/>
      <c r="P33" s="70">
        <f t="shared" si="3"/>
        <v>643.67999999999995</v>
      </c>
      <c r="Q33" s="6"/>
      <c r="R33" s="6"/>
      <c r="S33" s="13"/>
      <c r="T33" s="13">
        <f t="shared" si="9"/>
        <v>0.35759999999999997</v>
      </c>
      <c r="U33" s="13">
        <f t="shared" si="10"/>
        <v>0.35759999999999997</v>
      </c>
      <c r="V33" s="13">
        <f t="shared" si="11"/>
        <v>0.35759999999999997</v>
      </c>
      <c r="W33" s="6"/>
      <c r="X33" s="13">
        <f t="shared" si="5"/>
        <v>1.0728</v>
      </c>
      <c r="Y33" s="13">
        <f t="shared" si="6"/>
        <v>1.0728</v>
      </c>
      <c r="Z33" s="6"/>
      <c r="AA33" s="6"/>
      <c r="AB33" s="6"/>
      <c r="AC33" s="70">
        <v>2</v>
      </c>
      <c r="AD33" s="6"/>
    </row>
    <row r="34" spans="1:30" x14ac:dyDescent="0.25">
      <c r="A34" s="6">
        <f t="shared" si="4"/>
        <v>26</v>
      </c>
      <c r="B34" s="6">
        <v>164</v>
      </c>
      <c r="C34" s="6" t="s">
        <v>42</v>
      </c>
      <c r="D34" s="36" t="s">
        <v>637</v>
      </c>
      <c r="E34" s="6" t="s">
        <v>566</v>
      </c>
      <c r="F34" s="6">
        <v>574</v>
      </c>
      <c r="G34" s="6">
        <v>0.6</v>
      </c>
      <c r="H34" s="79" t="s">
        <v>630</v>
      </c>
      <c r="I34" s="36">
        <v>1.2</v>
      </c>
      <c r="J34" s="36">
        <v>1.2</v>
      </c>
      <c r="K34" s="73">
        <f t="shared" si="1"/>
        <v>688.8</v>
      </c>
      <c r="L34" s="70"/>
      <c r="M34" s="70">
        <f t="shared" si="2"/>
        <v>688.8</v>
      </c>
      <c r="N34" s="6"/>
      <c r="O34" s="6"/>
      <c r="P34" s="70">
        <f t="shared" si="3"/>
        <v>413.28</v>
      </c>
      <c r="Q34" s="6"/>
      <c r="R34" s="6"/>
      <c r="S34" s="13"/>
      <c r="T34" s="13">
        <f t="shared" si="9"/>
        <v>0.2296</v>
      </c>
      <c r="U34" s="13">
        <f t="shared" si="10"/>
        <v>0.2296</v>
      </c>
      <c r="V34" s="13">
        <f t="shared" si="11"/>
        <v>0.2296</v>
      </c>
      <c r="W34" s="6"/>
      <c r="X34" s="13">
        <f>SUM(S34:V34)</f>
        <v>0.68879999999999997</v>
      </c>
      <c r="Y34" s="13">
        <f>X34</f>
        <v>0.68879999999999997</v>
      </c>
      <c r="Z34" s="6"/>
      <c r="AA34" s="6"/>
      <c r="AB34" s="6"/>
      <c r="AC34" s="70">
        <v>1</v>
      </c>
      <c r="AD34" s="6"/>
    </row>
    <row r="35" spans="1:30" x14ac:dyDescent="0.25">
      <c r="A35" s="6">
        <f t="shared" si="4"/>
        <v>27</v>
      </c>
      <c r="B35" s="6">
        <v>168</v>
      </c>
      <c r="C35" s="6" t="s">
        <v>42</v>
      </c>
      <c r="D35" s="36" t="s">
        <v>637</v>
      </c>
      <c r="E35" s="6" t="s">
        <v>566</v>
      </c>
      <c r="F35" s="6">
        <v>517</v>
      </c>
      <c r="G35" s="6">
        <v>0.6</v>
      </c>
      <c r="H35" s="79" t="s">
        <v>630</v>
      </c>
      <c r="I35" s="36">
        <v>1.2</v>
      </c>
      <c r="J35" s="36">
        <v>1.2</v>
      </c>
      <c r="K35" s="73">
        <f t="shared" si="1"/>
        <v>620.4</v>
      </c>
      <c r="L35" s="70"/>
      <c r="M35" s="70">
        <f t="shared" si="2"/>
        <v>620.4</v>
      </c>
      <c r="N35" s="6"/>
      <c r="O35" s="6"/>
      <c r="P35" s="70">
        <f t="shared" si="3"/>
        <v>372.23999999999995</v>
      </c>
      <c r="Q35" s="6"/>
      <c r="R35" s="6"/>
      <c r="S35" s="13"/>
      <c r="T35" s="13">
        <f t="shared" si="9"/>
        <v>0.20680000000000001</v>
      </c>
      <c r="U35" s="13">
        <f t="shared" si="10"/>
        <v>0.20680000000000001</v>
      </c>
      <c r="V35" s="13">
        <f t="shared" si="11"/>
        <v>0.20680000000000001</v>
      </c>
      <c r="W35" s="6"/>
      <c r="X35" s="13">
        <f t="shared" ref="X35:X49" si="12">SUM(S35:V35)</f>
        <v>0.62040000000000006</v>
      </c>
      <c r="Y35" s="13">
        <f t="shared" si="6"/>
        <v>0.62040000000000006</v>
      </c>
      <c r="Z35" s="6"/>
      <c r="AA35" s="6"/>
      <c r="AB35" s="6"/>
      <c r="AC35" s="70">
        <v>1</v>
      </c>
      <c r="AD35" s="6"/>
    </row>
    <row r="36" spans="1:30" x14ac:dyDescent="0.25">
      <c r="A36" s="6">
        <f t="shared" si="4"/>
        <v>28</v>
      </c>
      <c r="B36" s="6">
        <v>174</v>
      </c>
      <c r="C36" s="6" t="s">
        <v>42</v>
      </c>
      <c r="D36" s="36" t="s">
        <v>637</v>
      </c>
      <c r="E36" s="6" t="s">
        <v>566</v>
      </c>
      <c r="F36" s="6">
        <v>353</v>
      </c>
      <c r="G36" s="6">
        <v>0.6</v>
      </c>
      <c r="H36" s="79" t="s">
        <v>630</v>
      </c>
      <c r="I36" s="36">
        <v>1.2</v>
      </c>
      <c r="J36" s="36">
        <v>1.2</v>
      </c>
      <c r="K36" s="73">
        <f t="shared" si="1"/>
        <v>423.59999999999997</v>
      </c>
      <c r="L36" s="70"/>
      <c r="M36" s="70">
        <f t="shared" si="2"/>
        <v>423.59999999999997</v>
      </c>
      <c r="N36" s="6"/>
      <c r="O36" s="6"/>
      <c r="P36" s="70">
        <f t="shared" si="3"/>
        <v>254.15999999999997</v>
      </c>
      <c r="Q36" s="6"/>
      <c r="R36" s="6"/>
      <c r="S36" s="13">
        <f>2*F36/10000</f>
        <v>7.0599999999999996E-2</v>
      </c>
      <c r="T36" s="13">
        <f t="shared" si="9"/>
        <v>0.14119999999999999</v>
      </c>
      <c r="U36" s="13">
        <f t="shared" si="10"/>
        <v>0.14119999999999999</v>
      </c>
      <c r="V36" s="13">
        <f>2*F36/10000</f>
        <v>7.0599999999999996E-2</v>
      </c>
      <c r="W36" s="6"/>
      <c r="X36" s="13">
        <f t="shared" si="12"/>
        <v>0.42359999999999998</v>
      </c>
      <c r="Y36" s="13">
        <f t="shared" si="6"/>
        <v>0.42359999999999998</v>
      </c>
      <c r="Z36" s="6"/>
      <c r="AA36" s="6"/>
      <c r="AB36" s="6"/>
      <c r="AC36" s="70"/>
      <c r="AD36" s="6"/>
    </row>
    <row r="37" spans="1:30" x14ac:dyDescent="0.25">
      <c r="A37" s="6">
        <f t="shared" si="4"/>
        <v>29</v>
      </c>
      <c r="B37" s="6">
        <v>178</v>
      </c>
      <c r="C37" s="6" t="s">
        <v>42</v>
      </c>
      <c r="D37" s="36" t="s">
        <v>637</v>
      </c>
      <c r="E37" s="6" t="s">
        <v>566</v>
      </c>
      <c r="F37" s="6">
        <v>362</v>
      </c>
      <c r="G37" s="6">
        <v>0.6</v>
      </c>
      <c r="H37" s="79" t="s">
        <v>630</v>
      </c>
      <c r="I37" s="36">
        <v>1.2</v>
      </c>
      <c r="J37" s="36">
        <v>1.2</v>
      </c>
      <c r="K37" s="73">
        <f t="shared" si="1"/>
        <v>434.4</v>
      </c>
      <c r="L37" s="70"/>
      <c r="M37" s="70">
        <f t="shared" si="2"/>
        <v>434.4</v>
      </c>
      <c r="N37" s="6"/>
      <c r="O37" s="6"/>
      <c r="P37" s="70">
        <f t="shared" si="3"/>
        <v>260.64</v>
      </c>
      <c r="Q37" s="6"/>
      <c r="R37" s="6"/>
      <c r="S37" s="13">
        <f>4*F37/10000</f>
        <v>0.14480000000000001</v>
      </c>
      <c r="T37" s="13">
        <f t="shared" si="9"/>
        <v>0.14480000000000001</v>
      </c>
      <c r="U37" s="13">
        <f>2*F37/10000</f>
        <v>7.2400000000000006E-2</v>
      </c>
      <c r="V37" s="13"/>
      <c r="W37" s="6"/>
      <c r="X37" s="13">
        <f t="shared" si="12"/>
        <v>0.36200000000000004</v>
      </c>
      <c r="Y37" s="13">
        <f t="shared" si="6"/>
        <v>0.36200000000000004</v>
      </c>
      <c r="Z37" s="6"/>
      <c r="AA37" s="6"/>
      <c r="AB37" s="6"/>
      <c r="AC37" s="70"/>
      <c r="AD37" s="6"/>
    </row>
    <row r="38" spans="1:30" x14ac:dyDescent="0.25">
      <c r="A38" s="6">
        <f t="shared" si="4"/>
        <v>30</v>
      </c>
      <c r="B38" s="6">
        <v>182</v>
      </c>
      <c r="C38" s="6" t="s">
        <v>42</v>
      </c>
      <c r="D38" s="36" t="s">
        <v>637</v>
      </c>
      <c r="E38" s="6" t="s">
        <v>566</v>
      </c>
      <c r="F38" s="6">
        <v>342</v>
      </c>
      <c r="G38" s="6">
        <v>0.6</v>
      </c>
      <c r="H38" s="79" t="s">
        <v>630</v>
      </c>
      <c r="I38" s="36">
        <v>1.2</v>
      </c>
      <c r="J38" s="36">
        <v>1.2</v>
      </c>
      <c r="K38" s="73">
        <f t="shared" ref="K38:K46" si="13">F38*J38</f>
        <v>410.4</v>
      </c>
      <c r="L38" s="70"/>
      <c r="M38" s="70">
        <f t="shared" ref="M38:M46" si="14">K38+L38</f>
        <v>410.4</v>
      </c>
      <c r="N38" s="6"/>
      <c r="O38" s="6"/>
      <c r="P38" s="70">
        <f>M38*0.6</f>
        <v>246.23999999999998</v>
      </c>
      <c r="Q38" s="6"/>
      <c r="R38" s="6"/>
      <c r="S38" s="13">
        <f>4*F38/10000</f>
        <v>0.1368</v>
      </c>
      <c r="T38" s="13">
        <f t="shared" si="9"/>
        <v>0.1368</v>
      </c>
      <c r="U38" s="13">
        <f>2*F38/10000</f>
        <v>6.8400000000000002E-2</v>
      </c>
      <c r="V38" s="13"/>
      <c r="W38" s="6"/>
      <c r="X38" s="13">
        <f t="shared" si="12"/>
        <v>0.34200000000000003</v>
      </c>
      <c r="Y38" s="13">
        <f t="shared" si="6"/>
        <v>0.34200000000000003</v>
      </c>
      <c r="Z38" s="6"/>
      <c r="AA38" s="6"/>
      <c r="AB38" s="6"/>
      <c r="AC38" s="70"/>
      <c r="AD38" s="6"/>
    </row>
    <row r="39" spans="1:30" s="47" customFormat="1" x14ac:dyDescent="0.25">
      <c r="A39" s="6">
        <f t="shared" si="4"/>
        <v>31</v>
      </c>
      <c r="B39" s="46">
        <v>186</v>
      </c>
      <c r="C39" s="46" t="s">
        <v>42</v>
      </c>
      <c r="D39" s="131" t="s">
        <v>637</v>
      </c>
      <c r="E39" s="46" t="s">
        <v>600</v>
      </c>
      <c r="F39" s="46">
        <v>318</v>
      </c>
      <c r="G39" s="46">
        <v>0.6</v>
      </c>
      <c r="H39" s="132" t="s">
        <v>630</v>
      </c>
      <c r="I39" s="131">
        <v>1.2</v>
      </c>
      <c r="J39" s="131">
        <v>1</v>
      </c>
      <c r="K39" s="133">
        <f t="shared" si="13"/>
        <v>318</v>
      </c>
      <c r="L39" s="69"/>
      <c r="M39" s="69">
        <f t="shared" si="14"/>
        <v>318</v>
      </c>
      <c r="N39" s="46"/>
      <c r="O39" s="46"/>
      <c r="P39" s="69">
        <f>M39*0.6</f>
        <v>190.79999999999998</v>
      </c>
      <c r="Q39" s="46"/>
      <c r="R39" s="46"/>
      <c r="S39" s="53">
        <f>4*F39/10000</f>
        <v>0.12720000000000001</v>
      </c>
      <c r="T39" s="53">
        <f t="shared" si="9"/>
        <v>0.12720000000000001</v>
      </c>
      <c r="U39" s="53">
        <f>2*F39/10000</f>
        <v>6.3600000000000004E-2</v>
      </c>
      <c r="V39" s="53"/>
      <c r="W39" s="46"/>
      <c r="X39" s="53">
        <f t="shared" si="12"/>
        <v>0.318</v>
      </c>
      <c r="Y39" s="53">
        <f t="shared" si="6"/>
        <v>0.318</v>
      </c>
      <c r="Z39" s="46"/>
      <c r="AA39" s="46"/>
      <c r="AB39" s="46"/>
      <c r="AC39" s="69"/>
      <c r="AD39" s="46"/>
    </row>
    <row r="40" spans="1:30" s="47" customFormat="1" x14ac:dyDescent="0.25">
      <c r="A40" s="6">
        <f t="shared" si="4"/>
        <v>32</v>
      </c>
      <c r="B40" s="46">
        <v>203</v>
      </c>
      <c r="C40" s="46" t="s">
        <v>249</v>
      </c>
      <c r="D40" s="131" t="s">
        <v>638</v>
      </c>
      <c r="E40" s="46" t="s">
        <v>566</v>
      </c>
      <c r="F40" s="46">
        <v>326</v>
      </c>
      <c r="G40" s="46">
        <v>0.6</v>
      </c>
      <c r="H40" s="132" t="s">
        <v>630</v>
      </c>
      <c r="I40" s="131">
        <v>1.2</v>
      </c>
      <c r="J40" s="131">
        <v>1.2</v>
      </c>
      <c r="K40" s="133">
        <f t="shared" si="13"/>
        <v>391.2</v>
      </c>
      <c r="L40" s="69"/>
      <c r="M40" s="69">
        <f t="shared" si="14"/>
        <v>391.2</v>
      </c>
      <c r="N40" s="46"/>
      <c r="O40" s="46"/>
      <c r="P40" s="69">
        <f>M40*0.6</f>
        <v>234.71999999999997</v>
      </c>
      <c r="Q40" s="46"/>
      <c r="R40" s="46"/>
      <c r="S40" s="53"/>
      <c r="T40" s="53">
        <f>2*F40/10000</f>
        <v>6.5199999999999994E-2</v>
      </c>
      <c r="U40" s="53">
        <f>4*F40/10000</f>
        <v>0.13039999999999999</v>
      </c>
      <c r="V40" s="53">
        <f>4*F40/10000</f>
        <v>0.13039999999999999</v>
      </c>
      <c r="W40" s="46"/>
      <c r="X40" s="53">
        <f t="shared" si="12"/>
        <v>0.32599999999999996</v>
      </c>
      <c r="Y40" s="53">
        <f t="shared" si="6"/>
        <v>0.32599999999999996</v>
      </c>
      <c r="Z40" s="46"/>
      <c r="AA40" s="46"/>
      <c r="AB40" s="46"/>
      <c r="AC40" s="69"/>
      <c r="AD40" s="46"/>
    </row>
    <row r="41" spans="1:30" s="47" customFormat="1" x14ac:dyDescent="0.25">
      <c r="A41" s="6">
        <f t="shared" si="4"/>
        <v>33</v>
      </c>
      <c r="B41" s="46">
        <v>205</v>
      </c>
      <c r="C41" s="46" t="s">
        <v>249</v>
      </c>
      <c r="D41" s="131" t="s">
        <v>638</v>
      </c>
      <c r="E41" s="46" t="s">
        <v>567</v>
      </c>
      <c r="F41" s="46">
        <v>145</v>
      </c>
      <c r="G41" s="46">
        <v>0.4</v>
      </c>
      <c r="H41" s="132" t="s">
        <v>630</v>
      </c>
      <c r="I41" s="131">
        <v>1.2</v>
      </c>
      <c r="J41" s="131">
        <v>1.9</v>
      </c>
      <c r="K41" s="133">
        <f t="shared" si="13"/>
        <v>275.5</v>
      </c>
      <c r="L41" s="69"/>
      <c r="M41" s="69">
        <f t="shared" si="14"/>
        <v>275.5</v>
      </c>
      <c r="N41" s="46"/>
      <c r="O41" s="46"/>
      <c r="P41" s="69">
        <f>M41*0.4*0.6</f>
        <v>66.12</v>
      </c>
      <c r="Q41" s="46"/>
      <c r="R41" s="69">
        <f>M41*0.6</f>
        <v>165.29999999999998</v>
      </c>
      <c r="S41" s="53"/>
      <c r="T41" s="53">
        <f>2*F41/10000</f>
        <v>2.9000000000000001E-2</v>
      </c>
      <c r="U41" s="53">
        <f>4*F41/10000</f>
        <v>5.8000000000000003E-2</v>
      </c>
      <c r="V41" s="53">
        <f>4*F41/10000</f>
        <v>5.8000000000000003E-2</v>
      </c>
      <c r="W41" s="46"/>
      <c r="X41" s="53">
        <f t="shared" si="12"/>
        <v>0.14500000000000002</v>
      </c>
      <c r="Y41" s="53">
        <f t="shared" si="6"/>
        <v>0.14500000000000002</v>
      </c>
      <c r="Z41" s="46"/>
      <c r="AA41" s="46"/>
      <c r="AB41" s="46"/>
      <c r="AC41" s="69"/>
      <c r="AD41" s="46"/>
    </row>
    <row r="42" spans="1:30" s="47" customFormat="1" x14ac:dyDescent="0.25">
      <c r="A42" s="6">
        <f t="shared" si="4"/>
        <v>34</v>
      </c>
      <c r="B42" s="71">
        <v>301</v>
      </c>
      <c r="C42" s="46" t="s">
        <v>43</v>
      </c>
      <c r="D42" s="131" t="s">
        <v>639</v>
      </c>
      <c r="E42" s="71" t="s">
        <v>617</v>
      </c>
      <c r="F42" s="46">
        <v>353</v>
      </c>
      <c r="G42" s="46">
        <v>0.6</v>
      </c>
      <c r="H42" s="132" t="s">
        <v>630</v>
      </c>
      <c r="I42" s="131">
        <v>1.2</v>
      </c>
      <c r="J42" s="131">
        <v>1.1000000000000001</v>
      </c>
      <c r="K42" s="133">
        <f t="shared" si="13"/>
        <v>388.3</v>
      </c>
      <c r="L42" s="69"/>
      <c r="M42" s="69">
        <f t="shared" si="14"/>
        <v>388.3</v>
      </c>
      <c r="N42" s="46"/>
      <c r="O42" s="46"/>
      <c r="P42" s="69">
        <f>M42*0.6</f>
        <v>232.98</v>
      </c>
      <c r="Q42" s="46"/>
      <c r="R42" s="46"/>
      <c r="S42" s="53"/>
      <c r="T42" s="53">
        <f>4*F42/10000</f>
        <v>0.14119999999999999</v>
      </c>
      <c r="U42" s="53">
        <f>4*F42/10000</f>
        <v>0.14119999999999999</v>
      </c>
      <c r="V42" s="53">
        <f>2*F42/10000</f>
        <v>7.0599999999999996E-2</v>
      </c>
      <c r="W42" s="46"/>
      <c r="X42" s="53">
        <f t="shared" si="12"/>
        <v>0.35299999999999998</v>
      </c>
      <c r="Y42" s="53">
        <f t="shared" si="6"/>
        <v>0.35299999999999998</v>
      </c>
      <c r="Z42" s="46"/>
      <c r="AA42" s="46"/>
      <c r="AB42" s="46"/>
      <c r="AC42" s="69"/>
      <c r="AD42" s="45"/>
    </row>
    <row r="43" spans="1:30" ht="25.5" x14ac:dyDescent="0.25">
      <c r="A43" s="6">
        <f t="shared" si="4"/>
        <v>35</v>
      </c>
      <c r="B43" s="81">
        <v>302</v>
      </c>
      <c r="C43" s="6" t="s">
        <v>43</v>
      </c>
      <c r="D43" s="48" t="s">
        <v>640</v>
      </c>
      <c r="E43" s="81" t="s">
        <v>617</v>
      </c>
      <c r="F43" s="6">
        <v>722</v>
      </c>
      <c r="G43" s="6">
        <v>0.6</v>
      </c>
      <c r="H43" s="79" t="s">
        <v>630</v>
      </c>
      <c r="I43" s="36">
        <v>1.2</v>
      </c>
      <c r="J43" s="36">
        <v>1.1000000000000001</v>
      </c>
      <c r="K43" s="73">
        <f t="shared" si="13"/>
        <v>794.2</v>
      </c>
      <c r="L43" s="70"/>
      <c r="M43" s="70">
        <f t="shared" si="14"/>
        <v>794.2</v>
      </c>
      <c r="N43" s="6"/>
      <c r="O43" s="6"/>
      <c r="P43" s="70">
        <f>M43*0.6</f>
        <v>476.52</v>
      </c>
      <c r="Q43" s="6"/>
      <c r="R43" s="6"/>
      <c r="S43" s="13">
        <f>2*F43/10000</f>
        <v>0.1444</v>
      </c>
      <c r="T43" s="13">
        <f>4*F43/10000</f>
        <v>0.2888</v>
      </c>
      <c r="U43" s="13">
        <f>4*F43/10000</f>
        <v>0.2888</v>
      </c>
      <c r="V43" s="13">
        <f>2*F43/10000</f>
        <v>0.1444</v>
      </c>
      <c r="W43" s="6"/>
      <c r="X43" s="13">
        <f t="shared" si="12"/>
        <v>0.86639999999999995</v>
      </c>
      <c r="Y43" s="13">
        <f t="shared" si="6"/>
        <v>0.86639999999999995</v>
      </c>
      <c r="Z43" s="6"/>
      <c r="AA43" s="6"/>
      <c r="AB43" s="6"/>
      <c r="AC43" s="70">
        <v>1</v>
      </c>
      <c r="AD43" s="8"/>
    </row>
    <row r="44" spans="1:30" x14ac:dyDescent="0.25">
      <c r="A44" s="6">
        <f t="shared" si="4"/>
        <v>36</v>
      </c>
      <c r="B44" s="6">
        <v>303</v>
      </c>
      <c r="C44" s="6" t="s">
        <v>43</v>
      </c>
      <c r="D44" s="36" t="s">
        <v>639</v>
      </c>
      <c r="E44" s="6" t="s">
        <v>617</v>
      </c>
      <c r="F44" s="6">
        <v>876</v>
      </c>
      <c r="G44" s="130">
        <v>0.6</v>
      </c>
      <c r="H44" s="79" t="s">
        <v>630</v>
      </c>
      <c r="I44" s="36">
        <v>1.2</v>
      </c>
      <c r="J44" s="36">
        <v>1.1000000000000001</v>
      </c>
      <c r="K44" s="73">
        <f t="shared" si="13"/>
        <v>963.6</v>
      </c>
      <c r="L44" s="70"/>
      <c r="M44" s="70">
        <f t="shared" si="14"/>
        <v>963.6</v>
      </c>
      <c r="N44" s="6"/>
      <c r="O44" s="6"/>
      <c r="P44" s="70">
        <f>M44*0.6</f>
        <v>578.16</v>
      </c>
      <c r="Q44" s="6"/>
      <c r="R44" s="6"/>
      <c r="S44" s="13"/>
      <c r="T44" s="13">
        <f>4*F44/10000</f>
        <v>0.35039999999999999</v>
      </c>
      <c r="U44" s="13">
        <f>4*F44/10000</f>
        <v>0.35039999999999999</v>
      </c>
      <c r="V44" s="13">
        <f>2*F44/10000</f>
        <v>0.17519999999999999</v>
      </c>
      <c r="W44" s="6"/>
      <c r="X44" s="13">
        <f t="shared" si="12"/>
        <v>0.876</v>
      </c>
      <c r="Y44" s="13">
        <f t="shared" si="6"/>
        <v>0.876</v>
      </c>
      <c r="Z44" s="6"/>
      <c r="AA44" s="6"/>
      <c r="AB44" s="6"/>
      <c r="AC44" s="70">
        <v>2</v>
      </c>
      <c r="AD44" s="6"/>
    </row>
    <row r="45" spans="1:30" x14ac:dyDescent="0.25">
      <c r="A45" s="6">
        <f t="shared" si="4"/>
        <v>37</v>
      </c>
      <c r="B45" s="6">
        <v>305</v>
      </c>
      <c r="C45" s="6" t="s">
        <v>43</v>
      </c>
      <c r="D45" s="36" t="s">
        <v>629</v>
      </c>
      <c r="E45" s="6" t="s">
        <v>606</v>
      </c>
      <c r="F45" s="6">
        <v>359</v>
      </c>
      <c r="G45" s="6">
        <v>0.6</v>
      </c>
      <c r="H45" s="79" t="s">
        <v>630</v>
      </c>
      <c r="I45" s="36">
        <v>1.2</v>
      </c>
      <c r="J45" s="36">
        <v>0.5</v>
      </c>
      <c r="K45" s="73">
        <f t="shared" si="13"/>
        <v>179.5</v>
      </c>
      <c r="L45" s="70"/>
      <c r="M45" s="70">
        <f t="shared" si="14"/>
        <v>179.5</v>
      </c>
      <c r="N45" s="6"/>
      <c r="O45" s="6"/>
      <c r="P45" s="70">
        <f>M45*0.6</f>
        <v>107.7</v>
      </c>
      <c r="Q45" s="6"/>
      <c r="R45" s="6"/>
      <c r="S45" s="13">
        <f>6*F45/10000</f>
        <v>0.21540000000000001</v>
      </c>
      <c r="T45" s="13"/>
      <c r="U45" s="13"/>
      <c r="V45" s="13"/>
      <c r="W45" s="6"/>
      <c r="X45" s="13">
        <f t="shared" si="12"/>
        <v>0.21540000000000001</v>
      </c>
      <c r="Y45" s="13">
        <f t="shared" si="6"/>
        <v>0.21540000000000001</v>
      </c>
      <c r="Z45" s="6"/>
      <c r="AA45" s="6"/>
      <c r="AB45" s="6"/>
      <c r="AC45" s="70"/>
      <c r="AD45" s="6"/>
    </row>
    <row r="46" spans="1:30" x14ac:dyDescent="0.25">
      <c r="A46" s="6">
        <f t="shared" si="4"/>
        <v>38</v>
      </c>
      <c r="B46" s="6">
        <v>306</v>
      </c>
      <c r="C46" s="6" t="s">
        <v>43</v>
      </c>
      <c r="D46" s="36" t="s">
        <v>629</v>
      </c>
      <c r="E46" s="6" t="s">
        <v>606</v>
      </c>
      <c r="F46" s="6">
        <v>1010</v>
      </c>
      <c r="G46" s="6">
        <v>0.6</v>
      </c>
      <c r="H46" s="79" t="s">
        <v>630</v>
      </c>
      <c r="I46" s="36">
        <v>1.2</v>
      </c>
      <c r="J46" s="36">
        <v>0.5</v>
      </c>
      <c r="K46" s="73">
        <f t="shared" si="13"/>
        <v>505</v>
      </c>
      <c r="L46" s="70"/>
      <c r="M46" s="70">
        <f t="shared" si="14"/>
        <v>505</v>
      </c>
      <c r="N46" s="6"/>
      <c r="O46" s="6"/>
      <c r="P46" s="70">
        <f>M46*0.6</f>
        <v>303</v>
      </c>
      <c r="Q46" s="6"/>
      <c r="R46" s="6"/>
      <c r="S46" s="13">
        <f>6*F46/10000</f>
        <v>0.60599999999999998</v>
      </c>
      <c r="T46" s="13"/>
      <c r="U46" s="13"/>
      <c r="V46" s="13"/>
      <c r="W46" s="6"/>
      <c r="X46" s="13">
        <f t="shared" si="12"/>
        <v>0.60599999999999998</v>
      </c>
      <c r="Y46" s="13">
        <f t="shared" si="6"/>
        <v>0.60599999999999998</v>
      </c>
      <c r="Z46" s="6"/>
      <c r="AA46" s="6"/>
      <c r="AB46" s="6"/>
      <c r="AC46" s="70">
        <v>2</v>
      </c>
      <c r="AD46" s="6"/>
    </row>
    <row r="47" spans="1:30" x14ac:dyDescent="0.25">
      <c r="A47" s="6">
        <f>A46+1</f>
        <v>39</v>
      </c>
      <c r="B47" s="6">
        <v>309</v>
      </c>
      <c r="C47" s="6" t="s">
        <v>43</v>
      </c>
      <c r="D47" s="36" t="s">
        <v>629</v>
      </c>
      <c r="E47" s="6" t="s">
        <v>606</v>
      </c>
      <c r="F47" s="6">
        <v>481</v>
      </c>
      <c r="G47" s="6">
        <v>0.6</v>
      </c>
      <c r="H47" s="79" t="s">
        <v>630</v>
      </c>
      <c r="I47" s="36">
        <v>1.2</v>
      </c>
      <c r="J47" s="36">
        <v>0.5</v>
      </c>
      <c r="K47" s="73">
        <f t="shared" ref="K47:K61" si="15">F47*J47</f>
        <v>240.5</v>
      </c>
      <c r="L47" s="70"/>
      <c r="M47" s="70">
        <f t="shared" ref="M47:M61" si="16">K47+L47</f>
        <v>240.5</v>
      </c>
      <c r="N47" s="6"/>
      <c r="O47" s="6"/>
      <c r="P47" s="70">
        <f t="shared" ref="P47:P61" si="17">M47*0.6</f>
        <v>144.29999999999998</v>
      </c>
      <c r="Q47" s="6"/>
      <c r="R47" s="6"/>
      <c r="S47" s="13">
        <f>6*F47/10000</f>
        <v>0.28860000000000002</v>
      </c>
      <c r="T47" s="13"/>
      <c r="U47" s="13"/>
      <c r="V47" s="13"/>
      <c r="W47" s="6"/>
      <c r="X47" s="13">
        <f t="shared" si="12"/>
        <v>0.28860000000000002</v>
      </c>
      <c r="Y47" s="13">
        <f t="shared" si="6"/>
        <v>0.28860000000000002</v>
      </c>
      <c r="Z47" s="6"/>
      <c r="AA47" s="6"/>
      <c r="AB47" s="6"/>
      <c r="AC47" s="70">
        <v>1</v>
      </c>
      <c r="AD47" s="6"/>
    </row>
    <row r="48" spans="1:30" ht="63.75" x14ac:dyDescent="0.25">
      <c r="A48" s="6">
        <f t="shared" si="4"/>
        <v>40</v>
      </c>
      <c r="B48" s="6">
        <v>310</v>
      </c>
      <c r="C48" s="6" t="s">
        <v>43</v>
      </c>
      <c r="D48" s="48" t="s">
        <v>641</v>
      </c>
      <c r="E48" s="6" t="s">
        <v>566</v>
      </c>
      <c r="F48" s="6">
        <v>2191</v>
      </c>
      <c r="G48" s="6">
        <v>1</v>
      </c>
      <c r="H48" s="79" t="s">
        <v>630</v>
      </c>
      <c r="I48" s="36">
        <v>1.2</v>
      </c>
      <c r="J48" s="36">
        <v>1.2</v>
      </c>
      <c r="K48" s="73">
        <f t="shared" si="15"/>
        <v>2629.2</v>
      </c>
      <c r="L48" s="70"/>
      <c r="M48" s="70">
        <f t="shared" si="16"/>
        <v>2629.2</v>
      </c>
      <c r="N48" s="6"/>
      <c r="O48" s="6"/>
      <c r="P48" s="70">
        <f t="shared" si="17"/>
        <v>1577.5199999999998</v>
      </c>
      <c r="Q48" s="6"/>
      <c r="R48" s="6"/>
      <c r="S48" s="13"/>
      <c r="T48" s="13">
        <f>2*F48/10000</f>
        <v>0.43819999999999998</v>
      </c>
      <c r="U48" s="13">
        <f>4*F48/10000</f>
        <v>0.87639999999999996</v>
      </c>
      <c r="V48" s="13">
        <f>4*F48/10000</f>
        <v>0.87639999999999996</v>
      </c>
      <c r="W48" s="6"/>
      <c r="X48" s="13">
        <f t="shared" si="12"/>
        <v>2.1909999999999998</v>
      </c>
      <c r="Y48" s="13">
        <f t="shared" si="6"/>
        <v>2.1909999999999998</v>
      </c>
      <c r="Z48" s="6"/>
      <c r="AA48" s="6"/>
      <c r="AB48" s="6"/>
      <c r="AC48" s="70">
        <v>6</v>
      </c>
      <c r="AD48" s="6"/>
    </row>
    <row r="49" spans="1:30" ht="25.5" x14ac:dyDescent="0.25">
      <c r="A49" s="6">
        <f t="shared" si="4"/>
        <v>41</v>
      </c>
      <c r="B49" s="6">
        <v>313</v>
      </c>
      <c r="C49" s="6" t="s">
        <v>43</v>
      </c>
      <c r="D49" s="48" t="s">
        <v>645</v>
      </c>
      <c r="E49" s="6" t="s">
        <v>566</v>
      </c>
      <c r="F49" s="6">
        <v>531</v>
      </c>
      <c r="G49" s="6">
        <v>0.6</v>
      </c>
      <c r="H49" s="79" t="s">
        <v>630</v>
      </c>
      <c r="I49" s="36">
        <v>1.2</v>
      </c>
      <c r="J49" s="36">
        <v>1.2</v>
      </c>
      <c r="K49" s="73">
        <f>F49*J49</f>
        <v>637.19999999999993</v>
      </c>
      <c r="L49" s="70"/>
      <c r="M49" s="70">
        <f>K49+L49</f>
        <v>637.19999999999993</v>
      </c>
      <c r="N49" s="6"/>
      <c r="O49" s="6"/>
      <c r="P49" s="70">
        <f>M49*0.6</f>
        <v>382.31999999999994</v>
      </c>
      <c r="Q49" s="6"/>
      <c r="R49" s="6"/>
      <c r="S49" s="13"/>
      <c r="T49" s="13">
        <f>4*F49/10000</f>
        <v>0.21240000000000001</v>
      </c>
      <c r="U49" s="13">
        <f>4*F49/10000</f>
        <v>0.21240000000000001</v>
      </c>
      <c r="V49" s="13">
        <f>2*F49/10000</f>
        <v>0.1062</v>
      </c>
      <c r="W49" s="6"/>
      <c r="X49" s="13">
        <f t="shared" si="12"/>
        <v>0.53100000000000003</v>
      </c>
      <c r="Y49" s="13">
        <f t="shared" si="6"/>
        <v>0.53100000000000003</v>
      </c>
      <c r="Z49" s="6"/>
      <c r="AA49" s="6"/>
      <c r="AB49" s="6"/>
      <c r="AC49" s="70">
        <v>1</v>
      </c>
      <c r="AD49" s="6"/>
    </row>
    <row r="50" spans="1:30" x14ac:dyDescent="0.25">
      <c r="A50" s="6">
        <f t="shared" si="4"/>
        <v>42</v>
      </c>
      <c r="B50" s="6">
        <v>314</v>
      </c>
      <c r="C50" s="6" t="s">
        <v>43</v>
      </c>
      <c r="D50" s="36" t="s">
        <v>628</v>
      </c>
      <c r="E50" s="6" t="s">
        <v>566</v>
      </c>
      <c r="F50" s="6">
        <v>192</v>
      </c>
      <c r="G50" s="6">
        <v>0.6</v>
      </c>
      <c r="H50" s="79" t="s">
        <v>630</v>
      </c>
      <c r="I50" s="36">
        <v>1.2</v>
      </c>
      <c r="J50" s="36">
        <v>1.2</v>
      </c>
      <c r="K50" s="73">
        <f t="shared" si="15"/>
        <v>230.39999999999998</v>
      </c>
      <c r="L50" s="70"/>
      <c r="M50" s="70">
        <f t="shared" si="16"/>
        <v>230.39999999999998</v>
      </c>
      <c r="N50" s="6"/>
      <c r="O50" s="6"/>
      <c r="P50" s="70">
        <f t="shared" si="17"/>
        <v>138.23999999999998</v>
      </c>
      <c r="Q50" s="6"/>
      <c r="R50" s="6"/>
      <c r="S50" s="13"/>
      <c r="T50" s="13"/>
      <c r="U50" s="13">
        <f>4*F50/10000</f>
        <v>7.6799999999999993E-2</v>
      </c>
      <c r="V50" s="13">
        <f>4*F50/10000</f>
        <v>7.6799999999999993E-2</v>
      </c>
      <c r="W50" s="6"/>
      <c r="X50" s="13">
        <f>SUM(S50:V50)</f>
        <v>0.15359999999999999</v>
      </c>
      <c r="Y50" s="13">
        <f>X50</f>
        <v>0.15359999999999999</v>
      </c>
      <c r="Z50" s="6"/>
      <c r="AA50" s="6"/>
      <c r="AB50" s="6"/>
      <c r="AC50" s="70"/>
      <c r="AD50" s="6"/>
    </row>
    <row r="51" spans="1:30" x14ac:dyDescent="0.25">
      <c r="A51" s="6">
        <f t="shared" si="4"/>
        <v>43</v>
      </c>
      <c r="B51" s="6">
        <v>315</v>
      </c>
      <c r="C51" s="6" t="s">
        <v>43</v>
      </c>
      <c r="D51" s="36" t="s">
        <v>628</v>
      </c>
      <c r="E51" s="6" t="s">
        <v>606</v>
      </c>
      <c r="F51" s="6">
        <v>967</v>
      </c>
      <c r="G51" s="6">
        <v>0.6</v>
      </c>
      <c r="H51" s="79" t="s">
        <v>630</v>
      </c>
      <c r="I51" s="36">
        <v>1.2</v>
      </c>
      <c r="J51" s="36">
        <v>0.5</v>
      </c>
      <c r="K51" s="73">
        <f t="shared" si="15"/>
        <v>483.5</v>
      </c>
      <c r="L51" s="70"/>
      <c r="M51" s="70">
        <f t="shared" si="16"/>
        <v>483.5</v>
      </c>
      <c r="N51" s="6"/>
      <c r="O51" s="6"/>
      <c r="P51" s="70">
        <f t="shared" si="17"/>
        <v>290.09999999999997</v>
      </c>
      <c r="Q51" s="6"/>
      <c r="R51" s="6"/>
      <c r="S51" s="13">
        <f>6*F51/10000</f>
        <v>0.58020000000000005</v>
      </c>
      <c r="T51" s="13"/>
      <c r="U51" s="13"/>
      <c r="V51" s="13"/>
      <c r="W51" s="6"/>
      <c r="X51" s="13">
        <f t="shared" ref="X51:X67" si="18">SUM(S51:V51)</f>
        <v>0.58020000000000005</v>
      </c>
      <c r="Y51" s="13">
        <f t="shared" si="6"/>
        <v>0.58020000000000005</v>
      </c>
      <c r="Z51" s="6"/>
      <c r="AA51" s="6"/>
      <c r="AB51" s="6"/>
      <c r="AC51" s="70">
        <v>2</v>
      </c>
      <c r="AD51" s="6"/>
    </row>
    <row r="52" spans="1:30" ht="25.5" x14ac:dyDescent="0.25">
      <c r="A52" s="6">
        <f t="shared" si="4"/>
        <v>44</v>
      </c>
      <c r="B52" s="6">
        <v>316</v>
      </c>
      <c r="C52" s="6" t="s">
        <v>43</v>
      </c>
      <c r="D52" s="48" t="s">
        <v>642</v>
      </c>
      <c r="E52" s="6" t="s">
        <v>566</v>
      </c>
      <c r="F52" s="6">
        <v>1063</v>
      </c>
      <c r="G52" s="6">
        <v>0.6</v>
      </c>
      <c r="H52" s="79" t="s">
        <v>630</v>
      </c>
      <c r="I52" s="36">
        <v>1.2</v>
      </c>
      <c r="J52" s="36">
        <v>1.2</v>
      </c>
      <c r="K52" s="73">
        <f t="shared" si="15"/>
        <v>1275.5999999999999</v>
      </c>
      <c r="L52" s="70"/>
      <c r="M52" s="70">
        <f t="shared" si="16"/>
        <v>1275.5999999999999</v>
      </c>
      <c r="N52" s="6"/>
      <c r="O52" s="6"/>
      <c r="P52" s="70">
        <f t="shared" si="17"/>
        <v>765.3599999999999</v>
      </c>
      <c r="Q52" s="6"/>
      <c r="R52" s="6"/>
      <c r="S52" s="13">
        <f>2*F52/10000</f>
        <v>0.21260000000000001</v>
      </c>
      <c r="T52" s="13">
        <f>2*F52/10000</f>
        <v>0.21260000000000001</v>
      </c>
      <c r="U52" s="13">
        <f>2*F52/10000</f>
        <v>0.21260000000000001</v>
      </c>
      <c r="V52" s="13">
        <f t="shared" ref="V52:V57" si="19">2*F52/10000</f>
        <v>0.21260000000000001</v>
      </c>
      <c r="W52" s="6"/>
      <c r="X52" s="13">
        <f t="shared" si="18"/>
        <v>0.85040000000000004</v>
      </c>
      <c r="Y52" s="13">
        <f t="shared" si="6"/>
        <v>0.85040000000000004</v>
      </c>
      <c r="Z52" s="6"/>
      <c r="AA52" s="6"/>
      <c r="AB52" s="6"/>
      <c r="AC52" s="70">
        <v>3</v>
      </c>
      <c r="AD52" s="6"/>
    </row>
    <row r="53" spans="1:30" x14ac:dyDescent="0.25">
      <c r="A53" s="6">
        <f t="shared" si="4"/>
        <v>45</v>
      </c>
      <c r="B53" s="6">
        <v>317</v>
      </c>
      <c r="C53" s="6" t="s">
        <v>43</v>
      </c>
      <c r="D53" s="36" t="s">
        <v>643</v>
      </c>
      <c r="E53" s="6" t="s">
        <v>566</v>
      </c>
      <c r="F53" s="6">
        <v>363</v>
      </c>
      <c r="G53" s="6">
        <v>0.6</v>
      </c>
      <c r="H53" s="79" t="s">
        <v>630</v>
      </c>
      <c r="I53" s="36">
        <v>1.2</v>
      </c>
      <c r="J53" s="36">
        <v>1.2</v>
      </c>
      <c r="K53" s="73">
        <f t="shared" si="15"/>
        <v>435.59999999999997</v>
      </c>
      <c r="L53" s="70"/>
      <c r="M53" s="70">
        <f t="shared" si="16"/>
        <v>435.59999999999997</v>
      </c>
      <c r="N53" s="6"/>
      <c r="O53" s="6"/>
      <c r="P53" s="70">
        <f t="shared" si="17"/>
        <v>261.35999999999996</v>
      </c>
      <c r="Q53" s="6"/>
      <c r="R53" s="6"/>
      <c r="S53" s="13">
        <f>2*F53/10000</f>
        <v>7.2599999999999998E-2</v>
      </c>
      <c r="T53" s="13">
        <f>2*F53/10000</f>
        <v>7.2599999999999998E-2</v>
      </c>
      <c r="U53" s="13">
        <f>2*F53/10000</f>
        <v>7.2599999999999998E-2</v>
      </c>
      <c r="V53" s="13">
        <f t="shared" si="19"/>
        <v>7.2599999999999998E-2</v>
      </c>
      <c r="W53" s="6"/>
      <c r="X53" s="13">
        <f t="shared" si="18"/>
        <v>0.29039999999999999</v>
      </c>
      <c r="Y53" s="13">
        <f t="shared" si="6"/>
        <v>0.29039999999999999</v>
      </c>
      <c r="Z53" s="6"/>
      <c r="AA53" s="6"/>
      <c r="AB53" s="6"/>
      <c r="AC53" s="70"/>
      <c r="AD53" s="6"/>
    </row>
    <row r="54" spans="1:30" x14ac:dyDescent="0.25">
      <c r="A54" s="6">
        <f t="shared" si="4"/>
        <v>46</v>
      </c>
      <c r="B54" s="6">
        <v>318</v>
      </c>
      <c r="C54" s="6" t="s">
        <v>43</v>
      </c>
      <c r="D54" s="36" t="s">
        <v>644</v>
      </c>
      <c r="E54" s="6" t="s">
        <v>566</v>
      </c>
      <c r="F54" s="6">
        <v>354</v>
      </c>
      <c r="G54" s="6">
        <v>0.6</v>
      </c>
      <c r="H54" s="79" t="s">
        <v>630</v>
      </c>
      <c r="I54" s="36">
        <v>1.2</v>
      </c>
      <c r="J54" s="36">
        <v>1.2</v>
      </c>
      <c r="K54" s="73">
        <f t="shared" si="15"/>
        <v>424.8</v>
      </c>
      <c r="L54" s="70"/>
      <c r="M54" s="70">
        <f t="shared" si="16"/>
        <v>424.8</v>
      </c>
      <c r="N54" s="6"/>
      <c r="O54" s="6"/>
      <c r="P54" s="70">
        <f t="shared" si="17"/>
        <v>254.88</v>
      </c>
      <c r="Q54" s="6"/>
      <c r="R54" s="6"/>
      <c r="S54" s="13">
        <f>2*F54/10000</f>
        <v>7.0800000000000002E-2</v>
      </c>
      <c r="T54" s="13">
        <f>2*F54/10000</f>
        <v>7.0800000000000002E-2</v>
      </c>
      <c r="U54" s="13">
        <f>2*F54/10000</f>
        <v>7.0800000000000002E-2</v>
      </c>
      <c r="V54" s="13">
        <f t="shared" si="19"/>
        <v>7.0800000000000002E-2</v>
      </c>
      <c r="W54" s="6"/>
      <c r="X54" s="13">
        <f t="shared" si="18"/>
        <v>0.28320000000000001</v>
      </c>
      <c r="Y54" s="13">
        <f t="shared" si="6"/>
        <v>0.28320000000000001</v>
      </c>
      <c r="Z54" s="6"/>
      <c r="AA54" s="6"/>
      <c r="AB54" s="6"/>
      <c r="AC54" s="70"/>
      <c r="AD54" s="6"/>
    </row>
    <row r="55" spans="1:30" x14ac:dyDescent="0.25">
      <c r="A55" s="6">
        <f t="shared" si="4"/>
        <v>47</v>
      </c>
      <c r="B55" s="6">
        <v>319</v>
      </c>
      <c r="C55" s="6" t="s">
        <v>43</v>
      </c>
      <c r="D55" s="36" t="s">
        <v>644</v>
      </c>
      <c r="E55" s="6" t="s">
        <v>566</v>
      </c>
      <c r="F55" s="6">
        <v>314</v>
      </c>
      <c r="G55" s="6">
        <v>0.6</v>
      </c>
      <c r="H55" s="79" t="s">
        <v>630</v>
      </c>
      <c r="I55" s="36">
        <v>1.2</v>
      </c>
      <c r="J55" s="36">
        <v>1.2</v>
      </c>
      <c r="K55" s="73">
        <f t="shared" si="15"/>
        <v>376.8</v>
      </c>
      <c r="L55" s="70"/>
      <c r="M55" s="70">
        <f t="shared" si="16"/>
        <v>376.8</v>
      </c>
      <c r="N55" s="6"/>
      <c r="O55" s="6"/>
      <c r="P55" s="70">
        <f t="shared" si="17"/>
        <v>226.08</v>
      </c>
      <c r="Q55" s="6"/>
      <c r="R55" s="6"/>
      <c r="S55" s="13">
        <f>2*F55/10000</f>
        <v>6.2799999999999995E-2</v>
      </c>
      <c r="T55" s="13">
        <f>2*F55/10000</f>
        <v>6.2799999999999995E-2</v>
      </c>
      <c r="U55" s="13">
        <f>4*F55/10000</f>
        <v>0.12559999999999999</v>
      </c>
      <c r="V55" s="13">
        <f t="shared" si="19"/>
        <v>6.2799999999999995E-2</v>
      </c>
      <c r="W55" s="6"/>
      <c r="X55" s="13">
        <f t="shared" si="18"/>
        <v>0.31399999999999995</v>
      </c>
      <c r="Y55" s="13">
        <f t="shared" si="6"/>
        <v>0.31399999999999995</v>
      </c>
      <c r="Z55" s="6"/>
      <c r="AA55" s="6"/>
      <c r="AB55" s="6"/>
      <c r="AC55" s="70"/>
      <c r="AD55" s="6"/>
    </row>
    <row r="56" spans="1:30" x14ac:dyDescent="0.25">
      <c r="A56" s="6">
        <f t="shared" si="4"/>
        <v>48</v>
      </c>
      <c r="B56" s="6">
        <v>320</v>
      </c>
      <c r="C56" s="6" t="s">
        <v>43</v>
      </c>
      <c r="D56" s="36" t="s">
        <v>643</v>
      </c>
      <c r="E56" s="6" t="s">
        <v>566</v>
      </c>
      <c r="F56" s="6">
        <v>584</v>
      </c>
      <c r="G56" s="6">
        <v>0.6</v>
      </c>
      <c r="H56" s="79" t="s">
        <v>630</v>
      </c>
      <c r="I56" s="36">
        <v>1.2</v>
      </c>
      <c r="J56" s="36">
        <v>1.2</v>
      </c>
      <c r="K56" s="73">
        <f t="shared" si="15"/>
        <v>700.8</v>
      </c>
      <c r="L56" s="70"/>
      <c r="M56" s="70">
        <f t="shared" si="16"/>
        <v>700.8</v>
      </c>
      <c r="N56" s="6"/>
      <c r="O56" s="6"/>
      <c r="P56" s="70">
        <f t="shared" si="17"/>
        <v>420.47999999999996</v>
      </c>
      <c r="Q56" s="6"/>
      <c r="R56" s="6"/>
      <c r="S56" s="13">
        <f>2*F56/10000</f>
        <v>0.1168</v>
      </c>
      <c r="T56" s="13">
        <f>2*F56/10000</f>
        <v>0.1168</v>
      </c>
      <c r="U56" s="13">
        <f>4*F56/10000</f>
        <v>0.2336</v>
      </c>
      <c r="V56" s="13">
        <f t="shared" si="19"/>
        <v>0.1168</v>
      </c>
      <c r="W56" s="6"/>
      <c r="X56" s="13">
        <f t="shared" si="18"/>
        <v>0.58399999999999996</v>
      </c>
      <c r="Y56" s="13">
        <f t="shared" si="6"/>
        <v>0.58399999999999996</v>
      </c>
      <c r="Z56" s="6"/>
      <c r="AA56" s="6"/>
      <c r="AB56" s="6"/>
      <c r="AC56" s="70">
        <v>1</v>
      </c>
      <c r="AD56" s="6"/>
    </row>
    <row r="57" spans="1:30" x14ac:dyDescent="0.25">
      <c r="A57" s="6">
        <f t="shared" si="4"/>
        <v>49</v>
      </c>
      <c r="B57" s="6">
        <v>321</v>
      </c>
      <c r="C57" s="6" t="s">
        <v>43</v>
      </c>
      <c r="D57" s="36" t="s">
        <v>646</v>
      </c>
      <c r="E57" s="6" t="s">
        <v>566</v>
      </c>
      <c r="F57" s="6">
        <v>95</v>
      </c>
      <c r="G57" s="6">
        <v>0.6</v>
      </c>
      <c r="H57" s="79" t="s">
        <v>630</v>
      </c>
      <c r="I57" s="36">
        <v>1.2</v>
      </c>
      <c r="J57" s="36">
        <v>1.2</v>
      </c>
      <c r="K57" s="73">
        <f t="shared" si="15"/>
        <v>114</v>
      </c>
      <c r="L57" s="70"/>
      <c r="M57" s="70">
        <f t="shared" si="16"/>
        <v>114</v>
      </c>
      <c r="N57" s="6"/>
      <c r="O57" s="6"/>
      <c r="P57" s="70">
        <f t="shared" si="17"/>
        <v>68.399999999999991</v>
      </c>
      <c r="Q57" s="6"/>
      <c r="R57" s="6"/>
      <c r="S57" s="13"/>
      <c r="T57" s="13">
        <f>4*F57/10000</f>
        <v>3.7999999999999999E-2</v>
      </c>
      <c r="U57" s="13">
        <f>4*F57/10000</f>
        <v>3.7999999999999999E-2</v>
      </c>
      <c r="V57" s="13">
        <f t="shared" si="19"/>
        <v>1.9E-2</v>
      </c>
      <c r="W57" s="6"/>
      <c r="X57" s="13">
        <f t="shared" si="18"/>
        <v>9.5000000000000001E-2</v>
      </c>
      <c r="Y57" s="13">
        <f t="shared" si="6"/>
        <v>9.5000000000000001E-2</v>
      </c>
      <c r="Z57" s="6"/>
      <c r="AA57" s="6"/>
      <c r="AB57" s="6"/>
      <c r="AC57" s="70"/>
      <c r="AD57" s="6"/>
    </row>
    <row r="58" spans="1:30" ht="38.25" x14ac:dyDescent="0.25">
      <c r="A58" s="6">
        <f t="shared" si="4"/>
        <v>50</v>
      </c>
      <c r="B58" s="6">
        <v>322</v>
      </c>
      <c r="C58" s="6" t="s">
        <v>43</v>
      </c>
      <c r="D58" s="48" t="s">
        <v>647</v>
      </c>
      <c r="E58" s="6" t="s">
        <v>566</v>
      </c>
      <c r="F58" s="6">
        <v>1566</v>
      </c>
      <c r="G58" s="6">
        <v>0.6</v>
      </c>
      <c r="H58" s="79" t="s">
        <v>630</v>
      </c>
      <c r="I58" s="36">
        <v>1.2</v>
      </c>
      <c r="J58" s="36">
        <v>1.2</v>
      </c>
      <c r="K58" s="73">
        <f t="shared" si="15"/>
        <v>1879.1999999999998</v>
      </c>
      <c r="L58" s="70"/>
      <c r="M58" s="70">
        <f t="shared" si="16"/>
        <v>1879.1999999999998</v>
      </c>
      <c r="N58" s="6"/>
      <c r="O58" s="6"/>
      <c r="P58" s="70">
        <f t="shared" si="17"/>
        <v>1127.5199999999998</v>
      </c>
      <c r="Q58" s="6"/>
      <c r="R58" s="6"/>
      <c r="S58" s="13">
        <f>4*F58/10000</f>
        <v>0.62639999999999996</v>
      </c>
      <c r="T58" s="13"/>
      <c r="U58" s="13">
        <f>1*F58/10000</f>
        <v>0.15659999999999999</v>
      </c>
      <c r="V58" s="13">
        <f>1*F58/10000</f>
        <v>0.15659999999999999</v>
      </c>
      <c r="W58" s="6"/>
      <c r="X58" s="13">
        <f t="shared" si="18"/>
        <v>0.93959999999999988</v>
      </c>
      <c r="Y58" s="13">
        <f t="shared" si="6"/>
        <v>0.93959999999999988</v>
      </c>
      <c r="Z58" s="6"/>
      <c r="AA58" s="6"/>
      <c r="AB58" s="6"/>
      <c r="AC58" s="70">
        <v>4</v>
      </c>
      <c r="AD58" s="6"/>
    </row>
    <row r="59" spans="1:30" x14ac:dyDescent="0.25">
      <c r="A59" s="6">
        <f t="shared" si="4"/>
        <v>51</v>
      </c>
      <c r="B59" s="6">
        <v>323</v>
      </c>
      <c r="C59" s="6" t="s">
        <v>43</v>
      </c>
      <c r="D59" s="36" t="s">
        <v>648</v>
      </c>
      <c r="E59" s="6" t="s">
        <v>566</v>
      </c>
      <c r="F59" s="6">
        <v>357</v>
      </c>
      <c r="G59" s="6">
        <v>0.6</v>
      </c>
      <c r="H59" s="79" t="s">
        <v>630</v>
      </c>
      <c r="I59" s="36">
        <v>1.2</v>
      </c>
      <c r="J59" s="36">
        <v>1.2</v>
      </c>
      <c r="K59" s="73">
        <f t="shared" si="15"/>
        <v>428.4</v>
      </c>
      <c r="L59" s="70"/>
      <c r="M59" s="70">
        <f t="shared" si="16"/>
        <v>428.4</v>
      </c>
      <c r="N59" s="6"/>
      <c r="O59" s="6"/>
      <c r="P59" s="70">
        <f t="shared" si="17"/>
        <v>257.03999999999996</v>
      </c>
      <c r="Q59" s="6"/>
      <c r="R59" s="6"/>
      <c r="S59" s="13"/>
      <c r="T59" s="13">
        <f>4*F59/10000</f>
        <v>0.14280000000000001</v>
      </c>
      <c r="U59" s="13">
        <f>2*F59/10000</f>
        <v>7.1400000000000005E-2</v>
      </c>
      <c r="V59" s="13">
        <f>2*F59/10000</f>
        <v>7.1400000000000005E-2</v>
      </c>
      <c r="W59" s="6"/>
      <c r="X59" s="13">
        <f t="shared" si="18"/>
        <v>0.28560000000000002</v>
      </c>
      <c r="Y59" s="13">
        <f t="shared" si="6"/>
        <v>0.28560000000000002</v>
      </c>
      <c r="Z59" s="6"/>
      <c r="AA59" s="6"/>
      <c r="AB59" s="6"/>
      <c r="AC59" s="70"/>
      <c r="AD59" s="6"/>
    </row>
    <row r="60" spans="1:30" x14ac:dyDescent="0.25">
      <c r="A60" s="6">
        <f t="shared" si="4"/>
        <v>52</v>
      </c>
      <c r="B60" s="6">
        <v>324</v>
      </c>
      <c r="C60" s="6" t="s">
        <v>43</v>
      </c>
      <c r="D60" s="36" t="s">
        <v>649</v>
      </c>
      <c r="E60" s="6" t="s">
        <v>566</v>
      </c>
      <c r="F60" s="6">
        <v>593</v>
      </c>
      <c r="G60" s="6">
        <v>0.6</v>
      </c>
      <c r="H60" s="79" t="s">
        <v>630</v>
      </c>
      <c r="I60" s="36">
        <v>1.2</v>
      </c>
      <c r="J60" s="36">
        <v>1.2</v>
      </c>
      <c r="K60" s="73">
        <f t="shared" si="15"/>
        <v>711.6</v>
      </c>
      <c r="L60" s="70"/>
      <c r="M60" s="70">
        <f t="shared" si="16"/>
        <v>711.6</v>
      </c>
      <c r="N60" s="6"/>
      <c r="O60" s="6"/>
      <c r="P60" s="70">
        <f t="shared" si="17"/>
        <v>426.96</v>
      </c>
      <c r="Q60" s="6"/>
      <c r="R60" s="6"/>
      <c r="S60" s="13">
        <f>2*F60/10000</f>
        <v>0.1186</v>
      </c>
      <c r="T60" s="13">
        <f>4*F60/10000</f>
        <v>0.23719999999999999</v>
      </c>
      <c r="U60" s="13">
        <f>2*F60/10000</f>
        <v>0.1186</v>
      </c>
      <c r="V60" s="13">
        <f>2*F60/10000</f>
        <v>0.1186</v>
      </c>
      <c r="W60" s="6"/>
      <c r="X60" s="13">
        <f t="shared" si="18"/>
        <v>0.59299999999999997</v>
      </c>
      <c r="Y60" s="13">
        <f t="shared" si="6"/>
        <v>0.59299999999999997</v>
      </c>
      <c r="Z60" s="6"/>
      <c r="AA60" s="6"/>
      <c r="AB60" s="6"/>
      <c r="AC60" s="70">
        <v>1</v>
      </c>
      <c r="AD60" s="6"/>
    </row>
    <row r="61" spans="1:30" ht="38.25" x14ac:dyDescent="0.25">
      <c r="A61" s="6">
        <f t="shared" si="4"/>
        <v>53</v>
      </c>
      <c r="B61" s="6">
        <v>325</v>
      </c>
      <c r="C61" s="6" t="s">
        <v>43</v>
      </c>
      <c r="D61" s="48" t="s">
        <v>650</v>
      </c>
      <c r="E61" s="6" t="s">
        <v>566</v>
      </c>
      <c r="F61" s="6">
        <v>1450</v>
      </c>
      <c r="G61" s="6">
        <v>0.6</v>
      </c>
      <c r="H61" s="79" t="s">
        <v>630</v>
      </c>
      <c r="I61" s="36">
        <v>1.2</v>
      </c>
      <c r="J61" s="36">
        <v>1.2</v>
      </c>
      <c r="K61" s="73">
        <f t="shared" si="15"/>
        <v>1740</v>
      </c>
      <c r="L61" s="70"/>
      <c r="M61" s="70">
        <f t="shared" si="16"/>
        <v>1740</v>
      </c>
      <c r="N61" s="6"/>
      <c r="O61" s="6"/>
      <c r="P61" s="70">
        <f t="shared" si="17"/>
        <v>1044</v>
      </c>
      <c r="Q61" s="6"/>
      <c r="R61" s="6"/>
      <c r="S61" s="13"/>
      <c r="T61" s="13">
        <f>4*F61/10000</f>
        <v>0.57999999999999996</v>
      </c>
      <c r="U61" s="13">
        <f>2*F61/10000</f>
        <v>0.28999999999999998</v>
      </c>
      <c r="V61" s="13">
        <f>2*F61/10000</f>
        <v>0.28999999999999998</v>
      </c>
      <c r="W61" s="6"/>
      <c r="X61" s="13">
        <f t="shared" si="18"/>
        <v>1.1599999999999999</v>
      </c>
      <c r="Y61" s="13">
        <f t="shared" si="6"/>
        <v>1.1599999999999999</v>
      </c>
      <c r="Z61" s="6"/>
      <c r="AA61" s="6"/>
      <c r="AB61" s="6"/>
      <c r="AC61" s="70">
        <v>4</v>
      </c>
      <c r="AD61" s="6"/>
    </row>
    <row r="62" spans="1:30" x14ac:dyDescent="0.25">
      <c r="A62" s="6">
        <f t="shared" si="4"/>
        <v>54</v>
      </c>
      <c r="B62" s="6">
        <v>326</v>
      </c>
      <c r="C62" s="6" t="s">
        <v>43</v>
      </c>
      <c r="D62" s="36" t="s">
        <v>648</v>
      </c>
      <c r="E62" s="6" t="s">
        <v>606</v>
      </c>
      <c r="F62" s="6">
        <v>349</v>
      </c>
      <c r="G62" s="6">
        <v>0.6</v>
      </c>
      <c r="H62" s="79" t="s">
        <v>630</v>
      </c>
      <c r="I62" s="36">
        <v>1.2</v>
      </c>
      <c r="J62" s="36">
        <v>0.5</v>
      </c>
      <c r="K62" s="73">
        <f t="shared" ref="K62:K89" si="20">F62*J62</f>
        <v>174.5</v>
      </c>
      <c r="L62" s="70"/>
      <c r="M62" s="70">
        <f t="shared" ref="M62:M89" si="21">K62+L62</f>
        <v>174.5</v>
      </c>
      <c r="N62" s="6"/>
      <c r="O62" s="6"/>
      <c r="P62" s="70">
        <f t="shared" ref="P62:P89" si="22">M62*0.6</f>
        <v>104.7</v>
      </c>
      <c r="Q62" s="6"/>
      <c r="R62" s="6"/>
      <c r="S62" s="13">
        <f>6*F62/10000</f>
        <v>0.2094</v>
      </c>
      <c r="T62" s="13"/>
      <c r="U62" s="13"/>
      <c r="V62" s="13"/>
      <c r="W62" s="6"/>
      <c r="X62" s="13">
        <f t="shared" si="18"/>
        <v>0.2094</v>
      </c>
      <c r="Y62" s="13">
        <f t="shared" si="6"/>
        <v>0.2094</v>
      </c>
      <c r="Z62" s="6"/>
      <c r="AA62" s="6"/>
      <c r="AB62" s="6"/>
      <c r="AC62" s="70"/>
      <c r="AD62" s="6"/>
    </row>
    <row r="63" spans="1:30" x14ac:dyDescent="0.25">
      <c r="A63" s="6">
        <f t="shared" si="4"/>
        <v>55</v>
      </c>
      <c r="B63" s="6">
        <v>328</v>
      </c>
      <c r="C63" s="6" t="s">
        <v>43</v>
      </c>
      <c r="D63" s="36" t="s">
        <v>653</v>
      </c>
      <c r="E63" s="6" t="s">
        <v>606</v>
      </c>
      <c r="F63" s="6">
        <v>355</v>
      </c>
      <c r="G63" s="6">
        <v>0.6</v>
      </c>
      <c r="H63" s="79" t="s">
        <v>630</v>
      </c>
      <c r="I63" s="36">
        <v>1.2</v>
      </c>
      <c r="J63" s="36">
        <v>0.5</v>
      </c>
      <c r="K63" s="73">
        <f t="shared" si="20"/>
        <v>177.5</v>
      </c>
      <c r="L63" s="70"/>
      <c r="M63" s="70">
        <f t="shared" si="21"/>
        <v>177.5</v>
      </c>
      <c r="N63" s="6"/>
      <c r="O63" s="6"/>
      <c r="P63" s="70">
        <f t="shared" si="22"/>
        <v>106.5</v>
      </c>
      <c r="Q63" s="6"/>
      <c r="R63" s="6"/>
      <c r="S63" s="13">
        <f>6*F63/10000</f>
        <v>0.21299999999999999</v>
      </c>
      <c r="T63" s="13"/>
      <c r="U63" s="13"/>
      <c r="V63" s="13"/>
      <c r="W63" s="6"/>
      <c r="X63" s="13">
        <f t="shared" si="18"/>
        <v>0.21299999999999999</v>
      </c>
      <c r="Y63" s="13">
        <f t="shared" si="6"/>
        <v>0.21299999999999999</v>
      </c>
      <c r="Z63" s="6"/>
      <c r="AA63" s="6"/>
      <c r="AB63" s="6"/>
      <c r="AC63" s="70"/>
      <c r="AD63" s="6"/>
    </row>
    <row r="64" spans="1:30" ht="25.5" x14ac:dyDescent="0.25">
      <c r="A64" s="6">
        <f>A63+1</f>
        <v>56</v>
      </c>
      <c r="B64" s="6" t="s">
        <v>651</v>
      </c>
      <c r="C64" s="6" t="s">
        <v>43</v>
      </c>
      <c r="D64" s="48" t="s">
        <v>652</v>
      </c>
      <c r="E64" s="6" t="s">
        <v>566</v>
      </c>
      <c r="F64" s="6">
        <v>426</v>
      </c>
      <c r="G64" s="6">
        <v>0.6</v>
      </c>
      <c r="H64" s="79" t="s">
        <v>630</v>
      </c>
      <c r="I64" s="36">
        <v>1.2</v>
      </c>
      <c r="J64" s="36">
        <v>1.2</v>
      </c>
      <c r="K64" s="73">
        <f t="shared" si="20"/>
        <v>511.2</v>
      </c>
      <c r="L64" s="70"/>
      <c r="M64" s="70">
        <f t="shared" si="21"/>
        <v>511.2</v>
      </c>
      <c r="N64" s="6"/>
      <c r="O64" s="6"/>
      <c r="P64" s="70">
        <f t="shared" si="22"/>
        <v>306.71999999999997</v>
      </c>
      <c r="Q64" s="6"/>
      <c r="R64" s="6"/>
      <c r="S64" s="13"/>
      <c r="T64" s="13">
        <f>4*F64/10000</f>
        <v>0.1704</v>
      </c>
      <c r="U64" s="13">
        <f>4*F64/10000</f>
        <v>0.1704</v>
      </c>
      <c r="V64" s="13">
        <f>2*F64/10000</f>
        <v>8.5199999999999998E-2</v>
      </c>
      <c r="W64" s="6"/>
      <c r="X64" s="13">
        <f t="shared" si="18"/>
        <v>0.42599999999999999</v>
      </c>
      <c r="Y64" s="13">
        <f t="shared" si="6"/>
        <v>0.42599999999999999</v>
      </c>
      <c r="Z64" s="6"/>
      <c r="AA64" s="6"/>
      <c r="AB64" s="6"/>
      <c r="AC64" s="70"/>
      <c r="AD64" s="6"/>
    </row>
    <row r="65" spans="1:30" x14ac:dyDescent="0.25">
      <c r="A65" s="6">
        <f t="shared" si="4"/>
        <v>57</v>
      </c>
      <c r="B65" s="6">
        <v>329</v>
      </c>
      <c r="C65" s="6" t="s">
        <v>43</v>
      </c>
      <c r="D65" s="36" t="s">
        <v>655</v>
      </c>
      <c r="E65" s="6" t="s">
        <v>606</v>
      </c>
      <c r="F65" s="6">
        <v>367</v>
      </c>
      <c r="G65" s="6">
        <v>0.6</v>
      </c>
      <c r="H65" s="79" t="s">
        <v>630</v>
      </c>
      <c r="I65" s="36">
        <v>1.2</v>
      </c>
      <c r="J65" s="36">
        <v>0.5</v>
      </c>
      <c r="K65" s="73">
        <f t="shared" si="20"/>
        <v>183.5</v>
      </c>
      <c r="L65" s="70"/>
      <c r="M65" s="70">
        <f t="shared" si="21"/>
        <v>183.5</v>
      </c>
      <c r="N65" s="6"/>
      <c r="O65" s="6"/>
      <c r="P65" s="70">
        <f t="shared" si="22"/>
        <v>110.1</v>
      </c>
      <c r="Q65" s="6"/>
      <c r="R65" s="6"/>
      <c r="S65" s="13">
        <f>6*F65/10000</f>
        <v>0.22020000000000001</v>
      </c>
      <c r="T65" s="13"/>
      <c r="U65" s="13"/>
      <c r="V65" s="13"/>
      <c r="W65" s="6"/>
      <c r="X65" s="13">
        <f t="shared" si="18"/>
        <v>0.22020000000000001</v>
      </c>
      <c r="Y65" s="13">
        <f t="shared" si="6"/>
        <v>0.22020000000000001</v>
      </c>
      <c r="Z65" s="6"/>
      <c r="AA65" s="6"/>
      <c r="AB65" s="6"/>
      <c r="AC65" s="70"/>
      <c r="AD65" s="6"/>
    </row>
    <row r="66" spans="1:30" x14ac:dyDescent="0.25">
      <c r="A66" s="6">
        <f t="shared" si="4"/>
        <v>58</v>
      </c>
      <c r="B66" s="6">
        <v>330</v>
      </c>
      <c r="C66" s="6" t="s">
        <v>43</v>
      </c>
      <c r="D66" s="36" t="s">
        <v>654</v>
      </c>
      <c r="E66" s="6" t="s">
        <v>606</v>
      </c>
      <c r="F66" s="6">
        <v>361</v>
      </c>
      <c r="G66" s="6">
        <v>0.6</v>
      </c>
      <c r="H66" s="79" t="s">
        <v>630</v>
      </c>
      <c r="I66" s="36">
        <v>1.2</v>
      </c>
      <c r="J66" s="36">
        <v>0.5</v>
      </c>
      <c r="K66" s="73">
        <f t="shared" si="20"/>
        <v>180.5</v>
      </c>
      <c r="L66" s="70"/>
      <c r="M66" s="70">
        <f t="shared" si="21"/>
        <v>180.5</v>
      </c>
      <c r="N66" s="6"/>
      <c r="O66" s="6"/>
      <c r="P66" s="70">
        <f t="shared" si="22"/>
        <v>108.3</v>
      </c>
      <c r="Q66" s="6"/>
      <c r="R66" s="6"/>
      <c r="S66" s="13">
        <f>6*F66/10000</f>
        <v>0.21659999999999999</v>
      </c>
      <c r="T66" s="13"/>
      <c r="U66" s="13">
        <f>1*F66/10000</f>
        <v>3.61E-2</v>
      </c>
      <c r="V66" s="13"/>
      <c r="W66" s="6"/>
      <c r="X66" s="13">
        <f t="shared" si="18"/>
        <v>0.25269999999999998</v>
      </c>
      <c r="Y66" s="13">
        <f t="shared" si="6"/>
        <v>0.25269999999999998</v>
      </c>
      <c r="Z66" s="6"/>
      <c r="AA66" s="6"/>
      <c r="AB66" s="6"/>
      <c r="AC66" s="70"/>
      <c r="AD66" s="6"/>
    </row>
    <row r="67" spans="1:30" x14ac:dyDescent="0.25">
      <c r="A67" s="6">
        <f t="shared" si="4"/>
        <v>59</v>
      </c>
      <c r="B67" s="6">
        <v>331</v>
      </c>
      <c r="C67" s="6" t="s">
        <v>43</v>
      </c>
      <c r="D67" s="36" t="s">
        <v>654</v>
      </c>
      <c r="E67" s="6" t="s">
        <v>606</v>
      </c>
      <c r="F67" s="6">
        <v>754</v>
      </c>
      <c r="G67" s="6">
        <v>0.6</v>
      </c>
      <c r="H67" s="79" t="s">
        <v>630</v>
      </c>
      <c r="I67" s="36">
        <v>1.2</v>
      </c>
      <c r="J67" s="36">
        <v>0.5</v>
      </c>
      <c r="K67" s="73">
        <f t="shared" si="20"/>
        <v>377</v>
      </c>
      <c r="L67" s="70"/>
      <c r="M67" s="70">
        <f t="shared" si="21"/>
        <v>377</v>
      </c>
      <c r="N67" s="6"/>
      <c r="O67" s="6"/>
      <c r="P67" s="70">
        <f t="shared" si="22"/>
        <v>226.2</v>
      </c>
      <c r="Q67" s="6"/>
      <c r="R67" s="6"/>
      <c r="S67" s="13">
        <f>6*F67/10000</f>
        <v>0.45240000000000002</v>
      </c>
      <c r="T67" s="13"/>
      <c r="U67" s="13">
        <f>1*F67/10000</f>
        <v>7.5399999999999995E-2</v>
      </c>
      <c r="V67" s="13"/>
      <c r="W67" s="6"/>
      <c r="X67" s="13">
        <f t="shared" si="18"/>
        <v>0.52780000000000005</v>
      </c>
      <c r="Y67" s="13">
        <f t="shared" si="6"/>
        <v>0.52780000000000005</v>
      </c>
      <c r="Z67" s="6"/>
      <c r="AA67" s="6"/>
      <c r="AB67" s="6"/>
      <c r="AC67" s="70">
        <v>2</v>
      </c>
      <c r="AD67" s="6"/>
    </row>
    <row r="68" spans="1:30" x14ac:dyDescent="0.25">
      <c r="A68" s="6">
        <f t="shared" si="4"/>
        <v>60</v>
      </c>
      <c r="B68" s="6">
        <v>332</v>
      </c>
      <c r="C68" s="6" t="s">
        <v>43</v>
      </c>
      <c r="D68" s="36" t="s">
        <v>656</v>
      </c>
      <c r="E68" s="6" t="s">
        <v>606</v>
      </c>
      <c r="F68" s="6">
        <v>752</v>
      </c>
      <c r="G68" s="6">
        <v>0.6</v>
      </c>
      <c r="H68" s="79" t="s">
        <v>630</v>
      </c>
      <c r="I68" s="36">
        <v>1.2</v>
      </c>
      <c r="J68" s="36">
        <v>0.5</v>
      </c>
      <c r="K68" s="73">
        <f t="shared" si="20"/>
        <v>376</v>
      </c>
      <c r="L68" s="70"/>
      <c r="M68" s="70">
        <f t="shared" si="21"/>
        <v>376</v>
      </c>
      <c r="N68" s="6"/>
      <c r="O68" s="6"/>
      <c r="P68" s="70">
        <f t="shared" si="22"/>
        <v>225.6</v>
      </c>
      <c r="Q68" s="6"/>
      <c r="R68" s="6"/>
      <c r="S68" s="13">
        <f>6*F68/10000</f>
        <v>0.45119999999999999</v>
      </c>
      <c r="T68" s="13"/>
      <c r="U68" s="13">
        <f>1*F68/10000</f>
        <v>7.5200000000000003E-2</v>
      </c>
      <c r="V68" s="13"/>
      <c r="W68" s="6"/>
      <c r="X68" s="13">
        <f>SUM(S68:V68)</f>
        <v>0.52639999999999998</v>
      </c>
      <c r="Y68" s="13">
        <f>X68</f>
        <v>0.52639999999999998</v>
      </c>
      <c r="Z68" s="6"/>
      <c r="AA68" s="6"/>
      <c r="AB68" s="6"/>
      <c r="AC68" s="70">
        <v>2</v>
      </c>
      <c r="AD68" s="6"/>
    </row>
    <row r="69" spans="1:30" x14ac:dyDescent="0.25">
      <c r="A69" s="6">
        <f t="shared" si="4"/>
        <v>61</v>
      </c>
      <c r="B69" s="6">
        <v>333</v>
      </c>
      <c r="C69" s="6" t="s">
        <v>43</v>
      </c>
      <c r="D69" s="36" t="s">
        <v>654</v>
      </c>
      <c r="E69" s="6" t="s">
        <v>606</v>
      </c>
      <c r="F69" s="6">
        <v>97</v>
      </c>
      <c r="G69" s="6">
        <v>0.6</v>
      </c>
      <c r="H69" s="79" t="s">
        <v>630</v>
      </c>
      <c r="I69" s="36">
        <v>1.2</v>
      </c>
      <c r="J69" s="36">
        <v>0.5</v>
      </c>
      <c r="K69" s="73">
        <f t="shared" si="20"/>
        <v>48.5</v>
      </c>
      <c r="L69" s="70"/>
      <c r="M69" s="70">
        <f t="shared" si="21"/>
        <v>48.5</v>
      </c>
      <c r="N69" s="6"/>
      <c r="O69" s="6"/>
      <c r="P69" s="70">
        <f t="shared" si="22"/>
        <v>29.099999999999998</v>
      </c>
      <c r="Q69" s="6"/>
      <c r="R69" s="6"/>
      <c r="S69" s="13">
        <f>6*F69/10000</f>
        <v>5.8200000000000002E-2</v>
      </c>
      <c r="T69" s="13"/>
      <c r="U69" s="13">
        <f>1*F69/10000</f>
        <v>9.7000000000000003E-3</v>
      </c>
      <c r="V69" s="13"/>
      <c r="W69" s="6"/>
      <c r="X69" s="13">
        <f t="shared" ref="X69:X87" si="23">SUM(S69:V69)</f>
        <v>6.7900000000000002E-2</v>
      </c>
      <c r="Y69" s="13">
        <f t="shared" si="6"/>
        <v>6.7900000000000002E-2</v>
      </c>
      <c r="Z69" s="6"/>
      <c r="AA69" s="6"/>
      <c r="AB69" s="6"/>
      <c r="AC69" s="70"/>
      <c r="AD69" s="6"/>
    </row>
    <row r="70" spans="1:30" x14ac:dyDescent="0.25">
      <c r="A70" s="6">
        <f t="shared" si="4"/>
        <v>62</v>
      </c>
      <c r="B70" s="6">
        <v>335</v>
      </c>
      <c r="C70" s="6" t="s">
        <v>43</v>
      </c>
      <c r="D70" s="36" t="s">
        <v>655</v>
      </c>
      <c r="E70" s="6" t="s">
        <v>566</v>
      </c>
      <c r="F70" s="6">
        <v>918</v>
      </c>
      <c r="G70" s="6">
        <v>0.6</v>
      </c>
      <c r="H70" s="79" t="s">
        <v>630</v>
      </c>
      <c r="I70" s="36">
        <v>1.2</v>
      </c>
      <c r="J70" s="36">
        <v>1.2</v>
      </c>
      <c r="K70" s="73">
        <f t="shared" si="20"/>
        <v>1101.5999999999999</v>
      </c>
      <c r="L70" s="70"/>
      <c r="M70" s="70">
        <f>K70+L70</f>
        <v>1101.5999999999999</v>
      </c>
      <c r="N70" s="6"/>
      <c r="O70" s="6"/>
      <c r="P70" s="70">
        <f t="shared" si="22"/>
        <v>660.95999999999992</v>
      </c>
      <c r="Q70" s="6"/>
      <c r="R70" s="6"/>
      <c r="S70" s="13"/>
      <c r="T70" s="13">
        <f>4*F70/10000</f>
        <v>0.36720000000000003</v>
      </c>
      <c r="U70" s="13">
        <f t="shared" ref="U70:U75" si="24">4*F70/10000</f>
        <v>0.36720000000000003</v>
      </c>
      <c r="V70" s="13">
        <f>2*F70/10000</f>
        <v>0.18360000000000001</v>
      </c>
      <c r="W70" s="6"/>
      <c r="X70" s="13">
        <f t="shared" si="23"/>
        <v>0.91800000000000004</v>
      </c>
      <c r="Y70" s="13">
        <f t="shared" si="6"/>
        <v>0.91800000000000004</v>
      </c>
      <c r="Z70" s="6"/>
      <c r="AA70" s="6"/>
      <c r="AB70" s="6"/>
      <c r="AC70" s="70">
        <v>2</v>
      </c>
      <c r="AD70" s="6"/>
    </row>
    <row r="71" spans="1:30" x14ac:dyDescent="0.25">
      <c r="A71" s="6">
        <f t="shared" si="4"/>
        <v>63</v>
      </c>
      <c r="B71" s="6">
        <v>336</v>
      </c>
      <c r="C71" s="6" t="s">
        <v>43</v>
      </c>
      <c r="D71" s="36" t="s">
        <v>656</v>
      </c>
      <c r="E71" s="6" t="s">
        <v>566</v>
      </c>
      <c r="F71" s="6">
        <v>54</v>
      </c>
      <c r="G71" s="6">
        <v>0.6</v>
      </c>
      <c r="H71" s="79" t="s">
        <v>630</v>
      </c>
      <c r="I71" s="36">
        <v>1.2</v>
      </c>
      <c r="J71" s="36">
        <v>1.2</v>
      </c>
      <c r="K71" s="73">
        <f t="shared" si="20"/>
        <v>64.8</v>
      </c>
      <c r="L71" s="70"/>
      <c r="M71" s="70">
        <f t="shared" si="21"/>
        <v>64.8</v>
      </c>
      <c r="N71" s="6"/>
      <c r="O71" s="6"/>
      <c r="P71" s="70">
        <f t="shared" si="22"/>
        <v>38.879999999999995</v>
      </c>
      <c r="Q71" s="6"/>
      <c r="R71" s="6"/>
      <c r="S71" s="13"/>
      <c r="T71" s="13">
        <f>4*F71/10000</f>
        <v>2.1600000000000001E-2</v>
      </c>
      <c r="U71" s="13">
        <f t="shared" si="24"/>
        <v>2.1600000000000001E-2</v>
      </c>
      <c r="V71" s="13">
        <f>2*F71/10000</f>
        <v>1.0800000000000001E-2</v>
      </c>
      <c r="W71" s="6"/>
      <c r="X71" s="13">
        <f t="shared" si="23"/>
        <v>5.4000000000000006E-2</v>
      </c>
      <c r="Y71" s="13">
        <f t="shared" si="6"/>
        <v>5.4000000000000006E-2</v>
      </c>
      <c r="Z71" s="6"/>
      <c r="AA71" s="6"/>
      <c r="AB71" s="6"/>
      <c r="AC71" s="70"/>
      <c r="AD71" s="6"/>
    </row>
    <row r="72" spans="1:30" x14ac:dyDescent="0.25">
      <c r="A72" s="6">
        <f t="shared" si="4"/>
        <v>64</v>
      </c>
      <c r="B72" s="6">
        <v>337</v>
      </c>
      <c r="C72" s="6" t="s">
        <v>43</v>
      </c>
      <c r="D72" s="36" t="s">
        <v>656</v>
      </c>
      <c r="E72" s="6" t="s">
        <v>566</v>
      </c>
      <c r="F72" s="6">
        <v>279</v>
      </c>
      <c r="G72" s="6">
        <v>0.6</v>
      </c>
      <c r="H72" s="79" t="s">
        <v>630</v>
      </c>
      <c r="I72" s="36">
        <v>1.2</v>
      </c>
      <c r="J72" s="36">
        <v>1.2</v>
      </c>
      <c r="K72" s="73">
        <f t="shared" si="20"/>
        <v>334.8</v>
      </c>
      <c r="L72" s="70"/>
      <c r="M72" s="70">
        <f t="shared" si="21"/>
        <v>334.8</v>
      </c>
      <c r="N72" s="6"/>
      <c r="O72" s="6"/>
      <c r="P72" s="70">
        <f t="shared" si="22"/>
        <v>200.88</v>
      </c>
      <c r="Q72" s="6"/>
      <c r="R72" s="6"/>
      <c r="S72" s="13"/>
      <c r="T72" s="13">
        <f>4*F72/10000</f>
        <v>0.1116</v>
      </c>
      <c r="U72" s="13">
        <f t="shared" si="24"/>
        <v>0.1116</v>
      </c>
      <c r="V72" s="13">
        <f>2*F72/10000</f>
        <v>5.5800000000000002E-2</v>
      </c>
      <c r="W72" s="6"/>
      <c r="X72" s="13">
        <f t="shared" si="23"/>
        <v>0.27900000000000003</v>
      </c>
      <c r="Y72" s="13">
        <f t="shared" si="6"/>
        <v>0.27900000000000003</v>
      </c>
      <c r="Z72" s="6"/>
      <c r="AA72" s="6"/>
      <c r="AB72" s="6"/>
      <c r="AC72" s="70"/>
      <c r="AD72" s="6"/>
    </row>
    <row r="73" spans="1:30" ht="51" x14ac:dyDescent="0.25">
      <c r="A73" s="6">
        <f t="shared" si="4"/>
        <v>65</v>
      </c>
      <c r="B73" s="6">
        <v>338</v>
      </c>
      <c r="C73" s="6" t="s">
        <v>43</v>
      </c>
      <c r="D73" s="48" t="s">
        <v>657</v>
      </c>
      <c r="E73" s="6" t="s">
        <v>566</v>
      </c>
      <c r="F73" s="6">
        <v>2805</v>
      </c>
      <c r="G73" s="6">
        <v>1</v>
      </c>
      <c r="H73" s="79" t="s">
        <v>630</v>
      </c>
      <c r="I73" s="36">
        <v>1.2</v>
      </c>
      <c r="J73" s="36">
        <v>1.2</v>
      </c>
      <c r="K73" s="73">
        <f t="shared" si="20"/>
        <v>3366</v>
      </c>
      <c r="L73" s="70"/>
      <c r="M73" s="70">
        <f t="shared" si="21"/>
        <v>3366</v>
      </c>
      <c r="N73" s="6"/>
      <c r="O73" s="6"/>
      <c r="P73" s="70">
        <f t="shared" si="22"/>
        <v>2019.6</v>
      </c>
      <c r="Q73" s="6"/>
      <c r="R73" s="6"/>
      <c r="S73" s="13">
        <f>2*F73/10000</f>
        <v>0.56100000000000005</v>
      </c>
      <c r="T73" s="13">
        <f>2*F73/10000</f>
        <v>0.56100000000000005</v>
      </c>
      <c r="U73" s="13">
        <f t="shared" si="24"/>
        <v>1.1220000000000001</v>
      </c>
      <c r="V73" s="13">
        <f>4*F73/10000</f>
        <v>1.1220000000000001</v>
      </c>
      <c r="W73" s="6"/>
      <c r="X73" s="13">
        <f t="shared" si="23"/>
        <v>3.3660000000000005</v>
      </c>
      <c r="Y73" s="13">
        <f t="shared" si="6"/>
        <v>3.3660000000000005</v>
      </c>
      <c r="Z73" s="6"/>
      <c r="AA73" s="6"/>
      <c r="AB73" s="6"/>
      <c r="AC73" s="70">
        <v>8</v>
      </c>
      <c r="AD73" s="6"/>
    </row>
    <row r="74" spans="1:30" ht="25.5" x14ac:dyDescent="0.25">
      <c r="A74" s="6">
        <f t="shared" si="4"/>
        <v>66</v>
      </c>
      <c r="B74" s="6" t="s">
        <v>720</v>
      </c>
      <c r="C74" s="6" t="s">
        <v>43</v>
      </c>
      <c r="D74" s="48" t="s">
        <v>722</v>
      </c>
      <c r="E74" s="6" t="s">
        <v>566</v>
      </c>
      <c r="F74" s="6">
        <v>473</v>
      </c>
      <c r="G74" s="6">
        <v>0.6</v>
      </c>
      <c r="H74" s="79" t="s">
        <v>630</v>
      </c>
      <c r="I74" s="36">
        <v>1.2</v>
      </c>
      <c r="J74" s="36">
        <v>1.2</v>
      </c>
      <c r="K74" s="73">
        <f t="shared" ref="K74:K75" si="25">F74*J74</f>
        <v>567.6</v>
      </c>
      <c r="L74" s="70"/>
      <c r="M74" s="70">
        <f t="shared" ref="M74:M75" si="26">K74+L74</f>
        <v>567.6</v>
      </c>
      <c r="N74" s="6"/>
      <c r="O74" s="6"/>
      <c r="P74" s="70">
        <f t="shared" ref="P74:P75" si="27">M74*0.6</f>
        <v>340.56</v>
      </c>
      <c r="Q74" s="6"/>
      <c r="R74" s="6"/>
      <c r="S74" s="13">
        <f>2*F74/10000</f>
        <v>9.4600000000000004E-2</v>
      </c>
      <c r="T74" s="13">
        <f>4*F74/10000</f>
        <v>0.18920000000000001</v>
      </c>
      <c r="U74" s="13">
        <f t="shared" si="24"/>
        <v>0.18920000000000001</v>
      </c>
      <c r="V74" s="13">
        <f>2*F74/10000</f>
        <v>9.4600000000000004E-2</v>
      </c>
      <c r="W74" s="6"/>
      <c r="X74" s="13">
        <f t="shared" ref="X74:X75" si="28">SUM(S74:V74)</f>
        <v>0.56759999999999999</v>
      </c>
      <c r="Y74" s="13">
        <f t="shared" ref="Y74:Y75" si="29">X74</f>
        <v>0.56759999999999999</v>
      </c>
      <c r="Z74" s="6"/>
      <c r="AA74" s="6"/>
      <c r="AB74" s="6"/>
      <c r="AC74" s="70"/>
      <c r="AD74" s="6"/>
    </row>
    <row r="75" spans="1:30" x14ac:dyDescent="0.25">
      <c r="A75" s="6">
        <f t="shared" ref="A75:A139" si="30">A74+1</f>
        <v>67</v>
      </c>
      <c r="B75" s="6" t="s">
        <v>721</v>
      </c>
      <c r="C75" s="6" t="s">
        <v>43</v>
      </c>
      <c r="D75" s="48" t="s">
        <v>646</v>
      </c>
      <c r="E75" s="6" t="s">
        <v>566</v>
      </c>
      <c r="F75" s="6">
        <v>315</v>
      </c>
      <c r="G75" s="6">
        <v>0.6</v>
      </c>
      <c r="H75" s="79" t="s">
        <v>630</v>
      </c>
      <c r="I75" s="36">
        <v>1.2</v>
      </c>
      <c r="J75" s="36">
        <v>1.2</v>
      </c>
      <c r="K75" s="73">
        <f t="shared" si="25"/>
        <v>378</v>
      </c>
      <c r="L75" s="70"/>
      <c r="M75" s="70">
        <f t="shared" si="26"/>
        <v>378</v>
      </c>
      <c r="N75" s="6"/>
      <c r="O75" s="6"/>
      <c r="P75" s="70">
        <f t="shared" si="27"/>
        <v>226.79999999999998</v>
      </c>
      <c r="Q75" s="6"/>
      <c r="R75" s="6"/>
      <c r="S75" s="13">
        <f>2*F75/10000</f>
        <v>6.3E-2</v>
      </c>
      <c r="T75" s="13">
        <f>4*F75/10000</f>
        <v>0.126</v>
      </c>
      <c r="U75" s="13">
        <f t="shared" si="24"/>
        <v>0.126</v>
      </c>
      <c r="V75" s="13">
        <f>2*F75/10000</f>
        <v>6.3E-2</v>
      </c>
      <c r="W75" s="6"/>
      <c r="X75" s="13">
        <f t="shared" si="28"/>
        <v>0.378</v>
      </c>
      <c r="Y75" s="13">
        <f t="shared" si="29"/>
        <v>0.378</v>
      </c>
      <c r="Z75" s="6"/>
      <c r="AA75" s="6"/>
      <c r="AB75" s="6"/>
      <c r="AC75" s="70"/>
      <c r="AD75" s="6"/>
    </row>
    <row r="76" spans="1:30" ht="25.5" x14ac:dyDescent="0.25">
      <c r="A76" s="6">
        <f t="shared" si="30"/>
        <v>68</v>
      </c>
      <c r="B76" s="6">
        <v>339</v>
      </c>
      <c r="C76" s="6" t="s">
        <v>43</v>
      </c>
      <c r="D76" s="48" t="s">
        <v>658</v>
      </c>
      <c r="E76" s="6" t="s">
        <v>566</v>
      </c>
      <c r="F76" s="6">
        <v>859</v>
      </c>
      <c r="G76" s="6">
        <v>0.6</v>
      </c>
      <c r="H76" s="79" t="s">
        <v>630</v>
      </c>
      <c r="I76" s="36">
        <v>1.2</v>
      </c>
      <c r="J76" s="36">
        <v>1.2</v>
      </c>
      <c r="K76" s="73">
        <f t="shared" si="20"/>
        <v>1030.8</v>
      </c>
      <c r="L76" s="70"/>
      <c r="M76" s="70">
        <f t="shared" si="21"/>
        <v>1030.8</v>
      </c>
      <c r="N76" s="6"/>
      <c r="O76" s="6"/>
      <c r="P76" s="70">
        <f t="shared" si="22"/>
        <v>618.4799999999999</v>
      </c>
      <c r="Q76" s="6"/>
      <c r="R76" s="6"/>
      <c r="S76" s="13"/>
      <c r="T76" s="13">
        <f>4*F76/10000</f>
        <v>0.34360000000000002</v>
      </c>
      <c r="U76" s="13">
        <f>2*F76/10000</f>
        <v>0.17180000000000001</v>
      </c>
      <c r="V76" s="13">
        <f>2*F76/10000</f>
        <v>0.17180000000000001</v>
      </c>
      <c r="W76" s="6"/>
      <c r="X76" s="13">
        <f t="shared" si="23"/>
        <v>0.68720000000000003</v>
      </c>
      <c r="Y76" s="13">
        <f t="shared" ref="Y76:Y87" si="31">X76</f>
        <v>0.68720000000000003</v>
      </c>
      <c r="Z76" s="6"/>
      <c r="AA76" s="6"/>
      <c r="AB76" s="6"/>
      <c r="AC76" s="70">
        <v>2</v>
      </c>
      <c r="AD76" s="6"/>
    </row>
    <row r="77" spans="1:30" x14ac:dyDescent="0.25">
      <c r="A77" s="6">
        <f t="shared" si="30"/>
        <v>69</v>
      </c>
      <c r="B77" s="6">
        <v>340</v>
      </c>
      <c r="C77" s="6" t="s">
        <v>43</v>
      </c>
      <c r="D77" s="36" t="s">
        <v>656</v>
      </c>
      <c r="E77" s="6" t="s">
        <v>606</v>
      </c>
      <c r="F77" s="6">
        <v>201</v>
      </c>
      <c r="G77" s="6">
        <v>0.6</v>
      </c>
      <c r="H77" s="79" t="s">
        <v>630</v>
      </c>
      <c r="I77" s="36">
        <v>1.2</v>
      </c>
      <c r="J77" s="36">
        <v>0.5</v>
      </c>
      <c r="K77" s="73">
        <f t="shared" si="20"/>
        <v>100.5</v>
      </c>
      <c r="L77" s="70"/>
      <c r="M77" s="70">
        <f t="shared" si="21"/>
        <v>100.5</v>
      </c>
      <c r="N77" s="6"/>
      <c r="O77" s="6"/>
      <c r="P77" s="70">
        <f t="shared" si="22"/>
        <v>60.3</v>
      </c>
      <c r="Q77" s="6"/>
      <c r="R77" s="6"/>
      <c r="S77" s="13">
        <f>6*F77/10000</f>
        <v>0.1206</v>
      </c>
      <c r="T77" s="13"/>
      <c r="U77" s="13"/>
      <c r="V77" s="13"/>
      <c r="W77" s="6"/>
      <c r="X77" s="13">
        <f t="shared" si="23"/>
        <v>0.1206</v>
      </c>
      <c r="Y77" s="13">
        <f t="shared" si="31"/>
        <v>0.1206</v>
      </c>
      <c r="Z77" s="6"/>
      <c r="AA77" s="6"/>
      <c r="AB77" s="6"/>
      <c r="AC77" s="70"/>
      <c r="AD77" s="6"/>
    </row>
    <row r="78" spans="1:30" x14ac:dyDescent="0.25">
      <c r="A78" s="6">
        <f t="shared" si="30"/>
        <v>70</v>
      </c>
      <c r="B78" s="6">
        <v>341</v>
      </c>
      <c r="C78" s="6" t="s">
        <v>43</v>
      </c>
      <c r="D78" s="36" t="s">
        <v>659</v>
      </c>
      <c r="E78" s="6" t="s">
        <v>606</v>
      </c>
      <c r="F78" s="6">
        <v>129</v>
      </c>
      <c r="G78" s="6">
        <v>0.6</v>
      </c>
      <c r="H78" s="79" t="s">
        <v>630</v>
      </c>
      <c r="I78" s="36">
        <v>1.2</v>
      </c>
      <c r="J78" s="36">
        <v>0.5</v>
      </c>
      <c r="K78" s="73">
        <f t="shared" si="20"/>
        <v>64.5</v>
      </c>
      <c r="L78" s="70"/>
      <c r="M78" s="70">
        <f t="shared" si="21"/>
        <v>64.5</v>
      </c>
      <c r="N78" s="6"/>
      <c r="O78" s="6"/>
      <c r="P78" s="70">
        <f t="shared" si="22"/>
        <v>38.699999999999996</v>
      </c>
      <c r="Q78" s="6"/>
      <c r="R78" s="6"/>
      <c r="S78" s="13">
        <f>6*F78/10000</f>
        <v>7.7399999999999997E-2</v>
      </c>
      <c r="T78" s="13"/>
      <c r="U78" s="13"/>
      <c r="V78" s="13"/>
      <c r="W78" s="6"/>
      <c r="X78" s="13">
        <f t="shared" si="23"/>
        <v>7.7399999999999997E-2</v>
      </c>
      <c r="Y78" s="13">
        <f t="shared" si="31"/>
        <v>7.7399999999999997E-2</v>
      </c>
      <c r="Z78" s="6"/>
      <c r="AA78" s="6"/>
      <c r="AB78" s="6"/>
      <c r="AC78" s="70"/>
      <c r="AD78" s="6"/>
    </row>
    <row r="79" spans="1:30" ht="25.5" x14ac:dyDescent="0.25">
      <c r="A79" s="6">
        <f t="shared" si="30"/>
        <v>71</v>
      </c>
      <c r="B79" s="6">
        <v>343</v>
      </c>
      <c r="C79" s="6" t="s">
        <v>43</v>
      </c>
      <c r="D79" s="48" t="s">
        <v>661</v>
      </c>
      <c r="E79" s="6" t="s">
        <v>566</v>
      </c>
      <c r="F79" s="6">
        <v>376</v>
      </c>
      <c r="G79" s="6">
        <v>0.6</v>
      </c>
      <c r="H79" s="79" t="s">
        <v>630</v>
      </c>
      <c r="I79" s="36">
        <v>1.2</v>
      </c>
      <c r="J79" s="36">
        <v>1.2</v>
      </c>
      <c r="K79" s="73">
        <f t="shared" si="20"/>
        <v>451.2</v>
      </c>
      <c r="L79" s="70"/>
      <c r="M79" s="70">
        <f t="shared" si="21"/>
        <v>451.2</v>
      </c>
      <c r="N79" s="6"/>
      <c r="O79" s="6"/>
      <c r="P79" s="70">
        <f t="shared" si="22"/>
        <v>270.71999999999997</v>
      </c>
      <c r="Q79" s="6"/>
      <c r="R79" s="6"/>
      <c r="S79" s="13"/>
      <c r="T79" s="13">
        <f>4*F79/10000</f>
        <v>0.15040000000000001</v>
      </c>
      <c r="U79" s="13">
        <f>2*F79/10000</f>
        <v>7.5200000000000003E-2</v>
      </c>
      <c r="V79" s="13">
        <f>2*F79/10000</f>
        <v>7.5200000000000003E-2</v>
      </c>
      <c r="W79" s="6"/>
      <c r="X79" s="13">
        <f t="shared" si="23"/>
        <v>0.30080000000000001</v>
      </c>
      <c r="Y79" s="13">
        <f t="shared" si="31"/>
        <v>0.30080000000000001</v>
      </c>
      <c r="Z79" s="6"/>
      <c r="AA79" s="6"/>
      <c r="AB79" s="6"/>
      <c r="AC79" s="70"/>
      <c r="AD79" s="6"/>
    </row>
    <row r="80" spans="1:30" x14ac:dyDescent="0.25">
      <c r="A80" s="6">
        <f t="shared" si="30"/>
        <v>72</v>
      </c>
      <c r="B80" s="6">
        <v>345</v>
      </c>
      <c r="C80" s="6" t="s">
        <v>43</v>
      </c>
      <c r="D80" s="36" t="s">
        <v>660</v>
      </c>
      <c r="E80" s="6" t="s">
        <v>606</v>
      </c>
      <c r="F80" s="6">
        <v>673</v>
      </c>
      <c r="G80" s="6">
        <v>0.6</v>
      </c>
      <c r="H80" s="79" t="s">
        <v>630</v>
      </c>
      <c r="I80" s="36">
        <v>1.2</v>
      </c>
      <c r="J80" s="36">
        <v>0.5</v>
      </c>
      <c r="K80" s="73">
        <f t="shared" si="20"/>
        <v>336.5</v>
      </c>
      <c r="L80" s="70"/>
      <c r="M80" s="70">
        <f t="shared" si="21"/>
        <v>336.5</v>
      </c>
      <c r="N80" s="6"/>
      <c r="O80" s="6"/>
      <c r="P80" s="70">
        <f t="shared" si="22"/>
        <v>201.9</v>
      </c>
      <c r="Q80" s="6"/>
      <c r="R80" s="6"/>
      <c r="S80" s="13">
        <f>6*F80/10000</f>
        <v>0.40379999999999999</v>
      </c>
      <c r="T80" s="13"/>
      <c r="U80" s="13"/>
      <c r="V80" s="13"/>
      <c r="W80" s="6"/>
      <c r="X80" s="13">
        <f t="shared" si="23"/>
        <v>0.40379999999999999</v>
      </c>
      <c r="Y80" s="13">
        <f t="shared" si="31"/>
        <v>0.40379999999999999</v>
      </c>
      <c r="Z80" s="6"/>
      <c r="AA80" s="6"/>
      <c r="AB80" s="6"/>
      <c r="AC80" s="70">
        <v>1</v>
      </c>
      <c r="AD80" s="6"/>
    </row>
    <row r="81" spans="1:30" x14ac:dyDescent="0.25">
      <c r="A81" s="6">
        <f t="shared" si="30"/>
        <v>73</v>
      </c>
      <c r="B81" s="6">
        <v>346</v>
      </c>
      <c r="C81" s="6" t="s">
        <v>43</v>
      </c>
      <c r="D81" s="36" t="s">
        <v>662</v>
      </c>
      <c r="E81" s="6" t="s">
        <v>606</v>
      </c>
      <c r="F81" s="6">
        <v>447</v>
      </c>
      <c r="G81" s="6">
        <v>0.6</v>
      </c>
      <c r="H81" s="79" t="s">
        <v>630</v>
      </c>
      <c r="I81" s="36">
        <v>1.2</v>
      </c>
      <c r="J81" s="36">
        <v>0.5</v>
      </c>
      <c r="K81" s="73">
        <f t="shared" si="20"/>
        <v>223.5</v>
      </c>
      <c r="L81" s="70"/>
      <c r="M81" s="70">
        <f t="shared" si="21"/>
        <v>223.5</v>
      </c>
      <c r="N81" s="6"/>
      <c r="O81" s="6"/>
      <c r="P81" s="70">
        <f t="shared" si="22"/>
        <v>134.1</v>
      </c>
      <c r="Q81" s="6"/>
      <c r="R81" s="6"/>
      <c r="S81" s="13">
        <f>6*F81/10000</f>
        <v>0.26819999999999999</v>
      </c>
      <c r="T81" s="13"/>
      <c r="U81" s="13"/>
      <c r="V81" s="13"/>
      <c r="W81" s="6"/>
      <c r="X81" s="13">
        <f t="shared" si="23"/>
        <v>0.26819999999999999</v>
      </c>
      <c r="Y81" s="13">
        <f t="shared" si="31"/>
        <v>0.26819999999999999</v>
      </c>
      <c r="Z81" s="6"/>
      <c r="AA81" s="6"/>
      <c r="AB81" s="6"/>
      <c r="AC81" s="70"/>
      <c r="AD81" s="6"/>
    </row>
    <row r="82" spans="1:30" ht="25.5" x14ac:dyDescent="0.25">
      <c r="A82" s="6">
        <f t="shared" si="30"/>
        <v>74</v>
      </c>
      <c r="B82" s="6" t="s">
        <v>251</v>
      </c>
      <c r="C82" s="6" t="s">
        <v>43</v>
      </c>
      <c r="D82" s="48" t="s">
        <v>665</v>
      </c>
      <c r="E82" s="6" t="s">
        <v>566</v>
      </c>
      <c r="F82" s="6">
        <v>742</v>
      </c>
      <c r="G82" s="6">
        <v>0.6</v>
      </c>
      <c r="H82" s="79" t="s">
        <v>630</v>
      </c>
      <c r="I82" s="36">
        <v>1.2</v>
      </c>
      <c r="J82" s="36">
        <v>1.2</v>
      </c>
      <c r="K82" s="73">
        <f t="shared" si="20"/>
        <v>890.4</v>
      </c>
      <c r="L82" s="70"/>
      <c r="M82" s="70">
        <f t="shared" si="21"/>
        <v>890.4</v>
      </c>
      <c r="N82" s="6"/>
      <c r="O82" s="6"/>
      <c r="P82" s="70">
        <f t="shared" si="22"/>
        <v>534.24</v>
      </c>
      <c r="Q82" s="6"/>
      <c r="R82" s="6"/>
      <c r="S82" s="13"/>
      <c r="T82" s="13">
        <f t="shared" ref="T82:T93" si="32">4*F82/10000</f>
        <v>0.29680000000000001</v>
      </c>
      <c r="U82" s="13">
        <f t="shared" ref="U82:U90" si="33">4*F82/10000</f>
        <v>0.29680000000000001</v>
      </c>
      <c r="V82" s="13">
        <f>2*F82/10000</f>
        <v>0.1484</v>
      </c>
      <c r="W82" s="6"/>
      <c r="X82" s="13">
        <f t="shared" si="23"/>
        <v>0.74199999999999999</v>
      </c>
      <c r="Y82" s="13">
        <f t="shared" si="31"/>
        <v>0.74199999999999999</v>
      </c>
      <c r="Z82" s="6"/>
      <c r="AA82" s="6"/>
      <c r="AB82" s="6"/>
      <c r="AC82" s="70">
        <v>1</v>
      </c>
      <c r="AD82" s="6"/>
    </row>
    <row r="83" spans="1:30" x14ac:dyDescent="0.25">
      <c r="A83" s="6">
        <f t="shared" si="30"/>
        <v>75</v>
      </c>
      <c r="B83" s="6" t="s">
        <v>663</v>
      </c>
      <c r="C83" s="6" t="s">
        <v>43</v>
      </c>
      <c r="D83" s="36" t="s">
        <v>666</v>
      </c>
      <c r="E83" s="6" t="s">
        <v>621</v>
      </c>
      <c r="F83" s="6">
        <v>18</v>
      </c>
      <c r="G83" s="6">
        <v>0.6</v>
      </c>
      <c r="H83" s="79" t="s">
        <v>630</v>
      </c>
      <c r="I83" s="36">
        <v>1.2</v>
      </c>
      <c r="J83" s="36">
        <v>0.5</v>
      </c>
      <c r="K83" s="73">
        <f t="shared" si="20"/>
        <v>9</v>
      </c>
      <c r="L83" s="70"/>
      <c r="M83" s="70">
        <f t="shared" si="21"/>
        <v>9</v>
      </c>
      <c r="N83" s="6"/>
      <c r="O83" s="6"/>
      <c r="P83" s="70">
        <f t="shared" si="22"/>
        <v>5.3999999999999995</v>
      </c>
      <c r="Q83" s="6"/>
      <c r="R83" s="6"/>
      <c r="S83" s="13"/>
      <c r="T83" s="13">
        <f t="shared" si="32"/>
        <v>7.1999999999999998E-3</v>
      </c>
      <c r="U83" s="13">
        <f t="shared" si="33"/>
        <v>7.1999999999999998E-3</v>
      </c>
      <c r="V83" s="13">
        <f>2*F83/10000</f>
        <v>3.5999999999999999E-3</v>
      </c>
      <c r="W83" s="6"/>
      <c r="X83" s="13">
        <f t="shared" si="23"/>
        <v>1.7999999999999999E-2</v>
      </c>
      <c r="Y83" s="13">
        <f t="shared" si="31"/>
        <v>1.7999999999999999E-2</v>
      </c>
      <c r="Z83" s="6"/>
      <c r="AA83" s="6"/>
      <c r="AB83" s="6"/>
      <c r="AC83" s="70"/>
      <c r="AD83" s="6"/>
    </row>
    <row r="84" spans="1:30" ht="25.5" x14ac:dyDescent="0.25">
      <c r="A84" s="6">
        <f t="shared" si="30"/>
        <v>76</v>
      </c>
      <c r="B84" s="6" t="s">
        <v>664</v>
      </c>
      <c r="C84" s="6" t="s">
        <v>43</v>
      </c>
      <c r="D84" s="48" t="s">
        <v>667</v>
      </c>
      <c r="E84" s="6" t="s">
        <v>566</v>
      </c>
      <c r="F84" s="6">
        <v>1060</v>
      </c>
      <c r="G84" s="6">
        <v>0.6</v>
      </c>
      <c r="H84" s="79" t="s">
        <v>630</v>
      </c>
      <c r="I84" s="36">
        <v>1.2</v>
      </c>
      <c r="J84" s="36">
        <v>1.2</v>
      </c>
      <c r="K84" s="73">
        <f t="shared" si="20"/>
        <v>1272</v>
      </c>
      <c r="L84" s="70"/>
      <c r="M84" s="70">
        <f t="shared" si="21"/>
        <v>1272</v>
      </c>
      <c r="N84" s="6"/>
      <c r="O84" s="6"/>
      <c r="P84" s="70">
        <f t="shared" si="22"/>
        <v>763.19999999999993</v>
      </c>
      <c r="Q84" s="6"/>
      <c r="R84" s="6"/>
      <c r="S84" s="13"/>
      <c r="T84" s="13">
        <f t="shared" si="32"/>
        <v>0.42399999999999999</v>
      </c>
      <c r="U84" s="13">
        <f t="shared" si="33"/>
        <v>0.42399999999999999</v>
      </c>
      <c r="V84" s="13">
        <f>2*F84/10000</f>
        <v>0.21199999999999999</v>
      </c>
      <c r="W84" s="6"/>
      <c r="X84" s="13">
        <f t="shared" si="23"/>
        <v>1.06</v>
      </c>
      <c r="Y84" s="13">
        <f t="shared" si="31"/>
        <v>1.06</v>
      </c>
      <c r="Z84" s="6"/>
      <c r="AA84" s="6"/>
      <c r="AB84" s="6"/>
      <c r="AC84" s="70">
        <v>3</v>
      </c>
      <c r="AD84" s="6"/>
    </row>
    <row r="85" spans="1:30" x14ac:dyDescent="0.25">
      <c r="A85" s="6">
        <f t="shared" si="30"/>
        <v>77</v>
      </c>
      <c r="B85" s="6">
        <v>350</v>
      </c>
      <c r="C85" s="6" t="s">
        <v>43</v>
      </c>
      <c r="D85" s="36" t="s">
        <v>666</v>
      </c>
      <c r="E85" s="6" t="s">
        <v>566</v>
      </c>
      <c r="F85" s="6">
        <v>114</v>
      </c>
      <c r="G85" s="6">
        <v>0.6</v>
      </c>
      <c r="H85" s="79" t="s">
        <v>630</v>
      </c>
      <c r="I85" s="36">
        <v>1.2</v>
      </c>
      <c r="J85" s="36">
        <v>1.2</v>
      </c>
      <c r="K85" s="73">
        <f t="shared" si="20"/>
        <v>136.79999999999998</v>
      </c>
      <c r="L85" s="70"/>
      <c r="M85" s="70">
        <f t="shared" si="21"/>
        <v>136.79999999999998</v>
      </c>
      <c r="N85" s="6"/>
      <c r="O85" s="6"/>
      <c r="P85" s="70">
        <f t="shared" si="22"/>
        <v>82.079999999999984</v>
      </c>
      <c r="Q85" s="6"/>
      <c r="R85" s="6"/>
      <c r="S85" s="13">
        <f t="shared" ref="S85:S90" si="34">2*F85/10000</f>
        <v>2.2800000000000001E-2</v>
      </c>
      <c r="T85" s="13">
        <f t="shared" si="32"/>
        <v>4.5600000000000002E-2</v>
      </c>
      <c r="U85" s="13">
        <f t="shared" si="33"/>
        <v>4.5600000000000002E-2</v>
      </c>
      <c r="V85" s="13"/>
      <c r="W85" s="6"/>
      <c r="X85" s="13">
        <f t="shared" si="23"/>
        <v>0.114</v>
      </c>
      <c r="Y85" s="13">
        <f t="shared" si="31"/>
        <v>0.114</v>
      </c>
      <c r="Z85" s="6"/>
      <c r="AA85" s="6"/>
      <c r="AB85" s="6"/>
      <c r="AC85" s="70"/>
      <c r="AD85" s="6"/>
    </row>
    <row r="86" spans="1:30" x14ac:dyDescent="0.25">
      <c r="A86" s="6">
        <f t="shared" si="30"/>
        <v>78</v>
      </c>
      <c r="B86" s="6">
        <v>351</v>
      </c>
      <c r="C86" s="6" t="s">
        <v>43</v>
      </c>
      <c r="D86" s="36" t="s">
        <v>668</v>
      </c>
      <c r="E86" s="6" t="s">
        <v>566</v>
      </c>
      <c r="F86" s="6">
        <v>403</v>
      </c>
      <c r="G86" s="6">
        <v>0.6</v>
      </c>
      <c r="H86" s="79" t="s">
        <v>630</v>
      </c>
      <c r="I86" s="36">
        <v>1.2</v>
      </c>
      <c r="J86" s="36">
        <v>1.2</v>
      </c>
      <c r="K86" s="73">
        <f t="shared" si="20"/>
        <v>483.59999999999997</v>
      </c>
      <c r="L86" s="70"/>
      <c r="M86" s="70">
        <f t="shared" si="21"/>
        <v>483.59999999999997</v>
      </c>
      <c r="N86" s="6"/>
      <c r="O86" s="6"/>
      <c r="P86" s="70">
        <f t="shared" si="22"/>
        <v>290.15999999999997</v>
      </c>
      <c r="Q86" s="6"/>
      <c r="R86" s="6"/>
      <c r="S86" s="13">
        <f t="shared" si="34"/>
        <v>8.0600000000000005E-2</v>
      </c>
      <c r="T86" s="13">
        <f t="shared" si="32"/>
        <v>0.16120000000000001</v>
      </c>
      <c r="U86" s="13">
        <f t="shared" si="33"/>
        <v>0.16120000000000001</v>
      </c>
      <c r="V86" s="13"/>
      <c r="W86" s="6"/>
      <c r="X86" s="13">
        <f t="shared" si="23"/>
        <v>0.40300000000000002</v>
      </c>
      <c r="Y86" s="13">
        <f t="shared" si="31"/>
        <v>0.40300000000000002</v>
      </c>
      <c r="Z86" s="6"/>
      <c r="AA86" s="6"/>
      <c r="AB86" s="6"/>
      <c r="AC86" s="70"/>
      <c r="AD86" s="6"/>
    </row>
    <row r="87" spans="1:30" ht="38.25" x14ac:dyDescent="0.25">
      <c r="A87" s="6">
        <f t="shared" si="30"/>
        <v>79</v>
      </c>
      <c r="B87" s="6">
        <v>353</v>
      </c>
      <c r="C87" s="6" t="s">
        <v>43</v>
      </c>
      <c r="D87" s="48" t="s">
        <v>669</v>
      </c>
      <c r="E87" s="6" t="s">
        <v>566</v>
      </c>
      <c r="F87" s="6">
        <v>1031</v>
      </c>
      <c r="G87" s="6">
        <v>0.6</v>
      </c>
      <c r="H87" s="79" t="s">
        <v>630</v>
      </c>
      <c r="I87" s="36">
        <v>1.2</v>
      </c>
      <c r="J87" s="36">
        <v>1.2</v>
      </c>
      <c r="K87" s="73">
        <f t="shared" si="20"/>
        <v>1237.2</v>
      </c>
      <c r="L87" s="70"/>
      <c r="M87" s="70">
        <f t="shared" si="21"/>
        <v>1237.2</v>
      </c>
      <c r="N87" s="6"/>
      <c r="O87" s="6"/>
      <c r="P87" s="70">
        <f t="shared" si="22"/>
        <v>742.32</v>
      </c>
      <c r="Q87" s="6"/>
      <c r="R87" s="6"/>
      <c r="S87" s="13">
        <f t="shared" si="34"/>
        <v>0.20619999999999999</v>
      </c>
      <c r="T87" s="13">
        <f t="shared" si="32"/>
        <v>0.41239999999999999</v>
      </c>
      <c r="U87" s="13">
        <f t="shared" si="33"/>
        <v>0.41239999999999999</v>
      </c>
      <c r="V87" s="13"/>
      <c r="W87" s="6"/>
      <c r="X87" s="13">
        <f t="shared" si="23"/>
        <v>1.0310000000000001</v>
      </c>
      <c r="Y87" s="13">
        <f t="shared" si="31"/>
        <v>1.0310000000000001</v>
      </c>
      <c r="Z87" s="6"/>
      <c r="AA87" s="6"/>
      <c r="AB87" s="6"/>
      <c r="AC87" s="70">
        <v>2</v>
      </c>
      <c r="AD87" s="6"/>
    </row>
    <row r="88" spans="1:30" x14ac:dyDescent="0.25">
      <c r="A88" s="6">
        <f t="shared" si="30"/>
        <v>80</v>
      </c>
      <c r="B88" s="6">
        <v>356</v>
      </c>
      <c r="C88" s="6" t="s">
        <v>43</v>
      </c>
      <c r="D88" s="36" t="s">
        <v>659</v>
      </c>
      <c r="E88" s="6" t="s">
        <v>566</v>
      </c>
      <c r="F88" s="6">
        <v>113</v>
      </c>
      <c r="G88" s="6">
        <v>0.6</v>
      </c>
      <c r="H88" s="79" t="s">
        <v>630</v>
      </c>
      <c r="I88" s="36">
        <v>1.2</v>
      </c>
      <c r="J88" s="36">
        <v>1.2</v>
      </c>
      <c r="K88" s="73">
        <f t="shared" si="20"/>
        <v>135.6</v>
      </c>
      <c r="L88" s="70"/>
      <c r="M88" s="70">
        <f t="shared" si="21"/>
        <v>135.6</v>
      </c>
      <c r="N88" s="6"/>
      <c r="O88" s="6"/>
      <c r="P88" s="70">
        <f t="shared" si="22"/>
        <v>81.36</v>
      </c>
      <c r="Q88" s="6"/>
      <c r="R88" s="6"/>
      <c r="S88" s="13">
        <f t="shared" si="34"/>
        <v>2.2599999999999999E-2</v>
      </c>
      <c r="T88" s="13">
        <f t="shared" si="32"/>
        <v>4.5199999999999997E-2</v>
      </c>
      <c r="U88" s="13">
        <f t="shared" si="33"/>
        <v>4.5199999999999997E-2</v>
      </c>
      <c r="V88" s="13"/>
      <c r="W88" s="6"/>
      <c r="X88" s="13">
        <f>SUM(S88:V88)</f>
        <v>0.11299999999999999</v>
      </c>
      <c r="Y88" s="13">
        <f>X88</f>
        <v>0.11299999999999999</v>
      </c>
      <c r="Z88" s="6"/>
      <c r="AA88" s="6"/>
      <c r="AB88" s="6"/>
      <c r="AC88" s="70"/>
      <c r="AD88" s="6"/>
    </row>
    <row r="89" spans="1:30" x14ac:dyDescent="0.25">
      <c r="A89" s="6">
        <f t="shared" si="30"/>
        <v>81</v>
      </c>
      <c r="B89" s="6">
        <v>358</v>
      </c>
      <c r="C89" s="6" t="s">
        <v>43</v>
      </c>
      <c r="D89" s="36" t="s">
        <v>659</v>
      </c>
      <c r="E89" s="6" t="s">
        <v>566</v>
      </c>
      <c r="F89" s="6">
        <v>194</v>
      </c>
      <c r="G89" s="6">
        <v>0.6</v>
      </c>
      <c r="H89" s="79" t="s">
        <v>630</v>
      </c>
      <c r="I89" s="36">
        <v>1.2</v>
      </c>
      <c r="J89" s="36">
        <v>1.2</v>
      </c>
      <c r="K89" s="73">
        <f t="shared" si="20"/>
        <v>232.79999999999998</v>
      </c>
      <c r="L89" s="70"/>
      <c r="M89" s="70">
        <f t="shared" si="21"/>
        <v>232.79999999999998</v>
      </c>
      <c r="N89" s="6"/>
      <c r="O89" s="6"/>
      <c r="P89" s="70">
        <f t="shared" si="22"/>
        <v>139.67999999999998</v>
      </c>
      <c r="Q89" s="6"/>
      <c r="R89" s="6"/>
      <c r="S89" s="13">
        <f t="shared" si="34"/>
        <v>3.8800000000000001E-2</v>
      </c>
      <c r="T89" s="13">
        <f t="shared" si="32"/>
        <v>7.7600000000000002E-2</v>
      </c>
      <c r="U89" s="13">
        <f t="shared" si="33"/>
        <v>7.7600000000000002E-2</v>
      </c>
      <c r="V89" s="13"/>
      <c r="W89" s="6"/>
      <c r="X89" s="13">
        <f t="shared" ref="X89:X104" si="35">SUM(S89:V89)</f>
        <v>0.19400000000000001</v>
      </c>
      <c r="Y89" s="13">
        <f t="shared" ref="Y89:Y104" si="36">X89</f>
        <v>0.19400000000000001</v>
      </c>
      <c r="Z89" s="6"/>
      <c r="AA89" s="6"/>
      <c r="AB89" s="6"/>
      <c r="AC89" s="70"/>
      <c r="AD89" s="6"/>
    </row>
    <row r="90" spans="1:30" x14ac:dyDescent="0.25">
      <c r="A90" s="6">
        <f t="shared" si="30"/>
        <v>82</v>
      </c>
      <c r="B90" s="6">
        <v>360</v>
      </c>
      <c r="C90" s="6" t="s">
        <v>43</v>
      </c>
      <c r="D90" s="36" t="s">
        <v>670</v>
      </c>
      <c r="E90" s="6" t="s">
        <v>566</v>
      </c>
      <c r="F90" s="6">
        <v>252</v>
      </c>
      <c r="G90" s="6">
        <v>0.6</v>
      </c>
      <c r="H90" s="79" t="s">
        <v>630</v>
      </c>
      <c r="I90" s="36">
        <v>1.2</v>
      </c>
      <c r="J90" s="36">
        <v>1.2</v>
      </c>
      <c r="K90" s="73">
        <f t="shared" ref="K90:K194" si="37">F90*J90</f>
        <v>302.39999999999998</v>
      </c>
      <c r="L90" s="70"/>
      <c r="M90" s="70">
        <f t="shared" ref="M90:M194" si="38">K90+L90</f>
        <v>302.39999999999998</v>
      </c>
      <c r="N90" s="6"/>
      <c r="O90" s="6"/>
      <c r="P90" s="70">
        <f t="shared" ref="P90:P194" si="39">M90*0.6</f>
        <v>181.43999999999997</v>
      </c>
      <c r="Q90" s="6"/>
      <c r="R90" s="6"/>
      <c r="S90" s="13">
        <f t="shared" si="34"/>
        <v>5.04E-2</v>
      </c>
      <c r="T90" s="13">
        <f t="shared" si="32"/>
        <v>0.1008</v>
      </c>
      <c r="U90" s="13">
        <f t="shared" si="33"/>
        <v>0.1008</v>
      </c>
      <c r="V90" s="13"/>
      <c r="W90" s="6"/>
      <c r="X90" s="13">
        <f t="shared" si="35"/>
        <v>0.252</v>
      </c>
      <c r="Y90" s="13">
        <f t="shared" si="36"/>
        <v>0.252</v>
      </c>
      <c r="Z90" s="6"/>
      <c r="AA90" s="6"/>
      <c r="AB90" s="6"/>
      <c r="AC90" s="70"/>
      <c r="AD90" s="6"/>
    </row>
    <row r="91" spans="1:30" ht="38.25" x14ac:dyDescent="0.25">
      <c r="A91" s="6">
        <f t="shared" si="30"/>
        <v>83</v>
      </c>
      <c r="B91" s="6">
        <v>361</v>
      </c>
      <c r="C91" s="6" t="s">
        <v>43</v>
      </c>
      <c r="D91" s="48" t="s">
        <v>671</v>
      </c>
      <c r="E91" s="6" t="s">
        <v>566</v>
      </c>
      <c r="F91" s="6">
        <v>1038</v>
      </c>
      <c r="G91" s="6">
        <v>0.6</v>
      </c>
      <c r="H91" s="79" t="s">
        <v>630</v>
      </c>
      <c r="I91" s="36">
        <v>1.2</v>
      </c>
      <c r="J91" s="36">
        <v>1.2</v>
      </c>
      <c r="K91" s="73">
        <f t="shared" si="37"/>
        <v>1245.5999999999999</v>
      </c>
      <c r="L91" s="70"/>
      <c r="M91" s="70">
        <f t="shared" si="38"/>
        <v>1245.5999999999999</v>
      </c>
      <c r="N91" s="6"/>
      <c r="O91" s="6"/>
      <c r="P91" s="70">
        <f t="shared" si="39"/>
        <v>747.3599999999999</v>
      </c>
      <c r="Q91" s="6"/>
      <c r="R91" s="6"/>
      <c r="S91" s="13">
        <f>4*F91/10000</f>
        <v>0.41520000000000001</v>
      </c>
      <c r="T91" s="13">
        <f t="shared" si="32"/>
        <v>0.41520000000000001</v>
      </c>
      <c r="U91" s="13">
        <f>2*F91/10000</f>
        <v>0.20760000000000001</v>
      </c>
      <c r="V91" s="13"/>
      <c r="W91" s="6"/>
      <c r="X91" s="13">
        <f t="shared" si="35"/>
        <v>1.038</v>
      </c>
      <c r="Y91" s="13">
        <f t="shared" si="36"/>
        <v>1.038</v>
      </c>
      <c r="Z91" s="6"/>
      <c r="AA91" s="6"/>
      <c r="AB91" s="6"/>
      <c r="AC91" s="70">
        <v>2</v>
      </c>
      <c r="AD91" s="6"/>
    </row>
    <row r="92" spans="1:30" x14ac:dyDescent="0.25">
      <c r="A92" s="6">
        <f t="shared" si="30"/>
        <v>84</v>
      </c>
      <c r="B92" s="6" t="s">
        <v>252</v>
      </c>
      <c r="C92" s="6" t="s">
        <v>43</v>
      </c>
      <c r="D92" s="36" t="s">
        <v>672</v>
      </c>
      <c r="E92" s="6" t="s">
        <v>566</v>
      </c>
      <c r="F92" s="6">
        <v>159</v>
      </c>
      <c r="G92" s="6">
        <v>0.6</v>
      </c>
      <c r="H92" s="79" t="s">
        <v>630</v>
      </c>
      <c r="I92" s="36">
        <v>1.2</v>
      </c>
      <c r="J92" s="36">
        <v>1.2</v>
      </c>
      <c r="K92" s="73">
        <f t="shared" si="37"/>
        <v>190.79999999999998</v>
      </c>
      <c r="L92" s="70"/>
      <c r="M92" s="70">
        <f t="shared" si="38"/>
        <v>190.79999999999998</v>
      </c>
      <c r="N92" s="6"/>
      <c r="O92" s="6"/>
      <c r="P92" s="70">
        <f t="shared" si="39"/>
        <v>114.47999999999999</v>
      </c>
      <c r="Q92" s="6"/>
      <c r="R92" s="6"/>
      <c r="S92" s="13"/>
      <c r="T92" s="13">
        <f t="shared" si="32"/>
        <v>6.3600000000000004E-2</v>
      </c>
      <c r="U92" s="13">
        <f>6*F92/10000</f>
        <v>9.5399999999999999E-2</v>
      </c>
      <c r="V92" s="13">
        <f>2*F92/10000</f>
        <v>3.1800000000000002E-2</v>
      </c>
      <c r="W92" s="6"/>
      <c r="X92" s="13">
        <f t="shared" si="35"/>
        <v>0.1908</v>
      </c>
      <c r="Y92" s="13">
        <f t="shared" si="36"/>
        <v>0.1908</v>
      </c>
      <c r="Z92" s="6"/>
      <c r="AA92" s="6"/>
      <c r="AB92" s="6"/>
      <c r="AC92" s="70"/>
      <c r="AD92" s="6"/>
    </row>
    <row r="93" spans="1:30" x14ac:dyDescent="0.25">
      <c r="A93" s="6">
        <f t="shared" si="30"/>
        <v>85</v>
      </c>
      <c r="B93" s="6">
        <v>365</v>
      </c>
      <c r="C93" s="6" t="s">
        <v>43</v>
      </c>
      <c r="D93" s="36" t="s">
        <v>672</v>
      </c>
      <c r="E93" s="6" t="s">
        <v>566</v>
      </c>
      <c r="F93" s="6">
        <v>601</v>
      </c>
      <c r="G93" s="6">
        <v>0.6</v>
      </c>
      <c r="H93" s="79" t="s">
        <v>630</v>
      </c>
      <c r="I93" s="36">
        <v>1.2</v>
      </c>
      <c r="J93" s="36">
        <v>1.2</v>
      </c>
      <c r="K93" s="73">
        <f t="shared" si="37"/>
        <v>721.19999999999993</v>
      </c>
      <c r="L93" s="70"/>
      <c r="M93" s="70">
        <f t="shared" si="38"/>
        <v>721.19999999999993</v>
      </c>
      <c r="N93" s="6"/>
      <c r="O93" s="6"/>
      <c r="P93" s="70">
        <f t="shared" si="39"/>
        <v>432.71999999999997</v>
      </c>
      <c r="Q93" s="6"/>
      <c r="R93" s="6"/>
      <c r="S93" s="13"/>
      <c r="T93" s="13">
        <f t="shared" si="32"/>
        <v>0.2404</v>
      </c>
      <c r="U93" s="13">
        <f>6*F93/10000</f>
        <v>0.36059999999999998</v>
      </c>
      <c r="V93" s="13">
        <f>2*F93/10000</f>
        <v>0.1202</v>
      </c>
      <c r="W93" s="6"/>
      <c r="X93" s="13">
        <f t="shared" si="35"/>
        <v>0.72119999999999995</v>
      </c>
      <c r="Y93" s="13">
        <f t="shared" si="36"/>
        <v>0.72119999999999995</v>
      </c>
      <c r="Z93" s="6"/>
      <c r="AA93" s="6"/>
      <c r="AB93" s="6"/>
      <c r="AC93" s="70">
        <v>1</v>
      </c>
      <c r="AD93" s="6"/>
    </row>
    <row r="94" spans="1:30" x14ac:dyDescent="0.25">
      <c r="A94" s="6">
        <f t="shared" si="30"/>
        <v>86</v>
      </c>
      <c r="B94" s="6">
        <v>366</v>
      </c>
      <c r="C94" s="6" t="s">
        <v>43</v>
      </c>
      <c r="D94" s="36" t="s">
        <v>673</v>
      </c>
      <c r="E94" s="6" t="s">
        <v>566</v>
      </c>
      <c r="F94" s="6">
        <v>490</v>
      </c>
      <c r="G94" s="6">
        <v>0.6</v>
      </c>
      <c r="H94" s="79" t="s">
        <v>630</v>
      </c>
      <c r="I94" s="36">
        <v>1.2</v>
      </c>
      <c r="J94" s="36">
        <v>1.2</v>
      </c>
      <c r="K94" s="73">
        <f t="shared" si="37"/>
        <v>588</v>
      </c>
      <c r="L94" s="70"/>
      <c r="M94" s="70">
        <f t="shared" si="38"/>
        <v>588</v>
      </c>
      <c r="N94" s="6"/>
      <c r="O94" s="6"/>
      <c r="P94" s="70">
        <f t="shared" si="39"/>
        <v>352.8</v>
      </c>
      <c r="Q94" s="6"/>
      <c r="R94" s="6"/>
      <c r="S94" s="13"/>
      <c r="T94" s="13"/>
      <c r="U94" s="13">
        <f>6*F94/10000</f>
        <v>0.29399999999999998</v>
      </c>
      <c r="V94" s="13">
        <f>6*F94/10000</f>
        <v>0.29399999999999998</v>
      </c>
      <c r="W94" s="6"/>
      <c r="X94" s="13">
        <f t="shared" si="35"/>
        <v>0.58799999999999997</v>
      </c>
      <c r="Y94" s="13">
        <f t="shared" si="36"/>
        <v>0.58799999999999997</v>
      </c>
      <c r="Z94" s="6"/>
      <c r="AA94" s="6"/>
      <c r="AB94" s="6"/>
      <c r="AC94" s="70">
        <v>1</v>
      </c>
      <c r="AD94" s="6"/>
    </row>
    <row r="95" spans="1:30" ht="38.25" x14ac:dyDescent="0.25">
      <c r="A95" s="6">
        <f t="shared" si="30"/>
        <v>87</v>
      </c>
      <c r="B95" s="6">
        <v>367</v>
      </c>
      <c r="C95" s="6" t="s">
        <v>43</v>
      </c>
      <c r="D95" s="48" t="s">
        <v>674</v>
      </c>
      <c r="E95" s="6" t="s">
        <v>566</v>
      </c>
      <c r="F95" s="6">
        <v>599</v>
      </c>
      <c r="G95" s="6">
        <v>0.6</v>
      </c>
      <c r="H95" s="79" t="s">
        <v>630</v>
      </c>
      <c r="I95" s="36">
        <v>1.2</v>
      </c>
      <c r="J95" s="36">
        <v>1.2</v>
      </c>
      <c r="K95" s="73">
        <f t="shared" si="37"/>
        <v>718.8</v>
      </c>
      <c r="L95" s="70"/>
      <c r="M95" s="70">
        <f t="shared" si="38"/>
        <v>718.8</v>
      </c>
      <c r="N95" s="6"/>
      <c r="O95" s="6"/>
      <c r="P95" s="70">
        <f t="shared" si="39"/>
        <v>431.28</v>
      </c>
      <c r="Q95" s="6"/>
      <c r="R95" s="6"/>
      <c r="S95" s="13"/>
      <c r="T95" s="13">
        <f>4*F95/10000</f>
        <v>0.23960000000000001</v>
      </c>
      <c r="U95" s="13">
        <f>6*F95/10000</f>
        <v>0.3594</v>
      </c>
      <c r="V95" s="13">
        <f>2*F95/10000</f>
        <v>0.1198</v>
      </c>
      <c r="W95" s="6"/>
      <c r="X95" s="13">
        <f t="shared" si="35"/>
        <v>0.71879999999999999</v>
      </c>
      <c r="Y95" s="13">
        <f t="shared" si="36"/>
        <v>0.71879999999999999</v>
      </c>
      <c r="Z95" s="6"/>
      <c r="AA95" s="6"/>
      <c r="AB95" s="6"/>
      <c r="AC95" s="70">
        <v>1</v>
      </c>
      <c r="AD95" s="6"/>
    </row>
    <row r="96" spans="1:30" x14ac:dyDescent="0.25">
      <c r="A96" s="6">
        <f t="shared" si="30"/>
        <v>88</v>
      </c>
      <c r="B96" s="6">
        <v>368</v>
      </c>
      <c r="C96" s="6" t="s">
        <v>43</v>
      </c>
      <c r="D96" s="36" t="s">
        <v>673</v>
      </c>
      <c r="E96" s="6" t="s">
        <v>566</v>
      </c>
      <c r="F96" s="6">
        <v>427</v>
      </c>
      <c r="G96" s="6">
        <v>0.6</v>
      </c>
      <c r="H96" s="79" t="s">
        <v>630</v>
      </c>
      <c r="I96" s="36">
        <v>1.2</v>
      </c>
      <c r="J96" s="36">
        <v>1.2</v>
      </c>
      <c r="K96" s="73">
        <f t="shared" si="37"/>
        <v>512.4</v>
      </c>
      <c r="L96" s="70"/>
      <c r="M96" s="70">
        <f t="shared" si="38"/>
        <v>512.4</v>
      </c>
      <c r="N96" s="6"/>
      <c r="O96" s="6"/>
      <c r="P96" s="70">
        <f t="shared" si="39"/>
        <v>307.44</v>
      </c>
      <c r="Q96" s="6"/>
      <c r="R96" s="6"/>
      <c r="S96" s="13"/>
      <c r="T96" s="13">
        <f>4*F96/10000</f>
        <v>0.17080000000000001</v>
      </c>
      <c r="U96" s="13">
        <f>6*F96/10000</f>
        <v>0.25619999999999998</v>
      </c>
      <c r="V96" s="13">
        <f>2*F96/10000</f>
        <v>8.5400000000000004E-2</v>
      </c>
      <c r="W96" s="6"/>
      <c r="X96" s="13">
        <f t="shared" si="35"/>
        <v>0.51239999999999997</v>
      </c>
      <c r="Y96" s="13">
        <f t="shared" si="36"/>
        <v>0.51239999999999997</v>
      </c>
      <c r="Z96" s="6"/>
      <c r="AA96" s="6"/>
      <c r="AB96" s="6"/>
      <c r="AC96" s="70"/>
      <c r="AD96" s="6"/>
    </row>
    <row r="97" spans="1:30" x14ac:dyDescent="0.25">
      <c r="A97" s="6">
        <f t="shared" si="30"/>
        <v>89</v>
      </c>
      <c r="B97" s="6">
        <v>369</v>
      </c>
      <c r="C97" s="6" t="s">
        <v>43</v>
      </c>
      <c r="D97" s="36" t="s">
        <v>675</v>
      </c>
      <c r="E97" s="6" t="s">
        <v>562</v>
      </c>
      <c r="F97" s="6">
        <v>389</v>
      </c>
      <c r="G97" s="6">
        <v>0.6</v>
      </c>
      <c r="H97" s="79" t="s">
        <v>630</v>
      </c>
      <c r="I97" s="36">
        <v>1.2</v>
      </c>
      <c r="J97" s="36">
        <v>1.2</v>
      </c>
      <c r="K97" s="73">
        <f t="shared" si="37"/>
        <v>466.79999999999995</v>
      </c>
      <c r="L97" s="70"/>
      <c r="M97" s="70">
        <f t="shared" si="38"/>
        <v>466.79999999999995</v>
      </c>
      <c r="N97" s="6"/>
      <c r="O97" s="6"/>
      <c r="P97" s="70">
        <f t="shared" si="39"/>
        <v>280.08</v>
      </c>
      <c r="Q97" s="6"/>
      <c r="R97" s="6"/>
      <c r="S97" s="13"/>
      <c r="T97" s="13">
        <f>4*F97/10000</f>
        <v>0.15559999999999999</v>
      </c>
      <c r="U97" s="13">
        <f>4*F97/10000</f>
        <v>0.15559999999999999</v>
      </c>
      <c r="V97" s="13"/>
      <c r="W97" s="6"/>
      <c r="X97" s="13">
        <f t="shared" si="35"/>
        <v>0.31119999999999998</v>
      </c>
      <c r="Y97" s="13">
        <f t="shared" si="36"/>
        <v>0.31119999999999998</v>
      </c>
      <c r="Z97" s="6"/>
      <c r="AA97" s="6"/>
      <c r="AB97" s="6"/>
      <c r="AC97" s="70"/>
      <c r="AD97" s="6"/>
    </row>
    <row r="98" spans="1:30" x14ac:dyDescent="0.25">
      <c r="A98" s="6">
        <f t="shared" si="30"/>
        <v>90</v>
      </c>
      <c r="B98" s="6">
        <v>371</v>
      </c>
      <c r="C98" s="6" t="s">
        <v>43</v>
      </c>
      <c r="D98" s="36" t="s">
        <v>676</v>
      </c>
      <c r="E98" s="6" t="s">
        <v>566</v>
      </c>
      <c r="F98" s="6">
        <v>352</v>
      </c>
      <c r="G98" s="6">
        <v>0.6</v>
      </c>
      <c r="H98" s="79" t="s">
        <v>630</v>
      </c>
      <c r="I98" s="36">
        <v>1.2</v>
      </c>
      <c r="J98" s="36">
        <v>1.2</v>
      </c>
      <c r="K98" s="73">
        <f t="shared" si="37"/>
        <v>422.4</v>
      </c>
      <c r="L98" s="70"/>
      <c r="M98" s="70">
        <f t="shared" si="38"/>
        <v>422.4</v>
      </c>
      <c r="N98" s="6"/>
      <c r="O98" s="6"/>
      <c r="P98" s="70">
        <f t="shared" si="39"/>
        <v>253.43999999999997</v>
      </c>
      <c r="Q98" s="6"/>
      <c r="R98" s="6"/>
      <c r="S98" s="13"/>
      <c r="T98" s="13">
        <f>4*F98/10000</f>
        <v>0.14080000000000001</v>
      </c>
      <c r="U98" s="13">
        <f>4*F98/10000</f>
        <v>0.14080000000000001</v>
      </c>
      <c r="V98" s="13"/>
      <c r="W98" s="6"/>
      <c r="X98" s="13">
        <f t="shared" si="35"/>
        <v>0.28160000000000002</v>
      </c>
      <c r="Y98" s="13">
        <f t="shared" si="36"/>
        <v>0.28160000000000002</v>
      </c>
      <c r="Z98" s="6"/>
      <c r="AA98" s="6"/>
      <c r="AB98" s="6"/>
      <c r="AC98" s="70"/>
      <c r="AD98" s="6"/>
    </row>
    <row r="99" spans="1:30" x14ac:dyDescent="0.25">
      <c r="A99" s="6">
        <f t="shared" si="30"/>
        <v>91</v>
      </c>
      <c r="B99" s="6">
        <v>372</v>
      </c>
      <c r="C99" s="6" t="s">
        <v>43</v>
      </c>
      <c r="D99" s="36" t="s">
        <v>676</v>
      </c>
      <c r="E99" s="6" t="s">
        <v>566</v>
      </c>
      <c r="F99" s="6">
        <v>297</v>
      </c>
      <c r="G99" s="6">
        <v>0.6</v>
      </c>
      <c r="H99" s="79" t="s">
        <v>630</v>
      </c>
      <c r="I99" s="36">
        <v>1.2</v>
      </c>
      <c r="J99" s="36">
        <v>1.2</v>
      </c>
      <c r="K99" s="73">
        <f t="shared" si="37"/>
        <v>356.4</v>
      </c>
      <c r="L99" s="70"/>
      <c r="M99" s="70">
        <f t="shared" si="38"/>
        <v>356.4</v>
      </c>
      <c r="N99" s="6"/>
      <c r="O99" s="6"/>
      <c r="P99" s="70">
        <f t="shared" si="39"/>
        <v>213.83999999999997</v>
      </c>
      <c r="Q99" s="6"/>
      <c r="R99" s="6"/>
      <c r="S99" s="13"/>
      <c r="T99" s="13"/>
      <c r="U99" s="13">
        <f>2*F99/10000</f>
        <v>5.9400000000000001E-2</v>
      </c>
      <c r="V99" s="13"/>
      <c r="W99" s="6"/>
      <c r="X99" s="13">
        <f t="shared" si="35"/>
        <v>5.9400000000000001E-2</v>
      </c>
      <c r="Y99" s="13">
        <f t="shared" si="36"/>
        <v>5.9400000000000001E-2</v>
      </c>
      <c r="Z99" s="6"/>
      <c r="AA99" s="6"/>
      <c r="AB99" s="6"/>
      <c r="AC99" s="70"/>
      <c r="AD99" s="6"/>
    </row>
    <row r="100" spans="1:30" ht="25.5" x14ac:dyDescent="0.25">
      <c r="A100" s="6">
        <f t="shared" si="30"/>
        <v>92</v>
      </c>
      <c r="B100" s="6">
        <v>373</v>
      </c>
      <c r="C100" s="6" t="s">
        <v>43</v>
      </c>
      <c r="D100" s="48" t="s">
        <v>677</v>
      </c>
      <c r="E100" s="6" t="s">
        <v>566</v>
      </c>
      <c r="F100" s="6">
        <v>530</v>
      </c>
      <c r="G100" s="6">
        <v>0.6</v>
      </c>
      <c r="H100" s="79" t="s">
        <v>630</v>
      </c>
      <c r="I100" s="36">
        <v>1.2</v>
      </c>
      <c r="J100" s="36">
        <v>1.2</v>
      </c>
      <c r="K100" s="73">
        <f t="shared" si="37"/>
        <v>636</v>
      </c>
      <c r="L100" s="70"/>
      <c r="M100" s="70">
        <f t="shared" si="38"/>
        <v>636</v>
      </c>
      <c r="N100" s="6"/>
      <c r="O100" s="6"/>
      <c r="P100" s="70">
        <f t="shared" si="39"/>
        <v>381.59999999999997</v>
      </c>
      <c r="Q100" s="6"/>
      <c r="R100" s="6"/>
      <c r="S100" s="13"/>
      <c r="T100" s="13">
        <f>4*F100/10000</f>
        <v>0.21199999999999999</v>
      </c>
      <c r="U100" s="13">
        <f>4*F100/10000</f>
        <v>0.21199999999999999</v>
      </c>
      <c r="V100" s="13"/>
      <c r="W100" s="6"/>
      <c r="X100" s="13">
        <f t="shared" si="35"/>
        <v>0.42399999999999999</v>
      </c>
      <c r="Y100" s="13">
        <f t="shared" si="36"/>
        <v>0.42399999999999999</v>
      </c>
      <c r="Z100" s="6"/>
      <c r="AA100" s="6"/>
      <c r="AB100" s="6"/>
      <c r="AC100" s="70">
        <v>1</v>
      </c>
      <c r="AD100" s="6"/>
    </row>
    <row r="101" spans="1:30" x14ac:dyDescent="0.25">
      <c r="A101" s="6">
        <f t="shared" si="30"/>
        <v>93</v>
      </c>
      <c r="B101" s="6">
        <v>374</v>
      </c>
      <c r="C101" s="6" t="s">
        <v>43</v>
      </c>
      <c r="D101" s="36" t="s">
        <v>676</v>
      </c>
      <c r="E101" s="6" t="s">
        <v>566</v>
      </c>
      <c r="F101" s="6">
        <v>362</v>
      </c>
      <c r="G101" s="6">
        <v>0.6</v>
      </c>
      <c r="H101" s="79" t="s">
        <v>630</v>
      </c>
      <c r="I101" s="36">
        <v>1.2</v>
      </c>
      <c r="J101" s="36">
        <v>1.2</v>
      </c>
      <c r="K101" s="73">
        <f t="shared" si="37"/>
        <v>434.4</v>
      </c>
      <c r="L101" s="70"/>
      <c r="M101" s="70">
        <f t="shared" si="38"/>
        <v>434.4</v>
      </c>
      <c r="N101" s="6"/>
      <c r="O101" s="6"/>
      <c r="P101" s="70">
        <f t="shared" si="39"/>
        <v>260.64</v>
      </c>
      <c r="Q101" s="6"/>
      <c r="R101" s="6"/>
      <c r="S101" s="13"/>
      <c r="T101" s="13">
        <f>4*F101/10000</f>
        <v>0.14480000000000001</v>
      </c>
      <c r="U101" s="13">
        <f>4*F101/10000</f>
        <v>0.14480000000000001</v>
      </c>
      <c r="V101" s="13"/>
      <c r="W101" s="6"/>
      <c r="X101" s="13">
        <f t="shared" si="35"/>
        <v>0.28960000000000002</v>
      </c>
      <c r="Y101" s="13">
        <f t="shared" si="36"/>
        <v>0.28960000000000002</v>
      </c>
      <c r="Z101" s="6"/>
      <c r="AA101" s="6"/>
      <c r="AB101" s="6"/>
      <c r="AC101" s="70"/>
      <c r="AD101" s="6"/>
    </row>
    <row r="102" spans="1:30" ht="25.5" x14ac:dyDescent="0.25">
      <c r="A102" s="6">
        <f t="shared" si="30"/>
        <v>94</v>
      </c>
      <c r="B102" s="6">
        <v>375</v>
      </c>
      <c r="C102" s="6" t="s">
        <v>43</v>
      </c>
      <c r="D102" s="48" t="s">
        <v>678</v>
      </c>
      <c r="E102" s="6" t="s">
        <v>566</v>
      </c>
      <c r="F102" s="6">
        <v>933</v>
      </c>
      <c r="G102" s="6">
        <v>0.6</v>
      </c>
      <c r="H102" s="79" t="s">
        <v>630</v>
      </c>
      <c r="I102" s="36">
        <v>1.2</v>
      </c>
      <c r="J102" s="36">
        <v>1.2</v>
      </c>
      <c r="K102" s="73">
        <f t="shared" si="37"/>
        <v>1119.5999999999999</v>
      </c>
      <c r="L102" s="70"/>
      <c r="M102" s="70">
        <f t="shared" si="38"/>
        <v>1119.5999999999999</v>
      </c>
      <c r="N102" s="6"/>
      <c r="O102" s="6"/>
      <c r="P102" s="70">
        <f t="shared" si="39"/>
        <v>671.75999999999988</v>
      </c>
      <c r="Q102" s="6"/>
      <c r="R102" s="6"/>
      <c r="S102" s="13"/>
      <c r="T102" s="13">
        <f>4*F102/10000</f>
        <v>0.37319999999999998</v>
      </c>
      <c r="U102" s="13">
        <f>4*F102/10000</f>
        <v>0.37319999999999998</v>
      </c>
      <c r="V102" s="13">
        <f>2*F102/10000</f>
        <v>0.18659999999999999</v>
      </c>
      <c r="W102" s="6"/>
      <c r="X102" s="13">
        <f t="shared" si="35"/>
        <v>0.93299999999999994</v>
      </c>
      <c r="Y102" s="13">
        <f t="shared" si="36"/>
        <v>0.93299999999999994</v>
      </c>
      <c r="Z102" s="6"/>
      <c r="AA102" s="6"/>
      <c r="AB102" s="6"/>
      <c r="AC102" s="70">
        <v>2</v>
      </c>
      <c r="AD102" s="6"/>
    </row>
    <row r="103" spans="1:30" ht="25.5" x14ac:dyDescent="0.25">
      <c r="A103" s="6">
        <f t="shared" si="30"/>
        <v>95</v>
      </c>
      <c r="B103" s="6">
        <v>376</v>
      </c>
      <c r="C103" s="6" t="s">
        <v>43</v>
      </c>
      <c r="D103" s="48" t="s">
        <v>677</v>
      </c>
      <c r="E103" s="6" t="s">
        <v>566</v>
      </c>
      <c r="F103" s="6">
        <v>692</v>
      </c>
      <c r="G103" s="6">
        <v>0.6</v>
      </c>
      <c r="H103" s="79" t="s">
        <v>630</v>
      </c>
      <c r="I103" s="36">
        <v>1.2</v>
      </c>
      <c r="J103" s="36">
        <v>1.2</v>
      </c>
      <c r="K103" s="73">
        <f t="shared" si="37"/>
        <v>830.4</v>
      </c>
      <c r="L103" s="70"/>
      <c r="M103" s="70">
        <f t="shared" si="38"/>
        <v>830.4</v>
      </c>
      <c r="N103" s="6"/>
      <c r="O103" s="6"/>
      <c r="P103" s="70">
        <f t="shared" si="39"/>
        <v>498.23999999999995</v>
      </c>
      <c r="Q103" s="6"/>
      <c r="R103" s="6"/>
      <c r="S103" s="13"/>
      <c r="T103" s="13">
        <f>4*F103/10000</f>
        <v>0.27679999999999999</v>
      </c>
      <c r="U103" s="13">
        <f>4*F103/10000</f>
        <v>0.27679999999999999</v>
      </c>
      <c r="V103" s="13"/>
      <c r="W103" s="6"/>
      <c r="X103" s="13">
        <f t="shared" si="35"/>
        <v>0.55359999999999998</v>
      </c>
      <c r="Y103" s="13">
        <f t="shared" si="36"/>
        <v>0.55359999999999998</v>
      </c>
      <c r="Z103" s="6"/>
      <c r="AA103" s="6"/>
      <c r="AB103" s="6"/>
      <c r="AC103" s="70">
        <v>1</v>
      </c>
      <c r="AD103" s="6"/>
    </row>
    <row r="104" spans="1:30" x14ac:dyDescent="0.25">
      <c r="A104" s="6">
        <f t="shared" si="30"/>
        <v>96</v>
      </c>
      <c r="B104" s="6">
        <v>377</v>
      </c>
      <c r="C104" s="6" t="s">
        <v>43</v>
      </c>
      <c r="D104" s="36" t="s">
        <v>679</v>
      </c>
      <c r="E104" s="6" t="s">
        <v>566</v>
      </c>
      <c r="F104" s="6">
        <v>377</v>
      </c>
      <c r="G104" s="6">
        <v>0.6</v>
      </c>
      <c r="H104" s="79" t="s">
        <v>630</v>
      </c>
      <c r="I104" s="36">
        <v>1.2</v>
      </c>
      <c r="J104" s="36">
        <v>1.2</v>
      </c>
      <c r="K104" s="73">
        <f t="shared" si="37"/>
        <v>452.4</v>
      </c>
      <c r="L104" s="70"/>
      <c r="M104" s="70">
        <f t="shared" si="38"/>
        <v>452.4</v>
      </c>
      <c r="N104" s="6"/>
      <c r="O104" s="6"/>
      <c r="P104" s="70">
        <f t="shared" si="39"/>
        <v>271.44</v>
      </c>
      <c r="Q104" s="6"/>
      <c r="R104" s="6"/>
      <c r="S104" s="13"/>
      <c r="T104" s="13">
        <f>4*F104/10000</f>
        <v>0.15079999999999999</v>
      </c>
      <c r="U104" s="13">
        <f>4*F104/10000</f>
        <v>0.15079999999999999</v>
      </c>
      <c r="V104" s="13">
        <f>2*F104/10000</f>
        <v>7.5399999999999995E-2</v>
      </c>
      <c r="W104" s="6"/>
      <c r="X104" s="13">
        <f t="shared" si="35"/>
        <v>0.377</v>
      </c>
      <c r="Y104" s="13">
        <f t="shared" si="36"/>
        <v>0.377</v>
      </c>
      <c r="Z104" s="6"/>
      <c r="AA104" s="6"/>
      <c r="AB104" s="6"/>
      <c r="AC104" s="70"/>
      <c r="AD104" s="6"/>
    </row>
    <row r="105" spans="1:30" x14ac:dyDescent="0.25">
      <c r="A105" s="6">
        <f t="shared" si="30"/>
        <v>97</v>
      </c>
      <c r="B105" s="6">
        <v>378</v>
      </c>
      <c r="C105" s="6" t="s">
        <v>43</v>
      </c>
      <c r="D105" s="36" t="s">
        <v>679</v>
      </c>
      <c r="E105" s="6" t="s">
        <v>566</v>
      </c>
      <c r="F105" s="6">
        <v>302</v>
      </c>
      <c r="G105" s="6">
        <v>0.6</v>
      </c>
      <c r="H105" s="79" t="s">
        <v>630</v>
      </c>
      <c r="I105" s="36">
        <v>1.2</v>
      </c>
      <c r="J105" s="36">
        <v>1.2</v>
      </c>
      <c r="K105" s="73">
        <f t="shared" si="37"/>
        <v>362.4</v>
      </c>
      <c r="L105" s="70"/>
      <c r="M105" s="70">
        <f t="shared" si="38"/>
        <v>362.4</v>
      </c>
      <c r="N105" s="6"/>
      <c r="O105" s="6"/>
      <c r="P105" s="70">
        <f t="shared" si="39"/>
        <v>217.43999999999997</v>
      </c>
      <c r="Q105" s="6"/>
      <c r="R105" s="6"/>
      <c r="S105" s="13"/>
      <c r="T105" s="13"/>
      <c r="U105" s="13">
        <f>6*F105/10000</f>
        <v>0.1812</v>
      </c>
      <c r="V105" s="13">
        <f>6*F105/10000</f>
        <v>0.1812</v>
      </c>
      <c r="W105" s="6"/>
      <c r="X105" s="13">
        <f>SUM(S105:V105)</f>
        <v>0.3624</v>
      </c>
      <c r="Y105" s="13">
        <f>X105</f>
        <v>0.3624</v>
      </c>
      <c r="Z105" s="6"/>
      <c r="AA105" s="6"/>
      <c r="AB105" s="6"/>
      <c r="AC105" s="70"/>
      <c r="AD105" s="6"/>
    </row>
    <row r="106" spans="1:30" x14ac:dyDescent="0.25">
      <c r="A106" s="6">
        <f t="shared" si="30"/>
        <v>98</v>
      </c>
      <c r="B106" s="6">
        <v>379</v>
      </c>
      <c r="C106" s="6" t="s">
        <v>43</v>
      </c>
      <c r="D106" s="36" t="s">
        <v>679</v>
      </c>
      <c r="E106" s="6" t="s">
        <v>566</v>
      </c>
      <c r="F106" s="6">
        <v>379</v>
      </c>
      <c r="G106" s="6">
        <v>0.6</v>
      </c>
      <c r="H106" s="79" t="s">
        <v>630</v>
      </c>
      <c r="I106" s="36">
        <v>1.2</v>
      </c>
      <c r="J106" s="36">
        <v>1.2</v>
      </c>
      <c r="K106" s="73">
        <f t="shared" si="37"/>
        <v>454.8</v>
      </c>
      <c r="L106" s="70"/>
      <c r="M106" s="70">
        <f t="shared" si="38"/>
        <v>454.8</v>
      </c>
      <c r="N106" s="6"/>
      <c r="O106" s="6"/>
      <c r="P106" s="70">
        <f t="shared" si="39"/>
        <v>272.88</v>
      </c>
      <c r="Q106" s="6"/>
      <c r="R106" s="6"/>
      <c r="S106" s="13">
        <f>6*F106/10000</f>
        <v>0.22739999999999999</v>
      </c>
      <c r="T106" s="13">
        <f>4*F106/10000</f>
        <v>0.15160000000000001</v>
      </c>
      <c r="U106" s="13"/>
      <c r="V106" s="13"/>
      <c r="W106" s="6"/>
      <c r="X106" s="13">
        <f t="shared" ref="X106:X123" si="40">SUM(S106:V106)</f>
        <v>0.379</v>
      </c>
      <c r="Y106" s="13">
        <f t="shared" ref="Y106:Y123" si="41">X106</f>
        <v>0.379</v>
      </c>
      <c r="Z106" s="6"/>
      <c r="AA106" s="6"/>
      <c r="AB106" s="6"/>
      <c r="AC106" s="70"/>
      <c r="AD106" s="6"/>
    </row>
    <row r="107" spans="1:30" s="47" customFormat="1" x14ac:dyDescent="0.25">
      <c r="A107" s="6">
        <f t="shared" si="30"/>
        <v>99</v>
      </c>
      <c r="B107" s="46"/>
      <c r="C107" s="46" t="s">
        <v>43</v>
      </c>
      <c r="D107" s="131" t="s">
        <v>933</v>
      </c>
      <c r="E107" s="46" t="s">
        <v>565</v>
      </c>
      <c r="F107" s="46"/>
      <c r="G107" s="46"/>
      <c r="H107" s="132"/>
      <c r="I107" s="131"/>
      <c r="J107" s="131"/>
      <c r="K107" s="133">
        <f>'T12'!O12</f>
        <v>1357.1999999999998</v>
      </c>
      <c r="L107" s="69"/>
      <c r="M107" s="69">
        <f>K107+L107</f>
        <v>1357.1999999999998</v>
      </c>
      <c r="N107" s="46"/>
      <c r="O107" s="46"/>
      <c r="P107" s="69">
        <f>M107*0.6</f>
        <v>814.31999999999982</v>
      </c>
      <c r="Q107" s="46"/>
      <c r="R107" s="46"/>
      <c r="S107" s="53"/>
      <c r="T107" s="53">
        <f>'T12'!S12</f>
        <v>0.08</v>
      </c>
      <c r="U107" s="53">
        <f>'T12'!T12</f>
        <v>0.08</v>
      </c>
      <c r="V107" s="53">
        <f>'T12'!U12</f>
        <v>0.02</v>
      </c>
      <c r="W107" s="46"/>
      <c r="X107" s="53">
        <f>SUM(S107:V107)</f>
        <v>0.18</v>
      </c>
      <c r="Y107" s="53">
        <f>X107</f>
        <v>0.18</v>
      </c>
      <c r="Z107" s="46"/>
      <c r="AA107" s="46"/>
      <c r="AB107" s="46"/>
      <c r="AC107" s="69"/>
      <c r="AD107" s="46"/>
    </row>
    <row r="108" spans="1:30" s="47" customFormat="1" ht="25.5" x14ac:dyDescent="0.25">
      <c r="A108" s="6">
        <f t="shared" si="30"/>
        <v>100</v>
      </c>
      <c r="B108" s="46">
        <v>501</v>
      </c>
      <c r="C108" s="46" t="s">
        <v>88</v>
      </c>
      <c r="D108" s="137" t="s">
        <v>680</v>
      </c>
      <c r="E108" s="46" t="s">
        <v>566</v>
      </c>
      <c r="F108" s="46">
        <v>549</v>
      </c>
      <c r="G108" s="46">
        <v>0.6</v>
      </c>
      <c r="H108" s="132" t="s">
        <v>630</v>
      </c>
      <c r="I108" s="131">
        <v>1.2</v>
      </c>
      <c r="J108" s="131">
        <v>1.2</v>
      </c>
      <c r="K108" s="133">
        <f t="shared" si="37"/>
        <v>658.8</v>
      </c>
      <c r="L108" s="69"/>
      <c r="M108" s="69">
        <f t="shared" si="38"/>
        <v>658.8</v>
      </c>
      <c r="N108" s="46"/>
      <c r="O108" s="46"/>
      <c r="P108" s="69">
        <f t="shared" si="39"/>
        <v>395.28</v>
      </c>
      <c r="Q108" s="46"/>
      <c r="R108" s="46"/>
      <c r="S108" s="53"/>
      <c r="T108" s="53">
        <f>4*F108/10000</f>
        <v>0.21959999999999999</v>
      </c>
      <c r="U108" s="53">
        <f>2*F108/10000</f>
        <v>0.10979999999999999</v>
      </c>
      <c r="V108" s="53">
        <f t="shared" ref="V108:V118" si="42">2*F108/10000</f>
        <v>0.10979999999999999</v>
      </c>
      <c r="W108" s="46"/>
      <c r="X108" s="53">
        <f t="shared" si="40"/>
        <v>0.43919999999999998</v>
      </c>
      <c r="Y108" s="53">
        <f t="shared" si="41"/>
        <v>0.43919999999999998</v>
      </c>
      <c r="Z108" s="46"/>
      <c r="AA108" s="46"/>
      <c r="AB108" s="46"/>
      <c r="AC108" s="69">
        <v>1</v>
      </c>
      <c r="AD108" s="46"/>
    </row>
    <row r="109" spans="1:30" ht="25.5" x14ac:dyDescent="0.25">
      <c r="A109" s="6">
        <f t="shared" si="30"/>
        <v>101</v>
      </c>
      <c r="B109" s="6">
        <v>507</v>
      </c>
      <c r="C109" s="6" t="s">
        <v>88</v>
      </c>
      <c r="D109" s="48" t="s">
        <v>681</v>
      </c>
      <c r="E109" s="6" t="s">
        <v>566</v>
      </c>
      <c r="F109" s="6">
        <v>299</v>
      </c>
      <c r="G109" s="6">
        <v>0.6</v>
      </c>
      <c r="H109" s="79" t="s">
        <v>630</v>
      </c>
      <c r="I109" s="36">
        <v>1.2</v>
      </c>
      <c r="J109" s="36">
        <v>1.2</v>
      </c>
      <c r="K109" s="73">
        <f t="shared" si="37"/>
        <v>358.8</v>
      </c>
      <c r="L109" s="70"/>
      <c r="M109" s="70">
        <f t="shared" si="38"/>
        <v>358.8</v>
      </c>
      <c r="N109" s="6"/>
      <c r="O109" s="6"/>
      <c r="P109" s="70">
        <f t="shared" si="39"/>
        <v>215.28</v>
      </c>
      <c r="Q109" s="6"/>
      <c r="R109" s="6"/>
      <c r="S109" s="13"/>
      <c r="T109" s="13">
        <f>6*F109/10000</f>
        <v>0.1794</v>
      </c>
      <c r="U109" s="13">
        <f>4*F109/10000</f>
        <v>0.1196</v>
      </c>
      <c r="V109" s="13">
        <f t="shared" si="42"/>
        <v>5.9799999999999999E-2</v>
      </c>
      <c r="W109" s="6"/>
      <c r="X109" s="13">
        <f t="shared" si="40"/>
        <v>0.35880000000000001</v>
      </c>
      <c r="Y109" s="13">
        <f t="shared" si="41"/>
        <v>0.35880000000000001</v>
      </c>
      <c r="Z109" s="6"/>
      <c r="AA109" s="6"/>
      <c r="AB109" s="6"/>
      <c r="AC109" s="70"/>
      <c r="AD109" s="6"/>
    </row>
    <row r="110" spans="1:30" x14ac:dyDescent="0.25">
      <c r="A110" s="6">
        <f t="shared" si="30"/>
        <v>102</v>
      </c>
      <c r="B110" s="6">
        <v>509</v>
      </c>
      <c r="C110" s="6" t="s">
        <v>88</v>
      </c>
      <c r="D110" s="36" t="s">
        <v>682</v>
      </c>
      <c r="E110" s="6" t="s">
        <v>566</v>
      </c>
      <c r="F110" s="6">
        <v>460</v>
      </c>
      <c r="G110" s="6">
        <v>0.6</v>
      </c>
      <c r="H110" s="79" t="s">
        <v>630</v>
      </c>
      <c r="I110" s="36">
        <v>1.2</v>
      </c>
      <c r="J110" s="36">
        <v>1.2</v>
      </c>
      <c r="K110" s="73">
        <f t="shared" si="37"/>
        <v>552</v>
      </c>
      <c r="L110" s="70"/>
      <c r="M110" s="70">
        <f t="shared" si="38"/>
        <v>552</v>
      </c>
      <c r="N110" s="6"/>
      <c r="O110" s="6"/>
      <c r="P110" s="70">
        <f t="shared" si="39"/>
        <v>331.2</v>
      </c>
      <c r="Q110" s="6"/>
      <c r="R110" s="6"/>
      <c r="S110" s="13"/>
      <c r="T110" s="13">
        <f>4*F110/10000</f>
        <v>0.184</v>
      </c>
      <c r="U110" s="13">
        <f>2*F110/10000</f>
        <v>9.1999999999999998E-2</v>
      </c>
      <c r="V110" s="13">
        <f t="shared" si="42"/>
        <v>9.1999999999999998E-2</v>
      </c>
      <c r="W110" s="6"/>
      <c r="X110" s="13">
        <f t="shared" si="40"/>
        <v>0.36799999999999999</v>
      </c>
      <c r="Y110" s="13">
        <f t="shared" si="41"/>
        <v>0.36799999999999999</v>
      </c>
      <c r="Z110" s="6"/>
      <c r="AA110" s="6"/>
      <c r="AB110" s="6"/>
      <c r="AC110" s="70">
        <v>1</v>
      </c>
      <c r="AD110" s="6"/>
    </row>
    <row r="111" spans="1:30" ht="38.25" x14ac:dyDescent="0.25">
      <c r="A111" s="6">
        <f t="shared" si="30"/>
        <v>103</v>
      </c>
      <c r="B111" s="6">
        <v>510</v>
      </c>
      <c r="C111" s="6" t="s">
        <v>88</v>
      </c>
      <c r="D111" s="48" t="s">
        <v>683</v>
      </c>
      <c r="E111" s="6" t="s">
        <v>566</v>
      </c>
      <c r="F111" s="6">
        <v>1087</v>
      </c>
      <c r="G111" s="6">
        <v>0.6</v>
      </c>
      <c r="H111" s="79" t="s">
        <v>630</v>
      </c>
      <c r="I111" s="36">
        <v>1.2</v>
      </c>
      <c r="J111" s="36">
        <v>1.2</v>
      </c>
      <c r="K111" s="73">
        <f t="shared" si="37"/>
        <v>1304.3999999999999</v>
      </c>
      <c r="L111" s="70"/>
      <c r="M111" s="70">
        <f t="shared" si="38"/>
        <v>1304.3999999999999</v>
      </c>
      <c r="N111" s="6"/>
      <c r="O111" s="6"/>
      <c r="P111" s="70">
        <f t="shared" si="39"/>
        <v>782.63999999999987</v>
      </c>
      <c r="Q111" s="6"/>
      <c r="R111" s="6"/>
      <c r="S111" s="13"/>
      <c r="T111" s="13">
        <f>6*F111/10000</f>
        <v>0.6522</v>
      </c>
      <c r="U111" s="13">
        <f>4*F111/10000</f>
        <v>0.43480000000000002</v>
      </c>
      <c r="V111" s="13">
        <f t="shared" si="42"/>
        <v>0.21740000000000001</v>
      </c>
      <c r="W111" s="6"/>
      <c r="X111" s="13">
        <f t="shared" si="40"/>
        <v>1.3044</v>
      </c>
      <c r="Y111" s="13">
        <f t="shared" si="41"/>
        <v>1.3044</v>
      </c>
      <c r="Z111" s="6"/>
      <c r="AA111" s="6"/>
      <c r="AB111" s="6"/>
      <c r="AC111" s="70">
        <v>3</v>
      </c>
      <c r="AD111" s="6"/>
    </row>
    <row r="112" spans="1:30" x14ac:dyDescent="0.25">
      <c r="A112" s="6">
        <f t="shared" si="30"/>
        <v>104</v>
      </c>
      <c r="B112" s="6">
        <v>511</v>
      </c>
      <c r="C112" s="6" t="s">
        <v>88</v>
      </c>
      <c r="D112" s="36" t="s">
        <v>684</v>
      </c>
      <c r="E112" s="6" t="s">
        <v>566</v>
      </c>
      <c r="F112" s="6">
        <v>333</v>
      </c>
      <c r="G112" s="6">
        <v>0.6</v>
      </c>
      <c r="H112" s="79" t="s">
        <v>630</v>
      </c>
      <c r="I112" s="36">
        <v>1.2</v>
      </c>
      <c r="J112" s="36">
        <v>1.2</v>
      </c>
      <c r="K112" s="73">
        <f t="shared" si="37"/>
        <v>399.59999999999997</v>
      </c>
      <c r="L112" s="70"/>
      <c r="M112" s="70">
        <f t="shared" si="38"/>
        <v>399.59999999999997</v>
      </c>
      <c r="N112" s="6"/>
      <c r="O112" s="6"/>
      <c r="P112" s="70">
        <f t="shared" si="39"/>
        <v>239.75999999999996</v>
      </c>
      <c r="Q112" s="6"/>
      <c r="R112" s="6"/>
      <c r="S112" s="13"/>
      <c r="T112" s="13">
        <f>4*F112/10000</f>
        <v>0.13320000000000001</v>
      </c>
      <c r="U112" s="13">
        <f>6*F112/10000</f>
        <v>0.19980000000000001</v>
      </c>
      <c r="V112" s="13">
        <f t="shared" si="42"/>
        <v>6.6600000000000006E-2</v>
      </c>
      <c r="W112" s="6"/>
      <c r="X112" s="13">
        <f t="shared" si="40"/>
        <v>0.39960000000000001</v>
      </c>
      <c r="Y112" s="13">
        <f t="shared" si="41"/>
        <v>0.39960000000000001</v>
      </c>
      <c r="Z112" s="6"/>
      <c r="AA112" s="6"/>
      <c r="AB112" s="6"/>
      <c r="AC112" s="70"/>
      <c r="AD112" s="6"/>
    </row>
    <row r="113" spans="1:30" x14ac:dyDescent="0.25">
      <c r="A113" s="6">
        <f t="shared" si="30"/>
        <v>105</v>
      </c>
      <c r="B113" s="6">
        <v>512</v>
      </c>
      <c r="C113" s="6" t="s">
        <v>88</v>
      </c>
      <c r="D113" s="36" t="s">
        <v>684</v>
      </c>
      <c r="E113" s="6" t="s">
        <v>566</v>
      </c>
      <c r="F113" s="6">
        <v>59</v>
      </c>
      <c r="G113" s="6">
        <v>0.6</v>
      </c>
      <c r="H113" s="79" t="s">
        <v>630</v>
      </c>
      <c r="I113" s="36">
        <v>1.2</v>
      </c>
      <c r="J113" s="36">
        <v>1.2</v>
      </c>
      <c r="K113" s="73">
        <f t="shared" si="37"/>
        <v>70.8</v>
      </c>
      <c r="L113" s="70"/>
      <c r="M113" s="70">
        <f t="shared" si="38"/>
        <v>70.8</v>
      </c>
      <c r="N113" s="6"/>
      <c r="O113" s="6"/>
      <c r="P113" s="70">
        <f t="shared" si="39"/>
        <v>42.48</v>
      </c>
      <c r="Q113" s="6"/>
      <c r="R113" s="6"/>
      <c r="S113" s="13"/>
      <c r="T113" s="13">
        <f>4*F113/10000</f>
        <v>2.3599999999999999E-2</v>
      </c>
      <c r="U113" s="13">
        <f>6*F113/10000</f>
        <v>3.5400000000000001E-2</v>
      </c>
      <c r="V113" s="13">
        <f t="shared" si="42"/>
        <v>1.18E-2</v>
      </c>
      <c r="W113" s="6"/>
      <c r="X113" s="13">
        <f t="shared" si="40"/>
        <v>7.0800000000000002E-2</v>
      </c>
      <c r="Y113" s="13">
        <f t="shared" si="41"/>
        <v>7.0800000000000002E-2</v>
      </c>
      <c r="Z113" s="6"/>
      <c r="AA113" s="6"/>
      <c r="AB113" s="6"/>
      <c r="AC113" s="70"/>
      <c r="AD113" s="6"/>
    </row>
    <row r="114" spans="1:30" x14ac:dyDescent="0.25">
      <c r="A114" s="6">
        <f t="shared" si="30"/>
        <v>106</v>
      </c>
      <c r="B114" s="6">
        <v>517</v>
      </c>
      <c r="C114" s="6" t="s">
        <v>88</v>
      </c>
      <c r="D114" s="36" t="s">
        <v>685</v>
      </c>
      <c r="E114" s="6" t="s">
        <v>566</v>
      </c>
      <c r="F114" s="6">
        <v>642</v>
      </c>
      <c r="G114" s="6">
        <v>0.6</v>
      </c>
      <c r="H114" s="79" t="s">
        <v>630</v>
      </c>
      <c r="I114" s="36">
        <v>1.2</v>
      </c>
      <c r="J114" s="36">
        <v>1.2</v>
      </c>
      <c r="K114" s="73">
        <f t="shared" si="37"/>
        <v>770.4</v>
      </c>
      <c r="L114" s="70"/>
      <c r="M114" s="70">
        <f t="shared" si="38"/>
        <v>770.4</v>
      </c>
      <c r="N114" s="6"/>
      <c r="O114" s="6"/>
      <c r="P114" s="70">
        <f t="shared" si="39"/>
        <v>462.23999999999995</v>
      </c>
      <c r="Q114" s="6"/>
      <c r="R114" s="6"/>
      <c r="S114" s="13"/>
      <c r="T114" s="13">
        <f>4*F114/10000</f>
        <v>0.25679999999999997</v>
      </c>
      <c r="U114" s="13">
        <f>2*F114/10000</f>
        <v>0.12839999999999999</v>
      </c>
      <c r="V114" s="13">
        <f t="shared" si="42"/>
        <v>0.12839999999999999</v>
      </c>
      <c r="W114" s="6"/>
      <c r="X114" s="13">
        <f t="shared" si="40"/>
        <v>0.51359999999999995</v>
      </c>
      <c r="Y114" s="13">
        <f t="shared" si="41"/>
        <v>0.51359999999999995</v>
      </c>
      <c r="Z114" s="6"/>
      <c r="AA114" s="6"/>
      <c r="AB114" s="6"/>
      <c r="AC114" s="70">
        <v>1</v>
      </c>
      <c r="AD114" s="6"/>
    </row>
    <row r="115" spans="1:30" ht="25.5" x14ac:dyDescent="0.25">
      <c r="A115" s="6">
        <f t="shared" si="30"/>
        <v>107</v>
      </c>
      <c r="B115" s="6">
        <v>518</v>
      </c>
      <c r="C115" s="6" t="s">
        <v>88</v>
      </c>
      <c r="D115" s="48" t="s">
        <v>688</v>
      </c>
      <c r="E115" s="6" t="s">
        <v>566</v>
      </c>
      <c r="F115" s="6">
        <v>724</v>
      </c>
      <c r="G115" s="6">
        <v>0.6</v>
      </c>
      <c r="H115" s="79" t="s">
        <v>630</v>
      </c>
      <c r="I115" s="36">
        <v>1.2</v>
      </c>
      <c r="J115" s="36">
        <v>1.2</v>
      </c>
      <c r="K115" s="73">
        <f t="shared" si="37"/>
        <v>868.8</v>
      </c>
      <c r="L115" s="70"/>
      <c r="M115" s="70">
        <f t="shared" si="38"/>
        <v>868.8</v>
      </c>
      <c r="N115" s="6"/>
      <c r="O115" s="6"/>
      <c r="P115" s="70">
        <f t="shared" si="39"/>
        <v>521.28</v>
      </c>
      <c r="Q115" s="6"/>
      <c r="R115" s="6"/>
      <c r="S115" s="13"/>
      <c r="T115" s="13">
        <f>6*F115/10000</f>
        <v>0.43440000000000001</v>
      </c>
      <c r="U115" s="13">
        <f>4*F115/10000</f>
        <v>0.28960000000000002</v>
      </c>
      <c r="V115" s="13">
        <f t="shared" si="42"/>
        <v>0.14480000000000001</v>
      </c>
      <c r="W115" s="6"/>
      <c r="X115" s="13">
        <f t="shared" si="40"/>
        <v>0.86880000000000002</v>
      </c>
      <c r="Y115" s="13">
        <f t="shared" si="41"/>
        <v>0.86880000000000002</v>
      </c>
      <c r="Z115" s="6"/>
      <c r="AA115" s="6"/>
      <c r="AB115" s="6"/>
      <c r="AC115" s="70">
        <v>1</v>
      </c>
      <c r="AD115" s="6"/>
    </row>
    <row r="116" spans="1:30" x14ac:dyDescent="0.25">
      <c r="A116" s="6">
        <f t="shared" si="30"/>
        <v>108</v>
      </c>
      <c r="B116" s="6">
        <v>519</v>
      </c>
      <c r="C116" s="6" t="s">
        <v>88</v>
      </c>
      <c r="D116" s="36" t="s">
        <v>684</v>
      </c>
      <c r="E116" s="6" t="s">
        <v>566</v>
      </c>
      <c r="F116" s="6">
        <v>609</v>
      </c>
      <c r="G116" s="6">
        <v>0.6</v>
      </c>
      <c r="H116" s="79" t="s">
        <v>630</v>
      </c>
      <c r="I116" s="36">
        <v>1.2</v>
      </c>
      <c r="J116" s="36">
        <v>1.2</v>
      </c>
      <c r="K116" s="73">
        <f t="shared" si="37"/>
        <v>730.8</v>
      </c>
      <c r="L116" s="70"/>
      <c r="M116" s="70">
        <f t="shared" si="38"/>
        <v>730.8</v>
      </c>
      <c r="N116" s="6"/>
      <c r="O116" s="6"/>
      <c r="P116" s="70">
        <f t="shared" si="39"/>
        <v>438.47999999999996</v>
      </c>
      <c r="Q116" s="6"/>
      <c r="R116" s="6"/>
      <c r="S116" s="13"/>
      <c r="T116" s="13">
        <f>4*F116/10000</f>
        <v>0.24360000000000001</v>
      </c>
      <c r="U116" s="13">
        <f>2*F116/10000</f>
        <v>0.12180000000000001</v>
      </c>
      <c r="V116" s="13">
        <f t="shared" si="42"/>
        <v>0.12180000000000001</v>
      </c>
      <c r="W116" s="6"/>
      <c r="X116" s="13">
        <f t="shared" si="40"/>
        <v>0.48720000000000002</v>
      </c>
      <c r="Y116" s="13">
        <f t="shared" si="41"/>
        <v>0.48720000000000002</v>
      </c>
      <c r="Z116" s="6"/>
      <c r="AA116" s="6"/>
      <c r="AB116" s="6"/>
      <c r="AC116" s="70">
        <v>1</v>
      </c>
      <c r="AD116" s="6"/>
    </row>
    <row r="117" spans="1:30" x14ac:dyDescent="0.25">
      <c r="A117" s="6">
        <f t="shared" si="30"/>
        <v>109</v>
      </c>
      <c r="B117" s="6">
        <v>520</v>
      </c>
      <c r="C117" s="6" t="s">
        <v>88</v>
      </c>
      <c r="D117" s="36" t="s">
        <v>686</v>
      </c>
      <c r="E117" s="6" t="s">
        <v>566</v>
      </c>
      <c r="F117" s="6">
        <v>304</v>
      </c>
      <c r="G117" s="6">
        <v>0.6</v>
      </c>
      <c r="H117" s="79" t="s">
        <v>630</v>
      </c>
      <c r="I117" s="36">
        <v>1.2</v>
      </c>
      <c r="J117" s="36">
        <v>1.2</v>
      </c>
      <c r="K117" s="73">
        <f t="shared" si="37"/>
        <v>364.8</v>
      </c>
      <c r="L117" s="70"/>
      <c r="M117" s="70">
        <f t="shared" si="38"/>
        <v>364.8</v>
      </c>
      <c r="N117" s="6"/>
      <c r="O117" s="6"/>
      <c r="P117" s="70">
        <f t="shared" si="39"/>
        <v>218.88</v>
      </c>
      <c r="Q117" s="6"/>
      <c r="R117" s="6"/>
      <c r="S117" s="13"/>
      <c r="T117" s="13">
        <f>4*F117/10000</f>
        <v>0.1216</v>
      </c>
      <c r="U117" s="13">
        <f>2*F117/10000</f>
        <v>6.08E-2</v>
      </c>
      <c r="V117" s="13">
        <f t="shared" si="42"/>
        <v>6.08E-2</v>
      </c>
      <c r="W117" s="6"/>
      <c r="X117" s="13">
        <f t="shared" si="40"/>
        <v>0.2432</v>
      </c>
      <c r="Y117" s="13">
        <f t="shared" si="41"/>
        <v>0.2432</v>
      </c>
      <c r="Z117" s="6"/>
      <c r="AA117" s="6"/>
      <c r="AB117" s="6"/>
      <c r="AC117" s="70"/>
      <c r="AD117" s="6"/>
    </row>
    <row r="118" spans="1:30" x14ac:dyDescent="0.25">
      <c r="A118" s="6">
        <f t="shared" si="30"/>
        <v>110</v>
      </c>
      <c r="B118" s="6">
        <v>521</v>
      </c>
      <c r="C118" s="6" t="s">
        <v>88</v>
      </c>
      <c r="D118" s="36" t="s">
        <v>687</v>
      </c>
      <c r="E118" s="6" t="s">
        <v>566</v>
      </c>
      <c r="F118" s="6">
        <v>219</v>
      </c>
      <c r="G118" s="6">
        <v>0.6</v>
      </c>
      <c r="H118" s="79" t="s">
        <v>630</v>
      </c>
      <c r="I118" s="36">
        <v>1.2</v>
      </c>
      <c r="J118" s="36">
        <v>1.2</v>
      </c>
      <c r="K118" s="73">
        <f t="shared" si="37"/>
        <v>262.8</v>
      </c>
      <c r="L118" s="70"/>
      <c r="M118" s="70">
        <f t="shared" si="38"/>
        <v>262.8</v>
      </c>
      <c r="N118" s="6"/>
      <c r="O118" s="6"/>
      <c r="P118" s="70">
        <f t="shared" si="39"/>
        <v>157.68</v>
      </c>
      <c r="Q118" s="6"/>
      <c r="R118" s="6"/>
      <c r="S118" s="13"/>
      <c r="T118" s="13">
        <f>4*F118/10000</f>
        <v>8.7599999999999997E-2</v>
      </c>
      <c r="U118" s="13">
        <f>2*F118/10000</f>
        <v>4.3799999999999999E-2</v>
      </c>
      <c r="V118" s="13">
        <f t="shared" si="42"/>
        <v>4.3799999999999999E-2</v>
      </c>
      <c r="W118" s="6"/>
      <c r="X118" s="13">
        <f t="shared" si="40"/>
        <v>0.17519999999999999</v>
      </c>
      <c r="Y118" s="13">
        <f t="shared" si="41"/>
        <v>0.17519999999999999</v>
      </c>
      <c r="Z118" s="6"/>
      <c r="AA118" s="6"/>
      <c r="AB118" s="6"/>
      <c r="AC118" s="70"/>
      <c r="AD118" s="6"/>
    </row>
    <row r="119" spans="1:30" x14ac:dyDescent="0.25">
      <c r="A119" s="6">
        <f t="shared" si="30"/>
        <v>111</v>
      </c>
      <c r="B119" s="6">
        <v>522</v>
      </c>
      <c r="C119" s="6" t="s">
        <v>88</v>
      </c>
      <c r="D119" s="36" t="s">
        <v>687</v>
      </c>
      <c r="E119" s="6" t="s">
        <v>600</v>
      </c>
      <c r="F119" s="6">
        <v>275</v>
      </c>
      <c r="G119" s="6">
        <v>0.6</v>
      </c>
      <c r="H119" s="79" t="s">
        <v>630</v>
      </c>
      <c r="I119" s="36">
        <v>1.2</v>
      </c>
      <c r="J119" s="36">
        <v>1</v>
      </c>
      <c r="K119" s="73">
        <f t="shared" si="37"/>
        <v>275</v>
      </c>
      <c r="L119" s="70"/>
      <c r="M119" s="70">
        <f t="shared" si="38"/>
        <v>275</v>
      </c>
      <c r="N119" s="6"/>
      <c r="O119" s="6"/>
      <c r="P119" s="70">
        <f t="shared" si="39"/>
        <v>165</v>
      </c>
      <c r="Q119" s="6"/>
      <c r="R119" s="6"/>
      <c r="S119" s="13">
        <f>6*F119/10000</f>
        <v>0.16500000000000001</v>
      </c>
      <c r="T119" s="13"/>
      <c r="U119" s="13"/>
      <c r="V119" s="13"/>
      <c r="W119" s="6"/>
      <c r="X119" s="13">
        <f t="shared" si="40"/>
        <v>0.16500000000000001</v>
      </c>
      <c r="Y119" s="13">
        <f t="shared" si="41"/>
        <v>0.16500000000000001</v>
      </c>
      <c r="Z119" s="6"/>
      <c r="AA119" s="6"/>
      <c r="AB119" s="6"/>
      <c r="AC119" s="70"/>
      <c r="AD119" s="6"/>
    </row>
    <row r="120" spans="1:30" x14ac:dyDescent="0.25">
      <c r="A120" s="6">
        <f t="shared" si="30"/>
        <v>112</v>
      </c>
      <c r="B120" s="6">
        <v>524</v>
      </c>
      <c r="C120" s="6" t="s">
        <v>88</v>
      </c>
      <c r="D120" s="36" t="s">
        <v>686</v>
      </c>
      <c r="E120" s="6" t="s">
        <v>600</v>
      </c>
      <c r="F120" s="6">
        <v>255</v>
      </c>
      <c r="G120" s="6">
        <v>0.6</v>
      </c>
      <c r="H120" s="79" t="s">
        <v>630</v>
      </c>
      <c r="I120" s="36">
        <v>1.2</v>
      </c>
      <c r="J120" s="36">
        <v>1</v>
      </c>
      <c r="K120" s="73">
        <f t="shared" si="37"/>
        <v>255</v>
      </c>
      <c r="L120" s="70"/>
      <c r="M120" s="70">
        <f t="shared" si="38"/>
        <v>255</v>
      </c>
      <c r="N120" s="6"/>
      <c r="O120" s="6"/>
      <c r="P120" s="70">
        <f t="shared" si="39"/>
        <v>153</v>
      </c>
      <c r="Q120" s="6"/>
      <c r="R120" s="6"/>
      <c r="S120" s="13">
        <f>6*F120/10000</f>
        <v>0.153</v>
      </c>
      <c r="T120" s="13"/>
      <c r="U120" s="13"/>
      <c r="V120" s="13"/>
      <c r="W120" s="6"/>
      <c r="X120" s="13">
        <f t="shared" si="40"/>
        <v>0.153</v>
      </c>
      <c r="Y120" s="13">
        <f t="shared" si="41"/>
        <v>0.153</v>
      </c>
      <c r="Z120" s="6"/>
      <c r="AA120" s="6"/>
      <c r="AB120" s="6"/>
      <c r="AC120" s="70"/>
      <c r="AD120" s="6"/>
    </row>
    <row r="121" spans="1:30" x14ac:dyDescent="0.25">
      <c r="A121" s="6">
        <f t="shared" si="30"/>
        <v>113</v>
      </c>
      <c r="B121" s="6">
        <v>526</v>
      </c>
      <c r="C121" s="6" t="s">
        <v>88</v>
      </c>
      <c r="D121" s="36" t="s">
        <v>687</v>
      </c>
      <c r="E121" s="6" t="s">
        <v>566</v>
      </c>
      <c r="F121" s="6">
        <v>492</v>
      </c>
      <c r="G121" s="6">
        <v>0.6</v>
      </c>
      <c r="H121" s="79" t="s">
        <v>630</v>
      </c>
      <c r="I121" s="36">
        <v>1.2</v>
      </c>
      <c r="J121" s="36">
        <v>1.2</v>
      </c>
      <c r="K121" s="73">
        <f t="shared" ref="K121:K138" si="43">F121*J121</f>
        <v>590.4</v>
      </c>
      <c r="L121" s="70"/>
      <c r="M121" s="70">
        <f t="shared" ref="M121:M138" si="44">K121+L121</f>
        <v>590.4</v>
      </c>
      <c r="N121" s="6"/>
      <c r="O121" s="6"/>
      <c r="P121" s="70">
        <f t="shared" ref="P121:P138" si="45">M121*0.6</f>
        <v>354.23999999999995</v>
      </c>
      <c r="Q121" s="6"/>
      <c r="R121" s="6"/>
      <c r="S121" s="13"/>
      <c r="T121" s="13">
        <f t="shared" ref="T121:T128" si="46">4*F121/10000</f>
        <v>0.1968</v>
      </c>
      <c r="U121" s="13">
        <f>4*F121/10000</f>
        <v>0.1968</v>
      </c>
      <c r="V121" s="13">
        <f t="shared" ref="V121:V126" si="47">2*F121/10000</f>
        <v>9.8400000000000001E-2</v>
      </c>
      <c r="W121" s="6"/>
      <c r="X121" s="13">
        <f t="shared" si="40"/>
        <v>0.49199999999999999</v>
      </c>
      <c r="Y121" s="13">
        <f t="shared" si="41"/>
        <v>0.49199999999999999</v>
      </c>
      <c r="Z121" s="6"/>
      <c r="AA121" s="6"/>
      <c r="AB121" s="6"/>
      <c r="AC121" s="70">
        <v>1</v>
      </c>
      <c r="AD121" s="6"/>
    </row>
    <row r="122" spans="1:30" ht="38.25" x14ac:dyDescent="0.25">
      <c r="A122" s="6">
        <f t="shared" si="30"/>
        <v>114</v>
      </c>
      <c r="B122" s="6">
        <v>527</v>
      </c>
      <c r="C122" s="6" t="s">
        <v>88</v>
      </c>
      <c r="D122" s="48" t="s">
        <v>689</v>
      </c>
      <c r="E122" s="6" t="s">
        <v>566</v>
      </c>
      <c r="F122" s="6">
        <v>1082</v>
      </c>
      <c r="G122" s="6">
        <v>0.6</v>
      </c>
      <c r="H122" s="79" t="s">
        <v>630</v>
      </c>
      <c r="I122" s="36">
        <v>1.2</v>
      </c>
      <c r="J122" s="36">
        <v>1.2</v>
      </c>
      <c r="K122" s="73">
        <f t="shared" si="43"/>
        <v>1298.3999999999999</v>
      </c>
      <c r="L122" s="70"/>
      <c r="M122" s="70">
        <f t="shared" si="44"/>
        <v>1298.3999999999999</v>
      </c>
      <c r="N122" s="6"/>
      <c r="O122" s="6"/>
      <c r="P122" s="70">
        <f t="shared" si="45"/>
        <v>779.03999999999985</v>
      </c>
      <c r="Q122" s="6"/>
      <c r="R122" s="6"/>
      <c r="S122" s="13"/>
      <c r="T122" s="13">
        <f t="shared" si="46"/>
        <v>0.43280000000000002</v>
      </c>
      <c r="U122" s="13">
        <f>6*F122/10000</f>
        <v>0.6492</v>
      </c>
      <c r="V122" s="13">
        <f t="shared" si="47"/>
        <v>0.21640000000000001</v>
      </c>
      <c r="W122" s="6"/>
      <c r="X122" s="13">
        <f t="shared" si="40"/>
        <v>1.2984</v>
      </c>
      <c r="Y122" s="13">
        <f t="shared" si="41"/>
        <v>1.2984</v>
      </c>
      <c r="Z122" s="6"/>
      <c r="AA122" s="6"/>
      <c r="AB122" s="6"/>
      <c r="AC122" s="70">
        <v>3</v>
      </c>
      <c r="AD122" s="6"/>
    </row>
    <row r="123" spans="1:30" x14ac:dyDescent="0.25">
      <c r="A123" s="6">
        <f t="shared" si="30"/>
        <v>115</v>
      </c>
      <c r="B123" s="6">
        <v>528</v>
      </c>
      <c r="C123" s="6" t="s">
        <v>88</v>
      </c>
      <c r="D123" s="36" t="s">
        <v>690</v>
      </c>
      <c r="E123" s="6" t="s">
        <v>566</v>
      </c>
      <c r="F123" s="6">
        <v>490</v>
      </c>
      <c r="G123" s="6">
        <v>0.6</v>
      </c>
      <c r="H123" s="79" t="s">
        <v>630</v>
      </c>
      <c r="I123" s="36">
        <v>1.2</v>
      </c>
      <c r="J123" s="36">
        <v>1.2</v>
      </c>
      <c r="K123" s="73">
        <f t="shared" si="43"/>
        <v>588</v>
      </c>
      <c r="L123" s="70"/>
      <c r="M123" s="70">
        <f t="shared" si="44"/>
        <v>588</v>
      </c>
      <c r="N123" s="6"/>
      <c r="O123" s="6"/>
      <c r="P123" s="70">
        <f t="shared" si="45"/>
        <v>352.8</v>
      </c>
      <c r="Q123" s="6"/>
      <c r="R123" s="6"/>
      <c r="S123" s="13"/>
      <c r="T123" s="13">
        <f t="shared" si="46"/>
        <v>0.19600000000000001</v>
      </c>
      <c r="U123" s="13">
        <f>6*F123/10000</f>
        <v>0.29399999999999998</v>
      </c>
      <c r="V123" s="13">
        <f t="shared" si="47"/>
        <v>9.8000000000000004E-2</v>
      </c>
      <c r="W123" s="6"/>
      <c r="X123" s="13">
        <f t="shared" si="40"/>
        <v>0.58799999999999997</v>
      </c>
      <c r="Y123" s="13">
        <f t="shared" si="41"/>
        <v>0.58799999999999997</v>
      </c>
      <c r="Z123" s="6"/>
      <c r="AA123" s="6"/>
      <c r="AB123" s="6"/>
      <c r="AC123" s="70">
        <v>1</v>
      </c>
      <c r="AD123" s="6"/>
    </row>
    <row r="124" spans="1:30" ht="25.5" x14ac:dyDescent="0.25">
      <c r="A124" s="6">
        <f t="shared" si="30"/>
        <v>116</v>
      </c>
      <c r="B124" s="6">
        <v>529</v>
      </c>
      <c r="C124" s="6" t="s">
        <v>88</v>
      </c>
      <c r="D124" s="48" t="s">
        <v>691</v>
      </c>
      <c r="E124" s="6" t="s">
        <v>566</v>
      </c>
      <c r="F124" s="6">
        <v>318</v>
      </c>
      <c r="G124" s="6">
        <v>0.6</v>
      </c>
      <c r="H124" s="79" t="s">
        <v>630</v>
      </c>
      <c r="I124" s="36">
        <v>1.2</v>
      </c>
      <c r="J124" s="36">
        <v>1.2</v>
      </c>
      <c r="K124" s="73">
        <f t="shared" si="43"/>
        <v>381.59999999999997</v>
      </c>
      <c r="L124" s="70"/>
      <c r="M124" s="70">
        <f t="shared" si="44"/>
        <v>381.59999999999997</v>
      </c>
      <c r="N124" s="6"/>
      <c r="O124" s="6"/>
      <c r="P124" s="70">
        <f t="shared" si="45"/>
        <v>228.95999999999998</v>
      </c>
      <c r="Q124" s="6"/>
      <c r="R124" s="6"/>
      <c r="S124" s="13"/>
      <c r="T124" s="13">
        <f t="shared" si="46"/>
        <v>0.12720000000000001</v>
      </c>
      <c r="U124" s="13">
        <f>4*F124/10000</f>
        <v>0.12720000000000001</v>
      </c>
      <c r="V124" s="13">
        <f t="shared" si="47"/>
        <v>6.3600000000000004E-2</v>
      </c>
      <c r="W124" s="6"/>
      <c r="X124" s="13">
        <f>SUM(S124:V124)</f>
        <v>0.318</v>
      </c>
      <c r="Y124" s="13">
        <f>X124</f>
        <v>0.318</v>
      </c>
      <c r="Z124" s="6"/>
      <c r="AA124" s="6"/>
      <c r="AB124" s="6"/>
      <c r="AC124" s="70"/>
      <c r="AD124" s="6"/>
    </row>
    <row r="125" spans="1:30" x14ac:dyDescent="0.25">
      <c r="A125" s="6">
        <f t="shared" si="30"/>
        <v>117</v>
      </c>
      <c r="B125" s="6">
        <v>530</v>
      </c>
      <c r="C125" s="6" t="s">
        <v>88</v>
      </c>
      <c r="D125" s="36" t="s">
        <v>692</v>
      </c>
      <c r="E125" s="6" t="s">
        <v>566</v>
      </c>
      <c r="F125" s="6">
        <v>150</v>
      </c>
      <c r="G125" s="6">
        <v>0.6</v>
      </c>
      <c r="H125" s="79" t="s">
        <v>630</v>
      </c>
      <c r="I125" s="36">
        <v>1.2</v>
      </c>
      <c r="J125" s="36">
        <v>1.2</v>
      </c>
      <c r="K125" s="73">
        <f t="shared" si="43"/>
        <v>180</v>
      </c>
      <c r="L125" s="70"/>
      <c r="M125" s="70">
        <f t="shared" si="44"/>
        <v>180</v>
      </c>
      <c r="N125" s="6"/>
      <c r="O125" s="6"/>
      <c r="P125" s="70">
        <f t="shared" si="45"/>
        <v>108</v>
      </c>
      <c r="Q125" s="6"/>
      <c r="R125" s="6"/>
      <c r="S125" s="13"/>
      <c r="T125" s="13">
        <f t="shared" si="46"/>
        <v>0.06</v>
      </c>
      <c r="U125" s="13">
        <f>4*F125/10000</f>
        <v>0.06</v>
      </c>
      <c r="V125" s="13">
        <f t="shared" si="47"/>
        <v>0.03</v>
      </c>
      <c r="W125" s="6"/>
      <c r="X125" s="13">
        <f t="shared" ref="X125:X143" si="48">SUM(S125:V125)</f>
        <v>0.15</v>
      </c>
      <c r="Y125" s="13">
        <f t="shared" ref="Y125:Y143" si="49">X125</f>
        <v>0.15</v>
      </c>
      <c r="Z125" s="6"/>
      <c r="AA125" s="6"/>
      <c r="AB125" s="6"/>
      <c r="AC125" s="70"/>
      <c r="AD125" s="6"/>
    </row>
    <row r="126" spans="1:30" ht="25.5" x14ac:dyDescent="0.25">
      <c r="A126" s="6">
        <f t="shared" si="30"/>
        <v>118</v>
      </c>
      <c r="B126" s="6">
        <v>531</v>
      </c>
      <c r="C126" s="6" t="s">
        <v>88</v>
      </c>
      <c r="D126" s="48" t="s">
        <v>693</v>
      </c>
      <c r="E126" s="6" t="s">
        <v>566</v>
      </c>
      <c r="F126" s="6">
        <v>546</v>
      </c>
      <c r="G126" s="6">
        <v>0.6</v>
      </c>
      <c r="H126" s="79" t="s">
        <v>630</v>
      </c>
      <c r="I126" s="36">
        <v>1.2</v>
      </c>
      <c r="J126" s="36">
        <v>1.2</v>
      </c>
      <c r="K126" s="73">
        <f t="shared" si="43"/>
        <v>655.19999999999993</v>
      </c>
      <c r="L126" s="70"/>
      <c r="M126" s="70">
        <f t="shared" si="44"/>
        <v>655.19999999999993</v>
      </c>
      <c r="N126" s="6"/>
      <c r="O126" s="6"/>
      <c r="P126" s="70">
        <f t="shared" si="45"/>
        <v>393.11999999999995</v>
      </c>
      <c r="Q126" s="6"/>
      <c r="R126" s="6"/>
      <c r="S126" s="13"/>
      <c r="T126" s="13">
        <f t="shared" si="46"/>
        <v>0.21840000000000001</v>
      </c>
      <c r="U126" s="13">
        <f>4*F126/10000</f>
        <v>0.21840000000000001</v>
      </c>
      <c r="V126" s="13">
        <f t="shared" si="47"/>
        <v>0.10920000000000001</v>
      </c>
      <c r="W126" s="6"/>
      <c r="X126" s="13">
        <f t="shared" si="48"/>
        <v>0.54600000000000004</v>
      </c>
      <c r="Y126" s="13">
        <f t="shared" si="49"/>
        <v>0.54600000000000004</v>
      </c>
      <c r="Z126" s="6"/>
      <c r="AA126" s="6"/>
      <c r="AB126" s="6"/>
      <c r="AC126" s="70">
        <v>1</v>
      </c>
      <c r="AD126" s="6"/>
    </row>
    <row r="127" spans="1:30" x14ac:dyDescent="0.25">
      <c r="A127" s="6">
        <f t="shared" si="30"/>
        <v>119</v>
      </c>
      <c r="B127" s="6">
        <v>532</v>
      </c>
      <c r="C127" s="6" t="s">
        <v>88</v>
      </c>
      <c r="D127" s="48" t="s">
        <v>692</v>
      </c>
      <c r="E127" s="6" t="s">
        <v>566</v>
      </c>
      <c r="F127" s="6">
        <v>237</v>
      </c>
      <c r="G127" s="6">
        <v>0.6</v>
      </c>
      <c r="H127" s="79" t="s">
        <v>630</v>
      </c>
      <c r="I127" s="36">
        <v>1.2</v>
      </c>
      <c r="J127" s="36">
        <v>1.2</v>
      </c>
      <c r="K127" s="73">
        <f t="shared" si="43"/>
        <v>284.39999999999998</v>
      </c>
      <c r="L127" s="70"/>
      <c r="M127" s="70">
        <f t="shared" si="44"/>
        <v>284.39999999999998</v>
      </c>
      <c r="N127" s="6"/>
      <c r="O127" s="6"/>
      <c r="P127" s="70">
        <f t="shared" si="45"/>
        <v>170.64</v>
      </c>
      <c r="Q127" s="6"/>
      <c r="R127" s="6"/>
      <c r="S127" s="13">
        <f>4*F127/10000</f>
        <v>9.4799999999999995E-2</v>
      </c>
      <c r="T127" s="13">
        <f t="shared" si="46"/>
        <v>9.4799999999999995E-2</v>
      </c>
      <c r="U127" s="13">
        <f>2*F127/10000</f>
        <v>4.7399999999999998E-2</v>
      </c>
      <c r="V127" s="13"/>
      <c r="W127" s="6"/>
      <c r="X127" s="13">
        <f t="shared" si="48"/>
        <v>0.23699999999999999</v>
      </c>
      <c r="Y127" s="13">
        <f t="shared" si="49"/>
        <v>0.23699999999999999</v>
      </c>
      <c r="Z127" s="6"/>
      <c r="AA127" s="6"/>
      <c r="AB127" s="6"/>
      <c r="AC127" s="70"/>
      <c r="AD127" s="6"/>
    </row>
    <row r="128" spans="1:30" ht="38.25" x14ac:dyDescent="0.25">
      <c r="A128" s="6">
        <f t="shared" si="30"/>
        <v>120</v>
      </c>
      <c r="B128" s="6">
        <v>533</v>
      </c>
      <c r="C128" s="6" t="s">
        <v>88</v>
      </c>
      <c r="D128" s="48" t="s">
        <v>694</v>
      </c>
      <c r="E128" s="6" t="s">
        <v>566</v>
      </c>
      <c r="F128" s="6">
        <v>653</v>
      </c>
      <c r="G128" s="6">
        <v>0.6</v>
      </c>
      <c r="H128" s="79" t="s">
        <v>630</v>
      </c>
      <c r="I128" s="36">
        <v>1.2</v>
      </c>
      <c r="J128" s="36">
        <v>1.2</v>
      </c>
      <c r="K128" s="73">
        <f t="shared" si="43"/>
        <v>783.6</v>
      </c>
      <c r="L128" s="70"/>
      <c r="M128" s="70">
        <f t="shared" si="44"/>
        <v>783.6</v>
      </c>
      <c r="N128" s="6"/>
      <c r="O128" s="6"/>
      <c r="P128" s="70">
        <f t="shared" si="45"/>
        <v>470.15999999999997</v>
      </c>
      <c r="Q128" s="6"/>
      <c r="R128" s="6"/>
      <c r="S128" s="13">
        <f>4*F128/10000</f>
        <v>0.26119999999999999</v>
      </c>
      <c r="T128" s="13">
        <f t="shared" si="46"/>
        <v>0.26119999999999999</v>
      </c>
      <c r="U128" s="13">
        <f>2*F128/10000</f>
        <v>0.13059999999999999</v>
      </c>
      <c r="V128" s="13"/>
      <c r="W128" s="6"/>
      <c r="X128" s="13">
        <f t="shared" si="48"/>
        <v>0.65300000000000002</v>
      </c>
      <c r="Y128" s="13">
        <f t="shared" si="49"/>
        <v>0.65300000000000002</v>
      </c>
      <c r="Z128" s="6"/>
      <c r="AA128" s="6"/>
      <c r="AB128" s="6"/>
      <c r="AC128" s="70">
        <v>1</v>
      </c>
      <c r="AD128" s="6"/>
    </row>
    <row r="129" spans="1:30" ht="25.5" x14ac:dyDescent="0.25">
      <c r="A129" s="6">
        <f t="shared" si="30"/>
        <v>121</v>
      </c>
      <c r="B129" s="6">
        <v>534</v>
      </c>
      <c r="C129" s="6" t="s">
        <v>88</v>
      </c>
      <c r="D129" s="48" t="s">
        <v>696</v>
      </c>
      <c r="E129" s="6" t="s">
        <v>606</v>
      </c>
      <c r="F129" s="6">
        <v>864</v>
      </c>
      <c r="G129" s="6">
        <v>0.6</v>
      </c>
      <c r="H129" s="79" t="s">
        <v>630</v>
      </c>
      <c r="I129" s="36">
        <v>1.2</v>
      </c>
      <c r="J129" s="36">
        <v>0.5</v>
      </c>
      <c r="K129" s="73">
        <f t="shared" si="43"/>
        <v>432</v>
      </c>
      <c r="L129" s="70"/>
      <c r="M129" s="70">
        <f t="shared" si="44"/>
        <v>432</v>
      </c>
      <c r="N129" s="6"/>
      <c r="O129" s="6"/>
      <c r="P129" s="70">
        <f t="shared" si="45"/>
        <v>259.2</v>
      </c>
      <c r="Q129" s="6"/>
      <c r="R129" s="6"/>
      <c r="S129" s="13">
        <f>6*F129/10000</f>
        <v>0.51839999999999997</v>
      </c>
      <c r="T129" s="13"/>
      <c r="U129" s="13"/>
      <c r="V129" s="13"/>
      <c r="W129" s="6"/>
      <c r="X129" s="13">
        <f t="shared" si="48"/>
        <v>0.51839999999999997</v>
      </c>
      <c r="Y129" s="13">
        <f t="shared" si="49"/>
        <v>0.51839999999999997</v>
      </c>
      <c r="Z129" s="6"/>
      <c r="AA129" s="6"/>
      <c r="AB129" s="6"/>
      <c r="AC129" s="70">
        <v>2</v>
      </c>
      <c r="AD129" s="6"/>
    </row>
    <row r="130" spans="1:30" x14ac:dyDescent="0.25">
      <c r="A130" s="6">
        <f t="shared" si="30"/>
        <v>122</v>
      </c>
      <c r="B130" s="6" t="s">
        <v>695</v>
      </c>
      <c r="C130" s="6" t="s">
        <v>88</v>
      </c>
      <c r="D130" s="36" t="s">
        <v>697</v>
      </c>
      <c r="E130" s="6" t="s">
        <v>606</v>
      </c>
      <c r="F130" s="6">
        <v>250</v>
      </c>
      <c r="G130" s="6">
        <v>0.6</v>
      </c>
      <c r="H130" s="79" t="s">
        <v>630</v>
      </c>
      <c r="I130" s="36">
        <v>1.2</v>
      </c>
      <c r="J130" s="36">
        <v>0.5</v>
      </c>
      <c r="K130" s="73">
        <f t="shared" si="43"/>
        <v>125</v>
      </c>
      <c r="L130" s="70"/>
      <c r="M130" s="70">
        <f t="shared" si="44"/>
        <v>125</v>
      </c>
      <c r="N130" s="6"/>
      <c r="O130" s="6"/>
      <c r="P130" s="70">
        <f t="shared" si="45"/>
        <v>75</v>
      </c>
      <c r="Q130" s="6"/>
      <c r="R130" s="6"/>
      <c r="S130" s="13">
        <f>6*F130/10000</f>
        <v>0.15</v>
      </c>
      <c r="T130" s="13"/>
      <c r="U130" s="13"/>
      <c r="V130" s="13"/>
      <c r="W130" s="6"/>
      <c r="X130" s="13">
        <f t="shared" si="48"/>
        <v>0.15</v>
      </c>
      <c r="Y130" s="13">
        <f t="shared" si="49"/>
        <v>0.15</v>
      </c>
      <c r="Z130" s="6"/>
      <c r="AA130" s="6"/>
      <c r="AB130" s="6"/>
      <c r="AC130" s="70"/>
      <c r="AD130" s="6"/>
    </row>
    <row r="131" spans="1:30" x14ac:dyDescent="0.25">
      <c r="A131" s="6">
        <f t="shared" si="30"/>
        <v>123</v>
      </c>
      <c r="B131" s="6" t="s">
        <v>723</v>
      </c>
      <c r="C131" s="6" t="s">
        <v>88</v>
      </c>
      <c r="D131" s="36" t="s">
        <v>692</v>
      </c>
      <c r="E131" s="6" t="s">
        <v>566</v>
      </c>
      <c r="F131" s="6">
        <v>82</v>
      </c>
      <c r="G131" s="6">
        <v>0.6</v>
      </c>
      <c r="H131" s="79" t="s">
        <v>630</v>
      </c>
      <c r="I131" s="36">
        <v>1.2</v>
      </c>
      <c r="J131" s="36">
        <v>1.2</v>
      </c>
      <c r="K131" s="73">
        <f t="shared" si="43"/>
        <v>98.399999999999991</v>
      </c>
      <c r="L131" s="70"/>
      <c r="M131" s="70">
        <f t="shared" si="44"/>
        <v>98.399999999999991</v>
      </c>
      <c r="N131" s="6"/>
      <c r="O131" s="6"/>
      <c r="P131" s="70">
        <f t="shared" si="45"/>
        <v>59.039999999999992</v>
      </c>
      <c r="Q131" s="6"/>
      <c r="R131" s="6"/>
      <c r="S131" s="13"/>
      <c r="T131" s="13">
        <f>2*F131/10000</f>
        <v>1.6400000000000001E-2</v>
      </c>
      <c r="U131" s="13">
        <f>6*F131/10000</f>
        <v>4.9200000000000001E-2</v>
      </c>
      <c r="V131" s="13">
        <f>4*F131/10000</f>
        <v>3.2800000000000003E-2</v>
      </c>
      <c r="W131" s="6"/>
      <c r="X131" s="13">
        <f t="shared" ref="X131" si="50">SUM(S131:V131)</f>
        <v>9.8400000000000015E-2</v>
      </c>
      <c r="Y131" s="13">
        <f t="shared" ref="Y131" si="51">X131</f>
        <v>9.8400000000000015E-2</v>
      </c>
      <c r="Z131" s="6"/>
      <c r="AA131" s="6"/>
      <c r="AB131" s="6"/>
      <c r="AC131" s="70"/>
      <c r="AD131" s="6"/>
    </row>
    <row r="132" spans="1:30" x14ac:dyDescent="0.25">
      <c r="A132" s="6">
        <f t="shared" si="30"/>
        <v>124</v>
      </c>
      <c r="B132" s="6">
        <v>535</v>
      </c>
      <c r="C132" s="6" t="s">
        <v>88</v>
      </c>
      <c r="D132" s="36" t="s">
        <v>697</v>
      </c>
      <c r="E132" s="6" t="s">
        <v>566</v>
      </c>
      <c r="F132" s="6">
        <v>360</v>
      </c>
      <c r="G132" s="6">
        <v>0.6</v>
      </c>
      <c r="H132" s="79" t="s">
        <v>630</v>
      </c>
      <c r="I132" s="36">
        <v>1.2</v>
      </c>
      <c r="J132" s="36">
        <v>1.2</v>
      </c>
      <c r="K132" s="73">
        <f t="shared" si="43"/>
        <v>432</v>
      </c>
      <c r="L132" s="70"/>
      <c r="M132" s="70">
        <f t="shared" si="44"/>
        <v>432</v>
      </c>
      <c r="N132" s="6"/>
      <c r="O132" s="6"/>
      <c r="P132" s="70">
        <f t="shared" si="45"/>
        <v>259.2</v>
      </c>
      <c r="Q132" s="6"/>
      <c r="R132" s="6"/>
      <c r="S132" s="13"/>
      <c r="T132" s="13">
        <f>2*F132/10000</f>
        <v>7.1999999999999995E-2</v>
      </c>
      <c r="U132" s="13">
        <f>6*F132/10000</f>
        <v>0.216</v>
      </c>
      <c r="V132" s="13"/>
      <c r="W132" s="6"/>
      <c r="X132" s="13">
        <f t="shared" si="48"/>
        <v>0.28799999999999998</v>
      </c>
      <c r="Y132" s="13">
        <f t="shared" si="49"/>
        <v>0.28799999999999998</v>
      </c>
      <c r="Z132" s="6"/>
      <c r="AA132" s="6"/>
      <c r="AB132" s="6"/>
      <c r="AC132" s="70"/>
      <c r="AD132" s="6"/>
    </row>
    <row r="133" spans="1:30" x14ac:dyDescent="0.25">
      <c r="A133" s="6">
        <f t="shared" si="30"/>
        <v>125</v>
      </c>
      <c r="B133" s="6">
        <v>536</v>
      </c>
      <c r="C133" s="6" t="s">
        <v>88</v>
      </c>
      <c r="D133" s="36" t="s">
        <v>636</v>
      </c>
      <c r="E133" s="6" t="s">
        <v>566</v>
      </c>
      <c r="F133" s="6">
        <v>357</v>
      </c>
      <c r="G133" s="6">
        <v>0.6</v>
      </c>
      <c r="H133" s="79" t="s">
        <v>630</v>
      </c>
      <c r="I133" s="36">
        <v>1.2</v>
      </c>
      <c r="J133" s="36">
        <v>1.2</v>
      </c>
      <c r="K133" s="73">
        <f t="shared" si="43"/>
        <v>428.4</v>
      </c>
      <c r="L133" s="70"/>
      <c r="M133" s="70">
        <f t="shared" si="44"/>
        <v>428.4</v>
      </c>
      <c r="N133" s="6"/>
      <c r="O133" s="6"/>
      <c r="P133" s="70">
        <f t="shared" si="45"/>
        <v>257.03999999999996</v>
      </c>
      <c r="Q133" s="6"/>
      <c r="R133" s="6"/>
      <c r="S133" s="13"/>
      <c r="T133" s="13"/>
      <c r="U133" s="13">
        <f>6*F133/10000</f>
        <v>0.2142</v>
      </c>
      <c r="V133" s="13">
        <f t="shared" ref="V133:V140" si="52">4*F133/10000</f>
        <v>0.14280000000000001</v>
      </c>
      <c r="W133" s="6"/>
      <c r="X133" s="13">
        <f t="shared" si="48"/>
        <v>0.35699999999999998</v>
      </c>
      <c r="Y133" s="13">
        <f t="shared" si="49"/>
        <v>0.35699999999999998</v>
      </c>
      <c r="Z133" s="6"/>
      <c r="AA133" s="6"/>
      <c r="AB133" s="6"/>
      <c r="AC133" s="70"/>
      <c r="AD133" s="6"/>
    </row>
    <row r="134" spans="1:30" x14ac:dyDescent="0.25">
      <c r="A134" s="6">
        <f t="shared" si="30"/>
        <v>126</v>
      </c>
      <c r="B134" s="6">
        <v>537</v>
      </c>
      <c r="C134" s="6" t="s">
        <v>88</v>
      </c>
      <c r="D134" s="36" t="s">
        <v>636</v>
      </c>
      <c r="E134" s="6" t="s">
        <v>566</v>
      </c>
      <c r="F134" s="6">
        <v>352</v>
      </c>
      <c r="G134" s="6">
        <v>0.6</v>
      </c>
      <c r="H134" s="79" t="s">
        <v>630</v>
      </c>
      <c r="I134" s="36">
        <v>1.2</v>
      </c>
      <c r="J134" s="36">
        <v>1.2</v>
      </c>
      <c r="K134" s="73">
        <f t="shared" si="43"/>
        <v>422.4</v>
      </c>
      <c r="L134" s="70"/>
      <c r="M134" s="70">
        <f t="shared" si="44"/>
        <v>422.4</v>
      </c>
      <c r="N134" s="6"/>
      <c r="O134" s="6"/>
      <c r="P134" s="70">
        <f t="shared" si="45"/>
        <v>253.43999999999997</v>
      </c>
      <c r="Q134" s="6"/>
      <c r="R134" s="6"/>
      <c r="S134" s="13"/>
      <c r="T134" s="13"/>
      <c r="U134" s="13">
        <f>6*F134/10000</f>
        <v>0.2112</v>
      </c>
      <c r="V134" s="13">
        <f t="shared" si="52"/>
        <v>0.14080000000000001</v>
      </c>
      <c r="W134" s="6"/>
      <c r="X134" s="13">
        <f t="shared" si="48"/>
        <v>0.35199999999999998</v>
      </c>
      <c r="Y134" s="13">
        <f t="shared" si="49"/>
        <v>0.35199999999999998</v>
      </c>
      <c r="Z134" s="6"/>
      <c r="AA134" s="6"/>
      <c r="AB134" s="6"/>
      <c r="AC134" s="70"/>
      <c r="AD134" s="6"/>
    </row>
    <row r="135" spans="1:30" x14ac:dyDescent="0.25">
      <c r="A135" s="6">
        <f t="shared" si="30"/>
        <v>127</v>
      </c>
      <c r="B135" s="6">
        <v>538</v>
      </c>
      <c r="C135" s="6" t="s">
        <v>88</v>
      </c>
      <c r="D135" s="36" t="s">
        <v>636</v>
      </c>
      <c r="E135" s="6" t="s">
        <v>566</v>
      </c>
      <c r="F135" s="6">
        <v>435</v>
      </c>
      <c r="G135" s="6">
        <v>0.6</v>
      </c>
      <c r="H135" s="79" t="s">
        <v>630</v>
      </c>
      <c r="I135" s="36">
        <v>1.2</v>
      </c>
      <c r="J135" s="36">
        <v>1.2</v>
      </c>
      <c r="K135" s="73">
        <f t="shared" si="43"/>
        <v>522</v>
      </c>
      <c r="L135" s="70"/>
      <c r="M135" s="70">
        <f t="shared" si="44"/>
        <v>522</v>
      </c>
      <c r="N135" s="6"/>
      <c r="O135" s="6"/>
      <c r="P135" s="70">
        <f t="shared" si="45"/>
        <v>313.2</v>
      </c>
      <c r="Q135" s="6"/>
      <c r="R135" s="6"/>
      <c r="S135" s="13"/>
      <c r="T135" s="13">
        <f t="shared" ref="T135:T140" si="53">2*F135/10000</f>
        <v>8.6999999999999994E-2</v>
      </c>
      <c r="U135" s="13">
        <f t="shared" ref="U135:U150" si="54">4*F135/10000</f>
        <v>0.17399999999999999</v>
      </c>
      <c r="V135" s="13">
        <f t="shared" si="52"/>
        <v>0.17399999999999999</v>
      </c>
      <c r="W135" s="6"/>
      <c r="X135" s="13">
        <f t="shared" si="48"/>
        <v>0.435</v>
      </c>
      <c r="Y135" s="13">
        <f t="shared" si="49"/>
        <v>0.435</v>
      </c>
      <c r="Z135" s="6"/>
      <c r="AA135" s="6"/>
      <c r="AB135" s="6"/>
      <c r="AC135" s="70"/>
      <c r="AD135" s="6"/>
    </row>
    <row r="136" spans="1:30" x14ac:dyDescent="0.25">
      <c r="A136" s="6">
        <f t="shared" si="30"/>
        <v>128</v>
      </c>
      <c r="B136" s="6">
        <v>539</v>
      </c>
      <c r="C136" s="6" t="s">
        <v>88</v>
      </c>
      <c r="D136" s="36" t="s">
        <v>636</v>
      </c>
      <c r="E136" s="6" t="s">
        <v>566</v>
      </c>
      <c r="F136" s="6">
        <v>360</v>
      </c>
      <c r="G136" s="6">
        <v>0.6</v>
      </c>
      <c r="H136" s="79" t="s">
        <v>630</v>
      </c>
      <c r="I136" s="36">
        <v>1.2</v>
      </c>
      <c r="J136" s="36">
        <v>1.2</v>
      </c>
      <c r="K136" s="73">
        <f t="shared" si="43"/>
        <v>432</v>
      </c>
      <c r="L136" s="70"/>
      <c r="M136" s="70">
        <f t="shared" si="44"/>
        <v>432</v>
      </c>
      <c r="N136" s="6"/>
      <c r="O136" s="6"/>
      <c r="P136" s="70">
        <f t="shared" si="45"/>
        <v>259.2</v>
      </c>
      <c r="Q136" s="6"/>
      <c r="R136" s="6"/>
      <c r="S136" s="13"/>
      <c r="T136" s="13">
        <f t="shared" si="53"/>
        <v>7.1999999999999995E-2</v>
      </c>
      <c r="U136" s="13">
        <f t="shared" si="54"/>
        <v>0.14399999999999999</v>
      </c>
      <c r="V136" s="13">
        <f t="shared" si="52"/>
        <v>0.14399999999999999</v>
      </c>
      <c r="W136" s="6"/>
      <c r="X136" s="13">
        <f t="shared" si="48"/>
        <v>0.36</v>
      </c>
      <c r="Y136" s="13">
        <f t="shared" si="49"/>
        <v>0.36</v>
      </c>
      <c r="Z136" s="6"/>
      <c r="AA136" s="6"/>
      <c r="AB136" s="6"/>
      <c r="AC136" s="70"/>
      <c r="AD136" s="6"/>
    </row>
    <row r="137" spans="1:30" x14ac:dyDescent="0.25">
      <c r="A137" s="6">
        <f t="shared" si="30"/>
        <v>129</v>
      </c>
      <c r="B137" s="6">
        <v>540</v>
      </c>
      <c r="C137" s="6" t="s">
        <v>88</v>
      </c>
      <c r="D137" s="36" t="s">
        <v>636</v>
      </c>
      <c r="E137" s="6" t="s">
        <v>566</v>
      </c>
      <c r="F137" s="6">
        <v>358</v>
      </c>
      <c r="G137" s="6">
        <v>0.6</v>
      </c>
      <c r="H137" s="79" t="s">
        <v>630</v>
      </c>
      <c r="I137" s="36">
        <v>1.2</v>
      </c>
      <c r="J137" s="36">
        <v>1.2</v>
      </c>
      <c r="K137" s="73">
        <f t="shared" si="43"/>
        <v>429.59999999999997</v>
      </c>
      <c r="L137" s="70"/>
      <c r="M137" s="70">
        <f t="shared" si="44"/>
        <v>429.59999999999997</v>
      </c>
      <c r="N137" s="6"/>
      <c r="O137" s="6"/>
      <c r="P137" s="70">
        <f t="shared" si="45"/>
        <v>257.76</v>
      </c>
      <c r="Q137" s="6"/>
      <c r="R137" s="6"/>
      <c r="S137" s="13"/>
      <c r="T137" s="13">
        <f t="shared" si="53"/>
        <v>7.1599999999999997E-2</v>
      </c>
      <c r="U137" s="13">
        <f t="shared" si="54"/>
        <v>0.14319999999999999</v>
      </c>
      <c r="V137" s="13">
        <f t="shared" si="52"/>
        <v>0.14319999999999999</v>
      </c>
      <c r="W137" s="6"/>
      <c r="X137" s="13">
        <f t="shared" si="48"/>
        <v>0.35799999999999998</v>
      </c>
      <c r="Y137" s="13">
        <f t="shared" si="49"/>
        <v>0.35799999999999998</v>
      </c>
      <c r="Z137" s="6"/>
      <c r="AA137" s="6"/>
      <c r="AB137" s="6"/>
      <c r="AC137" s="70"/>
      <c r="AD137" s="6"/>
    </row>
    <row r="138" spans="1:30" x14ac:dyDescent="0.25">
      <c r="A138" s="6">
        <f t="shared" si="30"/>
        <v>130</v>
      </c>
      <c r="B138" s="6">
        <v>544</v>
      </c>
      <c r="C138" s="6" t="s">
        <v>88</v>
      </c>
      <c r="D138" s="36" t="s">
        <v>698</v>
      </c>
      <c r="E138" s="6" t="s">
        <v>566</v>
      </c>
      <c r="F138" s="6">
        <v>425</v>
      </c>
      <c r="G138" s="6">
        <v>0.6</v>
      </c>
      <c r="H138" s="79" t="s">
        <v>630</v>
      </c>
      <c r="I138" s="36">
        <v>1.2</v>
      </c>
      <c r="J138" s="36">
        <v>1.2</v>
      </c>
      <c r="K138" s="73">
        <f t="shared" si="43"/>
        <v>510</v>
      </c>
      <c r="L138" s="70"/>
      <c r="M138" s="70">
        <f t="shared" si="44"/>
        <v>510</v>
      </c>
      <c r="N138" s="6"/>
      <c r="O138" s="6"/>
      <c r="P138" s="70">
        <f t="shared" si="45"/>
        <v>306</v>
      </c>
      <c r="Q138" s="6"/>
      <c r="R138" s="6"/>
      <c r="S138" s="13"/>
      <c r="T138" s="13">
        <f t="shared" si="53"/>
        <v>8.5000000000000006E-2</v>
      </c>
      <c r="U138" s="13">
        <f t="shared" si="54"/>
        <v>0.17</v>
      </c>
      <c r="V138" s="13">
        <f t="shared" si="52"/>
        <v>0.17</v>
      </c>
      <c r="W138" s="6"/>
      <c r="X138" s="13">
        <f t="shared" si="48"/>
        <v>0.42500000000000004</v>
      </c>
      <c r="Y138" s="13">
        <f t="shared" si="49"/>
        <v>0.42500000000000004</v>
      </c>
      <c r="Z138" s="6"/>
      <c r="AA138" s="6"/>
      <c r="AB138" s="6"/>
      <c r="AC138" s="70"/>
      <c r="AD138" s="6"/>
    </row>
    <row r="139" spans="1:30" ht="25.5" x14ac:dyDescent="0.25">
      <c r="A139" s="6">
        <f t="shared" si="30"/>
        <v>131</v>
      </c>
      <c r="B139" s="6">
        <v>545</v>
      </c>
      <c r="C139" s="6" t="s">
        <v>88</v>
      </c>
      <c r="D139" s="48" t="s">
        <v>699</v>
      </c>
      <c r="E139" s="6" t="s">
        <v>566</v>
      </c>
      <c r="F139" s="6">
        <v>363</v>
      </c>
      <c r="G139" s="6">
        <v>0.6</v>
      </c>
      <c r="H139" s="79" t="s">
        <v>630</v>
      </c>
      <c r="I139" s="36">
        <v>1.2</v>
      </c>
      <c r="J139" s="36">
        <v>1.2</v>
      </c>
      <c r="K139" s="73">
        <f t="shared" si="37"/>
        <v>435.59999999999997</v>
      </c>
      <c r="L139" s="70"/>
      <c r="M139" s="70">
        <f t="shared" si="38"/>
        <v>435.59999999999997</v>
      </c>
      <c r="N139" s="6"/>
      <c r="O139" s="6"/>
      <c r="P139" s="70">
        <f t="shared" si="39"/>
        <v>261.35999999999996</v>
      </c>
      <c r="Q139" s="6"/>
      <c r="R139" s="6"/>
      <c r="S139" s="13"/>
      <c r="T139" s="13">
        <f t="shared" si="53"/>
        <v>7.2599999999999998E-2</v>
      </c>
      <c r="U139" s="13">
        <f t="shared" si="54"/>
        <v>0.1452</v>
      </c>
      <c r="V139" s="13">
        <f t="shared" si="52"/>
        <v>0.1452</v>
      </c>
      <c r="W139" s="6"/>
      <c r="X139" s="13">
        <f t="shared" si="48"/>
        <v>0.36299999999999999</v>
      </c>
      <c r="Y139" s="13">
        <f t="shared" si="49"/>
        <v>0.36299999999999999</v>
      </c>
      <c r="Z139" s="6"/>
      <c r="AA139" s="6"/>
      <c r="AB139" s="6"/>
      <c r="AC139" s="70"/>
      <c r="AD139" s="6"/>
    </row>
    <row r="140" spans="1:30" ht="25.5" x14ac:dyDescent="0.25">
      <c r="A140" s="6">
        <f t="shared" ref="A140:A201" si="55">A139+1</f>
        <v>132</v>
      </c>
      <c r="B140" s="6">
        <v>547</v>
      </c>
      <c r="C140" s="6" t="s">
        <v>88</v>
      </c>
      <c r="D140" s="48" t="s">
        <v>700</v>
      </c>
      <c r="E140" s="6" t="s">
        <v>566</v>
      </c>
      <c r="F140" s="6">
        <v>722</v>
      </c>
      <c r="G140" s="6">
        <v>0.6</v>
      </c>
      <c r="H140" s="79" t="s">
        <v>630</v>
      </c>
      <c r="I140" s="36">
        <v>1.2</v>
      </c>
      <c r="J140" s="36">
        <v>1.2</v>
      </c>
      <c r="K140" s="73">
        <f t="shared" si="37"/>
        <v>866.4</v>
      </c>
      <c r="L140" s="70"/>
      <c r="M140" s="70">
        <f t="shared" si="38"/>
        <v>866.4</v>
      </c>
      <c r="N140" s="6"/>
      <c r="O140" s="6"/>
      <c r="P140" s="70">
        <f t="shared" si="39"/>
        <v>519.83999999999992</v>
      </c>
      <c r="Q140" s="6"/>
      <c r="R140" s="6"/>
      <c r="S140" s="13"/>
      <c r="T140" s="13">
        <f t="shared" si="53"/>
        <v>0.1444</v>
      </c>
      <c r="U140" s="13">
        <f t="shared" si="54"/>
        <v>0.2888</v>
      </c>
      <c r="V140" s="13">
        <f t="shared" si="52"/>
        <v>0.2888</v>
      </c>
      <c r="W140" s="6"/>
      <c r="X140" s="13">
        <f t="shared" si="48"/>
        <v>0.72199999999999998</v>
      </c>
      <c r="Y140" s="13">
        <f t="shared" si="49"/>
        <v>0.72199999999999998</v>
      </c>
      <c r="Z140" s="6"/>
      <c r="AA140" s="6"/>
      <c r="AB140" s="6"/>
      <c r="AC140" s="70">
        <v>1</v>
      </c>
      <c r="AD140" s="6"/>
    </row>
    <row r="141" spans="1:30" x14ac:dyDescent="0.25">
      <c r="A141" s="6">
        <f t="shared" si="55"/>
        <v>133</v>
      </c>
      <c r="B141" s="6">
        <v>548</v>
      </c>
      <c r="C141" s="6" t="s">
        <v>88</v>
      </c>
      <c r="D141" s="36" t="s">
        <v>635</v>
      </c>
      <c r="E141" s="6" t="s">
        <v>566</v>
      </c>
      <c r="F141" s="6">
        <v>434</v>
      </c>
      <c r="G141" s="6">
        <v>0.6</v>
      </c>
      <c r="H141" s="79" t="s">
        <v>630</v>
      </c>
      <c r="I141" s="36">
        <v>1.2</v>
      </c>
      <c r="J141" s="36">
        <v>1.2</v>
      </c>
      <c r="K141" s="73">
        <f t="shared" si="37"/>
        <v>520.79999999999995</v>
      </c>
      <c r="L141" s="70"/>
      <c r="M141" s="70">
        <f t="shared" si="38"/>
        <v>520.79999999999995</v>
      </c>
      <c r="N141" s="6"/>
      <c r="O141" s="6"/>
      <c r="P141" s="70">
        <f t="shared" si="39"/>
        <v>312.47999999999996</v>
      </c>
      <c r="Q141" s="6"/>
      <c r="R141" s="6"/>
      <c r="S141" s="13"/>
      <c r="T141" s="13">
        <f>4*F141/10000</f>
        <v>0.1736</v>
      </c>
      <c r="U141" s="13">
        <f t="shared" si="54"/>
        <v>0.1736</v>
      </c>
      <c r="V141" s="13"/>
      <c r="W141" s="6"/>
      <c r="X141" s="13">
        <f t="shared" si="48"/>
        <v>0.34720000000000001</v>
      </c>
      <c r="Y141" s="13">
        <f t="shared" si="49"/>
        <v>0.34720000000000001</v>
      </c>
      <c r="Z141" s="6"/>
      <c r="AA141" s="6"/>
      <c r="AB141" s="6"/>
      <c r="AC141" s="70"/>
      <c r="AD141" s="6"/>
    </row>
    <row r="142" spans="1:30" x14ac:dyDescent="0.25">
      <c r="A142" s="6">
        <f t="shared" si="55"/>
        <v>134</v>
      </c>
      <c r="B142" s="6">
        <v>549</v>
      </c>
      <c r="C142" s="6" t="s">
        <v>88</v>
      </c>
      <c r="D142" s="36" t="s">
        <v>635</v>
      </c>
      <c r="E142" s="6" t="s">
        <v>566</v>
      </c>
      <c r="F142" s="6">
        <v>502</v>
      </c>
      <c r="G142" s="6">
        <v>0.6</v>
      </c>
      <c r="H142" s="79" t="s">
        <v>630</v>
      </c>
      <c r="I142" s="36">
        <v>1.2</v>
      </c>
      <c r="J142" s="36">
        <v>1.2</v>
      </c>
      <c r="K142" s="73">
        <f t="shared" si="37"/>
        <v>602.4</v>
      </c>
      <c r="L142" s="70"/>
      <c r="M142" s="70">
        <f t="shared" si="38"/>
        <v>602.4</v>
      </c>
      <c r="N142" s="6"/>
      <c r="O142" s="6"/>
      <c r="P142" s="70">
        <f t="shared" si="39"/>
        <v>361.44</v>
      </c>
      <c r="Q142" s="6"/>
      <c r="R142" s="6"/>
      <c r="S142" s="13"/>
      <c r="T142" s="13">
        <f>2*F142/10000</f>
        <v>0.1004</v>
      </c>
      <c r="U142" s="13">
        <f t="shared" si="54"/>
        <v>0.20080000000000001</v>
      </c>
      <c r="V142" s="13">
        <f>4*F142/10000</f>
        <v>0.20080000000000001</v>
      </c>
      <c r="W142" s="6"/>
      <c r="X142" s="13">
        <f t="shared" si="48"/>
        <v>0.502</v>
      </c>
      <c r="Y142" s="13">
        <f t="shared" si="49"/>
        <v>0.502</v>
      </c>
      <c r="Z142" s="6"/>
      <c r="AA142" s="6"/>
      <c r="AB142" s="6"/>
      <c r="AC142" s="70">
        <v>1</v>
      </c>
      <c r="AD142" s="6"/>
    </row>
    <row r="143" spans="1:30" x14ac:dyDescent="0.25">
      <c r="A143" s="6">
        <f t="shared" si="55"/>
        <v>135</v>
      </c>
      <c r="B143" s="6">
        <v>550</v>
      </c>
      <c r="C143" s="6" t="s">
        <v>88</v>
      </c>
      <c r="D143" s="36" t="s">
        <v>635</v>
      </c>
      <c r="E143" s="6" t="s">
        <v>566</v>
      </c>
      <c r="F143" s="6">
        <v>355</v>
      </c>
      <c r="G143" s="6">
        <v>0.6</v>
      </c>
      <c r="H143" s="79" t="s">
        <v>630</v>
      </c>
      <c r="I143" s="36">
        <v>1.2</v>
      </c>
      <c r="J143" s="36">
        <v>1.2</v>
      </c>
      <c r="K143" s="73">
        <f t="shared" si="37"/>
        <v>426</v>
      </c>
      <c r="L143" s="70"/>
      <c r="M143" s="70">
        <f t="shared" si="38"/>
        <v>426</v>
      </c>
      <c r="N143" s="6"/>
      <c r="O143" s="6"/>
      <c r="P143" s="70">
        <f t="shared" si="39"/>
        <v>255.6</v>
      </c>
      <c r="Q143" s="6"/>
      <c r="R143" s="6"/>
      <c r="S143" s="13"/>
      <c r="T143" s="13">
        <f>2*F143/10000</f>
        <v>7.0999999999999994E-2</v>
      </c>
      <c r="U143" s="13">
        <f t="shared" si="54"/>
        <v>0.14199999999999999</v>
      </c>
      <c r="V143" s="13">
        <f>4*F143/10000</f>
        <v>0.14199999999999999</v>
      </c>
      <c r="W143" s="6"/>
      <c r="X143" s="13">
        <f t="shared" si="48"/>
        <v>0.35499999999999998</v>
      </c>
      <c r="Y143" s="13">
        <f t="shared" si="49"/>
        <v>0.35499999999999998</v>
      </c>
      <c r="Z143" s="6"/>
      <c r="AA143" s="6"/>
      <c r="AB143" s="6"/>
      <c r="AC143" s="70"/>
      <c r="AD143" s="6"/>
    </row>
    <row r="144" spans="1:30" x14ac:dyDescent="0.25">
      <c r="A144" s="6">
        <f t="shared" si="55"/>
        <v>136</v>
      </c>
      <c r="B144" s="6">
        <v>551</v>
      </c>
      <c r="C144" s="6" t="s">
        <v>88</v>
      </c>
      <c r="D144" s="36" t="s">
        <v>635</v>
      </c>
      <c r="E144" s="6" t="s">
        <v>566</v>
      </c>
      <c r="F144" s="6">
        <v>438</v>
      </c>
      <c r="G144" s="6">
        <v>0.6</v>
      </c>
      <c r="H144" s="79" t="s">
        <v>630</v>
      </c>
      <c r="I144" s="36">
        <v>1.2</v>
      </c>
      <c r="J144" s="36">
        <v>1.2</v>
      </c>
      <c r="K144" s="73">
        <f t="shared" si="37"/>
        <v>525.6</v>
      </c>
      <c r="L144" s="70"/>
      <c r="M144" s="70">
        <f t="shared" si="38"/>
        <v>525.6</v>
      </c>
      <c r="N144" s="6"/>
      <c r="O144" s="6"/>
      <c r="P144" s="70">
        <f t="shared" si="39"/>
        <v>315.36</v>
      </c>
      <c r="Q144" s="6"/>
      <c r="R144" s="6"/>
      <c r="S144" s="13"/>
      <c r="T144" s="13">
        <f>4*F144/10000</f>
        <v>0.17519999999999999</v>
      </c>
      <c r="U144" s="13">
        <f t="shared" si="54"/>
        <v>0.17519999999999999</v>
      </c>
      <c r="V144" s="13"/>
      <c r="W144" s="6"/>
      <c r="X144" s="13">
        <f>SUM(S144:V144)</f>
        <v>0.35039999999999999</v>
      </c>
      <c r="Y144" s="13">
        <f>X144</f>
        <v>0.35039999999999999</v>
      </c>
      <c r="Z144" s="6"/>
      <c r="AA144" s="6"/>
      <c r="AB144" s="6"/>
      <c r="AC144" s="70"/>
      <c r="AD144" s="6"/>
    </row>
    <row r="145" spans="1:30" x14ac:dyDescent="0.25">
      <c r="A145" s="6">
        <f t="shared" si="55"/>
        <v>137</v>
      </c>
      <c r="B145" s="6">
        <v>552</v>
      </c>
      <c r="C145" s="6" t="s">
        <v>88</v>
      </c>
      <c r="D145" s="36" t="s">
        <v>635</v>
      </c>
      <c r="E145" s="6" t="s">
        <v>566</v>
      </c>
      <c r="F145" s="6">
        <v>333</v>
      </c>
      <c r="G145" s="6">
        <v>0.6</v>
      </c>
      <c r="H145" s="79" t="s">
        <v>630</v>
      </c>
      <c r="I145" s="36">
        <v>1.2</v>
      </c>
      <c r="J145" s="36">
        <v>1.2</v>
      </c>
      <c r="K145" s="73">
        <f t="shared" si="37"/>
        <v>399.59999999999997</v>
      </c>
      <c r="L145" s="70"/>
      <c r="M145" s="70">
        <f t="shared" si="38"/>
        <v>399.59999999999997</v>
      </c>
      <c r="N145" s="6"/>
      <c r="O145" s="6"/>
      <c r="P145" s="70">
        <f t="shared" si="39"/>
        <v>239.75999999999996</v>
      </c>
      <c r="Q145" s="6"/>
      <c r="R145" s="6"/>
      <c r="S145" s="13"/>
      <c r="T145" s="13">
        <f t="shared" ref="T145:T150" si="56">2*F145/10000</f>
        <v>6.6600000000000006E-2</v>
      </c>
      <c r="U145" s="13">
        <f t="shared" si="54"/>
        <v>0.13320000000000001</v>
      </c>
      <c r="V145" s="13">
        <f>4*F145/10000</f>
        <v>0.13320000000000001</v>
      </c>
      <c r="W145" s="6"/>
      <c r="X145" s="13">
        <f t="shared" ref="X145:X162" si="57">SUM(S145:V145)</f>
        <v>0.33300000000000007</v>
      </c>
      <c r="Y145" s="13">
        <f t="shared" ref="Y145:Y162" si="58">X145</f>
        <v>0.33300000000000007</v>
      </c>
      <c r="Z145" s="6"/>
      <c r="AA145" s="6"/>
      <c r="AB145" s="6"/>
      <c r="AC145" s="70"/>
      <c r="AD145" s="6"/>
    </row>
    <row r="146" spans="1:30" x14ac:dyDescent="0.25">
      <c r="A146" s="6">
        <f t="shared" si="55"/>
        <v>138</v>
      </c>
      <c r="B146" s="6">
        <v>553</v>
      </c>
      <c r="C146" s="6" t="s">
        <v>88</v>
      </c>
      <c r="D146" s="36" t="s">
        <v>635</v>
      </c>
      <c r="E146" s="6" t="s">
        <v>566</v>
      </c>
      <c r="F146" s="6">
        <v>631</v>
      </c>
      <c r="G146" s="6">
        <v>0.6</v>
      </c>
      <c r="H146" s="79" t="s">
        <v>630</v>
      </c>
      <c r="I146" s="36">
        <v>1.2</v>
      </c>
      <c r="J146" s="36">
        <v>1.2</v>
      </c>
      <c r="K146" s="73">
        <f t="shared" si="37"/>
        <v>757.19999999999993</v>
      </c>
      <c r="L146" s="70"/>
      <c r="M146" s="70">
        <f t="shared" si="38"/>
        <v>757.19999999999993</v>
      </c>
      <c r="N146" s="6"/>
      <c r="O146" s="6"/>
      <c r="P146" s="70">
        <f t="shared" si="39"/>
        <v>454.31999999999994</v>
      </c>
      <c r="Q146" s="6"/>
      <c r="R146" s="6"/>
      <c r="S146" s="13"/>
      <c r="T146" s="13">
        <f t="shared" si="56"/>
        <v>0.12620000000000001</v>
      </c>
      <c r="U146" s="13">
        <f t="shared" si="54"/>
        <v>0.25240000000000001</v>
      </c>
      <c r="V146" s="13">
        <f>4*F146/10000</f>
        <v>0.25240000000000001</v>
      </c>
      <c r="W146" s="6"/>
      <c r="X146" s="13">
        <f t="shared" si="57"/>
        <v>0.63100000000000001</v>
      </c>
      <c r="Y146" s="13">
        <f t="shared" si="58"/>
        <v>0.63100000000000001</v>
      </c>
      <c r="Z146" s="6"/>
      <c r="AA146" s="6"/>
      <c r="AB146" s="6"/>
      <c r="AC146" s="70">
        <v>1</v>
      </c>
      <c r="AD146" s="6"/>
    </row>
    <row r="147" spans="1:30" x14ac:dyDescent="0.25">
      <c r="A147" s="6">
        <f t="shared" si="55"/>
        <v>139</v>
      </c>
      <c r="B147" s="6">
        <v>554</v>
      </c>
      <c r="C147" s="6" t="s">
        <v>88</v>
      </c>
      <c r="D147" s="36" t="s">
        <v>635</v>
      </c>
      <c r="E147" s="6" t="s">
        <v>566</v>
      </c>
      <c r="F147" s="6">
        <v>128</v>
      </c>
      <c r="G147" s="6">
        <v>0.6</v>
      </c>
      <c r="H147" s="79" t="s">
        <v>630</v>
      </c>
      <c r="I147" s="36">
        <v>1.2</v>
      </c>
      <c r="J147" s="36">
        <v>1.2</v>
      </c>
      <c r="K147" s="73">
        <f t="shared" si="37"/>
        <v>153.6</v>
      </c>
      <c r="L147" s="70"/>
      <c r="M147" s="70">
        <f t="shared" si="38"/>
        <v>153.6</v>
      </c>
      <c r="N147" s="6"/>
      <c r="O147" s="6"/>
      <c r="P147" s="70">
        <f t="shared" si="39"/>
        <v>92.16</v>
      </c>
      <c r="Q147" s="6"/>
      <c r="R147" s="6"/>
      <c r="S147" s="13"/>
      <c r="T147" s="13">
        <f t="shared" si="56"/>
        <v>2.5600000000000001E-2</v>
      </c>
      <c r="U147" s="13">
        <f t="shared" si="54"/>
        <v>5.1200000000000002E-2</v>
      </c>
      <c r="V147" s="13">
        <f>4*F147/10000</f>
        <v>5.1200000000000002E-2</v>
      </c>
      <c r="W147" s="6"/>
      <c r="X147" s="13">
        <f t="shared" si="57"/>
        <v>0.128</v>
      </c>
      <c r="Y147" s="13">
        <f t="shared" si="58"/>
        <v>0.128</v>
      </c>
      <c r="Z147" s="6"/>
      <c r="AA147" s="6"/>
      <c r="AB147" s="6"/>
      <c r="AC147" s="70"/>
      <c r="AD147" s="6"/>
    </row>
    <row r="148" spans="1:30" ht="51" x14ac:dyDescent="0.25">
      <c r="A148" s="6">
        <f t="shared" si="55"/>
        <v>140</v>
      </c>
      <c r="B148" s="6">
        <v>555</v>
      </c>
      <c r="C148" s="6" t="s">
        <v>88</v>
      </c>
      <c r="D148" s="48" t="s">
        <v>701</v>
      </c>
      <c r="E148" s="6" t="s">
        <v>566</v>
      </c>
      <c r="F148" s="6">
        <v>1126</v>
      </c>
      <c r="G148" s="6">
        <v>0.6</v>
      </c>
      <c r="H148" s="79" t="s">
        <v>630</v>
      </c>
      <c r="I148" s="36">
        <v>1.2</v>
      </c>
      <c r="J148" s="36">
        <v>1.2</v>
      </c>
      <c r="K148" s="73">
        <f t="shared" si="37"/>
        <v>1351.2</v>
      </c>
      <c r="L148" s="70"/>
      <c r="M148" s="70">
        <f t="shared" si="38"/>
        <v>1351.2</v>
      </c>
      <c r="N148" s="6"/>
      <c r="O148" s="6"/>
      <c r="P148" s="70">
        <f t="shared" si="39"/>
        <v>810.72</v>
      </c>
      <c r="Q148" s="6"/>
      <c r="R148" s="6"/>
      <c r="S148" s="13"/>
      <c r="T148" s="13">
        <f t="shared" si="56"/>
        <v>0.22520000000000001</v>
      </c>
      <c r="U148" s="13">
        <f t="shared" si="54"/>
        <v>0.45040000000000002</v>
      </c>
      <c r="V148" s="13">
        <f>4*F148/10000</f>
        <v>0.45040000000000002</v>
      </c>
      <c r="W148" s="6"/>
      <c r="X148" s="13">
        <f t="shared" si="57"/>
        <v>1.1259999999999999</v>
      </c>
      <c r="Y148" s="13">
        <f t="shared" si="58"/>
        <v>1.1259999999999999</v>
      </c>
      <c r="Z148" s="6"/>
      <c r="AA148" s="6"/>
      <c r="AB148" s="6"/>
      <c r="AC148" s="70">
        <v>3</v>
      </c>
      <c r="AD148" s="6"/>
    </row>
    <row r="149" spans="1:30" x14ac:dyDescent="0.25">
      <c r="A149" s="6">
        <f t="shared" si="55"/>
        <v>141</v>
      </c>
      <c r="B149" s="6">
        <v>556</v>
      </c>
      <c r="C149" s="6" t="s">
        <v>88</v>
      </c>
      <c r="D149" s="36" t="s">
        <v>702</v>
      </c>
      <c r="E149" s="6" t="s">
        <v>566</v>
      </c>
      <c r="F149" s="6">
        <v>787</v>
      </c>
      <c r="G149" s="6">
        <v>0.6</v>
      </c>
      <c r="H149" s="79" t="s">
        <v>630</v>
      </c>
      <c r="I149" s="36">
        <v>1.2</v>
      </c>
      <c r="J149" s="36">
        <v>1.2</v>
      </c>
      <c r="K149" s="73">
        <f t="shared" si="37"/>
        <v>944.4</v>
      </c>
      <c r="L149" s="70"/>
      <c r="M149" s="70">
        <f t="shared" si="38"/>
        <v>944.4</v>
      </c>
      <c r="N149" s="6"/>
      <c r="O149" s="6"/>
      <c r="P149" s="70">
        <f t="shared" si="39"/>
        <v>566.64</v>
      </c>
      <c r="Q149" s="6"/>
      <c r="R149" s="6"/>
      <c r="S149" s="13"/>
      <c r="T149" s="13">
        <f t="shared" si="56"/>
        <v>0.15740000000000001</v>
      </c>
      <c r="U149" s="13">
        <f t="shared" si="54"/>
        <v>0.31480000000000002</v>
      </c>
      <c r="V149" s="13">
        <f>2*F149/10000</f>
        <v>0.15740000000000001</v>
      </c>
      <c r="W149" s="6"/>
      <c r="X149" s="13">
        <f t="shared" si="57"/>
        <v>0.62960000000000005</v>
      </c>
      <c r="Y149" s="13">
        <f t="shared" si="58"/>
        <v>0.62960000000000005</v>
      </c>
      <c r="Z149" s="6"/>
      <c r="AA149" s="6"/>
      <c r="AB149" s="6"/>
      <c r="AC149" s="70">
        <v>2</v>
      </c>
      <c r="AD149" s="6"/>
    </row>
    <row r="150" spans="1:30" x14ac:dyDescent="0.25">
      <c r="A150" s="6">
        <f t="shared" si="55"/>
        <v>142</v>
      </c>
      <c r="B150" s="6">
        <v>557</v>
      </c>
      <c r="C150" s="6" t="s">
        <v>88</v>
      </c>
      <c r="D150" s="36" t="s">
        <v>702</v>
      </c>
      <c r="E150" s="6" t="s">
        <v>566</v>
      </c>
      <c r="F150" s="6">
        <v>503</v>
      </c>
      <c r="G150" s="6">
        <v>0.6</v>
      </c>
      <c r="H150" s="79" t="s">
        <v>630</v>
      </c>
      <c r="I150" s="36">
        <v>1.2</v>
      </c>
      <c r="J150" s="36">
        <v>1.2</v>
      </c>
      <c r="K150" s="73">
        <f t="shared" si="37"/>
        <v>603.6</v>
      </c>
      <c r="L150" s="70"/>
      <c r="M150" s="70">
        <f t="shared" si="38"/>
        <v>603.6</v>
      </c>
      <c r="N150" s="6"/>
      <c r="O150" s="6"/>
      <c r="P150" s="70">
        <f t="shared" si="39"/>
        <v>362.16</v>
      </c>
      <c r="Q150" s="6"/>
      <c r="R150" s="6"/>
      <c r="S150" s="13"/>
      <c r="T150" s="13">
        <f t="shared" si="56"/>
        <v>0.10059999999999999</v>
      </c>
      <c r="U150" s="13">
        <f t="shared" si="54"/>
        <v>0.20119999999999999</v>
      </c>
      <c r="V150" s="13"/>
      <c r="W150" s="6"/>
      <c r="X150" s="13">
        <f t="shared" si="57"/>
        <v>0.30179999999999996</v>
      </c>
      <c r="Y150" s="13">
        <f t="shared" si="58"/>
        <v>0.30179999999999996</v>
      </c>
      <c r="Z150" s="6"/>
      <c r="AA150" s="6"/>
      <c r="AB150" s="6"/>
      <c r="AC150" s="70">
        <v>1</v>
      </c>
      <c r="AD150" s="6"/>
    </row>
    <row r="151" spans="1:30" x14ac:dyDescent="0.25">
      <c r="A151" s="6">
        <f t="shared" si="55"/>
        <v>143</v>
      </c>
      <c r="B151" s="6" t="s">
        <v>302</v>
      </c>
      <c r="C151" s="6" t="s">
        <v>88</v>
      </c>
      <c r="D151" s="36" t="s">
        <v>702</v>
      </c>
      <c r="E151" s="6" t="s">
        <v>566</v>
      </c>
      <c r="F151" s="6">
        <v>1256</v>
      </c>
      <c r="G151" s="6">
        <v>0.6</v>
      </c>
      <c r="H151" s="79" t="s">
        <v>630</v>
      </c>
      <c r="I151" s="36">
        <v>1.2</v>
      </c>
      <c r="J151" s="36">
        <v>1.2</v>
      </c>
      <c r="K151" s="73">
        <f t="shared" si="37"/>
        <v>1507.2</v>
      </c>
      <c r="L151" s="70"/>
      <c r="M151" s="70">
        <f t="shared" si="38"/>
        <v>1507.2</v>
      </c>
      <c r="N151" s="6"/>
      <c r="O151" s="6"/>
      <c r="P151" s="70">
        <f t="shared" si="39"/>
        <v>904.32</v>
      </c>
      <c r="Q151" s="6"/>
      <c r="R151" s="6"/>
      <c r="S151" s="13"/>
      <c r="T151" s="13">
        <f t="shared" ref="T151:T156" si="59">4*F151/10000</f>
        <v>0.50239999999999996</v>
      </c>
      <c r="U151" s="13">
        <f>6*F151/10000</f>
        <v>0.75360000000000005</v>
      </c>
      <c r="V151" s="13">
        <f>2*F151/10000</f>
        <v>0.25119999999999998</v>
      </c>
      <c r="W151" s="6"/>
      <c r="X151" s="13">
        <f t="shared" si="57"/>
        <v>1.5072000000000001</v>
      </c>
      <c r="Y151" s="13">
        <f t="shared" si="58"/>
        <v>1.5072000000000001</v>
      </c>
      <c r="Z151" s="6"/>
      <c r="AA151" s="6"/>
      <c r="AB151" s="6"/>
      <c r="AC151" s="70">
        <v>3</v>
      </c>
      <c r="AD151" s="6"/>
    </row>
    <row r="152" spans="1:30" x14ac:dyDescent="0.25">
      <c r="A152" s="6">
        <f t="shared" si="55"/>
        <v>144</v>
      </c>
      <c r="B152" s="6">
        <v>559</v>
      </c>
      <c r="C152" s="6" t="s">
        <v>88</v>
      </c>
      <c r="D152" s="36" t="s">
        <v>703</v>
      </c>
      <c r="E152" s="6" t="s">
        <v>566</v>
      </c>
      <c r="F152" s="6">
        <v>455</v>
      </c>
      <c r="G152" s="6">
        <v>0.6</v>
      </c>
      <c r="H152" s="79" t="s">
        <v>630</v>
      </c>
      <c r="I152" s="36">
        <v>1.2</v>
      </c>
      <c r="J152" s="36">
        <v>1.2</v>
      </c>
      <c r="K152" s="73">
        <f t="shared" si="37"/>
        <v>546</v>
      </c>
      <c r="L152" s="70"/>
      <c r="M152" s="70">
        <f t="shared" si="38"/>
        <v>546</v>
      </c>
      <c r="N152" s="6"/>
      <c r="O152" s="6"/>
      <c r="P152" s="70">
        <f t="shared" si="39"/>
        <v>327.59999999999997</v>
      </c>
      <c r="Q152" s="6"/>
      <c r="R152" s="6"/>
      <c r="S152" s="13"/>
      <c r="T152" s="13">
        <f t="shared" si="59"/>
        <v>0.182</v>
      </c>
      <c r="U152" s="13">
        <f>6*F152/10000</f>
        <v>0.27300000000000002</v>
      </c>
      <c r="V152" s="13"/>
      <c r="W152" s="6"/>
      <c r="X152" s="13">
        <f t="shared" si="57"/>
        <v>0.45500000000000002</v>
      </c>
      <c r="Y152" s="13">
        <f t="shared" si="58"/>
        <v>0.45500000000000002</v>
      </c>
      <c r="Z152" s="6"/>
      <c r="AA152" s="6"/>
      <c r="AB152" s="6"/>
      <c r="AC152" s="70">
        <v>1</v>
      </c>
      <c r="AD152" s="6"/>
    </row>
    <row r="153" spans="1:30" x14ac:dyDescent="0.25">
      <c r="A153" s="6">
        <f t="shared" si="55"/>
        <v>145</v>
      </c>
      <c r="B153" s="6">
        <v>560</v>
      </c>
      <c r="C153" s="6" t="s">
        <v>88</v>
      </c>
      <c r="D153" s="36" t="s">
        <v>703</v>
      </c>
      <c r="E153" s="6" t="s">
        <v>562</v>
      </c>
      <c r="F153" s="6">
        <v>406</v>
      </c>
      <c r="G153" s="6">
        <v>0.6</v>
      </c>
      <c r="H153" s="79" t="s">
        <v>630</v>
      </c>
      <c r="I153" s="36">
        <v>1.2</v>
      </c>
      <c r="J153" s="36">
        <v>1.2</v>
      </c>
      <c r="K153" s="73">
        <f t="shared" si="37"/>
        <v>487.2</v>
      </c>
      <c r="L153" s="70"/>
      <c r="M153" s="70">
        <f t="shared" si="38"/>
        <v>487.2</v>
      </c>
      <c r="N153" s="6"/>
      <c r="O153" s="6"/>
      <c r="P153" s="70">
        <f t="shared" si="39"/>
        <v>292.32</v>
      </c>
      <c r="Q153" s="6"/>
      <c r="R153" s="6"/>
      <c r="S153" s="13"/>
      <c r="T153" s="13">
        <f t="shared" si="59"/>
        <v>0.16239999999999999</v>
      </c>
      <c r="U153" s="13">
        <f>2*F153/10000</f>
        <v>8.1199999999999994E-2</v>
      </c>
      <c r="V153" s="13"/>
      <c r="W153" s="6"/>
      <c r="X153" s="13">
        <f t="shared" si="57"/>
        <v>0.24359999999999998</v>
      </c>
      <c r="Y153" s="13">
        <f t="shared" si="58"/>
        <v>0.24359999999999998</v>
      </c>
      <c r="Z153" s="6"/>
      <c r="AA153" s="6"/>
      <c r="AB153" s="6"/>
      <c r="AC153" s="70"/>
      <c r="AD153" s="6"/>
    </row>
    <row r="154" spans="1:30" x14ac:dyDescent="0.25">
      <c r="A154" s="6">
        <f t="shared" si="55"/>
        <v>146</v>
      </c>
      <c r="B154" s="6">
        <v>561</v>
      </c>
      <c r="C154" s="6" t="s">
        <v>88</v>
      </c>
      <c r="D154" s="36" t="s">
        <v>704</v>
      </c>
      <c r="E154" s="6" t="s">
        <v>566</v>
      </c>
      <c r="F154" s="6">
        <v>549</v>
      </c>
      <c r="G154" s="6">
        <v>0.6</v>
      </c>
      <c r="H154" s="79" t="s">
        <v>630</v>
      </c>
      <c r="I154" s="36">
        <v>1.2</v>
      </c>
      <c r="J154" s="36">
        <v>1.2</v>
      </c>
      <c r="K154" s="73">
        <f t="shared" si="37"/>
        <v>658.8</v>
      </c>
      <c r="L154" s="70"/>
      <c r="M154" s="70">
        <f t="shared" si="38"/>
        <v>658.8</v>
      </c>
      <c r="N154" s="6"/>
      <c r="O154" s="6"/>
      <c r="P154" s="70">
        <f t="shared" si="39"/>
        <v>395.28</v>
      </c>
      <c r="Q154" s="6"/>
      <c r="R154" s="6"/>
      <c r="S154" s="13"/>
      <c r="T154" s="13">
        <f t="shared" si="59"/>
        <v>0.21959999999999999</v>
      </c>
      <c r="U154" s="13">
        <f>6*F154/10000</f>
        <v>0.32940000000000003</v>
      </c>
      <c r="V154" s="13"/>
      <c r="W154" s="6"/>
      <c r="X154" s="13">
        <f t="shared" si="57"/>
        <v>0.54900000000000004</v>
      </c>
      <c r="Y154" s="13">
        <f t="shared" si="58"/>
        <v>0.54900000000000004</v>
      </c>
      <c r="Z154" s="6"/>
      <c r="AA154" s="6"/>
      <c r="AB154" s="6"/>
      <c r="AC154" s="70">
        <v>1</v>
      </c>
      <c r="AD154" s="6"/>
    </row>
    <row r="155" spans="1:30" x14ac:dyDescent="0.25">
      <c r="A155" s="6">
        <f t="shared" si="55"/>
        <v>147</v>
      </c>
      <c r="B155" s="6">
        <v>562</v>
      </c>
      <c r="C155" s="6" t="s">
        <v>88</v>
      </c>
      <c r="D155" s="36" t="s">
        <v>704</v>
      </c>
      <c r="E155" s="6" t="s">
        <v>566</v>
      </c>
      <c r="F155" s="6">
        <v>360</v>
      </c>
      <c r="G155" s="6">
        <v>0.6</v>
      </c>
      <c r="H155" s="79" t="s">
        <v>630</v>
      </c>
      <c r="I155" s="36">
        <v>1.2</v>
      </c>
      <c r="J155" s="36">
        <v>1.2</v>
      </c>
      <c r="K155" s="73">
        <f t="shared" si="37"/>
        <v>432</v>
      </c>
      <c r="L155" s="70"/>
      <c r="M155" s="70">
        <f t="shared" si="38"/>
        <v>432</v>
      </c>
      <c r="N155" s="6"/>
      <c r="O155" s="6"/>
      <c r="P155" s="70">
        <f t="shared" si="39"/>
        <v>259.2</v>
      </c>
      <c r="Q155" s="6"/>
      <c r="R155" s="6"/>
      <c r="S155" s="13"/>
      <c r="T155" s="13">
        <f t="shared" si="59"/>
        <v>0.14399999999999999</v>
      </c>
      <c r="U155" s="13">
        <f>6*F155/10000</f>
        <v>0.216</v>
      </c>
      <c r="V155" s="13">
        <f>2*F155/10000</f>
        <v>7.1999999999999995E-2</v>
      </c>
      <c r="W155" s="6"/>
      <c r="X155" s="13">
        <f t="shared" si="57"/>
        <v>0.432</v>
      </c>
      <c r="Y155" s="13">
        <f t="shared" si="58"/>
        <v>0.432</v>
      </c>
      <c r="Z155" s="6"/>
      <c r="AA155" s="6"/>
      <c r="AB155" s="6"/>
      <c r="AC155" s="70"/>
      <c r="AD155" s="6"/>
    </row>
    <row r="156" spans="1:30" s="47" customFormat="1" x14ac:dyDescent="0.25">
      <c r="A156" s="6">
        <f t="shared" si="55"/>
        <v>148</v>
      </c>
      <c r="B156" s="46">
        <v>564</v>
      </c>
      <c r="C156" s="46" t="s">
        <v>88</v>
      </c>
      <c r="D156" s="131" t="s">
        <v>705</v>
      </c>
      <c r="E156" s="46" t="s">
        <v>566</v>
      </c>
      <c r="F156" s="46">
        <v>1439</v>
      </c>
      <c r="G156" s="46">
        <v>0.6</v>
      </c>
      <c r="H156" s="132" t="s">
        <v>630</v>
      </c>
      <c r="I156" s="131">
        <v>1.2</v>
      </c>
      <c r="J156" s="131">
        <v>1.2</v>
      </c>
      <c r="K156" s="133">
        <f t="shared" si="37"/>
        <v>1726.8</v>
      </c>
      <c r="L156" s="69"/>
      <c r="M156" s="69">
        <f t="shared" si="38"/>
        <v>1726.8</v>
      </c>
      <c r="N156" s="46"/>
      <c r="O156" s="46"/>
      <c r="P156" s="69">
        <f t="shared" si="39"/>
        <v>1036.08</v>
      </c>
      <c r="Q156" s="46"/>
      <c r="R156" s="46"/>
      <c r="S156" s="53"/>
      <c r="T156" s="53">
        <f t="shared" si="59"/>
        <v>0.5756</v>
      </c>
      <c r="U156" s="53">
        <f>6*F156/10000</f>
        <v>0.86339999999999995</v>
      </c>
      <c r="V156" s="53"/>
      <c r="W156" s="46"/>
      <c r="X156" s="53">
        <f t="shared" si="57"/>
        <v>1.4390000000000001</v>
      </c>
      <c r="Y156" s="53">
        <f t="shared" si="58"/>
        <v>1.4390000000000001</v>
      </c>
      <c r="Z156" s="46"/>
      <c r="AA156" s="46"/>
      <c r="AB156" s="46"/>
      <c r="AC156" s="69">
        <v>4</v>
      </c>
      <c r="AD156" s="46"/>
    </row>
    <row r="157" spans="1:30" s="47" customFormat="1" x14ac:dyDescent="0.25">
      <c r="A157" s="6">
        <f t="shared" si="55"/>
        <v>149</v>
      </c>
      <c r="B157" s="46">
        <v>601</v>
      </c>
      <c r="C157" s="46" t="s">
        <v>89</v>
      </c>
      <c r="D157" s="131" t="s">
        <v>707</v>
      </c>
      <c r="E157" s="46" t="s">
        <v>600</v>
      </c>
      <c r="F157" s="46">
        <v>237</v>
      </c>
      <c r="G157" s="46">
        <v>0.6</v>
      </c>
      <c r="H157" s="132" t="s">
        <v>630</v>
      </c>
      <c r="I157" s="131">
        <v>1.2</v>
      </c>
      <c r="J157" s="131">
        <v>1</v>
      </c>
      <c r="K157" s="133">
        <f t="shared" si="37"/>
        <v>237</v>
      </c>
      <c r="L157" s="69"/>
      <c r="M157" s="69">
        <f t="shared" si="38"/>
        <v>237</v>
      </c>
      <c r="N157" s="46"/>
      <c r="O157" s="46"/>
      <c r="P157" s="69">
        <f t="shared" si="39"/>
        <v>142.19999999999999</v>
      </c>
      <c r="Q157" s="46"/>
      <c r="R157" s="46"/>
      <c r="S157" s="53">
        <f>3*F157/10000</f>
        <v>7.1099999999999997E-2</v>
      </c>
      <c r="T157" s="53"/>
      <c r="U157" s="53">
        <f>1*F157/10000</f>
        <v>2.3699999999999999E-2</v>
      </c>
      <c r="V157" s="53"/>
      <c r="W157" s="46"/>
      <c r="X157" s="53">
        <f t="shared" si="57"/>
        <v>9.4799999999999995E-2</v>
      </c>
      <c r="Y157" s="53">
        <f t="shared" si="58"/>
        <v>9.4799999999999995E-2</v>
      </c>
      <c r="Z157" s="46"/>
      <c r="AA157" s="46"/>
      <c r="AB157" s="46"/>
      <c r="AC157" s="69"/>
      <c r="AD157" s="46"/>
    </row>
    <row r="158" spans="1:30" x14ac:dyDescent="0.25">
      <c r="A158" s="6">
        <f t="shared" si="55"/>
        <v>150</v>
      </c>
      <c r="B158" s="6" t="s">
        <v>255</v>
      </c>
      <c r="C158" s="6" t="s">
        <v>89</v>
      </c>
      <c r="D158" s="36"/>
      <c r="E158" s="6" t="s">
        <v>600</v>
      </c>
      <c r="F158" s="6">
        <v>1217</v>
      </c>
      <c r="G158" s="6">
        <v>0.6</v>
      </c>
      <c r="H158" s="79" t="s">
        <v>630</v>
      </c>
      <c r="I158" s="36">
        <v>1.2</v>
      </c>
      <c r="J158" s="36">
        <v>0.8</v>
      </c>
      <c r="K158" s="73">
        <f t="shared" ref="K158" si="60">F158*J158</f>
        <v>973.6</v>
      </c>
      <c r="L158" s="70"/>
      <c r="M158" s="70">
        <f t="shared" ref="M158" si="61">K158+L158</f>
        <v>973.6</v>
      </c>
      <c r="N158" s="6"/>
      <c r="O158" s="6"/>
      <c r="P158" s="70">
        <f t="shared" ref="P158" si="62">M158*0.6</f>
        <v>584.16</v>
      </c>
      <c r="Q158" s="6"/>
      <c r="R158" s="6"/>
      <c r="S158" s="13">
        <f>2*F158/10000</f>
        <v>0.24340000000000001</v>
      </c>
      <c r="T158" s="13">
        <f>2*F158/10000</f>
        <v>0.24340000000000001</v>
      </c>
      <c r="U158" s="13"/>
      <c r="V158" s="13"/>
      <c r="W158" s="6"/>
      <c r="X158" s="13">
        <f t="shared" si="57"/>
        <v>0.48680000000000001</v>
      </c>
      <c r="Y158" s="13">
        <f t="shared" si="58"/>
        <v>0.48680000000000001</v>
      </c>
      <c r="Z158" s="6"/>
      <c r="AA158" s="6"/>
      <c r="AB158" s="6"/>
      <c r="AC158" s="70"/>
      <c r="AD158" s="6"/>
    </row>
    <row r="159" spans="1:30" x14ac:dyDescent="0.25">
      <c r="A159" s="6">
        <f t="shared" si="55"/>
        <v>151</v>
      </c>
      <c r="B159" s="6">
        <v>602</v>
      </c>
      <c r="C159" s="6" t="s">
        <v>89</v>
      </c>
      <c r="D159" s="36" t="s">
        <v>706</v>
      </c>
      <c r="E159" s="6" t="s">
        <v>600</v>
      </c>
      <c r="F159" s="6">
        <v>252</v>
      </c>
      <c r="G159" s="6">
        <v>0.6</v>
      </c>
      <c r="H159" s="79" t="s">
        <v>630</v>
      </c>
      <c r="I159" s="36">
        <v>1.2</v>
      </c>
      <c r="J159" s="36">
        <v>1</v>
      </c>
      <c r="K159" s="73">
        <f t="shared" si="37"/>
        <v>252</v>
      </c>
      <c r="L159" s="70"/>
      <c r="M159" s="70">
        <f t="shared" si="38"/>
        <v>252</v>
      </c>
      <c r="N159" s="6"/>
      <c r="O159" s="6"/>
      <c r="P159" s="70">
        <f t="shared" si="39"/>
        <v>151.19999999999999</v>
      </c>
      <c r="Q159" s="6"/>
      <c r="R159" s="6"/>
      <c r="S159" s="13">
        <f>3*F159/10000</f>
        <v>7.5600000000000001E-2</v>
      </c>
      <c r="T159" s="13"/>
      <c r="U159" s="13">
        <f>1*F159/10000</f>
        <v>2.52E-2</v>
      </c>
      <c r="V159" s="13"/>
      <c r="W159" s="6"/>
      <c r="X159" s="13">
        <f t="shared" si="57"/>
        <v>0.1008</v>
      </c>
      <c r="Y159" s="13">
        <f t="shared" si="58"/>
        <v>0.1008</v>
      </c>
      <c r="Z159" s="6"/>
      <c r="AA159" s="6"/>
      <c r="AB159" s="6"/>
      <c r="AC159" s="70"/>
      <c r="AD159" s="6"/>
    </row>
    <row r="160" spans="1:30" ht="25.5" x14ac:dyDescent="0.25">
      <c r="A160" s="6">
        <f t="shared" si="55"/>
        <v>152</v>
      </c>
      <c r="B160" s="6">
        <v>603</v>
      </c>
      <c r="C160" s="6" t="s">
        <v>89</v>
      </c>
      <c r="D160" s="48" t="s">
        <v>708</v>
      </c>
      <c r="E160" s="6" t="s">
        <v>600</v>
      </c>
      <c r="F160" s="6">
        <v>633</v>
      </c>
      <c r="G160" s="6">
        <v>0.6</v>
      </c>
      <c r="H160" s="79" t="s">
        <v>630</v>
      </c>
      <c r="I160" s="36">
        <v>1.2</v>
      </c>
      <c r="J160" s="36">
        <v>1</v>
      </c>
      <c r="K160" s="73">
        <f t="shared" si="37"/>
        <v>633</v>
      </c>
      <c r="L160" s="70"/>
      <c r="M160" s="70">
        <f t="shared" si="38"/>
        <v>633</v>
      </c>
      <c r="N160" s="6"/>
      <c r="O160" s="6"/>
      <c r="P160" s="70">
        <f t="shared" si="39"/>
        <v>379.8</v>
      </c>
      <c r="Q160" s="6"/>
      <c r="R160" s="6"/>
      <c r="S160" s="13">
        <f>3*F160/10000</f>
        <v>0.18990000000000001</v>
      </c>
      <c r="T160" s="13"/>
      <c r="U160" s="13">
        <f>1*F160/10000</f>
        <v>6.3299999999999995E-2</v>
      </c>
      <c r="V160" s="13"/>
      <c r="W160" s="6"/>
      <c r="X160" s="13">
        <f t="shared" si="57"/>
        <v>0.25319999999999998</v>
      </c>
      <c r="Y160" s="13">
        <f t="shared" si="58"/>
        <v>0.25319999999999998</v>
      </c>
      <c r="Z160" s="6"/>
      <c r="AA160" s="6"/>
      <c r="AB160" s="6"/>
      <c r="AC160" s="70">
        <v>1</v>
      </c>
      <c r="AD160" s="6"/>
    </row>
    <row r="161" spans="1:30" x14ac:dyDescent="0.25">
      <c r="A161" s="6">
        <f t="shared" si="55"/>
        <v>153</v>
      </c>
      <c r="B161" s="6">
        <v>604</v>
      </c>
      <c r="C161" s="6" t="s">
        <v>89</v>
      </c>
      <c r="D161" s="48" t="s">
        <v>709</v>
      </c>
      <c r="E161" s="6" t="s">
        <v>600</v>
      </c>
      <c r="F161" s="6">
        <v>1022</v>
      </c>
      <c r="G161" s="6">
        <v>0.6</v>
      </c>
      <c r="H161" s="79" t="s">
        <v>630</v>
      </c>
      <c r="I161" s="36">
        <v>1.2</v>
      </c>
      <c r="J161" s="36">
        <v>1</v>
      </c>
      <c r="K161" s="73">
        <f t="shared" si="37"/>
        <v>1022</v>
      </c>
      <c r="L161" s="70"/>
      <c r="M161" s="70">
        <f t="shared" si="38"/>
        <v>1022</v>
      </c>
      <c r="N161" s="6"/>
      <c r="O161" s="6"/>
      <c r="P161" s="70">
        <f t="shared" si="39"/>
        <v>613.19999999999993</v>
      </c>
      <c r="Q161" s="6"/>
      <c r="R161" s="6"/>
      <c r="S161" s="13">
        <f t="shared" ref="S161:S185" si="63">3*F161/10000</f>
        <v>0.30659999999999998</v>
      </c>
      <c r="T161" s="13"/>
      <c r="U161" s="13">
        <f t="shared" ref="U161:U185" si="64">1*F161/10000</f>
        <v>0.1022</v>
      </c>
      <c r="V161" s="13"/>
      <c r="W161" s="6"/>
      <c r="X161" s="13">
        <f t="shared" si="57"/>
        <v>0.4088</v>
      </c>
      <c r="Y161" s="13">
        <f t="shared" si="58"/>
        <v>0.4088</v>
      </c>
      <c r="Z161" s="6"/>
      <c r="AA161" s="6"/>
      <c r="AB161" s="6"/>
      <c r="AC161" s="70">
        <v>2</v>
      </c>
      <c r="AD161" s="6"/>
    </row>
    <row r="162" spans="1:30" x14ac:dyDescent="0.25">
      <c r="A162" s="6">
        <f t="shared" si="55"/>
        <v>154</v>
      </c>
      <c r="B162" s="6">
        <v>605</v>
      </c>
      <c r="C162" s="6" t="s">
        <v>89</v>
      </c>
      <c r="D162" s="36" t="s">
        <v>685</v>
      </c>
      <c r="E162" s="6" t="s">
        <v>600</v>
      </c>
      <c r="F162" s="6">
        <v>350</v>
      </c>
      <c r="G162" s="6">
        <v>0.6</v>
      </c>
      <c r="H162" s="79" t="s">
        <v>630</v>
      </c>
      <c r="I162" s="36">
        <v>1.2</v>
      </c>
      <c r="J162" s="36">
        <v>1</v>
      </c>
      <c r="K162" s="73">
        <f t="shared" si="37"/>
        <v>350</v>
      </c>
      <c r="L162" s="70"/>
      <c r="M162" s="70">
        <f t="shared" si="38"/>
        <v>350</v>
      </c>
      <c r="N162" s="6"/>
      <c r="O162" s="6"/>
      <c r="P162" s="70">
        <f t="shared" si="39"/>
        <v>210</v>
      </c>
      <c r="Q162" s="6"/>
      <c r="R162" s="6"/>
      <c r="S162" s="13">
        <f t="shared" si="63"/>
        <v>0.105</v>
      </c>
      <c r="T162" s="13"/>
      <c r="U162" s="13">
        <f t="shared" si="64"/>
        <v>3.5000000000000003E-2</v>
      </c>
      <c r="V162" s="13"/>
      <c r="W162" s="6"/>
      <c r="X162" s="13">
        <f t="shared" si="57"/>
        <v>0.14000000000000001</v>
      </c>
      <c r="Y162" s="13">
        <f t="shared" si="58"/>
        <v>0.14000000000000001</v>
      </c>
      <c r="Z162" s="6"/>
      <c r="AA162" s="6"/>
      <c r="AB162" s="6"/>
      <c r="AC162" s="70"/>
      <c r="AD162" s="6"/>
    </row>
    <row r="163" spans="1:30" x14ac:dyDescent="0.25">
      <c r="A163" s="6">
        <f t="shared" si="55"/>
        <v>155</v>
      </c>
      <c r="B163" s="6">
        <v>606</v>
      </c>
      <c r="C163" s="6" t="s">
        <v>89</v>
      </c>
      <c r="D163" s="36" t="s">
        <v>684</v>
      </c>
      <c r="E163" s="6" t="s">
        <v>600</v>
      </c>
      <c r="F163" s="6">
        <v>354</v>
      </c>
      <c r="G163" s="6">
        <v>0.6</v>
      </c>
      <c r="H163" s="79" t="s">
        <v>630</v>
      </c>
      <c r="I163" s="36">
        <v>1.2</v>
      </c>
      <c r="J163" s="36">
        <v>1</v>
      </c>
      <c r="K163" s="73">
        <f t="shared" si="37"/>
        <v>354</v>
      </c>
      <c r="L163" s="70"/>
      <c r="M163" s="70">
        <f t="shared" si="38"/>
        <v>354</v>
      </c>
      <c r="N163" s="6"/>
      <c r="O163" s="6"/>
      <c r="P163" s="70">
        <f t="shared" si="39"/>
        <v>212.4</v>
      </c>
      <c r="Q163" s="6"/>
      <c r="R163" s="6"/>
      <c r="S163" s="13">
        <f t="shared" si="63"/>
        <v>0.1062</v>
      </c>
      <c r="T163" s="13"/>
      <c r="U163" s="13">
        <f t="shared" si="64"/>
        <v>3.5400000000000001E-2</v>
      </c>
      <c r="V163" s="13"/>
      <c r="W163" s="6"/>
      <c r="X163" s="13">
        <f>SUM(S163:V163)</f>
        <v>0.1416</v>
      </c>
      <c r="Y163" s="13">
        <f>X163</f>
        <v>0.1416</v>
      </c>
      <c r="Z163" s="6"/>
      <c r="AA163" s="6"/>
      <c r="AB163" s="6"/>
      <c r="AC163" s="70"/>
      <c r="AD163" s="6"/>
    </row>
    <row r="164" spans="1:30" x14ac:dyDescent="0.25">
      <c r="A164" s="6">
        <f t="shared" si="55"/>
        <v>156</v>
      </c>
      <c r="B164" s="6">
        <v>607</v>
      </c>
      <c r="C164" s="6" t="s">
        <v>89</v>
      </c>
      <c r="D164" s="36" t="s">
        <v>684</v>
      </c>
      <c r="E164" s="6" t="s">
        <v>600</v>
      </c>
      <c r="F164" s="6">
        <v>377</v>
      </c>
      <c r="G164" s="6">
        <v>0.6</v>
      </c>
      <c r="H164" s="79" t="s">
        <v>630</v>
      </c>
      <c r="I164" s="36">
        <v>1.2</v>
      </c>
      <c r="J164" s="36">
        <v>1</v>
      </c>
      <c r="K164" s="73">
        <f t="shared" si="37"/>
        <v>377</v>
      </c>
      <c r="L164" s="70"/>
      <c r="M164" s="70">
        <f t="shared" si="38"/>
        <v>377</v>
      </c>
      <c r="N164" s="6"/>
      <c r="O164" s="6"/>
      <c r="P164" s="70">
        <f t="shared" si="39"/>
        <v>226.2</v>
      </c>
      <c r="Q164" s="6"/>
      <c r="R164" s="6"/>
      <c r="S164" s="13">
        <f>4*F164/10000</f>
        <v>0.15079999999999999</v>
      </c>
      <c r="T164" s="13"/>
      <c r="U164" s="13"/>
      <c r="V164" s="13"/>
      <c r="W164" s="6"/>
      <c r="X164" s="13">
        <f t="shared" ref="X164:X187" si="65">SUM(S164:V164)</f>
        <v>0.15079999999999999</v>
      </c>
      <c r="Y164" s="13">
        <f t="shared" ref="Y164:Y200" si="66">X164</f>
        <v>0.15079999999999999</v>
      </c>
      <c r="Z164" s="6"/>
      <c r="AA164" s="6"/>
      <c r="AB164" s="6"/>
      <c r="AC164" s="70"/>
      <c r="AD164" s="6"/>
    </row>
    <row r="165" spans="1:30" x14ac:dyDescent="0.25">
      <c r="A165" s="6">
        <f t="shared" si="55"/>
        <v>157</v>
      </c>
      <c r="B165" s="6">
        <v>608</v>
      </c>
      <c r="C165" s="6" t="s">
        <v>89</v>
      </c>
      <c r="D165" s="36" t="s">
        <v>686</v>
      </c>
      <c r="E165" s="6" t="s">
        <v>600</v>
      </c>
      <c r="F165" s="6">
        <v>342</v>
      </c>
      <c r="G165" s="6">
        <v>0.6</v>
      </c>
      <c r="H165" s="79" t="s">
        <v>630</v>
      </c>
      <c r="I165" s="36">
        <v>1.2</v>
      </c>
      <c r="J165" s="36">
        <v>1</v>
      </c>
      <c r="K165" s="73">
        <f t="shared" si="37"/>
        <v>342</v>
      </c>
      <c r="L165" s="70"/>
      <c r="M165" s="70">
        <f t="shared" si="38"/>
        <v>342</v>
      </c>
      <c r="N165" s="6"/>
      <c r="O165" s="6"/>
      <c r="P165" s="70">
        <f t="shared" si="39"/>
        <v>205.2</v>
      </c>
      <c r="Q165" s="6"/>
      <c r="R165" s="6"/>
      <c r="S165" s="13">
        <f t="shared" si="63"/>
        <v>0.1026</v>
      </c>
      <c r="T165" s="13"/>
      <c r="U165" s="13">
        <f t="shared" si="64"/>
        <v>3.4200000000000001E-2</v>
      </c>
      <c r="V165" s="13"/>
      <c r="W165" s="6"/>
      <c r="X165" s="13">
        <f t="shared" si="65"/>
        <v>0.1368</v>
      </c>
      <c r="Y165" s="13">
        <f t="shared" si="66"/>
        <v>0.1368</v>
      </c>
      <c r="Z165" s="6"/>
      <c r="AA165" s="6"/>
      <c r="AB165" s="6"/>
      <c r="AC165" s="70"/>
      <c r="AD165" s="6"/>
    </row>
    <row r="166" spans="1:30" x14ac:dyDescent="0.25">
      <c r="A166" s="6">
        <f t="shared" si="55"/>
        <v>158</v>
      </c>
      <c r="B166" s="6">
        <v>609</v>
      </c>
      <c r="C166" s="6" t="s">
        <v>89</v>
      </c>
      <c r="D166" s="36" t="s">
        <v>686</v>
      </c>
      <c r="E166" s="6" t="s">
        <v>600</v>
      </c>
      <c r="F166" s="6">
        <v>362</v>
      </c>
      <c r="G166" s="6">
        <v>0.6</v>
      </c>
      <c r="H166" s="79" t="s">
        <v>630</v>
      </c>
      <c r="I166" s="36">
        <v>1.2</v>
      </c>
      <c r="J166" s="36">
        <v>1</v>
      </c>
      <c r="K166" s="73">
        <f t="shared" si="37"/>
        <v>362</v>
      </c>
      <c r="L166" s="70"/>
      <c r="M166" s="70">
        <f t="shared" si="38"/>
        <v>362</v>
      </c>
      <c r="N166" s="6"/>
      <c r="O166" s="6"/>
      <c r="P166" s="70">
        <f t="shared" si="39"/>
        <v>217.2</v>
      </c>
      <c r="Q166" s="6"/>
      <c r="R166" s="6"/>
      <c r="S166" s="13">
        <f>4*F166/10000</f>
        <v>0.14480000000000001</v>
      </c>
      <c r="T166" s="13"/>
      <c r="U166" s="13"/>
      <c r="V166" s="13"/>
      <c r="W166" s="6"/>
      <c r="X166" s="13">
        <f t="shared" si="65"/>
        <v>0.14480000000000001</v>
      </c>
      <c r="Y166" s="13">
        <f t="shared" si="66"/>
        <v>0.14480000000000001</v>
      </c>
      <c r="Z166" s="6"/>
      <c r="AA166" s="6"/>
      <c r="AB166" s="6"/>
      <c r="AC166" s="70"/>
      <c r="AD166" s="6"/>
    </row>
    <row r="167" spans="1:30" x14ac:dyDescent="0.25">
      <c r="A167" s="6">
        <f t="shared" si="55"/>
        <v>159</v>
      </c>
      <c r="B167" s="6">
        <v>610</v>
      </c>
      <c r="C167" s="6" t="s">
        <v>89</v>
      </c>
      <c r="D167" s="36" t="s">
        <v>687</v>
      </c>
      <c r="E167" s="6" t="s">
        <v>600</v>
      </c>
      <c r="F167" s="6">
        <v>371</v>
      </c>
      <c r="G167" s="6">
        <v>0.6</v>
      </c>
      <c r="H167" s="79" t="s">
        <v>630</v>
      </c>
      <c r="I167" s="36">
        <v>1.2</v>
      </c>
      <c r="J167" s="36">
        <v>1</v>
      </c>
      <c r="K167" s="73">
        <f t="shared" si="37"/>
        <v>371</v>
      </c>
      <c r="L167" s="70"/>
      <c r="M167" s="70">
        <f t="shared" si="38"/>
        <v>371</v>
      </c>
      <c r="N167" s="6"/>
      <c r="O167" s="6"/>
      <c r="P167" s="70">
        <f t="shared" si="39"/>
        <v>222.6</v>
      </c>
      <c r="Q167" s="6"/>
      <c r="R167" s="6"/>
      <c r="S167" s="13">
        <f t="shared" si="63"/>
        <v>0.1113</v>
      </c>
      <c r="T167" s="13"/>
      <c r="U167" s="13">
        <f t="shared" si="64"/>
        <v>3.7100000000000001E-2</v>
      </c>
      <c r="V167" s="13"/>
      <c r="W167" s="6"/>
      <c r="X167" s="13">
        <f t="shared" si="65"/>
        <v>0.1484</v>
      </c>
      <c r="Y167" s="13">
        <f t="shared" si="66"/>
        <v>0.1484</v>
      </c>
      <c r="Z167" s="6"/>
      <c r="AA167" s="6"/>
      <c r="AB167" s="6"/>
      <c r="AC167" s="70"/>
      <c r="AD167" s="6"/>
    </row>
    <row r="168" spans="1:30" x14ac:dyDescent="0.25">
      <c r="A168" s="6">
        <f t="shared" si="55"/>
        <v>160</v>
      </c>
      <c r="B168" s="6">
        <v>611</v>
      </c>
      <c r="C168" s="6" t="s">
        <v>89</v>
      </c>
      <c r="D168" s="36" t="s">
        <v>687</v>
      </c>
      <c r="E168" s="6" t="s">
        <v>600</v>
      </c>
      <c r="F168" s="6">
        <v>356</v>
      </c>
      <c r="G168" s="6">
        <v>0.6</v>
      </c>
      <c r="H168" s="79" t="s">
        <v>630</v>
      </c>
      <c r="I168" s="36">
        <v>1.2</v>
      </c>
      <c r="J168" s="36">
        <v>1</v>
      </c>
      <c r="K168" s="73">
        <f t="shared" si="37"/>
        <v>356</v>
      </c>
      <c r="L168" s="70"/>
      <c r="M168" s="70">
        <f t="shared" si="38"/>
        <v>356</v>
      </c>
      <c r="N168" s="6"/>
      <c r="O168" s="6"/>
      <c r="P168" s="70">
        <f t="shared" si="39"/>
        <v>213.6</v>
      </c>
      <c r="Q168" s="6"/>
      <c r="R168" s="6"/>
      <c r="S168" s="13">
        <f t="shared" si="63"/>
        <v>0.10680000000000001</v>
      </c>
      <c r="T168" s="13"/>
      <c r="U168" s="13">
        <f t="shared" si="64"/>
        <v>3.56E-2</v>
      </c>
      <c r="V168" s="13"/>
      <c r="W168" s="6"/>
      <c r="X168" s="13">
        <f t="shared" si="65"/>
        <v>0.1424</v>
      </c>
      <c r="Y168" s="13">
        <f t="shared" si="66"/>
        <v>0.1424</v>
      </c>
      <c r="Z168" s="6"/>
      <c r="AA168" s="6"/>
      <c r="AB168" s="6"/>
      <c r="AC168" s="70"/>
      <c r="AD168" s="6"/>
    </row>
    <row r="169" spans="1:30" x14ac:dyDescent="0.25">
      <c r="A169" s="6">
        <f t="shared" si="55"/>
        <v>161</v>
      </c>
      <c r="B169" s="6">
        <v>612</v>
      </c>
      <c r="C169" s="6" t="s">
        <v>89</v>
      </c>
      <c r="D169" s="36" t="s">
        <v>692</v>
      </c>
      <c r="E169" s="6" t="s">
        <v>600</v>
      </c>
      <c r="F169" s="6">
        <v>352</v>
      </c>
      <c r="G169" s="6">
        <v>0.6</v>
      </c>
      <c r="H169" s="79" t="s">
        <v>630</v>
      </c>
      <c r="I169" s="36">
        <v>1.2</v>
      </c>
      <c r="J169" s="36">
        <v>1</v>
      </c>
      <c r="K169" s="73">
        <f t="shared" si="37"/>
        <v>352</v>
      </c>
      <c r="L169" s="70"/>
      <c r="M169" s="70">
        <f t="shared" si="38"/>
        <v>352</v>
      </c>
      <c r="N169" s="6"/>
      <c r="O169" s="6"/>
      <c r="P169" s="70">
        <f t="shared" si="39"/>
        <v>211.2</v>
      </c>
      <c r="Q169" s="6"/>
      <c r="R169" s="6"/>
      <c r="S169" s="13">
        <f t="shared" si="63"/>
        <v>0.1056</v>
      </c>
      <c r="T169" s="13"/>
      <c r="U169" s="13">
        <f t="shared" si="64"/>
        <v>3.5200000000000002E-2</v>
      </c>
      <c r="V169" s="13"/>
      <c r="W169" s="6"/>
      <c r="X169" s="13">
        <f t="shared" si="65"/>
        <v>0.14080000000000001</v>
      </c>
      <c r="Y169" s="13">
        <f t="shared" si="66"/>
        <v>0.14080000000000001</v>
      </c>
      <c r="Z169" s="6"/>
      <c r="AA169" s="6"/>
      <c r="AB169" s="6"/>
      <c r="AC169" s="70"/>
      <c r="AD169" s="6"/>
    </row>
    <row r="170" spans="1:30" x14ac:dyDescent="0.25">
      <c r="A170" s="6">
        <f t="shared" si="55"/>
        <v>162</v>
      </c>
      <c r="B170" s="6">
        <v>613</v>
      </c>
      <c r="C170" s="6" t="s">
        <v>89</v>
      </c>
      <c r="D170" s="36" t="s">
        <v>690</v>
      </c>
      <c r="E170" s="6" t="s">
        <v>600</v>
      </c>
      <c r="F170" s="6">
        <v>353</v>
      </c>
      <c r="G170" s="6">
        <v>0.6</v>
      </c>
      <c r="H170" s="79" t="s">
        <v>630</v>
      </c>
      <c r="I170" s="36">
        <v>1.2</v>
      </c>
      <c r="J170" s="36">
        <v>1</v>
      </c>
      <c r="K170" s="73">
        <f t="shared" si="37"/>
        <v>353</v>
      </c>
      <c r="L170" s="70"/>
      <c r="M170" s="70">
        <f t="shared" si="38"/>
        <v>353</v>
      </c>
      <c r="N170" s="6"/>
      <c r="O170" s="6"/>
      <c r="P170" s="70">
        <f t="shared" si="39"/>
        <v>211.79999999999998</v>
      </c>
      <c r="Q170" s="6"/>
      <c r="R170" s="6"/>
      <c r="S170" s="13">
        <f t="shared" si="63"/>
        <v>0.10589999999999999</v>
      </c>
      <c r="T170" s="13"/>
      <c r="U170" s="13">
        <f t="shared" si="64"/>
        <v>3.5299999999999998E-2</v>
      </c>
      <c r="V170" s="13"/>
      <c r="W170" s="6"/>
      <c r="X170" s="13">
        <f t="shared" si="65"/>
        <v>0.14119999999999999</v>
      </c>
      <c r="Y170" s="13">
        <f t="shared" si="66"/>
        <v>0.14119999999999999</v>
      </c>
      <c r="Z170" s="6"/>
      <c r="AA170" s="6"/>
      <c r="AB170" s="6"/>
      <c r="AC170" s="70"/>
      <c r="AD170" s="6"/>
    </row>
    <row r="171" spans="1:30" x14ac:dyDescent="0.25">
      <c r="A171" s="6">
        <f t="shared" si="55"/>
        <v>163</v>
      </c>
      <c r="B171" s="6">
        <v>614</v>
      </c>
      <c r="C171" s="6" t="s">
        <v>89</v>
      </c>
      <c r="D171" s="36" t="s">
        <v>697</v>
      </c>
      <c r="E171" s="6" t="s">
        <v>600</v>
      </c>
      <c r="F171" s="6">
        <v>351</v>
      </c>
      <c r="G171" s="6">
        <v>0.6</v>
      </c>
      <c r="H171" s="79" t="s">
        <v>630</v>
      </c>
      <c r="I171" s="36">
        <v>1.2</v>
      </c>
      <c r="J171" s="36">
        <v>1</v>
      </c>
      <c r="K171" s="73">
        <f t="shared" si="37"/>
        <v>351</v>
      </c>
      <c r="L171" s="70"/>
      <c r="M171" s="70">
        <f t="shared" si="38"/>
        <v>351</v>
      </c>
      <c r="N171" s="6"/>
      <c r="O171" s="6"/>
      <c r="P171" s="70">
        <f t="shared" si="39"/>
        <v>210.6</v>
      </c>
      <c r="Q171" s="6"/>
      <c r="R171" s="6"/>
      <c r="S171" s="13">
        <f t="shared" si="63"/>
        <v>0.1053</v>
      </c>
      <c r="T171" s="13"/>
      <c r="U171" s="13">
        <f t="shared" si="64"/>
        <v>3.5099999999999999E-2</v>
      </c>
      <c r="V171" s="13"/>
      <c r="W171" s="6"/>
      <c r="X171" s="13">
        <f t="shared" si="65"/>
        <v>0.1404</v>
      </c>
      <c r="Y171" s="13">
        <f t="shared" si="66"/>
        <v>0.1404</v>
      </c>
      <c r="Z171" s="6"/>
      <c r="AA171" s="6"/>
      <c r="AB171" s="6"/>
      <c r="AC171" s="70"/>
      <c r="AD171" s="6"/>
    </row>
    <row r="172" spans="1:30" x14ac:dyDescent="0.25">
      <c r="A172" s="6">
        <f t="shared" si="55"/>
        <v>164</v>
      </c>
      <c r="B172" s="6">
        <v>615</v>
      </c>
      <c r="C172" s="6" t="s">
        <v>89</v>
      </c>
      <c r="D172" s="36" t="s">
        <v>710</v>
      </c>
      <c r="E172" s="6" t="s">
        <v>600</v>
      </c>
      <c r="F172" s="6">
        <v>341</v>
      </c>
      <c r="G172" s="6">
        <v>0.6</v>
      </c>
      <c r="H172" s="79" t="s">
        <v>630</v>
      </c>
      <c r="I172" s="36">
        <v>1.2</v>
      </c>
      <c r="J172" s="36">
        <v>1</v>
      </c>
      <c r="K172" s="73">
        <f t="shared" si="37"/>
        <v>341</v>
      </c>
      <c r="L172" s="70"/>
      <c r="M172" s="70">
        <f t="shared" si="38"/>
        <v>341</v>
      </c>
      <c r="N172" s="6"/>
      <c r="O172" s="6"/>
      <c r="P172" s="70">
        <f t="shared" si="39"/>
        <v>204.6</v>
      </c>
      <c r="Q172" s="6"/>
      <c r="R172" s="6"/>
      <c r="S172" s="13">
        <f t="shared" si="63"/>
        <v>0.1023</v>
      </c>
      <c r="T172" s="13"/>
      <c r="U172" s="13">
        <f t="shared" si="64"/>
        <v>3.4099999999999998E-2</v>
      </c>
      <c r="V172" s="13"/>
      <c r="W172" s="6"/>
      <c r="X172" s="13">
        <f t="shared" si="65"/>
        <v>0.13639999999999999</v>
      </c>
      <c r="Y172" s="13">
        <f t="shared" si="66"/>
        <v>0.13639999999999999</v>
      </c>
      <c r="Z172" s="6"/>
      <c r="AA172" s="6"/>
      <c r="AB172" s="6"/>
      <c r="AC172" s="70"/>
      <c r="AD172" s="6"/>
    </row>
    <row r="173" spans="1:30" x14ac:dyDescent="0.25">
      <c r="A173" s="6">
        <f t="shared" si="55"/>
        <v>165</v>
      </c>
      <c r="B173" s="6">
        <v>616</v>
      </c>
      <c r="C173" s="6" t="s">
        <v>89</v>
      </c>
      <c r="D173" s="36" t="s">
        <v>679</v>
      </c>
      <c r="E173" s="6" t="s">
        <v>600</v>
      </c>
      <c r="F173" s="6">
        <v>295</v>
      </c>
      <c r="G173" s="6">
        <v>0.6</v>
      </c>
      <c r="H173" s="79" t="s">
        <v>630</v>
      </c>
      <c r="I173" s="36">
        <v>1.2</v>
      </c>
      <c r="J173" s="36">
        <v>1</v>
      </c>
      <c r="K173" s="73">
        <f t="shared" si="37"/>
        <v>295</v>
      </c>
      <c r="L173" s="70"/>
      <c r="M173" s="70">
        <f t="shared" si="38"/>
        <v>295</v>
      </c>
      <c r="N173" s="6"/>
      <c r="O173" s="6"/>
      <c r="P173" s="70">
        <f t="shared" si="39"/>
        <v>177</v>
      </c>
      <c r="Q173" s="6"/>
      <c r="R173" s="6"/>
      <c r="S173" s="13">
        <f t="shared" si="63"/>
        <v>8.8499999999999995E-2</v>
      </c>
      <c r="T173" s="13"/>
      <c r="U173" s="13">
        <f t="shared" si="64"/>
        <v>2.9499999999999998E-2</v>
      </c>
      <c r="V173" s="13"/>
      <c r="W173" s="6"/>
      <c r="X173" s="13">
        <f t="shared" si="65"/>
        <v>0.11799999999999999</v>
      </c>
      <c r="Y173" s="13">
        <f t="shared" si="66"/>
        <v>0.11799999999999999</v>
      </c>
      <c r="Z173" s="6"/>
      <c r="AA173" s="6"/>
      <c r="AB173" s="6"/>
      <c r="AC173" s="70"/>
      <c r="AD173" s="6"/>
    </row>
    <row r="174" spans="1:30" x14ac:dyDescent="0.25">
      <c r="A174" s="6">
        <f t="shared" si="55"/>
        <v>166</v>
      </c>
      <c r="B174" s="6">
        <v>617</v>
      </c>
      <c r="C174" s="6" t="s">
        <v>89</v>
      </c>
      <c r="D174" s="36" t="s">
        <v>710</v>
      </c>
      <c r="E174" s="6" t="s">
        <v>600</v>
      </c>
      <c r="F174" s="6">
        <v>285</v>
      </c>
      <c r="G174" s="6">
        <v>0.6</v>
      </c>
      <c r="H174" s="79" t="s">
        <v>630</v>
      </c>
      <c r="I174" s="36">
        <v>1.2</v>
      </c>
      <c r="J174" s="36">
        <v>1</v>
      </c>
      <c r="K174" s="73">
        <f t="shared" si="37"/>
        <v>285</v>
      </c>
      <c r="L174" s="70"/>
      <c r="M174" s="70">
        <f t="shared" si="38"/>
        <v>285</v>
      </c>
      <c r="N174" s="6"/>
      <c r="O174" s="6"/>
      <c r="P174" s="70">
        <f t="shared" si="39"/>
        <v>171</v>
      </c>
      <c r="Q174" s="6"/>
      <c r="R174" s="6"/>
      <c r="S174" s="13">
        <f t="shared" si="63"/>
        <v>8.5500000000000007E-2</v>
      </c>
      <c r="T174" s="13"/>
      <c r="U174" s="13">
        <f t="shared" si="64"/>
        <v>2.8500000000000001E-2</v>
      </c>
      <c r="V174" s="13"/>
      <c r="W174" s="6"/>
      <c r="X174" s="13">
        <f t="shared" si="65"/>
        <v>0.114</v>
      </c>
      <c r="Y174" s="13">
        <f t="shared" si="66"/>
        <v>0.114</v>
      </c>
      <c r="Z174" s="6"/>
      <c r="AA174" s="6"/>
      <c r="AB174" s="6"/>
      <c r="AC174" s="70"/>
      <c r="AD174" s="6"/>
    </row>
    <row r="175" spans="1:30" x14ac:dyDescent="0.25">
      <c r="A175" s="6">
        <f t="shared" si="55"/>
        <v>167</v>
      </c>
      <c r="B175" s="6">
        <v>618</v>
      </c>
      <c r="C175" s="6" t="s">
        <v>89</v>
      </c>
      <c r="D175" s="36" t="s">
        <v>679</v>
      </c>
      <c r="E175" s="6" t="s">
        <v>600</v>
      </c>
      <c r="F175" s="6">
        <v>426</v>
      </c>
      <c r="G175" s="6">
        <v>0.6</v>
      </c>
      <c r="H175" s="79" t="s">
        <v>630</v>
      </c>
      <c r="I175" s="36">
        <v>1.2</v>
      </c>
      <c r="J175" s="36">
        <v>1</v>
      </c>
      <c r="K175" s="73">
        <f t="shared" si="37"/>
        <v>426</v>
      </c>
      <c r="L175" s="70"/>
      <c r="M175" s="70">
        <f t="shared" si="38"/>
        <v>426</v>
      </c>
      <c r="N175" s="6"/>
      <c r="O175" s="6"/>
      <c r="P175" s="70">
        <f t="shared" si="39"/>
        <v>255.6</v>
      </c>
      <c r="Q175" s="6"/>
      <c r="R175" s="6"/>
      <c r="S175" s="13">
        <f t="shared" si="63"/>
        <v>0.1278</v>
      </c>
      <c r="T175" s="13"/>
      <c r="U175" s="13">
        <f t="shared" si="64"/>
        <v>4.2599999999999999E-2</v>
      </c>
      <c r="V175" s="13"/>
      <c r="W175" s="6"/>
      <c r="X175" s="13">
        <f t="shared" si="65"/>
        <v>0.1704</v>
      </c>
      <c r="Y175" s="13">
        <f t="shared" si="66"/>
        <v>0.1704</v>
      </c>
      <c r="Z175" s="6"/>
      <c r="AA175" s="6"/>
      <c r="AB175" s="6"/>
      <c r="AC175" s="70"/>
      <c r="AD175" s="6"/>
    </row>
    <row r="176" spans="1:30" x14ac:dyDescent="0.25">
      <c r="A176" s="6">
        <f t="shared" si="55"/>
        <v>168</v>
      </c>
      <c r="B176" s="6">
        <v>619</v>
      </c>
      <c r="C176" s="6" t="s">
        <v>89</v>
      </c>
      <c r="D176" s="36" t="s">
        <v>710</v>
      </c>
      <c r="E176" s="6" t="s">
        <v>600</v>
      </c>
      <c r="F176" s="6">
        <v>425</v>
      </c>
      <c r="G176" s="6">
        <v>0.6</v>
      </c>
      <c r="H176" s="79" t="s">
        <v>630</v>
      </c>
      <c r="I176" s="36">
        <v>1.2</v>
      </c>
      <c r="J176" s="36">
        <v>1</v>
      </c>
      <c r="K176" s="73">
        <f t="shared" si="37"/>
        <v>425</v>
      </c>
      <c r="L176" s="70"/>
      <c r="M176" s="70">
        <f t="shared" si="38"/>
        <v>425</v>
      </c>
      <c r="N176" s="6"/>
      <c r="O176" s="6"/>
      <c r="P176" s="70">
        <f t="shared" si="39"/>
        <v>255</v>
      </c>
      <c r="Q176" s="6"/>
      <c r="R176" s="6"/>
      <c r="S176" s="13">
        <f t="shared" si="63"/>
        <v>0.1275</v>
      </c>
      <c r="T176" s="13"/>
      <c r="U176" s="13">
        <f t="shared" si="64"/>
        <v>4.2500000000000003E-2</v>
      </c>
      <c r="V176" s="13"/>
      <c r="W176" s="6"/>
      <c r="X176" s="13">
        <f t="shared" si="65"/>
        <v>0.17</v>
      </c>
      <c r="Y176" s="13">
        <f t="shared" si="66"/>
        <v>0.17</v>
      </c>
      <c r="Z176" s="6"/>
      <c r="AA176" s="6"/>
      <c r="AB176" s="6"/>
      <c r="AC176" s="70"/>
      <c r="AD176" s="6"/>
    </row>
    <row r="177" spans="1:30" x14ac:dyDescent="0.25">
      <c r="A177" s="6">
        <f t="shared" si="55"/>
        <v>169</v>
      </c>
      <c r="B177" s="6" t="s">
        <v>711</v>
      </c>
      <c r="C177" s="6" t="s">
        <v>89</v>
      </c>
      <c r="D177" s="36" t="s">
        <v>676</v>
      </c>
      <c r="E177" s="6" t="s">
        <v>600</v>
      </c>
      <c r="F177" s="6">
        <v>771</v>
      </c>
      <c r="G177" s="6">
        <v>0.6</v>
      </c>
      <c r="H177" s="79" t="s">
        <v>630</v>
      </c>
      <c r="I177" s="36">
        <v>1.2</v>
      </c>
      <c r="J177" s="36">
        <v>1</v>
      </c>
      <c r="K177" s="73">
        <f t="shared" si="37"/>
        <v>771</v>
      </c>
      <c r="L177" s="70"/>
      <c r="M177" s="70">
        <f t="shared" si="38"/>
        <v>771</v>
      </c>
      <c r="N177" s="6"/>
      <c r="O177" s="6"/>
      <c r="P177" s="70">
        <f t="shared" si="39"/>
        <v>462.59999999999997</v>
      </c>
      <c r="Q177" s="6"/>
      <c r="R177" s="6"/>
      <c r="S177" s="13">
        <f t="shared" si="63"/>
        <v>0.23130000000000001</v>
      </c>
      <c r="T177" s="13"/>
      <c r="U177" s="13">
        <f t="shared" si="64"/>
        <v>7.7100000000000002E-2</v>
      </c>
      <c r="V177" s="13"/>
      <c r="W177" s="6"/>
      <c r="X177" s="13">
        <f t="shared" si="65"/>
        <v>0.30840000000000001</v>
      </c>
      <c r="Y177" s="13">
        <f t="shared" si="66"/>
        <v>0.30840000000000001</v>
      </c>
      <c r="Z177" s="6"/>
      <c r="AA177" s="6"/>
      <c r="AB177" s="6"/>
      <c r="AC177" s="70">
        <v>2</v>
      </c>
      <c r="AD177" s="6"/>
    </row>
    <row r="178" spans="1:30" ht="25.5" x14ac:dyDescent="0.25">
      <c r="A178" s="6">
        <f t="shared" si="55"/>
        <v>170</v>
      </c>
      <c r="B178" s="6">
        <v>621</v>
      </c>
      <c r="C178" s="6" t="s">
        <v>89</v>
      </c>
      <c r="D178" s="48" t="s">
        <v>712</v>
      </c>
      <c r="E178" s="6" t="s">
        <v>600</v>
      </c>
      <c r="F178" s="6">
        <v>1460</v>
      </c>
      <c r="G178" s="6">
        <v>0.6</v>
      </c>
      <c r="H178" s="79" t="s">
        <v>630</v>
      </c>
      <c r="I178" s="36">
        <v>1.2</v>
      </c>
      <c r="J178" s="36">
        <v>1</v>
      </c>
      <c r="K178" s="73">
        <f t="shared" si="37"/>
        <v>1460</v>
      </c>
      <c r="L178" s="70"/>
      <c r="M178" s="70">
        <f t="shared" si="38"/>
        <v>1460</v>
      </c>
      <c r="N178" s="6"/>
      <c r="O178" s="6"/>
      <c r="P178" s="70">
        <f t="shared" si="39"/>
        <v>876</v>
      </c>
      <c r="Q178" s="6"/>
      <c r="R178" s="6"/>
      <c r="S178" s="13">
        <f t="shared" si="63"/>
        <v>0.438</v>
      </c>
      <c r="T178" s="13"/>
      <c r="U178" s="13">
        <f t="shared" si="64"/>
        <v>0.14599999999999999</v>
      </c>
      <c r="V178" s="13"/>
      <c r="W178" s="6"/>
      <c r="X178" s="13">
        <f t="shared" si="65"/>
        <v>0.58399999999999996</v>
      </c>
      <c r="Y178" s="13">
        <f t="shared" si="66"/>
        <v>0.58399999999999996</v>
      </c>
      <c r="Z178" s="6"/>
      <c r="AA178" s="6"/>
      <c r="AB178" s="6"/>
      <c r="AC178" s="70">
        <v>4</v>
      </c>
      <c r="AD178" s="6"/>
    </row>
    <row r="179" spans="1:30" x14ac:dyDescent="0.25">
      <c r="A179" s="6">
        <f t="shared" si="55"/>
        <v>171</v>
      </c>
      <c r="B179" s="6" t="s">
        <v>713</v>
      </c>
      <c r="C179" s="6" t="s">
        <v>89</v>
      </c>
      <c r="D179" s="36" t="s">
        <v>672</v>
      </c>
      <c r="E179" s="6" t="s">
        <v>600</v>
      </c>
      <c r="F179" s="6">
        <v>516</v>
      </c>
      <c r="G179" s="6">
        <v>0.6</v>
      </c>
      <c r="H179" s="79" t="s">
        <v>630</v>
      </c>
      <c r="I179" s="36">
        <v>1.2</v>
      </c>
      <c r="J179" s="36">
        <v>1</v>
      </c>
      <c r="K179" s="73">
        <f t="shared" si="37"/>
        <v>516</v>
      </c>
      <c r="L179" s="70"/>
      <c r="M179" s="70">
        <f t="shared" si="38"/>
        <v>516</v>
      </c>
      <c r="N179" s="6"/>
      <c r="O179" s="6"/>
      <c r="P179" s="70">
        <f t="shared" si="39"/>
        <v>309.59999999999997</v>
      </c>
      <c r="Q179" s="6"/>
      <c r="R179" s="6"/>
      <c r="S179" s="13">
        <f t="shared" si="63"/>
        <v>0.15479999999999999</v>
      </c>
      <c r="T179" s="13"/>
      <c r="U179" s="13">
        <f t="shared" si="64"/>
        <v>5.16E-2</v>
      </c>
      <c r="V179" s="13"/>
      <c r="W179" s="6"/>
      <c r="X179" s="13">
        <f t="shared" si="65"/>
        <v>0.2064</v>
      </c>
      <c r="Y179" s="13">
        <f t="shared" si="66"/>
        <v>0.2064</v>
      </c>
      <c r="Z179" s="6"/>
      <c r="AA179" s="6"/>
      <c r="AB179" s="6"/>
      <c r="AC179" s="70">
        <v>1</v>
      </c>
      <c r="AD179" s="6"/>
    </row>
    <row r="180" spans="1:30" x14ac:dyDescent="0.25">
      <c r="A180" s="6">
        <f t="shared" si="55"/>
        <v>172</v>
      </c>
      <c r="B180" s="6">
        <v>622</v>
      </c>
      <c r="C180" s="6" t="s">
        <v>89</v>
      </c>
      <c r="D180" s="36" t="s">
        <v>659</v>
      </c>
      <c r="E180" s="6" t="s">
        <v>600</v>
      </c>
      <c r="F180" s="6">
        <v>66</v>
      </c>
      <c r="G180" s="6">
        <v>0.6</v>
      </c>
      <c r="H180" s="79" t="s">
        <v>630</v>
      </c>
      <c r="I180" s="36">
        <v>1.2</v>
      </c>
      <c r="J180" s="36">
        <v>1</v>
      </c>
      <c r="K180" s="73">
        <f t="shared" si="37"/>
        <v>66</v>
      </c>
      <c r="L180" s="70"/>
      <c r="M180" s="70">
        <f t="shared" si="38"/>
        <v>66</v>
      </c>
      <c r="N180" s="6"/>
      <c r="O180" s="6"/>
      <c r="P180" s="70">
        <f t="shared" si="39"/>
        <v>39.6</v>
      </c>
      <c r="Q180" s="6"/>
      <c r="R180" s="6"/>
      <c r="S180" s="13">
        <f t="shared" si="63"/>
        <v>1.9800000000000002E-2</v>
      </c>
      <c r="T180" s="13"/>
      <c r="U180" s="13">
        <f t="shared" si="64"/>
        <v>6.6E-3</v>
      </c>
      <c r="V180" s="13"/>
      <c r="W180" s="6"/>
      <c r="X180" s="13">
        <f t="shared" si="65"/>
        <v>2.64E-2</v>
      </c>
      <c r="Y180" s="13">
        <f t="shared" si="66"/>
        <v>2.64E-2</v>
      </c>
      <c r="Z180" s="6"/>
      <c r="AA180" s="6"/>
      <c r="AB180" s="6"/>
      <c r="AC180" s="70"/>
      <c r="AD180" s="6"/>
    </row>
    <row r="181" spans="1:30" x14ac:dyDescent="0.25">
      <c r="A181" s="6">
        <f t="shared" si="55"/>
        <v>173</v>
      </c>
      <c r="B181" s="6">
        <v>623</v>
      </c>
      <c r="C181" s="6" t="s">
        <v>89</v>
      </c>
      <c r="D181" s="36" t="s">
        <v>670</v>
      </c>
      <c r="E181" s="6" t="s">
        <v>600</v>
      </c>
      <c r="F181" s="6">
        <v>194</v>
      </c>
      <c r="G181" s="6">
        <v>0.6</v>
      </c>
      <c r="H181" s="79" t="s">
        <v>630</v>
      </c>
      <c r="I181" s="36">
        <v>1.2</v>
      </c>
      <c r="J181" s="36">
        <v>1</v>
      </c>
      <c r="K181" s="73">
        <f t="shared" si="37"/>
        <v>194</v>
      </c>
      <c r="L181" s="70"/>
      <c r="M181" s="70">
        <f t="shared" si="38"/>
        <v>194</v>
      </c>
      <c r="N181" s="6"/>
      <c r="O181" s="6"/>
      <c r="P181" s="70">
        <f t="shared" si="39"/>
        <v>116.39999999999999</v>
      </c>
      <c r="Q181" s="6"/>
      <c r="R181" s="6"/>
      <c r="S181" s="13">
        <f t="shared" si="63"/>
        <v>5.8200000000000002E-2</v>
      </c>
      <c r="T181" s="13"/>
      <c r="U181" s="13">
        <f t="shared" si="64"/>
        <v>1.9400000000000001E-2</v>
      </c>
      <c r="V181" s="13"/>
      <c r="W181" s="6"/>
      <c r="X181" s="13">
        <f t="shared" si="65"/>
        <v>7.7600000000000002E-2</v>
      </c>
      <c r="Y181" s="13">
        <f t="shared" si="66"/>
        <v>7.7600000000000002E-2</v>
      </c>
      <c r="Z181" s="6"/>
      <c r="AA181" s="6"/>
      <c r="AB181" s="6"/>
      <c r="AC181" s="70"/>
      <c r="AD181" s="6"/>
    </row>
    <row r="182" spans="1:30" x14ac:dyDescent="0.25">
      <c r="A182" s="6">
        <f t="shared" si="55"/>
        <v>174</v>
      </c>
      <c r="B182" s="6">
        <v>624</v>
      </c>
      <c r="C182" s="6" t="s">
        <v>89</v>
      </c>
      <c r="D182" s="36" t="s">
        <v>659</v>
      </c>
      <c r="E182" s="6" t="s">
        <v>600</v>
      </c>
      <c r="F182" s="6">
        <v>104</v>
      </c>
      <c r="G182" s="6">
        <v>0.6</v>
      </c>
      <c r="H182" s="79" t="s">
        <v>630</v>
      </c>
      <c r="I182" s="36">
        <v>1.2</v>
      </c>
      <c r="J182" s="36">
        <v>1</v>
      </c>
      <c r="K182" s="73">
        <f t="shared" si="37"/>
        <v>104</v>
      </c>
      <c r="L182" s="70"/>
      <c r="M182" s="70">
        <f t="shared" si="38"/>
        <v>104</v>
      </c>
      <c r="N182" s="6"/>
      <c r="O182" s="6"/>
      <c r="P182" s="70">
        <f t="shared" si="39"/>
        <v>62.4</v>
      </c>
      <c r="Q182" s="6"/>
      <c r="R182" s="6"/>
      <c r="S182" s="13">
        <f t="shared" si="63"/>
        <v>3.1199999999999999E-2</v>
      </c>
      <c r="T182" s="13"/>
      <c r="U182" s="13">
        <f t="shared" si="64"/>
        <v>1.04E-2</v>
      </c>
      <c r="V182" s="13"/>
      <c r="W182" s="6"/>
      <c r="X182" s="13">
        <f t="shared" si="65"/>
        <v>4.1599999999999998E-2</v>
      </c>
      <c r="Y182" s="13">
        <f t="shared" si="66"/>
        <v>4.1599999999999998E-2</v>
      </c>
      <c r="Z182" s="6"/>
      <c r="AA182" s="6"/>
      <c r="AB182" s="6"/>
      <c r="AC182" s="70"/>
      <c r="AD182" s="6"/>
    </row>
    <row r="183" spans="1:30" x14ac:dyDescent="0.25">
      <c r="A183" s="6">
        <f t="shared" si="55"/>
        <v>175</v>
      </c>
      <c r="B183" s="6">
        <v>625</v>
      </c>
      <c r="C183" s="6" t="s">
        <v>89</v>
      </c>
      <c r="D183" s="36" t="s">
        <v>670</v>
      </c>
      <c r="E183" s="6" t="s">
        <v>600</v>
      </c>
      <c r="F183" s="6">
        <v>220</v>
      </c>
      <c r="G183" s="6">
        <v>0.6</v>
      </c>
      <c r="H183" s="79" t="s">
        <v>630</v>
      </c>
      <c r="I183" s="36">
        <v>1.2</v>
      </c>
      <c r="J183" s="36">
        <v>1</v>
      </c>
      <c r="K183" s="73">
        <f t="shared" si="37"/>
        <v>220</v>
      </c>
      <c r="L183" s="70"/>
      <c r="M183" s="70">
        <f t="shared" si="38"/>
        <v>220</v>
      </c>
      <c r="N183" s="6"/>
      <c r="O183" s="6"/>
      <c r="P183" s="70">
        <f t="shared" si="39"/>
        <v>132</v>
      </c>
      <c r="Q183" s="6"/>
      <c r="R183" s="6"/>
      <c r="S183" s="13">
        <f t="shared" si="63"/>
        <v>6.6000000000000003E-2</v>
      </c>
      <c r="T183" s="13"/>
      <c r="U183" s="13">
        <f t="shared" si="64"/>
        <v>2.1999999999999999E-2</v>
      </c>
      <c r="V183" s="13"/>
      <c r="W183" s="6"/>
      <c r="X183" s="13">
        <f t="shared" si="65"/>
        <v>8.7999999999999995E-2</v>
      </c>
      <c r="Y183" s="13">
        <f t="shared" si="66"/>
        <v>8.7999999999999995E-2</v>
      </c>
      <c r="Z183" s="6"/>
      <c r="AA183" s="6"/>
      <c r="AB183" s="6"/>
      <c r="AC183" s="70"/>
      <c r="AD183" s="6"/>
    </row>
    <row r="184" spans="1:30" x14ac:dyDescent="0.25">
      <c r="A184" s="6">
        <f t="shared" si="55"/>
        <v>176</v>
      </c>
      <c r="B184" s="6">
        <v>626</v>
      </c>
      <c r="C184" s="6" t="s">
        <v>89</v>
      </c>
      <c r="D184" s="36" t="s">
        <v>659</v>
      </c>
      <c r="E184" s="6" t="s">
        <v>600</v>
      </c>
      <c r="F184" s="6">
        <v>175</v>
      </c>
      <c r="G184" s="6">
        <v>0.6</v>
      </c>
      <c r="H184" s="79" t="s">
        <v>630</v>
      </c>
      <c r="I184" s="36">
        <v>1.2</v>
      </c>
      <c r="J184" s="36">
        <v>1</v>
      </c>
      <c r="K184" s="73">
        <f t="shared" si="37"/>
        <v>175</v>
      </c>
      <c r="L184" s="70"/>
      <c r="M184" s="70">
        <f t="shared" si="38"/>
        <v>175</v>
      </c>
      <c r="N184" s="6"/>
      <c r="O184" s="6"/>
      <c r="P184" s="70">
        <f t="shared" si="39"/>
        <v>105</v>
      </c>
      <c r="Q184" s="6"/>
      <c r="R184" s="6"/>
      <c r="S184" s="13">
        <f t="shared" si="63"/>
        <v>5.2499999999999998E-2</v>
      </c>
      <c r="T184" s="13"/>
      <c r="U184" s="13">
        <f t="shared" si="64"/>
        <v>1.7500000000000002E-2</v>
      </c>
      <c r="V184" s="13"/>
      <c r="W184" s="6"/>
      <c r="X184" s="13">
        <f t="shared" si="65"/>
        <v>7.0000000000000007E-2</v>
      </c>
      <c r="Y184" s="13">
        <f t="shared" si="66"/>
        <v>7.0000000000000007E-2</v>
      </c>
      <c r="Z184" s="6"/>
      <c r="AA184" s="6"/>
      <c r="AB184" s="6"/>
      <c r="AC184" s="70"/>
      <c r="AD184" s="6"/>
    </row>
    <row r="185" spans="1:30" x14ac:dyDescent="0.25">
      <c r="A185" s="6">
        <f t="shared" si="55"/>
        <v>177</v>
      </c>
      <c r="B185" s="6">
        <v>627</v>
      </c>
      <c r="C185" s="6" t="s">
        <v>89</v>
      </c>
      <c r="D185" s="36" t="s">
        <v>670</v>
      </c>
      <c r="E185" s="6" t="s">
        <v>600</v>
      </c>
      <c r="F185" s="6">
        <v>217</v>
      </c>
      <c r="G185" s="6">
        <v>0.6</v>
      </c>
      <c r="H185" s="79" t="s">
        <v>630</v>
      </c>
      <c r="I185" s="36">
        <v>1.2</v>
      </c>
      <c r="J185" s="36">
        <v>1</v>
      </c>
      <c r="K185" s="73">
        <f t="shared" si="37"/>
        <v>217</v>
      </c>
      <c r="L185" s="70"/>
      <c r="M185" s="70">
        <f t="shared" si="38"/>
        <v>217</v>
      </c>
      <c r="N185" s="6"/>
      <c r="O185" s="6"/>
      <c r="P185" s="70">
        <f t="shared" si="39"/>
        <v>130.19999999999999</v>
      </c>
      <c r="Q185" s="6"/>
      <c r="R185" s="6"/>
      <c r="S185" s="13">
        <f t="shared" si="63"/>
        <v>6.5100000000000005E-2</v>
      </c>
      <c r="T185" s="13"/>
      <c r="U185" s="13">
        <f t="shared" si="64"/>
        <v>2.1700000000000001E-2</v>
      </c>
      <c r="V185" s="13"/>
      <c r="W185" s="6"/>
      <c r="X185" s="13">
        <f t="shared" si="65"/>
        <v>8.6800000000000002E-2</v>
      </c>
      <c r="Y185" s="13">
        <f t="shared" si="66"/>
        <v>8.6800000000000002E-2</v>
      </c>
      <c r="Z185" s="6"/>
      <c r="AA185" s="6"/>
      <c r="AB185" s="6"/>
      <c r="AC185" s="70"/>
      <c r="AD185" s="6"/>
    </row>
    <row r="186" spans="1:30" s="47" customFormat="1" x14ac:dyDescent="0.25">
      <c r="A186" s="6">
        <f t="shared" si="55"/>
        <v>178</v>
      </c>
      <c r="B186" s="46"/>
      <c r="C186" s="46"/>
      <c r="D186" s="131"/>
      <c r="E186" s="46" t="s">
        <v>564</v>
      </c>
      <c r="F186" s="46"/>
      <c r="G186" s="46"/>
      <c r="H186" s="132"/>
      <c r="I186" s="131"/>
      <c r="J186" s="131"/>
      <c r="K186" s="133"/>
      <c r="L186" s="69"/>
      <c r="M186" s="69"/>
      <c r="N186" s="46"/>
      <c r="O186" s="46"/>
      <c r="P186" s="69"/>
      <c r="Q186" s="46"/>
      <c r="R186" s="46"/>
      <c r="S186" s="53">
        <v>0.01</v>
      </c>
      <c r="T186" s="53">
        <v>0.01</v>
      </c>
      <c r="U186" s="53">
        <v>0.01</v>
      </c>
      <c r="V186" s="53">
        <v>0.01</v>
      </c>
      <c r="W186" s="46"/>
      <c r="X186" s="53">
        <f t="shared" ref="X186" si="67">SUM(S186:V186)</f>
        <v>0.04</v>
      </c>
      <c r="Y186" s="53">
        <f t="shared" ref="Y186" si="68">X186</f>
        <v>0.04</v>
      </c>
      <c r="Z186" s="46"/>
      <c r="AA186" s="46"/>
      <c r="AB186" s="46"/>
      <c r="AC186" s="69"/>
      <c r="AD186" s="46"/>
    </row>
    <row r="187" spans="1:30" s="47" customFormat="1" ht="38.25" x14ac:dyDescent="0.25">
      <c r="A187" s="6">
        <f t="shared" si="55"/>
        <v>179</v>
      </c>
      <c r="B187" s="46">
        <v>701</v>
      </c>
      <c r="C187" s="46" t="s">
        <v>90</v>
      </c>
      <c r="D187" s="137" t="s">
        <v>714</v>
      </c>
      <c r="E187" s="46" t="s">
        <v>600</v>
      </c>
      <c r="F187" s="46">
        <v>1045</v>
      </c>
      <c r="G187" s="46">
        <v>0.6</v>
      </c>
      <c r="H187" s="132" t="s">
        <v>630</v>
      </c>
      <c r="I187" s="131">
        <v>1.2</v>
      </c>
      <c r="J187" s="131">
        <v>1</v>
      </c>
      <c r="K187" s="133">
        <f t="shared" si="37"/>
        <v>1045</v>
      </c>
      <c r="L187" s="69"/>
      <c r="M187" s="69">
        <f t="shared" si="38"/>
        <v>1045</v>
      </c>
      <c r="N187" s="46"/>
      <c r="O187" s="46"/>
      <c r="P187" s="69">
        <f t="shared" si="39"/>
        <v>627</v>
      </c>
      <c r="Q187" s="46"/>
      <c r="R187" s="46"/>
      <c r="S187" s="53">
        <f t="shared" ref="S187:S188" si="69">3*F187/10000</f>
        <v>0.3135</v>
      </c>
      <c r="T187" s="53"/>
      <c r="U187" s="53">
        <f t="shared" ref="U187:U188" si="70">1*F187/10000</f>
        <v>0.1045</v>
      </c>
      <c r="V187" s="53"/>
      <c r="W187" s="46"/>
      <c r="X187" s="53">
        <f t="shared" si="65"/>
        <v>0.41799999999999998</v>
      </c>
      <c r="Y187" s="53">
        <f t="shared" si="66"/>
        <v>0.41799999999999998</v>
      </c>
      <c r="Z187" s="46"/>
      <c r="AA187" s="46"/>
      <c r="AB187" s="46"/>
      <c r="AC187" s="69">
        <v>2</v>
      </c>
      <c r="AD187" s="46"/>
    </row>
    <row r="188" spans="1:30" x14ac:dyDescent="0.25">
      <c r="A188" s="6">
        <f t="shared" si="55"/>
        <v>180</v>
      </c>
      <c r="B188" s="6">
        <v>702</v>
      </c>
      <c r="C188" s="6" t="s">
        <v>90</v>
      </c>
      <c r="D188" s="36" t="s">
        <v>702</v>
      </c>
      <c r="E188" s="6" t="s">
        <v>600</v>
      </c>
      <c r="F188" s="6">
        <v>351</v>
      </c>
      <c r="G188" s="6">
        <v>0.6</v>
      </c>
      <c r="H188" s="79" t="s">
        <v>630</v>
      </c>
      <c r="I188" s="36">
        <v>1.2</v>
      </c>
      <c r="J188" s="36">
        <v>1</v>
      </c>
      <c r="K188" s="73">
        <f t="shared" si="37"/>
        <v>351</v>
      </c>
      <c r="L188" s="70"/>
      <c r="M188" s="70">
        <f t="shared" si="38"/>
        <v>351</v>
      </c>
      <c r="N188" s="6"/>
      <c r="O188" s="6"/>
      <c r="P188" s="70">
        <f t="shared" si="39"/>
        <v>210.6</v>
      </c>
      <c r="Q188" s="6"/>
      <c r="R188" s="6"/>
      <c r="S188" s="13">
        <f t="shared" si="69"/>
        <v>0.1053</v>
      </c>
      <c r="T188" s="13"/>
      <c r="U188" s="13">
        <f t="shared" si="70"/>
        <v>3.5099999999999999E-2</v>
      </c>
      <c r="V188" s="13"/>
      <c r="W188" s="6"/>
      <c r="X188" s="13">
        <f>SUM(S188:V188)</f>
        <v>0.1404</v>
      </c>
      <c r="Y188" s="13">
        <f>X188</f>
        <v>0.1404</v>
      </c>
      <c r="Z188" s="6"/>
      <c r="AA188" s="6"/>
      <c r="AB188" s="6"/>
      <c r="AC188" s="70"/>
      <c r="AD188" s="6"/>
    </row>
    <row r="189" spans="1:30" x14ac:dyDescent="0.25">
      <c r="A189" s="6">
        <f t="shared" si="55"/>
        <v>181</v>
      </c>
      <c r="B189" s="6">
        <v>703</v>
      </c>
      <c r="C189" s="6" t="s">
        <v>90</v>
      </c>
      <c r="D189" s="36" t="s">
        <v>703</v>
      </c>
      <c r="E189" s="6" t="s">
        <v>563</v>
      </c>
      <c r="F189" s="6">
        <v>353</v>
      </c>
      <c r="G189" s="6">
        <v>0.4</v>
      </c>
      <c r="H189" s="79" t="s">
        <v>630</v>
      </c>
      <c r="I189" s="36">
        <v>1.2</v>
      </c>
      <c r="J189" s="36">
        <v>1.9</v>
      </c>
      <c r="K189" s="73">
        <f t="shared" si="37"/>
        <v>670.69999999999993</v>
      </c>
      <c r="L189" s="70"/>
      <c r="M189" s="70">
        <f t="shared" si="38"/>
        <v>670.69999999999993</v>
      </c>
      <c r="N189" s="6"/>
      <c r="O189" s="6"/>
      <c r="P189" s="70">
        <f>M189*0.4*0.6</f>
        <v>160.96799999999999</v>
      </c>
      <c r="Q189" s="6"/>
      <c r="R189" s="70">
        <f>M189*0.6</f>
        <v>402.41999999999996</v>
      </c>
      <c r="S189" s="13">
        <f>2*F189/10000</f>
        <v>7.0599999999999996E-2</v>
      </c>
      <c r="T189" s="13"/>
      <c r="U189" s="13">
        <f>2*F189/10000</f>
        <v>7.0599999999999996E-2</v>
      </c>
      <c r="V189" s="13"/>
      <c r="W189" s="6"/>
      <c r="X189" s="13">
        <f>SUM(S189:V189)</f>
        <v>0.14119999999999999</v>
      </c>
      <c r="Y189" s="13">
        <f>X189</f>
        <v>0.14119999999999999</v>
      </c>
      <c r="Z189" s="6"/>
      <c r="AA189" s="6"/>
      <c r="AB189" s="6"/>
      <c r="AC189" s="70"/>
      <c r="AD189" s="6"/>
    </row>
    <row r="190" spans="1:30" x14ac:dyDescent="0.25">
      <c r="A190" s="6">
        <f t="shared" si="55"/>
        <v>182</v>
      </c>
      <c r="B190" s="6">
        <v>704</v>
      </c>
      <c r="C190" s="6" t="s">
        <v>90</v>
      </c>
      <c r="D190" s="36" t="s">
        <v>702</v>
      </c>
      <c r="E190" s="6" t="s">
        <v>563</v>
      </c>
      <c r="F190" s="6">
        <v>412</v>
      </c>
      <c r="G190" s="6">
        <v>0.4</v>
      </c>
      <c r="H190" s="79" t="s">
        <v>630</v>
      </c>
      <c r="I190" s="36">
        <v>1.2</v>
      </c>
      <c r="J190" s="36">
        <v>1.9</v>
      </c>
      <c r="K190" s="73">
        <f t="shared" si="37"/>
        <v>782.8</v>
      </c>
      <c r="L190" s="70"/>
      <c r="M190" s="70">
        <f t="shared" si="38"/>
        <v>782.8</v>
      </c>
      <c r="N190" s="6"/>
      <c r="O190" s="6"/>
      <c r="P190" s="70">
        <f>M190*0.4*0.6</f>
        <v>187.87199999999999</v>
      </c>
      <c r="Q190" s="6"/>
      <c r="R190" s="70">
        <f>M190*0.6</f>
        <v>469.67999999999995</v>
      </c>
      <c r="S190" s="13">
        <f>4*F190/10000</f>
        <v>0.1648</v>
      </c>
      <c r="T190" s="13"/>
      <c r="U190" s="13"/>
      <c r="V190" s="13"/>
      <c r="W190" s="6"/>
      <c r="X190" s="13">
        <f>SUM(S190:V190)</f>
        <v>0.1648</v>
      </c>
      <c r="Y190" s="13">
        <f>X190</f>
        <v>0.1648</v>
      </c>
      <c r="Z190" s="6"/>
      <c r="AA190" s="6"/>
      <c r="AB190" s="6"/>
      <c r="AC190" s="70"/>
      <c r="AD190" s="6"/>
    </row>
    <row r="191" spans="1:30" s="47" customFormat="1" x14ac:dyDescent="0.25">
      <c r="A191" s="6">
        <f t="shared" si="55"/>
        <v>183</v>
      </c>
      <c r="B191" s="46"/>
      <c r="C191" s="46"/>
      <c r="D191" s="131"/>
      <c r="E191" s="46" t="s">
        <v>564</v>
      </c>
      <c r="F191" s="46"/>
      <c r="G191" s="46"/>
      <c r="H191" s="132"/>
      <c r="I191" s="131"/>
      <c r="J191" s="131"/>
      <c r="K191" s="133"/>
      <c r="L191" s="69"/>
      <c r="M191" s="69"/>
      <c r="N191" s="46"/>
      <c r="O191" s="46"/>
      <c r="P191" s="69"/>
      <c r="Q191" s="46"/>
      <c r="R191" s="69"/>
      <c r="S191" s="53">
        <v>0.01</v>
      </c>
      <c r="T191" s="53">
        <v>0.01</v>
      </c>
      <c r="U191" s="53">
        <v>0.01</v>
      </c>
      <c r="V191" s="53">
        <v>0.01</v>
      </c>
      <c r="W191" s="46"/>
      <c r="X191" s="53">
        <f>SUM(S191:V191)</f>
        <v>0.04</v>
      </c>
      <c r="Y191" s="53">
        <f>X191</f>
        <v>0.04</v>
      </c>
      <c r="Z191" s="46"/>
      <c r="AA191" s="46"/>
      <c r="AB191" s="46"/>
      <c r="AC191" s="69"/>
      <c r="AD191" s="46"/>
    </row>
    <row r="192" spans="1:30" s="47" customFormat="1" x14ac:dyDescent="0.25">
      <c r="A192" s="6">
        <f t="shared" si="55"/>
        <v>184</v>
      </c>
      <c r="B192" s="46">
        <v>801</v>
      </c>
      <c r="C192" s="46" t="s">
        <v>91</v>
      </c>
      <c r="D192" s="131" t="s">
        <v>705</v>
      </c>
      <c r="E192" s="46" t="s">
        <v>600</v>
      </c>
      <c r="F192" s="46">
        <v>73</v>
      </c>
      <c r="G192" s="46">
        <v>0.6</v>
      </c>
      <c r="H192" s="132" t="s">
        <v>630</v>
      </c>
      <c r="I192" s="131">
        <v>1.2</v>
      </c>
      <c r="J192" s="131">
        <v>1</v>
      </c>
      <c r="K192" s="133">
        <f t="shared" si="37"/>
        <v>73</v>
      </c>
      <c r="L192" s="69"/>
      <c r="M192" s="69">
        <f t="shared" si="38"/>
        <v>73</v>
      </c>
      <c r="N192" s="46"/>
      <c r="O192" s="46"/>
      <c r="P192" s="69">
        <f t="shared" si="39"/>
        <v>43.8</v>
      </c>
      <c r="Q192" s="46"/>
      <c r="R192" s="46"/>
      <c r="S192" s="53">
        <f>4*F192/10000</f>
        <v>2.92E-2</v>
      </c>
      <c r="T192" s="53"/>
      <c r="U192" s="53"/>
      <c r="V192" s="53"/>
      <c r="W192" s="46"/>
      <c r="X192" s="53">
        <f t="shared" ref="X192:X200" si="71">SUM(S192:V192)</f>
        <v>2.92E-2</v>
      </c>
      <c r="Y192" s="53">
        <f t="shared" si="66"/>
        <v>2.92E-2</v>
      </c>
      <c r="Z192" s="46"/>
      <c r="AA192" s="46"/>
      <c r="AB192" s="46"/>
      <c r="AC192" s="69"/>
      <c r="AD192" s="46"/>
    </row>
    <row r="193" spans="1:30" x14ac:dyDescent="0.25">
      <c r="A193" s="6">
        <f t="shared" si="55"/>
        <v>185</v>
      </c>
      <c r="B193" s="6">
        <v>901</v>
      </c>
      <c r="C193" s="6" t="s">
        <v>92</v>
      </c>
      <c r="D193" s="36" t="s">
        <v>679</v>
      </c>
      <c r="E193" s="6" t="s">
        <v>600</v>
      </c>
      <c r="F193" s="6">
        <v>375</v>
      </c>
      <c r="G193" s="6">
        <v>0.6</v>
      </c>
      <c r="H193" s="79" t="s">
        <v>630</v>
      </c>
      <c r="I193" s="36">
        <v>1.2</v>
      </c>
      <c r="J193" s="36">
        <v>1</v>
      </c>
      <c r="K193" s="73">
        <f t="shared" si="37"/>
        <v>375</v>
      </c>
      <c r="L193" s="70"/>
      <c r="M193" s="70">
        <f t="shared" si="38"/>
        <v>375</v>
      </c>
      <c r="N193" s="6"/>
      <c r="O193" s="6"/>
      <c r="P193" s="70">
        <f t="shared" si="39"/>
        <v>225</v>
      </c>
      <c r="Q193" s="6"/>
      <c r="R193" s="6"/>
      <c r="S193" s="13">
        <f t="shared" ref="S193" si="72">3*F193/10000</f>
        <v>0.1125</v>
      </c>
      <c r="T193" s="13"/>
      <c r="U193" s="13">
        <f t="shared" ref="U193" si="73">1*F193/10000</f>
        <v>3.7499999999999999E-2</v>
      </c>
      <c r="V193" s="13"/>
      <c r="W193" s="6"/>
      <c r="X193" s="13">
        <f t="shared" si="71"/>
        <v>0.15</v>
      </c>
      <c r="Y193" s="13">
        <f t="shared" si="66"/>
        <v>0.15</v>
      </c>
      <c r="Z193" s="6"/>
      <c r="AA193" s="6"/>
      <c r="AB193" s="6"/>
      <c r="AC193" s="70"/>
      <c r="AD193" s="6"/>
    </row>
    <row r="194" spans="1:30" x14ac:dyDescent="0.25">
      <c r="A194" s="6">
        <f t="shared" si="55"/>
        <v>186</v>
      </c>
      <c r="B194" s="6">
        <v>902</v>
      </c>
      <c r="C194" s="6" t="s">
        <v>92</v>
      </c>
      <c r="D194" s="36" t="s">
        <v>676</v>
      </c>
      <c r="E194" s="6" t="s">
        <v>600</v>
      </c>
      <c r="F194" s="6">
        <v>374</v>
      </c>
      <c r="G194" s="6">
        <v>0.6</v>
      </c>
      <c r="H194" s="79" t="s">
        <v>630</v>
      </c>
      <c r="I194" s="36">
        <v>1.2</v>
      </c>
      <c r="J194" s="36">
        <v>1</v>
      </c>
      <c r="K194" s="73">
        <f t="shared" si="37"/>
        <v>374</v>
      </c>
      <c r="L194" s="70"/>
      <c r="M194" s="70">
        <f t="shared" si="38"/>
        <v>374</v>
      </c>
      <c r="N194" s="6"/>
      <c r="O194" s="6"/>
      <c r="P194" s="70">
        <f t="shared" si="39"/>
        <v>224.4</v>
      </c>
      <c r="Q194" s="6"/>
      <c r="R194" s="6"/>
      <c r="S194" s="13">
        <f t="shared" ref="S194:S196" si="74">3*F194/10000</f>
        <v>0.11219999999999999</v>
      </c>
      <c r="T194" s="13"/>
      <c r="U194" s="13">
        <f t="shared" ref="U194:U196" si="75">1*F194/10000</f>
        <v>3.7400000000000003E-2</v>
      </c>
      <c r="V194" s="13"/>
      <c r="W194" s="6"/>
      <c r="X194" s="13">
        <f t="shared" si="71"/>
        <v>0.14960000000000001</v>
      </c>
      <c r="Y194" s="13">
        <f t="shared" si="66"/>
        <v>0.14960000000000001</v>
      </c>
      <c r="Z194" s="6"/>
      <c r="AA194" s="6"/>
      <c r="AB194" s="6"/>
      <c r="AC194" s="70"/>
      <c r="AD194" s="6"/>
    </row>
    <row r="195" spans="1:30" x14ac:dyDescent="0.25">
      <c r="A195" s="6">
        <f t="shared" si="55"/>
        <v>187</v>
      </c>
      <c r="B195" s="6">
        <v>903</v>
      </c>
      <c r="C195" s="6" t="s">
        <v>92</v>
      </c>
      <c r="D195" s="36" t="s">
        <v>715</v>
      </c>
      <c r="E195" s="6" t="s">
        <v>600</v>
      </c>
      <c r="F195" s="6">
        <v>70</v>
      </c>
      <c r="G195" s="6">
        <v>0.6</v>
      </c>
      <c r="H195" s="79" t="s">
        <v>630</v>
      </c>
      <c r="I195" s="36">
        <v>1.2</v>
      </c>
      <c r="J195" s="36">
        <v>1</v>
      </c>
      <c r="K195" s="73">
        <f t="shared" ref="K195:K199" si="76">F195*J195</f>
        <v>70</v>
      </c>
      <c r="L195" s="70"/>
      <c r="M195" s="70">
        <f t="shared" ref="M195:M199" si="77">K195+L195</f>
        <v>70</v>
      </c>
      <c r="N195" s="6"/>
      <c r="O195" s="6"/>
      <c r="P195" s="70">
        <f t="shared" ref="P195:P199" si="78">M195*0.6</f>
        <v>42</v>
      </c>
      <c r="Q195" s="6"/>
      <c r="R195" s="6"/>
      <c r="S195" s="13">
        <f t="shared" si="74"/>
        <v>2.1000000000000001E-2</v>
      </c>
      <c r="T195" s="13"/>
      <c r="U195" s="13">
        <f t="shared" si="75"/>
        <v>7.0000000000000001E-3</v>
      </c>
      <c r="V195" s="13"/>
      <c r="W195" s="6"/>
      <c r="X195" s="13">
        <f t="shared" si="71"/>
        <v>2.8000000000000001E-2</v>
      </c>
      <c r="Y195" s="13">
        <f t="shared" si="66"/>
        <v>2.8000000000000001E-2</v>
      </c>
      <c r="Z195" s="6"/>
      <c r="AA195" s="6"/>
      <c r="AB195" s="6"/>
      <c r="AC195" s="70"/>
      <c r="AD195" s="6"/>
    </row>
    <row r="196" spans="1:30" x14ac:dyDescent="0.25">
      <c r="A196" s="6">
        <f t="shared" si="55"/>
        <v>188</v>
      </c>
      <c r="B196" s="6">
        <v>905</v>
      </c>
      <c r="C196" s="6" t="s">
        <v>92</v>
      </c>
      <c r="D196" s="36" t="s">
        <v>715</v>
      </c>
      <c r="E196" s="6" t="s">
        <v>562</v>
      </c>
      <c r="F196" s="6">
        <v>380</v>
      </c>
      <c r="G196" s="6">
        <v>0.6</v>
      </c>
      <c r="H196" s="79" t="s">
        <v>630</v>
      </c>
      <c r="I196" s="36">
        <v>1.2</v>
      </c>
      <c r="J196" s="36">
        <v>1.2</v>
      </c>
      <c r="K196" s="73">
        <f t="shared" si="76"/>
        <v>456</v>
      </c>
      <c r="L196" s="70"/>
      <c r="M196" s="70">
        <f t="shared" si="77"/>
        <v>456</v>
      </c>
      <c r="N196" s="6"/>
      <c r="O196" s="6"/>
      <c r="P196" s="70">
        <f t="shared" si="78"/>
        <v>273.59999999999997</v>
      </c>
      <c r="Q196" s="6"/>
      <c r="R196" s="6"/>
      <c r="S196" s="13">
        <f t="shared" si="74"/>
        <v>0.114</v>
      </c>
      <c r="T196" s="13"/>
      <c r="U196" s="13">
        <f t="shared" si="75"/>
        <v>3.7999999999999999E-2</v>
      </c>
      <c r="V196" s="13"/>
      <c r="W196" s="6"/>
      <c r="X196" s="13">
        <f t="shared" si="71"/>
        <v>0.152</v>
      </c>
      <c r="Y196" s="13">
        <f t="shared" si="66"/>
        <v>0.152</v>
      </c>
      <c r="Z196" s="6"/>
      <c r="AA196" s="6"/>
      <c r="AB196" s="6"/>
      <c r="AC196" s="70"/>
      <c r="AD196" s="6"/>
    </row>
    <row r="197" spans="1:30" x14ac:dyDescent="0.25">
      <c r="A197" s="6">
        <f t="shared" si="55"/>
        <v>189</v>
      </c>
      <c r="B197" s="6">
        <v>906</v>
      </c>
      <c r="C197" s="6" t="s">
        <v>92</v>
      </c>
      <c r="D197" s="36" t="s">
        <v>715</v>
      </c>
      <c r="E197" s="6" t="s">
        <v>563</v>
      </c>
      <c r="F197" s="6">
        <v>63</v>
      </c>
      <c r="G197" s="6">
        <v>0.4</v>
      </c>
      <c r="H197" s="79" t="s">
        <v>630</v>
      </c>
      <c r="I197" s="36">
        <v>1.2</v>
      </c>
      <c r="J197" s="36">
        <v>1.9</v>
      </c>
      <c r="K197" s="73">
        <f t="shared" si="76"/>
        <v>119.69999999999999</v>
      </c>
      <c r="L197" s="70"/>
      <c r="M197" s="70">
        <f>K197+L197</f>
        <v>119.69999999999999</v>
      </c>
      <c r="N197" s="6"/>
      <c r="O197" s="6"/>
      <c r="P197" s="70">
        <f>M197*0.4*0.6</f>
        <v>28.727999999999998</v>
      </c>
      <c r="Q197" s="6"/>
      <c r="R197" s="70">
        <f>M197*0.6</f>
        <v>71.819999999999993</v>
      </c>
      <c r="S197" s="13">
        <f>3*F197/10000</f>
        <v>1.89E-2</v>
      </c>
      <c r="T197" s="13"/>
      <c r="U197" s="13">
        <f>1*F197/10000</f>
        <v>6.3E-3</v>
      </c>
      <c r="V197" s="13"/>
      <c r="W197" s="6"/>
      <c r="X197" s="13">
        <f t="shared" si="71"/>
        <v>2.52E-2</v>
      </c>
      <c r="Y197" s="13">
        <f t="shared" si="66"/>
        <v>2.52E-2</v>
      </c>
      <c r="Z197" s="6"/>
      <c r="AA197" s="6"/>
      <c r="AB197" s="6"/>
      <c r="AC197" s="70"/>
      <c r="AD197" s="6"/>
    </row>
    <row r="198" spans="1:30" s="47" customFormat="1" x14ac:dyDescent="0.25">
      <c r="A198" s="6">
        <f t="shared" si="55"/>
        <v>190</v>
      </c>
      <c r="B198" s="46"/>
      <c r="C198" s="46"/>
      <c r="D198" s="131"/>
      <c r="E198" s="46" t="s">
        <v>564</v>
      </c>
      <c r="F198" s="46"/>
      <c r="G198" s="46"/>
      <c r="H198" s="132"/>
      <c r="I198" s="131"/>
      <c r="J198" s="131"/>
      <c r="K198" s="133"/>
      <c r="L198" s="69"/>
      <c r="M198" s="69"/>
      <c r="N198" s="46"/>
      <c r="O198" s="46"/>
      <c r="P198" s="69"/>
      <c r="Q198" s="46"/>
      <c r="R198" s="69"/>
      <c r="S198" s="53">
        <v>0.01</v>
      </c>
      <c r="T198" s="53">
        <v>0.01</v>
      </c>
      <c r="U198" s="53">
        <v>0.01</v>
      </c>
      <c r="V198" s="53">
        <v>0.01</v>
      </c>
      <c r="W198" s="46"/>
      <c r="X198" s="53">
        <f t="shared" si="71"/>
        <v>0.04</v>
      </c>
      <c r="Y198" s="53">
        <f t="shared" si="66"/>
        <v>0.04</v>
      </c>
      <c r="Z198" s="46"/>
      <c r="AA198" s="46"/>
      <c r="AB198" s="46"/>
      <c r="AC198" s="69"/>
      <c r="AD198" s="46"/>
    </row>
    <row r="199" spans="1:30" s="47" customFormat="1" x14ac:dyDescent="0.25">
      <c r="A199" s="6">
        <f t="shared" si="55"/>
        <v>191</v>
      </c>
      <c r="B199" s="46">
        <v>1001</v>
      </c>
      <c r="C199" s="46" t="s">
        <v>93</v>
      </c>
      <c r="D199" s="131" t="s">
        <v>637</v>
      </c>
      <c r="E199" s="46" t="s">
        <v>598</v>
      </c>
      <c r="F199" s="46">
        <v>525</v>
      </c>
      <c r="G199" s="46">
        <v>1</v>
      </c>
      <c r="H199" s="132" t="s">
        <v>630</v>
      </c>
      <c r="I199" s="131">
        <v>1.2</v>
      </c>
      <c r="J199" s="131">
        <v>0.5</v>
      </c>
      <c r="K199" s="133">
        <f t="shared" si="76"/>
        <v>262.5</v>
      </c>
      <c r="L199" s="69"/>
      <c r="M199" s="69">
        <f t="shared" si="77"/>
        <v>262.5</v>
      </c>
      <c r="N199" s="46"/>
      <c r="O199" s="46"/>
      <c r="P199" s="69">
        <f t="shared" si="78"/>
        <v>157.5</v>
      </c>
      <c r="Q199" s="46"/>
      <c r="R199" s="46"/>
      <c r="S199" s="53"/>
      <c r="T199" s="53">
        <f>6*F199/10000</f>
        <v>0.315</v>
      </c>
      <c r="U199" s="53">
        <f>6*F199/10000</f>
        <v>0.315</v>
      </c>
      <c r="V199" s="53"/>
      <c r="W199" s="46"/>
      <c r="X199" s="53">
        <f t="shared" si="71"/>
        <v>0.63</v>
      </c>
      <c r="Y199" s="53">
        <f t="shared" si="66"/>
        <v>0.63</v>
      </c>
      <c r="Z199" s="46"/>
      <c r="AA199" s="46"/>
      <c r="AB199" s="46"/>
      <c r="AC199" s="69">
        <v>1</v>
      </c>
      <c r="AD199" s="46"/>
    </row>
    <row r="200" spans="1:30" x14ac:dyDescent="0.25">
      <c r="A200" s="6">
        <f t="shared" si="55"/>
        <v>192</v>
      </c>
      <c r="B200" s="6">
        <v>1101</v>
      </c>
      <c r="C200" s="6" t="s">
        <v>94</v>
      </c>
      <c r="D200" s="36" t="s">
        <v>662</v>
      </c>
      <c r="E200" s="6" t="s">
        <v>598</v>
      </c>
      <c r="F200" s="6">
        <v>808</v>
      </c>
      <c r="G200" s="6">
        <v>1</v>
      </c>
      <c r="H200" s="79" t="s">
        <v>630</v>
      </c>
      <c r="I200" s="36">
        <v>1.2</v>
      </c>
      <c r="J200" s="36">
        <v>0.5</v>
      </c>
      <c r="K200" s="73">
        <f t="shared" ref="K200" si="79">F200*J200</f>
        <v>404</v>
      </c>
      <c r="L200" s="70"/>
      <c r="M200" s="70">
        <f t="shared" ref="M200" si="80">K200+L200</f>
        <v>404</v>
      </c>
      <c r="N200" s="6"/>
      <c r="O200" s="6"/>
      <c r="P200" s="70">
        <f>M200*0.6</f>
        <v>242.39999999999998</v>
      </c>
      <c r="Q200" s="6"/>
      <c r="R200" s="6"/>
      <c r="S200" s="13">
        <f>2*F200/10000</f>
        <v>0.16159999999999999</v>
      </c>
      <c r="T200" s="13">
        <f>4*F200/10000</f>
        <v>0.32319999999999999</v>
      </c>
      <c r="U200" s="13"/>
      <c r="V200" s="13"/>
      <c r="W200" s="6"/>
      <c r="X200" s="13">
        <f t="shared" si="71"/>
        <v>0.48480000000000001</v>
      </c>
      <c r="Y200" s="13">
        <f t="shared" si="66"/>
        <v>0.48480000000000001</v>
      </c>
      <c r="Z200" s="6">
        <v>1</v>
      </c>
      <c r="AA200" s="6"/>
      <c r="AB200" s="6"/>
      <c r="AC200" s="70">
        <v>2</v>
      </c>
      <c r="AD200" s="6"/>
    </row>
    <row r="201" spans="1:30" ht="25.5" x14ac:dyDescent="0.25">
      <c r="A201" s="6">
        <f t="shared" si="55"/>
        <v>193</v>
      </c>
      <c r="B201" s="6">
        <v>1201</v>
      </c>
      <c r="C201" s="6" t="s">
        <v>246</v>
      </c>
      <c r="D201" s="48" t="s">
        <v>716</v>
      </c>
      <c r="E201" s="6" t="s">
        <v>598</v>
      </c>
      <c r="F201" s="6">
        <v>3327</v>
      </c>
      <c r="G201" s="6"/>
      <c r="H201" s="79"/>
      <c r="I201" s="36"/>
      <c r="J201" s="36"/>
      <c r="K201" s="73"/>
      <c r="L201" s="70"/>
      <c r="M201" s="70"/>
      <c r="N201" s="6"/>
      <c r="O201" s="6"/>
      <c r="P201" s="70"/>
      <c r="Q201" s="6"/>
      <c r="R201" s="6"/>
      <c r="S201" s="13"/>
      <c r="T201" s="13"/>
      <c r="U201" s="13"/>
      <c r="V201" s="13"/>
      <c r="W201" s="6"/>
      <c r="X201" s="13"/>
      <c r="Y201" s="13"/>
      <c r="Z201" s="6">
        <v>2</v>
      </c>
      <c r="AA201" s="6"/>
      <c r="AB201" s="6"/>
      <c r="AC201" s="70"/>
      <c r="AD201" s="81" t="s">
        <v>717</v>
      </c>
    </row>
    <row r="202" spans="1:30" x14ac:dyDescent="0.25">
      <c r="A202" s="293" t="s">
        <v>363</v>
      </c>
      <c r="B202" s="293"/>
      <c r="C202" s="293"/>
      <c r="D202" s="293"/>
      <c r="E202" s="134" t="s">
        <v>567</v>
      </c>
      <c r="F202" s="135">
        <f>SUMIF($E$9:$E$201,$E$202,F9:F201)</f>
        <v>145</v>
      </c>
      <c r="G202" s="135"/>
      <c r="H202" s="135"/>
      <c r="I202" s="135"/>
      <c r="J202" s="135"/>
      <c r="K202" s="135">
        <f>SUMIF($E$9:$E$201,$E$202,K9:K201)</f>
        <v>275.5</v>
      </c>
      <c r="L202" s="135"/>
      <c r="M202" s="135">
        <f>SUMIF($E$9:$E$201,$E$202,M9:M201)</f>
        <v>275.5</v>
      </c>
      <c r="N202" s="135"/>
      <c r="O202" s="135"/>
      <c r="P202" s="135">
        <f>SUMIF($E$9:$E$201,$E$202,P9:P201)</f>
        <v>66.12</v>
      </c>
      <c r="Q202" s="135"/>
      <c r="R202" s="135">
        <f>SUMIF($E$9:$E$201,$E$202,R9:R201)</f>
        <v>165.29999999999998</v>
      </c>
      <c r="S202" s="136"/>
      <c r="T202" s="136">
        <f>SUMIF($E$9:$E$201,$E$202,T9:T201)</f>
        <v>2.9000000000000001E-2</v>
      </c>
      <c r="U202" s="136">
        <f>SUMIF($E$9:$E$201,$E$202,U9:U201)</f>
        <v>5.8000000000000003E-2</v>
      </c>
      <c r="V202" s="136">
        <f>SUMIF($E$9:$E$201,$E$202,V9:V201)</f>
        <v>5.8000000000000003E-2</v>
      </c>
      <c r="W202" s="136"/>
      <c r="X202" s="136">
        <f>SUMIF($E$9:$E$201,$E$202,X9:X201)</f>
        <v>0.14500000000000002</v>
      </c>
      <c r="Y202" s="136">
        <f>SUMIF($E$9:$E$201,$E$202,Y9:Y201)</f>
        <v>0.14500000000000002</v>
      </c>
      <c r="Z202" s="135"/>
      <c r="AA202" s="135"/>
      <c r="AB202" s="135"/>
      <c r="AC202" s="135"/>
      <c r="AD202" s="134"/>
    </row>
    <row r="203" spans="1:30" x14ac:dyDescent="0.25">
      <c r="A203" s="293" t="s">
        <v>363</v>
      </c>
      <c r="B203" s="293"/>
      <c r="C203" s="293"/>
      <c r="D203" s="293"/>
      <c r="E203" s="134" t="s">
        <v>566</v>
      </c>
      <c r="F203" s="134">
        <f>SUMIF($E$9:$E$201,$E$203,F9:F201)</f>
        <v>64167</v>
      </c>
      <c r="G203" s="134"/>
      <c r="H203" s="134"/>
      <c r="I203" s="134"/>
      <c r="J203" s="134"/>
      <c r="K203" s="135">
        <f>SUMIF($E$9:$E$201,$E$203,K9:K201)</f>
        <v>77000.400000000038</v>
      </c>
      <c r="L203" s="135"/>
      <c r="M203" s="135">
        <f>SUMIF($E$9:$E$201,$E$203,M9:M201)</f>
        <v>77000.400000000038</v>
      </c>
      <c r="N203" s="135"/>
      <c r="O203" s="135"/>
      <c r="P203" s="135">
        <f>SUMIF($E$9:$E$201,$E$203,P9:P201)</f>
        <v>46200.240000000005</v>
      </c>
      <c r="Q203" s="135"/>
      <c r="R203" s="135"/>
      <c r="S203" s="136">
        <f>SUMIF($E$9:$E$201,$E$203,S9:S201)</f>
        <v>6.7183999999999999</v>
      </c>
      <c r="T203" s="136">
        <f>SUMIF($E$9:$E$201,$E$203,T9:T201)</f>
        <v>20.988600000000002</v>
      </c>
      <c r="U203" s="136">
        <f>SUMIF($E$9:$E$201,$E$203,U9:U201)</f>
        <v>23.039599999999997</v>
      </c>
      <c r="V203" s="136">
        <f>SUMIF($E$9:$E$201,$E$203,V9:V201)</f>
        <v>13.201999999999993</v>
      </c>
      <c r="W203" s="136"/>
      <c r="X203" s="136">
        <f>SUMIF($E$9:$E$201,$E$203,X9:X201)</f>
        <v>63.948599999999978</v>
      </c>
      <c r="Y203" s="136">
        <f>SUMIF($E$9:$E$201,$E$203,Y9:Y201)</f>
        <v>63.948599999999978</v>
      </c>
      <c r="Z203" s="135">
        <f>SUMIF($E$9:$E$201,$E$203,Z9:Z201)</f>
        <v>2</v>
      </c>
      <c r="AA203" s="136"/>
      <c r="AB203" s="136"/>
      <c r="AC203" s="135">
        <f>SUMIF($E$9:$E$201,$E$203,AC9:AC201)</f>
        <v>95</v>
      </c>
      <c r="AD203" s="134"/>
    </row>
    <row r="204" spans="1:30" x14ac:dyDescent="0.25">
      <c r="A204" s="293" t="s">
        <v>363</v>
      </c>
      <c r="B204" s="293"/>
      <c r="C204" s="293"/>
      <c r="D204" s="293"/>
      <c r="E204" s="134" t="s">
        <v>563</v>
      </c>
      <c r="F204" s="134">
        <f>SUMIF($E$9:$E$201,$E$204,F9:F201)</f>
        <v>828</v>
      </c>
      <c r="G204" s="134"/>
      <c r="H204" s="134"/>
      <c r="I204" s="134"/>
      <c r="J204" s="134"/>
      <c r="K204" s="135">
        <f>SUMIF($E$9:$E$201,$E$204,K9:K201)</f>
        <v>1573.2</v>
      </c>
      <c r="L204" s="135"/>
      <c r="M204" s="135">
        <f>SUMIF($E$9:$E$201,$E$204,M9:M201)</f>
        <v>1573.2</v>
      </c>
      <c r="N204" s="135"/>
      <c r="O204" s="135"/>
      <c r="P204" s="135">
        <f>SUMIF($E$9:$E$201,$E$204,P9:P201)</f>
        <v>377.56799999999998</v>
      </c>
      <c r="Q204" s="135"/>
      <c r="R204" s="135">
        <f>SUMIF($E$9:$E$201,$E$204,R9:R201)</f>
        <v>943.91999999999985</v>
      </c>
      <c r="S204" s="136">
        <f>SUMIF($E$9:$E$201,$E$204,S9:S201)</f>
        <v>0.25429999999999997</v>
      </c>
      <c r="T204" s="136"/>
      <c r="U204" s="136">
        <f>SUMIF($E$9:$E$201,$E$204,U9:U201)</f>
        <v>7.6899999999999996E-2</v>
      </c>
      <c r="V204" s="134"/>
      <c r="W204" s="134"/>
      <c r="X204" s="136">
        <f>SUMIF($E$9:$E$201,$E$204,X9:X201)</f>
        <v>0.33119999999999999</v>
      </c>
      <c r="Y204" s="136">
        <f>SUMIF($E$9:$E$201,$E$204,Y9:Y201)</f>
        <v>0.33119999999999999</v>
      </c>
      <c r="Z204" s="134"/>
      <c r="AA204" s="134"/>
      <c r="AB204" s="134"/>
      <c r="AC204" s="134"/>
      <c r="AD204" s="134"/>
    </row>
    <row r="205" spans="1:30" x14ac:dyDescent="0.25">
      <c r="A205" s="293" t="s">
        <v>363</v>
      </c>
      <c r="B205" s="293"/>
      <c r="C205" s="293"/>
      <c r="D205" s="293"/>
      <c r="E205" s="134" t="s">
        <v>562</v>
      </c>
      <c r="F205" s="134">
        <f t="shared" ref="F205:F210" si="81">SUMIF($E$9:$E$201,E205,$F$9:$F$201)</f>
        <v>1175</v>
      </c>
      <c r="G205" s="134"/>
      <c r="H205" s="134"/>
      <c r="I205" s="134"/>
      <c r="J205" s="134"/>
      <c r="K205" s="135">
        <f>SUMIF($E$9:$E$201,$E$205,K9:K201)</f>
        <v>1410</v>
      </c>
      <c r="L205" s="135"/>
      <c r="M205" s="135">
        <f>SUMIF($E$9:$E$201,$E$205,M9:M201)</f>
        <v>1410</v>
      </c>
      <c r="N205" s="135"/>
      <c r="O205" s="135"/>
      <c r="P205" s="135">
        <f>SUMIF($E$9:$E$201,$E$205,P9:P201)</f>
        <v>846</v>
      </c>
      <c r="Q205" s="135"/>
      <c r="R205" s="135"/>
      <c r="S205" s="136">
        <f>SUMIF($E$9:$E$201,$E$205,S9:S201)</f>
        <v>0.114</v>
      </c>
      <c r="T205" s="136">
        <f>SUMIF($E$9:$E$201,$E$205,T9:T201)</f>
        <v>0.31799999999999995</v>
      </c>
      <c r="U205" s="136">
        <f>SUMIF($E$9:$E$201,$E$205,U9:U201)</f>
        <v>0.27479999999999999</v>
      </c>
      <c r="V205" s="136">
        <f>SUMIF($E$9:$E$201,$E$205,V9:V201)</f>
        <v>0</v>
      </c>
      <c r="W205" s="136"/>
      <c r="X205" s="136">
        <f>SUMIF($E$9:$E$201,$E$205,X9:X201)</f>
        <v>0.70679999999999998</v>
      </c>
      <c r="Y205" s="136">
        <f>SUMIF($E$9:$E$201,$E$205,Y9:Y201)</f>
        <v>0.70679999999999998</v>
      </c>
      <c r="Z205" s="135"/>
      <c r="AA205" s="136"/>
      <c r="AB205" s="136"/>
      <c r="AC205" s="135"/>
      <c r="AD205" s="134"/>
    </row>
    <row r="206" spans="1:30" x14ac:dyDescent="0.25">
      <c r="A206" s="293" t="s">
        <v>363</v>
      </c>
      <c r="B206" s="293"/>
      <c r="C206" s="293"/>
      <c r="D206" s="293"/>
      <c r="E206" s="134" t="s">
        <v>617</v>
      </c>
      <c r="F206" s="134">
        <f t="shared" si="81"/>
        <v>1951</v>
      </c>
      <c r="G206" s="134"/>
      <c r="H206" s="134"/>
      <c r="I206" s="134"/>
      <c r="J206" s="134"/>
      <c r="K206" s="135">
        <f>SUMIF($E$9:$E$201,$E$206,K9:K201)</f>
        <v>2146.1</v>
      </c>
      <c r="L206" s="135"/>
      <c r="M206" s="135">
        <f>SUMIF($E$9:$E$201,$E$206,M9:M201)</f>
        <v>2146.1</v>
      </c>
      <c r="N206" s="135"/>
      <c r="O206" s="135"/>
      <c r="P206" s="135">
        <f>SUMIF($E$9:$E$201,$E$206,P9:P201)</f>
        <v>1287.6599999999999</v>
      </c>
      <c r="Q206" s="135"/>
      <c r="R206" s="135"/>
      <c r="S206" s="136">
        <f>SUMIF($E$9:$E$201,$E$206,S9:S201)</f>
        <v>0.1444</v>
      </c>
      <c r="T206" s="136">
        <f>SUMIF($E$9:$E$201,$E$206,T9:T201)</f>
        <v>0.78039999999999998</v>
      </c>
      <c r="U206" s="136">
        <f>SUMIF($E$9:$E$201,$E$206,U9:U201)</f>
        <v>0.78039999999999998</v>
      </c>
      <c r="V206" s="136">
        <f>SUMIF($E$9:$E$201,$E$206,V9:V201)</f>
        <v>0.39019999999999999</v>
      </c>
      <c r="W206" s="136"/>
      <c r="X206" s="136">
        <f>SUMIF($E$9:$E$201,$E$206,X9:X201)</f>
        <v>2.0953999999999997</v>
      </c>
      <c r="Y206" s="136">
        <f>SUMIF($E$9:$E$201,$E$206,Y9:Y201)</f>
        <v>2.0953999999999997</v>
      </c>
      <c r="Z206" s="135"/>
      <c r="AA206" s="136"/>
      <c r="AB206" s="136"/>
      <c r="AC206" s="135">
        <f>SUMIF($E$9:$E$201,$E$206,AC9:AC201)</f>
        <v>3</v>
      </c>
      <c r="AD206" s="134"/>
    </row>
    <row r="207" spans="1:30" x14ac:dyDescent="0.25">
      <c r="A207" s="293" t="s">
        <v>363</v>
      </c>
      <c r="B207" s="293"/>
      <c r="C207" s="293"/>
      <c r="D207" s="293"/>
      <c r="E207" s="134" t="s">
        <v>600</v>
      </c>
      <c r="F207" s="134">
        <f t="shared" si="81"/>
        <v>15560</v>
      </c>
      <c r="G207" s="134"/>
      <c r="H207" s="134"/>
      <c r="I207" s="134"/>
      <c r="J207" s="134"/>
      <c r="K207" s="135">
        <f>SUMIF($E$9:$E$201,$E$207,K9:K201)</f>
        <v>15316.6</v>
      </c>
      <c r="L207" s="135"/>
      <c r="M207" s="135">
        <f>SUMIF($E$9:$E$201,$E$207,M9:M201)</f>
        <v>15316.6</v>
      </c>
      <c r="N207" s="135"/>
      <c r="O207" s="135"/>
      <c r="P207" s="135">
        <f>SUMIF($E$9:$E$201,$E$207,P9:P201)</f>
        <v>9189.9599999999991</v>
      </c>
      <c r="Q207" s="135"/>
      <c r="R207" s="135"/>
      <c r="S207" s="136">
        <f>SUMIF($E$9:$E$201,$E$207,S9:S201)</f>
        <v>4.8183000000000007</v>
      </c>
      <c r="T207" s="136">
        <f>SUMIF($E$9:$E$201,$E$207,T9:T201)</f>
        <v>0.37060000000000004</v>
      </c>
      <c r="U207" s="136">
        <f>SUMIF($E$9:$E$201,$E$207,U9:U201)</f>
        <v>1.3319000000000001</v>
      </c>
      <c r="V207" s="136">
        <f>SUMIF($E$9:$E$201,$E$207,V9:V201)</f>
        <v>0</v>
      </c>
      <c r="W207" s="136"/>
      <c r="X207" s="136">
        <f>SUMIF($E$9:$E$201,$E$207,X9:X201)</f>
        <v>6.5208000000000004</v>
      </c>
      <c r="Y207" s="136">
        <f>SUMIF($E$9:$E$201,$E$207,Y9:Y201)</f>
        <v>6.5208000000000004</v>
      </c>
      <c r="Z207" s="135"/>
      <c r="AA207" s="136"/>
      <c r="AB207" s="136"/>
      <c r="AC207" s="135">
        <f>SUMIF($E$9:$E$201,$E$207,AC9:AC201)</f>
        <v>12</v>
      </c>
      <c r="AD207" s="134"/>
    </row>
    <row r="208" spans="1:30" x14ac:dyDescent="0.25">
      <c r="A208" s="293" t="s">
        <v>363</v>
      </c>
      <c r="B208" s="293"/>
      <c r="C208" s="293"/>
      <c r="D208" s="293"/>
      <c r="E208" s="134" t="s">
        <v>598</v>
      </c>
      <c r="F208" s="134">
        <f t="shared" si="81"/>
        <v>4660</v>
      </c>
      <c r="G208" s="134"/>
      <c r="H208" s="134"/>
      <c r="I208" s="134"/>
      <c r="J208" s="134"/>
      <c r="K208" s="135">
        <f>SUMIF($E$9:$E$201,$E$208,K9:K201)</f>
        <v>666.5</v>
      </c>
      <c r="L208" s="135"/>
      <c r="M208" s="135">
        <f>SUMIF($E$9:$E$201,$E$208,M9:M201)</f>
        <v>666.5</v>
      </c>
      <c r="N208" s="135"/>
      <c r="O208" s="135"/>
      <c r="P208" s="135">
        <f>SUMIF($E$9:$E$201,$E$208,P9:P201)</f>
        <v>399.9</v>
      </c>
      <c r="Q208" s="135"/>
      <c r="R208" s="135"/>
      <c r="S208" s="136">
        <f>SUMIF($E$9:$E$201,$E$208,S9:S201)</f>
        <v>0.16159999999999999</v>
      </c>
      <c r="T208" s="136">
        <f>SUMIF($E$9:$E$201,$E$208,T9:T201)</f>
        <v>0.63819999999999999</v>
      </c>
      <c r="U208" s="136">
        <f>SUMIF($E$9:$E$201,$E$208,U9:U201)</f>
        <v>0.315</v>
      </c>
      <c r="V208" s="136">
        <f>SUMIF($E$9:$E$201,$E$208,V9:V201)</f>
        <v>0</v>
      </c>
      <c r="W208" s="136"/>
      <c r="X208" s="136">
        <f>SUMIF($E$9:$E$201,$E$208,X9:X201)</f>
        <v>1.1148</v>
      </c>
      <c r="Y208" s="136">
        <f>SUMIF($E$9:$E$201,$E$208,Y9:Y201)</f>
        <v>1.1148</v>
      </c>
      <c r="Z208" s="135">
        <f>SUMIF($E$9:$E$201,$E$208,Z9:Z201)</f>
        <v>3</v>
      </c>
      <c r="AA208" s="136"/>
      <c r="AB208" s="136"/>
      <c r="AC208" s="135">
        <f>SUMIF($E$9:$E$201,$E$208,AC9:AC201)</f>
        <v>3</v>
      </c>
      <c r="AD208" s="134"/>
    </row>
    <row r="209" spans="1:30" x14ac:dyDescent="0.25">
      <c r="A209" s="293" t="s">
        <v>363</v>
      </c>
      <c r="B209" s="293"/>
      <c r="C209" s="293"/>
      <c r="D209" s="293"/>
      <c r="E209" s="134" t="s">
        <v>621</v>
      </c>
      <c r="F209" s="134">
        <f t="shared" si="81"/>
        <v>18</v>
      </c>
      <c r="G209" s="134"/>
      <c r="H209" s="134"/>
      <c r="I209" s="134"/>
      <c r="J209" s="134"/>
      <c r="K209" s="135">
        <f>SUMIF($E$9:$E$201,$E$209,K9:K201)</f>
        <v>9</v>
      </c>
      <c r="L209" s="135"/>
      <c r="M209" s="135">
        <f>SUMIF($E$9:$E$201,$E$209,M9:M201)</f>
        <v>9</v>
      </c>
      <c r="N209" s="135"/>
      <c r="O209" s="135"/>
      <c r="P209" s="135">
        <f>SUMIF($E$9:$E$201,$E$209,P9:P201)</f>
        <v>5.3999999999999995</v>
      </c>
      <c r="Q209" s="135"/>
      <c r="R209" s="135"/>
      <c r="S209" s="136"/>
      <c r="T209" s="136">
        <f>SUMIF($E$9:$E$201,$E$209,T9:T201)</f>
        <v>7.1999999999999998E-3</v>
      </c>
      <c r="U209" s="136">
        <f>SUMIF($E$9:$E$201,$E$209,U9:U201)</f>
        <v>7.1999999999999998E-3</v>
      </c>
      <c r="V209" s="136">
        <f>SUMIF($E$9:$E$201,$E$209,V9:V201)</f>
        <v>3.5999999999999999E-3</v>
      </c>
      <c r="W209" s="136"/>
      <c r="X209" s="136">
        <f>SUMIF($E$9:$E$201,$E$209,X9:X201)</f>
        <v>1.7999999999999999E-2</v>
      </c>
      <c r="Y209" s="136">
        <f>SUMIF($E$9:$E$201,$E$209,Y9:Y201)</f>
        <v>1.7999999999999999E-2</v>
      </c>
      <c r="Z209" s="135"/>
      <c r="AA209" s="136"/>
      <c r="AB209" s="136"/>
      <c r="AC209" s="135"/>
      <c r="AD209" s="134"/>
    </row>
    <row r="210" spans="1:30" x14ac:dyDescent="0.25">
      <c r="A210" s="293" t="s">
        <v>363</v>
      </c>
      <c r="B210" s="293"/>
      <c r="C210" s="293"/>
      <c r="D210" s="293"/>
      <c r="E210" s="134" t="s">
        <v>606</v>
      </c>
      <c r="F210" s="134">
        <f t="shared" si="81"/>
        <v>9291</v>
      </c>
      <c r="G210" s="134"/>
      <c r="H210" s="134"/>
      <c r="I210" s="134"/>
      <c r="J210" s="134"/>
      <c r="K210" s="135">
        <f>SUMIF($E$9:$E$201,$E$210,K9:K201)</f>
        <v>5075.3</v>
      </c>
      <c r="L210" s="135"/>
      <c r="M210" s="135">
        <f>SUMIF($E$9:$E$201,$E$210,M9:M201)</f>
        <v>5075.3</v>
      </c>
      <c r="N210" s="135"/>
      <c r="O210" s="135"/>
      <c r="P210" s="135">
        <f>SUMIF($E$9:$E$201,$E$210,P9:P201)</f>
        <v>3045.18</v>
      </c>
      <c r="Q210" s="135"/>
      <c r="R210" s="135"/>
      <c r="S210" s="136">
        <f>SUMIF($E$9:$E$201,$E$210,S9:S201)</f>
        <v>5.5746000000000011</v>
      </c>
      <c r="T210" s="136">
        <f>SUMIF($E$9:$E$201,$E$210,T9:T201)</f>
        <v>0</v>
      </c>
      <c r="U210" s="136">
        <f>SUMIF($E$9:$E$201,$E$210,U9:U201)</f>
        <v>0.19639999999999996</v>
      </c>
      <c r="V210" s="136">
        <f>SUMIF($E$9:$E$201,$E$210,V9:V201)</f>
        <v>0</v>
      </c>
      <c r="W210" s="136"/>
      <c r="X210" s="136">
        <f>SUMIF($E$9:$E$201,$E$210,X9:X201)</f>
        <v>5.7710000000000008</v>
      </c>
      <c r="Y210" s="136">
        <f>SUMIF($E$9:$E$201,$E$210,Y9:Y201)</f>
        <v>5.7710000000000008</v>
      </c>
      <c r="Z210" s="135"/>
      <c r="AA210" s="136"/>
      <c r="AB210" s="136"/>
      <c r="AC210" s="135">
        <f>SUMIF($E$9:$E$201,$E$210,AC9:AC201)</f>
        <v>13</v>
      </c>
      <c r="AD210" s="134"/>
    </row>
    <row r="211" spans="1:30" x14ac:dyDescent="0.25">
      <c r="A211" s="293" t="s">
        <v>363</v>
      </c>
      <c r="B211" s="293"/>
      <c r="C211" s="293"/>
      <c r="D211" s="293"/>
      <c r="E211" s="134" t="s">
        <v>564</v>
      </c>
      <c r="F211" s="134"/>
      <c r="G211" s="134"/>
      <c r="H211" s="134"/>
      <c r="I211" s="134"/>
      <c r="J211" s="134"/>
      <c r="K211" s="135">
        <f>SUMIF($E$9:$E$201,$E$211,K9:K201)</f>
        <v>0</v>
      </c>
      <c r="L211" s="135">
        <f t="shared" ref="L211:AC211" si="82">SUMIF($E$9:$E$201,$E$211,L9:L201)</f>
        <v>0</v>
      </c>
      <c r="M211" s="135">
        <f t="shared" si="82"/>
        <v>0</v>
      </c>
      <c r="N211" s="135">
        <f t="shared" si="82"/>
        <v>0</v>
      </c>
      <c r="O211" s="135">
        <f t="shared" si="82"/>
        <v>0</v>
      </c>
      <c r="P211" s="135">
        <f t="shared" si="82"/>
        <v>0</v>
      </c>
      <c r="Q211" s="135">
        <f t="shared" si="82"/>
        <v>0</v>
      </c>
      <c r="R211" s="135">
        <f t="shared" si="82"/>
        <v>0</v>
      </c>
      <c r="S211" s="136">
        <f t="shared" si="82"/>
        <v>0.03</v>
      </c>
      <c r="T211" s="136">
        <f t="shared" si="82"/>
        <v>0.03</v>
      </c>
      <c r="U211" s="136">
        <f t="shared" si="82"/>
        <v>0.03</v>
      </c>
      <c r="V211" s="136">
        <f t="shared" si="82"/>
        <v>0.03</v>
      </c>
      <c r="W211" s="135">
        <f t="shared" si="82"/>
        <v>0</v>
      </c>
      <c r="X211" s="136">
        <f t="shared" si="82"/>
        <v>0.12</v>
      </c>
      <c r="Y211" s="136">
        <f t="shared" si="82"/>
        <v>0.12</v>
      </c>
      <c r="Z211" s="135">
        <f t="shared" si="82"/>
        <v>0</v>
      </c>
      <c r="AA211" s="135">
        <f t="shared" si="82"/>
        <v>0</v>
      </c>
      <c r="AB211" s="135">
        <f t="shared" si="82"/>
        <v>0</v>
      </c>
      <c r="AC211" s="135">
        <f t="shared" si="82"/>
        <v>0</v>
      </c>
      <c r="AD211" s="134"/>
    </row>
    <row r="212" spans="1:30" x14ac:dyDescent="0.25">
      <c r="A212" s="293" t="s">
        <v>363</v>
      </c>
      <c r="B212" s="293"/>
      <c r="C212" s="293"/>
      <c r="D212" s="293"/>
      <c r="E212" s="134" t="s">
        <v>565</v>
      </c>
      <c r="F212" s="134"/>
      <c r="G212" s="134"/>
      <c r="H212" s="134"/>
      <c r="I212" s="134"/>
      <c r="J212" s="134"/>
      <c r="K212" s="135">
        <f>SUMIF($E$9:$E$201,$E$212,K9:K201)</f>
        <v>1357.1999999999998</v>
      </c>
      <c r="L212" s="135">
        <f t="shared" ref="L212:AC212" si="83">SUMIF($E$9:$E$201,$E$212,L9:L201)</f>
        <v>0</v>
      </c>
      <c r="M212" s="135">
        <f>SUMIF($E$9:$E$201,$E$212,M9:M201)</f>
        <v>1357.1999999999998</v>
      </c>
      <c r="N212" s="135">
        <f t="shared" si="83"/>
        <v>0</v>
      </c>
      <c r="O212" s="135">
        <f t="shared" si="83"/>
        <v>0</v>
      </c>
      <c r="P212" s="135">
        <f t="shared" si="83"/>
        <v>814.31999999999982</v>
      </c>
      <c r="Q212" s="135">
        <f t="shared" si="83"/>
        <v>0</v>
      </c>
      <c r="R212" s="135">
        <f t="shared" si="83"/>
        <v>0</v>
      </c>
      <c r="S212" s="136">
        <f t="shared" si="83"/>
        <v>0</v>
      </c>
      <c r="T212" s="136">
        <f t="shared" si="83"/>
        <v>0.08</v>
      </c>
      <c r="U212" s="136">
        <f t="shared" si="83"/>
        <v>0.08</v>
      </c>
      <c r="V212" s="136">
        <f t="shared" si="83"/>
        <v>0.02</v>
      </c>
      <c r="W212" s="135">
        <f t="shared" si="83"/>
        <v>0</v>
      </c>
      <c r="X212" s="136">
        <f t="shared" si="83"/>
        <v>0.18</v>
      </c>
      <c r="Y212" s="136">
        <f t="shared" si="83"/>
        <v>0.18</v>
      </c>
      <c r="Z212" s="135">
        <f t="shared" si="83"/>
        <v>0</v>
      </c>
      <c r="AA212" s="135">
        <f t="shared" si="83"/>
        <v>0</v>
      </c>
      <c r="AB212" s="135">
        <f t="shared" si="83"/>
        <v>0</v>
      </c>
      <c r="AC212" s="135">
        <f t="shared" si="83"/>
        <v>0</v>
      </c>
      <c r="AD212" s="134"/>
    </row>
    <row r="213" spans="1:30" x14ac:dyDescent="0.25">
      <c r="A213" s="293" t="s">
        <v>568</v>
      </c>
      <c r="B213" s="293"/>
      <c r="C213" s="293"/>
      <c r="D213" s="293"/>
      <c r="E213" s="134"/>
      <c r="F213" s="135">
        <f>SUM(F202:F212)</f>
        <v>97795</v>
      </c>
      <c r="G213" s="135"/>
      <c r="H213" s="135"/>
      <c r="I213" s="135"/>
      <c r="J213" s="135"/>
      <c r="K213" s="135">
        <f>SUM(K202:K212)</f>
        <v>104829.80000000005</v>
      </c>
      <c r="L213" s="135"/>
      <c r="M213" s="135">
        <f>SUM(M202:M212)</f>
        <v>104829.80000000005</v>
      </c>
      <c r="N213" s="135"/>
      <c r="O213" s="135"/>
      <c r="P213" s="135">
        <f>SUM(P202:P212)</f>
        <v>62232.348000000005</v>
      </c>
      <c r="Q213" s="135"/>
      <c r="R213" s="135">
        <f t="shared" ref="R213:Z213" si="84">SUM(R202:R212)</f>
        <v>1109.2199999999998</v>
      </c>
      <c r="S213" s="136">
        <f t="shared" si="84"/>
        <v>17.815600000000003</v>
      </c>
      <c r="T213" s="136">
        <f t="shared" si="84"/>
        <v>23.242000000000004</v>
      </c>
      <c r="U213" s="136">
        <f t="shared" si="84"/>
        <v>26.190199999999997</v>
      </c>
      <c r="V213" s="136">
        <f t="shared" si="84"/>
        <v>13.703799999999992</v>
      </c>
      <c r="W213" s="136"/>
      <c r="X213" s="136">
        <f t="shared" si="84"/>
        <v>80.951599999999985</v>
      </c>
      <c r="Y213" s="136">
        <f t="shared" si="84"/>
        <v>80.951599999999985</v>
      </c>
      <c r="Z213" s="135">
        <f t="shared" si="84"/>
        <v>5</v>
      </c>
      <c r="AA213" s="136"/>
      <c r="AB213" s="136"/>
      <c r="AC213" s="135">
        <f>SUM(AC202:AC212)</f>
        <v>126</v>
      </c>
      <c r="AD213" s="135"/>
    </row>
    <row r="214" spans="1:30" x14ac:dyDescent="0.25">
      <c r="F214" s="118"/>
      <c r="G214" s="118"/>
      <c r="H214" s="118"/>
      <c r="I214" s="118"/>
      <c r="J214" s="118"/>
      <c r="K214" s="118"/>
      <c r="L214" s="118"/>
      <c r="M214" s="118"/>
      <c r="N214" s="118"/>
      <c r="O214" s="118"/>
      <c r="P214" s="118"/>
      <c r="Q214" s="118"/>
      <c r="R214" s="118"/>
      <c r="S214" s="118"/>
      <c r="T214" s="118"/>
      <c r="U214" s="118"/>
      <c r="V214" s="118"/>
      <c r="W214" s="118"/>
      <c r="X214" s="118"/>
      <c r="Y214" s="118"/>
      <c r="Z214" s="118"/>
      <c r="AA214" s="118"/>
      <c r="AB214" s="118"/>
      <c r="AC214" s="118"/>
      <c r="AD214" s="118"/>
    </row>
    <row r="215" spans="1:30" x14ac:dyDescent="0.25">
      <c r="A215" s="12" t="s">
        <v>56</v>
      </c>
      <c r="B215" s="25"/>
      <c r="C215" s="25"/>
      <c r="D215" s="25"/>
      <c r="E215" s="25"/>
      <c r="F215" s="25"/>
      <c r="G215" s="138"/>
      <c r="H215" s="26"/>
      <c r="I215" s="26"/>
      <c r="J215" s="26">
        <f>828*6</f>
        <v>4968</v>
      </c>
      <c r="K215" s="26"/>
      <c r="L215" s="26"/>
      <c r="M215" s="26"/>
      <c r="N215" s="92"/>
      <c r="O215" s="92"/>
      <c r="P215" s="92"/>
      <c r="Q215" s="176"/>
      <c r="R215" s="92"/>
      <c r="S215" s="92"/>
      <c r="T215" s="92"/>
      <c r="U215" s="92"/>
      <c r="V215" s="92"/>
      <c r="W215" s="92"/>
      <c r="X215" s="92"/>
      <c r="Y215" s="92"/>
      <c r="Z215" s="92"/>
      <c r="AA215" s="92"/>
      <c r="AB215" s="92"/>
      <c r="AC215" s="92"/>
      <c r="AD215" s="92"/>
    </row>
    <row r="216" spans="1:30" x14ac:dyDescent="0.25">
      <c r="A216" s="18">
        <v>1</v>
      </c>
      <c r="B216" s="27" t="s">
        <v>569</v>
      </c>
      <c r="C216" s="27"/>
      <c r="D216" s="28"/>
      <c r="E216" s="27"/>
      <c r="F216" s="27"/>
      <c r="G216" s="27"/>
      <c r="H216" s="27"/>
      <c r="I216" s="27"/>
      <c r="J216" s="27"/>
      <c r="K216" s="27"/>
      <c r="L216" s="60"/>
      <c r="M216" s="60">
        <v>9</v>
      </c>
      <c r="N216" t="s">
        <v>570</v>
      </c>
      <c r="O216" s="111"/>
    </row>
    <row r="217" spans="1:30" x14ac:dyDescent="0.25">
      <c r="A217" s="18">
        <v>2</v>
      </c>
      <c r="B217" s="27" t="s">
        <v>571</v>
      </c>
      <c r="C217" s="27"/>
      <c r="D217" s="28"/>
      <c r="E217" s="27"/>
      <c r="F217" s="27"/>
      <c r="G217" s="27"/>
      <c r="H217" s="27"/>
      <c r="I217" s="27"/>
      <c r="J217" s="27"/>
      <c r="K217" s="27"/>
      <c r="L217" s="60"/>
      <c r="M217" s="60"/>
      <c r="N217" s="83" t="s">
        <v>572</v>
      </c>
      <c r="O217" s="12" t="s">
        <v>573</v>
      </c>
      <c r="P217" s="12"/>
      <c r="Q217" s="12"/>
      <c r="R217" s="12"/>
      <c r="S217" s="12"/>
      <c r="T217" s="12"/>
      <c r="U217" s="12"/>
    </row>
    <row r="218" spans="1:30" x14ac:dyDescent="0.25">
      <c r="A218" s="18">
        <v>3</v>
      </c>
      <c r="B218" s="27" t="s">
        <v>574</v>
      </c>
      <c r="C218" s="27"/>
      <c r="D218" s="28"/>
      <c r="E218" s="27"/>
      <c r="F218" s="27"/>
      <c r="G218" s="27"/>
      <c r="H218" s="27"/>
      <c r="I218" s="27"/>
      <c r="J218" s="27"/>
      <c r="K218" s="27"/>
      <c r="L218" s="60"/>
      <c r="M218" s="60"/>
      <c r="N218" s="83" t="s">
        <v>575</v>
      </c>
      <c r="O218" s="12" t="s">
        <v>576</v>
      </c>
      <c r="P218" s="12"/>
      <c r="Q218" s="12"/>
      <c r="R218" s="12"/>
      <c r="S218" s="12"/>
      <c r="T218" s="12"/>
      <c r="U218" s="12"/>
    </row>
    <row r="219" spans="1:30" x14ac:dyDescent="0.25">
      <c r="A219" s="18">
        <v>4</v>
      </c>
      <c r="B219" s="27" t="s">
        <v>577</v>
      </c>
      <c r="C219" s="27"/>
      <c r="D219" s="28"/>
      <c r="E219" s="27"/>
      <c r="F219" s="27"/>
      <c r="G219" s="27"/>
      <c r="H219" s="27"/>
      <c r="I219" s="27"/>
      <c r="J219" s="27"/>
      <c r="K219" s="27"/>
      <c r="L219" s="27"/>
      <c r="M219" s="27"/>
      <c r="N219" s="83" t="s">
        <v>578</v>
      </c>
      <c r="O219" s="12" t="s">
        <v>579</v>
      </c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</row>
    <row r="220" spans="1:30" x14ac:dyDescent="0.25">
      <c r="A220" s="18">
        <v>5</v>
      </c>
      <c r="B220" s="12" t="s">
        <v>580</v>
      </c>
      <c r="C220" s="12"/>
      <c r="D220" s="119"/>
      <c r="E220" s="120"/>
      <c r="F220" s="120"/>
      <c r="G220" s="120"/>
      <c r="H220" s="120"/>
      <c r="I220" s="120"/>
      <c r="J220" s="120"/>
      <c r="K220" s="120"/>
      <c r="L220" s="120"/>
      <c r="M220" s="120"/>
      <c r="N220" s="83" t="s">
        <v>581</v>
      </c>
      <c r="O220" s="12" t="s">
        <v>582</v>
      </c>
      <c r="V220" s="12"/>
      <c r="W220" s="12"/>
      <c r="X220" s="12"/>
      <c r="Y220" s="12"/>
      <c r="Z220" s="12"/>
      <c r="AA220" s="12"/>
      <c r="AB220" s="12"/>
      <c r="AC220" s="12"/>
      <c r="AD220" s="12"/>
    </row>
    <row r="221" spans="1:30" x14ac:dyDescent="0.25">
      <c r="A221" s="18">
        <v>6</v>
      </c>
      <c r="B221" s="12" t="s">
        <v>583</v>
      </c>
      <c r="C221" s="12"/>
      <c r="D221" s="119"/>
      <c r="E221" s="120"/>
      <c r="F221" s="120"/>
      <c r="G221" s="120"/>
      <c r="H221" s="120"/>
      <c r="I221" s="120"/>
      <c r="J221" s="120"/>
      <c r="K221" s="120"/>
      <c r="L221" s="120"/>
      <c r="M221" s="120"/>
      <c r="N221" s="12"/>
      <c r="O221" s="12" t="s">
        <v>584</v>
      </c>
      <c r="V221" s="12"/>
      <c r="W221" s="12"/>
      <c r="X221" s="12"/>
      <c r="Y221" s="12"/>
      <c r="Z221" s="12"/>
      <c r="AA221" s="12"/>
      <c r="AB221" s="12"/>
      <c r="AC221" s="12"/>
      <c r="AD221" s="12"/>
    </row>
    <row r="222" spans="1:30" x14ac:dyDescent="0.25">
      <c r="A222" s="18">
        <v>7</v>
      </c>
      <c r="B222" s="12" t="s">
        <v>585</v>
      </c>
      <c r="C222" s="12"/>
      <c r="D222" s="119"/>
      <c r="E222" s="120"/>
      <c r="F222" s="12"/>
      <c r="G222" s="12"/>
      <c r="H222" s="12"/>
      <c r="I222" s="12"/>
      <c r="J222" s="12"/>
      <c r="K222" s="12"/>
      <c r="L222" s="12"/>
      <c r="M222" s="12">
        <v>10</v>
      </c>
      <c r="N222" s="12" t="s">
        <v>586</v>
      </c>
      <c r="O222" s="12"/>
      <c r="P222" s="12"/>
      <c r="Q222" s="12"/>
      <c r="R222" s="12"/>
      <c r="S222" s="12"/>
      <c r="T222" s="121" t="s">
        <v>587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</row>
    <row r="223" spans="1:30" x14ac:dyDescent="0.25">
      <c r="A223" s="18">
        <v>8</v>
      </c>
      <c r="B223" s="12" t="s">
        <v>588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83" t="s">
        <v>37</v>
      </c>
      <c r="O223" s="12" t="s">
        <v>589</v>
      </c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</row>
    <row r="224" spans="1:30" x14ac:dyDescent="0.25">
      <c r="A224" s="18"/>
      <c r="B224" s="83" t="s">
        <v>561</v>
      </c>
      <c r="C224" s="12" t="s">
        <v>590</v>
      </c>
      <c r="D224" s="12"/>
      <c r="E224" s="12"/>
      <c r="F224" s="83" t="s">
        <v>562</v>
      </c>
      <c r="G224" s="122" t="s">
        <v>591</v>
      </c>
      <c r="H224" s="12"/>
      <c r="J224" s="12"/>
      <c r="K224" s="12"/>
      <c r="L224" s="12"/>
      <c r="M224" s="12"/>
      <c r="N224" s="83" t="s">
        <v>592</v>
      </c>
      <c r="O224" s="12" t="s">
        <v>593</v>
      </c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</row>
    <row r="225" spans="1:30" x14ac:dyDescent="0.25">
      <c r="A225" s="12"/>
      <c r="B225" s="83" t="s">
        <v>594</v>
      </c>
      <c r="C225" s="122" t="s">
        <v>595</v>
      </c>
      <c r="D225" s="12"/>
      <c r="E225" s="12"/>
      <c r="F225" s="83" t="s">
        <v>563</v>
      </c>
      <c r="G225" s="122" t="s">
        <v>596</v>
      </c>
      <c r="J225" s="12"/>
      <c r="K225" s="12"/>
      <c r="L225" s="12"/>
      <c r="M225" s="12"/>
      <c r="N225" s="83" t="s">
        <v>554</v>
      </c>
      <c r="O225" s="12" t="s">
        <v>597</v>
      </c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</row>
    <row r="226" spans="1:30" x14ac:dyDescent="0.25">
      <c r="A226" s="12"/>
      <c r="B226" s="83" t="s">
        <v>598</v>
      </c>
      <c r="C226" s="122" t="s">
        <v>599</v>
      </c>
      <c r="D226" s="12"/>
      <c r="E226" s="12"/>
      <c r="F226" s="83" t="s">
        <v>600</v>
      </c>
      <c r="G226" s="122" t="s">
        <v>601</v>
      </c>
      <c r="H226" s="12"/>
      <c r="J226" s="12"/>
      <c r="K226" s="12"/>
      <c r="L226" s="12"/>
      <c r="M226" s="12"/>
      <c r="N226" s="83" t="s">
        <v>602</v>
      </c>
      <c r="O226" s="12" t="s">
        <v>603</v>
      </c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</row>
    <row r="227" spans="1:30" x14ac:dyDescent="0.25">
      <c r="B227" s="83" t="s">
        <v>604</v>
      </c>
      <c r="C227" s="122" t="s">
        <v>605</v>
      </c>
      <c r="E227" s="12"/>
      <c r="F227" s="83" t="s">
        <v>606</v>
      </c>
      <c r="G227" s="122" t="s">
        <v>607</v>
      </c>
      <c r="H227" s="12"/>
      <c r="J227" s="12"/>
      <c r="K227" s="12"/>
      <c r="L227" s="12"/>
      <c r="M227" s="12"/>
      <c r="N227" s="18" t="s">
        <v>41</v>
      </c>
      <c r="O227" s="12" t="s">
        <v>608</v>
      </c>
    </row>
    <row r="228" spans="1:30" x14ac:dyDescent="0.25">
      <c r="B228" s="83" t="s">
        <v>566</v>
      </c>
      <c r="C228" s="122" t="s">
        <v>609</v>
      </c>
      <c r="D228" s="12"/>
      <c r="E228" s="12"/>
      <c r="F228" s="83" t="s">
        <v>38</v>
      </c>
      <c r="G228" s="122" t="s">
        <v>610</v>
      </c>
      <c r="H228" s="12"/>
      <c r="J228" s="12"/>
      <c r="K228" s="12"/>
      <c r="L228" s="12"/>
      <c r="M228" s="12"/>
      <c r="N228" s="18" t="s">
        <v>611</v>
      </c>
      <c r="O228" s="12" t="s">
        <v>612</v>
      </c>
    </row>
    <row r="229" spans="1:30" x14ac:dyDescent="0.25">
      <c r="B229" s="83" t="s">
        <v>567</v>
      </c>
      <c r="C229" s="122" t="s">
        <v>613</v>
      </c>
      <c r="F229" s="12" t="s">
        <v>564</v>
      </c>
      <c r="G229" s="12"/>
      <c r="H229" s="12" t="s">
        <v>614</v>
      </c>
      <c r="I229" s="12"/>
      <c r="J229" s="12"/>
      <c r="K229" s="12"/>
      <c r="L229" s="12"/>
      <c r="M229" s="12"/>
      <c r="N229" s="83" t="s">
        <v>615</v>
      </c>
      <c r="O229" s="12" t="s">
        <v>616</v>
      </c>
    </row>
    <row r="230" spans="1:30" x14ac:dyDescent="0.25">
      <c r="B230" s="83" t="s">
        <v>617</v>
      </c>
      <c r="C230" s="122" t="s">
        <v>618</v>
      </c>
      <c r="D230" s="12"/>
      <c r="E230" s="12"/>
      <c r="F230" s="12" t="s">
        <v>565</v>
      </c>
      <c r="G230" s="12" t="s">
        <v>619</v>
      </c>
      <c r="H230" s="12"/>
      <c r="I230" s="12"/>
      <c r="J230" s="12"/>
      <c r="K230" s="12"/>
      <c r="L230" s="12"/>
      <c r="M230" s="12">
        <v>11</v>
      </c>
      <c r="N230" s="12" t="s">
        <v>620</v>
      </c>
    </row>
    <row r="231" spans="1:30" x14ac:dyDescent="0.25">
      <c r="B231" s="83" t="s">
        <v>621</v>
      </c>
      <c r="C231" s="122" t="s">
        <v>622</v>
      </c>
      <c r="D231" s="12"/>
      <c r="E231" s="12"/>
      <c r="F231" s="12"/>
      <c r="G231" s="12"/>
      <c r="H231" s="12"/>
      <c r="I231" s="12"/>
      <c r="J231" s="12"/>
      <c r="K231" s="12"/>
      <c r="L231" s="12"/>
      <c r="M231" s="12">
        <v>12</v>
      </c>
      <c r="N231" s="12" t="s">
        <v>623</v>
      </c>
    </row>
    <row r="232" spans="1:30" x14ac:dyDescent="0.25">
      <c r="M232" s="12">
        <v>13</v>
      </c>
      <c r="N232" s="29" t="s">
        <v>60</v>
      </c>
    </row>
    <row r="233" spans="1:30" x14ac:dyDescent="0.25">
      <c r="B233" s="83"/>
      <c r="C233" s="122"/>
    </row>
    <row r="236" spans="1:30" x14ac:dyDescent="0.25">
      <c r="B236" s="83"/>
      <c r="D236" s="12"/>
    </row>
    <row r="237" spans="1:30" ht="15.75" thickBot="1" x14ac:dyDescent="0.3">
      <c r="A237" s="30"/>
      <c r="B237" s="30"/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  <c r="R237" s="30"/>
      <c r="S237" s="30"/>
      <c r="T237" s="30"/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</row>
    <row r="238" spans="1:30" x14ac:dyDescent="0.25">
      <c r="A238" t="s">
        <v>61</v>
      </c>
      <c r="D238" s="111"/>
      <c r="E238" s="111"/>
      <c r="F238" s="111" t="s">
        <v>62</v>
      </c>
      <c r="G238" s="111"/>
      <c r="I238" s="111"/>
    </row>
    <row r="239" spans="1:30" x14ac:dyDescent="0.25">
      <c r="A239" t="s">
        <v>63</v>
      </c>
      <c r="D239" s="123" t="s">
        <v>42</v>
      </c>
    </row>
    <row r="240" spans="1:30" ht="15.75" thickBot="1" x14ac:dyDescent="0.3">
      <c r="A240" s="124" t="s">
        <v>624</v>
      </c>
    </row>
    <row r="241" spans="1:30" x14ac:dyDescent="0.25">
      <c r="A241" s="301" t="s">
        <v>625</v>
      </c>
      <c r="B241" s="302"/>
      <c r="C241" s="302"/>
      <c r="D241" s="302"/>
      <c r="E241" s="112" t="s">
        <v>561</v>
      </c>
      <c r="F241" s="20">
        <f t="shared" ref="F241:F248" si="85">SUMIFS($F$9:$F$201,$C$9:$C$201,$D$239,$E$9:$E$201,E241)</f>
        <v>0</v>
      </c>
      <c r="G241" s="20"/>
      <c r="H241" s="20"/>
      <c r="I241" s="20"/>
      <c r="J241" s="20"/>
      <c r="K241" s="113">
        <f t="shared" ref="K241:AC241" si="86">SUMIFS(K9:K201,$C$9:$C$201,$D$239,$E$9:$E$201,$E$241)</f>
        <v>0</v>
      </c>
      <c r="L241" s="113">
        <f t="shared" si="86"/>
        <v>0</v>
      </c>
      <c r="M241" s="113">
        <f t="shared" si="86"/>
        <v>0</v>
      </c>
      <c r="N241" s="113">
        <f t="shared" si="86"/>
        <v>0</v>
      </c>
      <c r="O241" s="113">
        <f t="shared" si="86"/>
        <v>0</v>
      </c>
      <c r="P241" s="113">
        <f t="shared" si="86"/>
        <v>0</v>
      </c>
      <c r="Q241" s="113">
        <f t="shared" si="86"/>
        <v>0</v>
      </c>
      <c r="R241" s="113">
        <f t="shared" si="86"/>
        <v>0</v>
      </c>
      <c r="S241" s="20">
        <f t="shared" si="86"/>
        <v>0</v>
      </c>
      <c r="T241" s="20">
        <f t="shared" si="86"/>
        <v>0</v>
      </c>
      <c r="U241" s="20">
        <f t="shared" si="86"/>
        <v>0</v>
      </c>
      <c r="V241" s="20">
        <f t="shared" si="86"/>
        <v>0</v>
      </c>
      <c r="W241" s="20">
        <f t="shared" si="86"/>
        <v>0</v>
      </c>
      <c r="X241" s="20">
        <f t="shared" si="86"/>
        <v>0</v>
      </c>
      <c r="Y241" s="20">
        <f t="shared" si="86"/>
        <v>0</v>
      </c>
      <c r="Z241" s="20">
        <f t="shared" si="86"/>
        <v>0</v>
      </c>
      <c r="AA241" s="20">
        <f t="shared" si="86"/>
        <v>0</v>
      </c>
      <c r="AB241" s="20">
        <f t="shared" si="86"/>
        <v>0</v>
      </c>
      <c r="AC241" s="20">
        <f t="shared" si="86"/>
        <v>0</v>
      </c>
      <c r="AD241" s="44"/>
    </row>
    <row r="242" spans="1:30" x14ac:dyDescent="0.25">
      <c r="A242" s="295" t="s">
        <v>625</v>
      </c>
      <c r="B242" s="296"/>
      <c r="C242" s="296"/>
      <c r="D242" s="296"/>
      <c r="E242" s="114" t="s">
        <v>566</v>
      </c>
      <c r="F242" s="6">
        <f t="shared" si="85"/>
        <v>13873</v>
      </c>
      <c r="G242" s="6"/>
      <c r="H242" s="6"/>
      <c r="I242" s="6"/>
      <c r="J242" s="6"/>
      <c r="K242" s="70">
        <f t="shared" ref="K242:AC242" si="87">SUMIFS(K9:K201,$C$9:$C$201,$D$239,$E$9:$E$201,$E$242)</f>
        <v>16647.599999999999</v>
      </c>
      <c r="L242" s="70">
        <f t="shared" si="87"/>
        <v>0</v>
      </c>
      <c r="M242" s="70">
        <f t="shared" si="87"/>
        <v>16647.599999999999</v>
      </c>
      <c r="N242" s="70">
        <f t="shared" si="87"/>
        <v>0</v>
      </c>
      <c r="O242" s="70">
        <f t="shared" si="87"/>
        <v>0</v>
      </c>
      <c r="P242" s="70">
        <f t="shared" si="87"/>
        <v>9988.5599999999977</v>
      </c>
      <c r="Q242" s="70">
        <f t="shared" si="87"/>
        <v>0</v>
      </c>
      <c r="R242" s="70">
        <f t="shared" si="87"/>
        <v>0</v>
      </c>
      <c r="S242" s="6">
        <f t="shared" si="87"/>
        <v>3.2991999999999999</v>
      </c>
      <c r="T242" s="6">
        <f t="shared" si="87"/>
        <v>4.9653999999999998</v>
      </c>
      <c r="U242" s="6">
        <f t="shared" si="87"/>
        <v>3.6776</v>
      </c>
      <c r="V242" s="6">
        <f t="shared" si="87"/>
        <v>2.7393999999999998</v>
      </c>
      <c r="W242" s="6">
        <f t="shared" si="87"/>
        <v>0</v>
      </c>
      <c r="X242" s="6">
        <f t="shared" si="87"/>
        <v>14.6816</v>
      </c>
      <c r="Y242" s="6">
        <f t="shared" si="87"/>
        <v>14.6816</v>
      </c>
      <c r="Z242" s="6">
        <f t="shared" si="87"/>
        <v>2</v>
      </c>
      <c r="AA242" s="6">
        <f t="shared" si="87"/>
        <v>0</v>
      </c>
      <c r="AB242" s="6">
        <f t="shared" si="87"/>
        <v>0</v>
      </c>
      <c r="AC242" s="6">
        <f t="shared" si="87"/>
        <v>15</v>
      </c>
      <c r="AD242" s="7"/>
    </row>
    <row r="243" spans="1:30" x14ac:dyDescent="0.25">
      <c r="A243" s="295" t="s">
        <v>625</v>
      </c>
      <c r="B243" s="296"/>
      <c r="C243" s="296"/>
      <c r="D243" s="296"/>
      <c r="E243" s="114" t="s">
        <v>562</v>
      </c>
      <c r="F243" s="6">
        <f t="shared" si="85"/>
        <v>0</v>
      </c>
      <c r="G243" s="6"/>
      <c r="H243" s="6"/>
      <c r="I243" s="6"/>
      <c r="J243" s="6"/>
      <c r="K243" s="70">
        <f t="shared" ref="K243:AC243" si="88">SUMIFS(K9:K201,$C$9:$C$201,$D$239,$E$9:$E$201,$E$243)</f>
        <v>0</v>
      </c>
      <c r="L243" s="70">
        <f t="shared" si="88"/>
        <v>0</v>
      </c>
      <c r="M243" s="70">
        <f t="shared" si="88"/>
        <v>0</v>
      </c>
      <c r="N243" s="70">
        <f t="shared" si="88"/>
        <v>0</v>
      </c>
      <c r="O243" s="70">
        <f t="shared" si="88"/>
        <v>0</v>
      </c>
      <c r="P243" s="70">
        <f t="shared" si="88"/>
        <v>0</v>
      </c>
      <c r="Q243" s="70">
        <f t="shared" si="88"/>
        <v>0</v>
      </c>
      <c r="R243" s="70">
        <f t="shared" si="88"/>
        <v>0</v>
      </c>
      <c r="S243" s="6">
        <f t="shared" si="88"/>
        <v>0</v>
      </c>
      <c r="T243" s="6">
        <f t="shared" si="88"/>
        <v>0</v>
      </c>
      <c r="U243" s="6">
        <f t="shared" si="88"/>
        <v>0</v>
      </c>
      <c r="V243" s="6">
        <f t="shared" si="88"/>
        <v>0</v>
      </c>
      <c r="W243" s="6">
        <f t="shared" si="88"/>
        <v>0</v>
      </c>
      <c r="X243" s="6">
        <f t="shared" si="88"/>
        <v>0</v>
      </c>
      <c r="Y243" s="6">
        <f t="shared" si="88"/>
        <v>0</v>
      </c>
      <c r="Z243" s="6">
        <f t="shared" si="88"/>
        <v>0</v>
      </c>
      <c r="AA243" s="6">
        <f t="shared" si="88"/>
        <v>0</v>
      </c>
      <c r="AB243" s="6">
        <f t="shared" si="88"/>
        <v>0</v>
      </c>
      <c r="AC243" s="6">
        <f t="shared" si="88"/>
        <v>0</v>
      </c>
      <c r="AD243" s="7"/>
    </row>
    <row r="244" spans="1:30" x14ac:dyDescent="0.25">
      <c r="A244" s="295" t="s">
        <v>625</v>
      </c>
      <c r="B244" s="296"/>
      <c r="C244" s="296"/>
      <c r="D244" s="296"/>
      <c r="E244" s="114" t="s">
        <v>567</v>
      </c>
      <c r="F244" s="6">
        <f t="shared" si="85"/>
        <v>0</v>
      </c>
      <c r="G244" s="6"/>
      <c r="H244" s="6"/>
      <c r="I244" s="6"/>
      <c r="J244" s="6"/>
      <c r="K244" s="70">
        <f t="shared" ref="K244:AC244" si="89">SUMIFS(K9:K201,$C$9:$C$201,$D$239,$E$9:$E$201,$E$244)</f>
        <v>0</v>
      </c>
      <c r="L244" s="70">
        <f t="shared" si="89"/>
        <v>0</v>
      </c>
      <c r="M244" s="70">
        <f t="shared" si="89"/>
        <v>0</v>
      </c>
      <c r="N244" s="70">
        <f t="shared" si="89"/>
        <v>0</v>
      </c>
      <c r="O244" s="70">
        <f t="shared" si="89"/>
        <v>0</v>
      </c>
      <c r="P244" s="70">
        <f t="shared" si="89"/>
        <v>0</v>
      </c>
      <c r="Q244" s="70">
        <f t="shared" si="89"/>
        <v>0</v>
      </c>
      <c r="R244" s="70">
        <f t="shared" si="89"/>
        <v>0</v>
      </c>
      <c r="S244" s="6">
        <f t="shared" si="89"/>
        <v>0</v>
      </c>
      <c r="T244" s="6">
        <f t="shared" si="89"/>
        <v>0</v>
      </c>
      <c r="U244" s="6">
        <f t="shared" si="89"/>
        <v>0</v>
      </c>
      <c r="V244" s="6">
        <f t="shared" si="89"/>
        <v>0</v>
      </c>
      <c r="W244" s="6">
        <f t="shared" si="89"/>
        <v>0</v>
      </c>
      <c r="X244" s="6">
        <f t="shared" si="89"/>
        <v>0</v>
      </c>
      <c r="Y244" s="6">
        <f t="shared" si="89"/>
        <v>0</v>
      </c>
      <c r="Z244" s="6">
        <f t="shared" si="89"/>
        <v>0</v>
      </c>
      <c r="AA244" s="6">
        <f t="shared" si="89"/>
        <v>0</v>
      </c>
      <c r="AB244" s="6">
        <f t="shared" si="89"/>
        <v>0</v>
      </c>
      <c r="AC244" s="6">
        <f t="shared" si="89"/>
        <v>0</v>
      </c>
      <c r="AD244" s="7"/>
    </row>
    <row r="245" spans="1:30" x14ac:dyDescent="0.25">
      <c r="A245" s="295" t="s">
        <v>625</v>
      </c>
      <c r="B245" s="296"/>
      <c r="C245" s="296"/>
      <c r="D245" s="296"/>
      <c r="E245" s="114" t="s">
        <v>563</v>
      </c>
      <c r="F245" s="6">
        <f t="shared" si="85"/>
        <v>0</v>
      </c>
      <c r="G245" s="6"/>
      <c r="H245" s="6"/>
      <c r="I245" s="6"/>
      <c r="J245" s="6"/>
      <c r="K245" s="70">
        <f t="shared" ref="K245:AC245" si="90">SUMIFS(K9:K201,$C$9:$C$201,$D$239,$E$9:$E$201,$E$245)</f>
        <v>0</v>
      </c>
      <c r="L245" s="70">
        <f t="shared" si="90"/>
        <v>0</v>
      </c>
      <c r="M245" s="70">
        <f t="shared" si="90"/>
        <v>0</v>
      </c>
      <c r="N245" s="70">
        <f t="shared" si="90"/>
        <v>0</v>
      </c>
      <c r="O245" s="70">
        <f t="shared" si="90"/>
        <v>0</v>
      </c>
      <c r="P245" s="70">
        <f t="shared" si="90"/>
        <v>0</v>
      </c>
      <c r="Q245" s="70">
        <f t="shared" si="90"/>
        <v>0</v>
      </c>
      <c r="R245" s="70">
        <f t="shared" si="90"/>
        <v>0</v>
      </c>
      <c r="S245" s="6">
        <f t="shared" si="90"/>
        <v>0</v>
      </c>
      <c r="T245" s="6">
        <f t="shared" si="90"/>
        <v>0</v>
      </c>
      <c r="U245" s="6">
        <f t="shared" si="90"/>
        <v>0</v>
      </c>
      <c r="V245" s="6">
        <f t="shared" si="90"/>
        <v>0</v>
      </c>
      <c r="W245" s="6">
        <f t="shared" si="90"/>
        <v>0</v>
      </c>
      <c r="X245" s="6">
        <f t="shared" si="90"/>
        <v>0</v>
      </c>
      <c r="Y245" s="6">
        <f t="shared" si="90"/>
        <v>0</v>
      </c>
      <c r="Z245" s="6">
        <f t="shared" si="90"/>
        <v>0</v>
      </c>
      <c r="AA245" s="6">
        <f t="shared" si="90"/>
        <v>0</v>
      </c>
      <c r="AB245" s="6">
        <f t="shared" si="90"/>
        <v>0</v>
      </c>
      <c r="AC245" s="6">
        <f t="shared" si="90"/>
        <v>0</v>
      </c>
      <c r="AD245" s="7"/>
    </row>
    <row r="246" spans="1:30" x14ac:dyDescent="0.25">
      <c r="A246" s="295" t="s">
        <v>625</v>
      </c>
      <c r="B246" s="296"/>
      <c r="C246" s="296"/>
      <c r="D246" s="296"/>
      <c r="E246" s="114" t="s">
        <v>38</v>
      </c>
      <c r="F246" s="6">
        <f t="shared" si="85"/>
        <v>0</v>
      </c>
      <c r="G246" s="6"/>
      <c r="H246" s="6"/>
      <c r="I246" s="6"/>
      <c r="J246" s="6"/>
      <c r="K246" s="70">
        <f t="shared" ref="K246:AC246" si="91">SUMIFS(K9:K201,$C$9:$C$201,$D$239,$E$9:$E$201,$E$246)</f>
        <v>0</v>
      </c>
      <c r="L246" s="70">
        <f t="shared" si="91"/>
        <v>0</v>
      </c>
      <c r="M246" s="70">
        <f t="shared" si="91"/>
        <v>0</v>
      </c>
      <c r="N246" s="70">
        <f t="shared" si="91"/>
        <v>0</v>
      </c>
      <c r="O246" s="70">
        <f t="shared" si="91"/>
        <v>0</v>
      </c>
      <c r="P246" s="70">
        <f t="shared" si="91"/>
        <v>0</v>
      </c>
      <c r="Q246" s="70">
        <f t="shared" si="91"/>
        <v>0</v>
      </c>
      <c r="R246" s="70">
        <f t="shared" si="91"/>
        <v>0</v>
      </c>
      <c r="S246" s="6">
        <f t="shared" si="91"/>
        <v>0</v>
      </c>
      <c r="T246" s="6">
        <f t="shared" si="91"/>
        <v>0</v>
      </c>
      <c r="U246" s="6">
        <f t="shared" si="91"/>
        <v>0</v>
      </c>
      <c r="V246" s="6">
        <f t="shared" si="91"/>
        <v>0</v>
      </c>
      <c r="W246" s="6">
        <f t="shared" si="91"/>
        <v>0</v>
      </c>
      <c r="X246" s="6">
        <f t="shared" si="91"/>
        <v>0</v>
      </c>
      <c r="Y246" s="6">
        <f t="shared" si="91"/>
        <v>0</v>
      </c>
      <c r="Z246" s="6">
        <f t="shared" si="91"/>
        <v>0</v>
      </c>
      <c r="AA246" s="6">
        <f t="shared" si="91"/>
        <v>0</v>
      </c>
      <c r="AB246" s="6">
        <f t="shared" si="91"/>
        <v>0</v>
      </c>
      <c r="AC246" s="6">
        <f t="shared" si="91"/>
        <v>0</v>
      </c>
      <c r="AD246" s="7"/>
    </row>
    <row r="247" spans="1:30" ht="28.5" customHeight="1" x14ac:dyDescent="0.25">
      <c r="A247" s="295" t="s">
        <v>625</v>
      </c>
      <c r="B247" s="296"/>
      <c r="C247" s="296"/>
      <c r="D247" s="296"/>
      <c r="E247" s="115" t="s">
        <v>564</v>
      </c>
      <c r="F247" s="6">
        <f t="shared" si="85"/>
        <v>0</v>
      </c>
      <c r="G247" s="6"/>
      <c r="H247" s="6"/>
      <c r="I247" s="6"/>
      <c r="J247" s="6"/>
      <c r="K247" s="70">
        <f t="shared" ref="K247:AC247" si="92">SUMIFS(K9:K201,$C$9:$C$201,$D$239,$E$9:$E$201,$E$247)</f>
        <v>0</v>
      </c>
      <c r="L247" s="70">
        <f t="shared" si="92"/>
        <v>0</v>
      </c>
      <c r="M247" s="70">
        <f t="shared" si="92"/>
        <v>0</v>
      </c>
      <c r="N247" s="70">
        <f t="shared" si="92"/>
        <v>0</v>
      </c>
      <c r="O247" s="70">
        <f t="shared" si="92"/>
        <v>0</v>
      </c>
      <c r="P247" s="70">
        <f t="shared" si="92"/>
        <v>0</v>
      </c>
      <c r="Q247" s="70">
        <f t="shared" si="92"/>
        <v>0</v>
      </c>
      <c r="R247" s="70">
        <f t="shared" si="92"/>
        <v>0</v>
      </c>
      <c r="S247" s="6">
        <f t="shared" si="92"/>
        <v>0</v>
      </c>
      <c r="T247" s="6">
        <f t="shared" si="92"/>
        <v>0</v>
      </c>
      <c r="U247" s="6">
        <f t="shared" si="92"/>
        <v>0</v>
      </c>
      <c r="V247" s="6">
        <f t="shared" si="92"/>
        <v>0</v>
      </c>
      <c r="W247" s="6">
        <f t="shared" si="92"/>
        <v>0</v>
      </c>
      <c r="X247" s="6">
        <f t="shared" si="92"/>
        <v>0</v>
      </c>
      <c r="Y247" s="6">
        <f t="shared" si="92"/>
        <v>0</v>
      </c>
      <c r="Z247" s="6">
        <f t="shared" si="92"/>
        <v>0</v>
      </c>
      <c r="AA247" s="6">
        <f t="shared" si="92"/>
        <v>0</v>
      </c>
      <c r="AB247" s="6">
        <f t="shared" si="92"/>
        <v>0</v>
      </c>
      <c r="AC247" s="6">
        <f t="shared" si="92"/>
        <v>0</v>
      </c>
      <c r="AD247" s="7"/>
    </row>
    <row r="248" spans="1:30" ht="15.75" thickBot="1" x14ac:dyDescent="0.3">
      <c r="A248" s="297" t="s">
        <v>625</v>
      </c>
      <c r="B248" s="298"/>
      <c r="C248" s="298"/>
      <c r="D248" s="298"/>
      <c r="E248" s="125" t="s">
        <v>565</v>
      </c>
      <c r="F248" s="116">
        <f t="shared" si="85"/>
        <v>0</v>
      </c>
      <c r="G248" s="116"/>
      <c r="H248" s="116"/>
      <c r="I248" s="116"/>
      <c r="J248" s="116"/>
      <c r="K248" s="117">
        <f t="shared" ref="K248:AC248" si="93">SUMIFS(K9:K201,$C$9:$C$201,$D$239,$E$9:$E$201,$E$248)</f>
        <v>0</v>
      </c>
      <c r="L248" s="117">
        <f t="shared" si="93"/>
        <v>0</v>
      </c>
      <c r="M248" s="117">
        <f t="shared" si="93"/>
        <v>0</v>
      </c>
      <c r="N248" s="117">
        <f t="shared" si="93"/>
        <v>0</v>
      </c>
      <c r="O248" s="117">
        <f t="shared" si="93"/>
        <v>0</v>
      </c>
      <c r="P248" s="117">
        <f t="shared" si="93"/>
        <v>0</v>
      </c>
      <c r="Q248" s="117">
        <f t="shared" si="93"/>
        <v>0</v>
      </c>
      <c r="R248" s="117">
        <f t="shared" si="93"/>
        <v>0</v>
      </c>
      <c r="S248" s="116">
        <f t="shared" si="93"/>
        <v>0</v>
      </c>
      <c r="T248" s="116">
        <f t="shared" si="93"/>
        <v>0</v>
      </c>
      <c r="U248" s="116">
        <f t="shared" si="93"/>
        <v>0</v>
      </c>
      <c r="V248" s="116">
        <f t="shared" si="93"/>
        <v>0</v>
      </c>
      <c r="W248" s="116">
        <f t="shared" si="93"/>
        <v>0</v>
      </c>
      <c r="X248" s="116">
        <f t="shared" si="93"/>
        <v>0</v>
      </c>
      <c r="Y248" s="116">
        <f t="shared" si="93"/>
        <v>0</v>
      </c>
      <c r="Z248" s="116">
        <f t="shared" si="93"/>
        <v>0</v>
      </c>
      <c r="AA248" s="116">
        <f t="shared" si="93"/>
        <v>0</v>
      </c>
      <c r="AB248" s="116">
        <f t="shared" si="93"/>
        <v>0</v>
      </c>
      <c r="AC248" s="116">
        <f t="shared" si="93"/>
        <v>0</v>
      </c>
      <c r="AD248" s="9"/>
    </row>
    <row r="249" spans="1:30" ht="15.75" thickBot="1" x14ac:dyDescent="0.3">
      <c r="A249" s="299" t="s">
        <v>626</v>
      </c>
      <c r="B249" s="300"/>
      <c r="C249" s="300"/>
      <c r="D249" s="300"/>
      <c r="E249" s="126"/>
      <c r="F249" s="127">
        <f>SUM(F241:F248)</f>
        <v>13873</v>
      </c>
      <c r="G249" s="127"/>
      <c r="H249" s="127"/>
      <c r="I249" s="127"/>
      <c r="J249" s="127"/>
      <c r="K249" s="128">
        <f t="shared" ref="K249:AC249" si="94">SUM(K241:K248)</f>
        <v>16647.599999999999</v>
      </c>
      <c r="L249" s="128">
        <f t="shared" si="94"/>
        <v>0</v>
      </c>
      <c r="M249" s="128">
        <f t="shared" si="94"/>
        <v>16647.599999999999</v>
      </c>
      <c r="N249" s="128">
        <f t="shared" si="94"/>
        <v>0</v>
      </c>
      <c r="O249" s="128">
        <f t="shared" si="94"/>
        <v>0</v>
      </c>
      <c r="P249" s="128">
        <f t="shared" si="94"/>
        <v>9988.5599999999977</v>
      </c>
      <c r="Q249" s="128">
        <f t="shared" si="94"/>
        <v>0</v>
      </c>
      <c r="R249" s="128">
        <f t="shared" si="94"/>
        <v>0</v>
      </c>
      <c r="S249" s="127">
        <f t="shared" si="94"/>
        <v>3.2991999999999999</v>
      </c>
      <c r="T249" s="127">
        <f t="shared" si="94"/>
        <v>4.9653999999999998</v>
      </c>
      <c r="U249" s="127">
        <f t="shared" si="94"/>
        <v>3.6776</v>
      </c>
      <c r="V249" s="127">
        <f t="shared" si="94"/>
        <v>2.7393999999999998</v>
      </c>
      <c r="W249" s="127">
        <f t="shared" si="94"/>
        <v>0</v>
      </c>
      <c r="X249" s="127">
        <f t="shared" si="94"/>
        <v>14.6816</v>
      </c>
      <c r="Y249" s="127">
        <f t="shared" si="94"/>
        <v>14.6816</v>
      </c>
      <c r="Z249" s="127">
        <f t="shared" si="94"/>
        <v>2</v>
      </c>
      <c r="AA249" s="127">
        <f t="shared" si="94"/>
        <v>0</v>
      </c>
      <c r="AB249" s="127">
        <f t="shared" si="94"/>
        <v>0</v>
      </c>
      <c r="AC249" s="127">
        <f t="shared" si="94"/>
        <v>15</v>
      </c>
      <c r="AD249" s="129"/>
    </row>
    <row r="260" spans="3:7" x14ac:dyDescent="0.25">
      <c r="C260" s="83"/>
      <c r="D260" s="83"/>
      <c r="E260" s="12"/>
      <c r="F260" s="12"/>
      <c r="G260" s="12"/>
    </row>
    <row r="261" spans="3:7" x14ac:dyDescent="0.25">
      <c r="C261" s="83"/>
      <c r="D261" s="83"/>
      <c r="E261" s="12"/>
      <c r="F261" s="12"/>
      <c r="G261" s="12"/>
    </row>
    <row r="262" spans="3:7" x14ac:dyDescent="0.25">
      <c r="C262" s="83"/>
      <c r="D262" s="83"/>
      <c r="E262" s="12"/>
      <c r="F262" s="12"/>
      <c r="G262" s="12"/>
    </row>
    <row r="263" spans="3:7" x14ac:dyDescent="0.25">
      <c r="C263" s="83"/>
      <c r="D263" s="83"/>
      <c r="E263" s="12"/>
      <c r="F263" s="12"/>
      <c r="G263" s="12"/>
    </row>
    <row r="264" spans="3:7" x14ac:dyDescent="0.25">
      <c r="C264" s="83"/>
      <c r="D264" s="83"/>
      <c r="E264" s="12"/>
      <c r="F264" s="12"/>
      <c r="G264" s="12"/>
    </row>
    <row r="265" spans="3:7" x14ac:dyDescent="0.25">
      <c r="C265" s="83"/>
      <c r="D265" s="83"/>
      <c r="E265" s="12"/>
      <c r="F265" s="12"/>
      <c r="G265" s="12"/>
    </row>
    <row r="266" spans="3:7" x14ac:dyDescent="0.25">
      <c r="C266" s="83"/>
      <c r="D266" s="83"/>
      <c r="E266" s="12"/>
      <c r="F266" s="12"/>
      <c r="G266" s="12"/>
    </row>
    <row r="267" spans="3:7" x14ac:dyDescent="0.25">
      <c r="C267" s="83"/>
      <c r="D267" s="83"/>
      <c r="E267" s="12"/>
    </row>
    <row r="268" spans="3:7" x14ac:dyDescent="0.25">
      <c r="C268" s="83"/>
      <c r="E268" s="12"/>
    </row>
    <row r="269" spans="3:7" x14ac:dyDescent="0.25">
      <c r="C269" s="83"/>
      <c r="E269" s="12"/>
    </row>
  </sheetData>
  <mergeCells count="53">
    <mergeCell ref="A247:D247"/>
    <mergeCell ref="A248:D248"/>
    <mergeCell ref="A249:D249"/>
    <mergeCell ref="A241:D241"/>
    <mergeCell ref="A242:D242"/>
    <mergeCell ref="A243:D243"/>
    <mergeCell ref="A244:D244"/>
    <mergeCell ref="A245:D245"/>
    <mergeCell ref="A246:D246"/>
    <mergeCell ref="A206:D206"/>
    <mergeCell ref="A207:D207"/>
    <mergeCell ref="A208:D208"/>
    <mergeCell ref="A211:D211"/>
    <mergeCell ref="A212:D212"/>
    <mergeCell ref="A210:D210"/>
    <mergeCell ref="A209:D209"/>
    <mergeCell ref="A213:D213"/>
    <mergeCell ref="Y4:Y6"/>
    <mergeCell ref="K5:L5"/>
    <mergeCell ref="M5:M6"/>
    <mergeCell ref="A202:D202"/>
    <mergeCell ref="A203:D203"/>
    <mergeCell ref="A205:D205"/>
    <mergeCell ref="S4:T5"/>
    <mergeCell ref="U4:V5"/>
    <mergeCell ref="W4:W6"/>
    <mergeCell ref="X4:X6"/>
    <mergeCell ref="A3:A7"/>
    <mergeCell ref="B3:H3"/>
    <mergeCell ref="I3:J3"/>
    <mergeCell ref="K3:O3"/>
    <mergeCell ref="P3:Q5"/>
    <mergeCell ref="S3:W3"/>
    <mergeCell ref="R3:R6"/>
    <mergeCell ref="K4:M4"/>
    <mergeCell ref="N4:N6"/>
    <mergeCell ref="O4:O6"/>
    <mergeCell ref="A204:D204"/>
    <mergeCell ref="AD3:AD7"/>
    <mergeCell ref="X3:Y3"/>
    <mergeCell ref="Z3:Z6"/>
    <mergeCell ref="AA3:AA6"/>
    <mergeCell ref="AB3:AB6"/>
    <mergeCell ref="AC3:AC6"/>
    <mergeCell ref="B4:B7"/>
    <mergeCell ref="C4:C7"/>
    <mergeCell ref="D4:D7"/>
    <mergeCell ref="E4:E7"/>
    <mergeCell ref="F4:F6"/>
    <mergeCell ref="G4:G6"/>
    <mergeCell ref="H4:H7"/>
    <mergeCell ref="I4:I6"/>
    <mergeCell ref="J4:J6"/>
  </mergeCells>
  <phoneticPr fontId="1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T1</vt:lpstr>
      <vt:lpstr>T2A</vt:lpstr>
      <vt:lpstr>T2B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T14A</vt:lpstr>
      <vt:lpstr>T14B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Mihkel</dc:creator>
  <cp:lastModifiedBy>Mihkel</cp:lastModifiedBy>
  <cp:lastPrinted>2023-12-05T13:29:25Z</cp:lastPrinted>
  <dcterms:created xsi:type="dcterms:W3CDTF">2023-08-11T07:15:01Z</dcterms:created>
  <dcterms:modified xsi:type="dcterms:W3CDTF">2023-12-12T18:42:47Z</dcterms:modified>
</cp:coreProperties>
</file>