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702234213\Desktop\"/>
    </mc:Choice>
  </mc:AlternateContent>
  <xr:revisionPtr revIDLastSave="0" documentId="8_{EBC16B27-2900-4870-AD86-F0B4CC83B014}" xr6:coauthVersionLast="47" xr6:coauthVersionMax="47" xr10:uidLastSave="{00000000-0000-0000-0000-000000000000}"/>
  <bookViews>
    <workbookView xWindow="-110" yWindow="-110" windowWidth="19420" windowHeight="11500" xr2:uid="{4D1749CD-7348-40E3-9063-2FA36ECE44CB}"/>
  </bookViews>
  <sheets>
    <sheet name="aruanne" sheetId="1" r:id="rId1"/>
    <sheet name="LISA" sheetId="13" r:id="rId2"/>
    <sheet name="vordlus" sheetId="2" r:id="rId3"/>
    <sheet name="lisa1" sheetId="4" r:id="rId4"/>
  </sheets>
  <definedNames>
    <definedName name="_xlnm._FilterDatabase" localSheetId="0" hidden="1">aruanne!$A$3:$G$112</definedName>
    <definedName name="_xlnm._FilterDatabase" localSheetId="1" hidden="1">LISA!$A$4:$G$1737</definedName>
    <definedName name="_xlnm._FilterDatabase" localSheetId="2" hidden="1">vordlus!$A$4:$J$20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66" i="13" l="1"/>
  <c r="E1266" i="13"/>
  <c r="D1266" i="13"/>
  <c r="E1274" i="13"/>
  <c r="F1227" i="13"/>
  <c r="E1227" i="13"/>
  <c r="D1227" i="13"/>
  <c r="E1235" i="13"/>
  <c r="F1197" i="13"/>
  <c r="E1197" i="13"/>
  <c r="D1197" i="13"/>
  <c r="E1205" i="13"/>
  <c r="F1151" i="13"/>
  <c r="E1151" i="13"/>
  <c r="D1151" i="13"/>
  <c r="E1160" i="13"/>
  <c r="F1114" i="13"/>
  <c r="E1114" i="13"/>
  <c r="D1114" i="13"/>
  <c r="E1122" i="13"/>
  <c r="F1069" i="13"/>
  <c r="E1069" i="13"/>
  <c r="D1069" i="13"/>
  <c r="E1078" i="13"/>
  <c r="F996" i="13"/>
  <c r="E996" i="13"/>
  <c r="D996" i="13"/>
  <c r="E1003" i="13"/>
  <c r="F973" i="13"/>
  <c r="E973" i="13"/>
  <c r="D973" i="13"/>
  <c r="E982" i="13"/>
  <c r="F941" i="13"/>
  <c r="E941" i="13"/>
  <c r="D941" i="13"/>
  <c r="E949" i="13"/>
  <c r="F897" i="13"/>
  <c r="E897" i="13"/>
  <c r="D897" i="13"/>
  <c r="E906" i="13"/>
  <c r="F819" i="13"/>
  <c r="E819" i="13"/>
  <c r="D819" i="13"/>
  <c r="E826" i="13"/>
  <c r="F797" i="13"/>
  <c r="E797" i="13"/>
  <c r="D797" i="13"/>
  <c r="E806" i="13"/>
  <c r="F757" i="13"/>
  <c r="E757" i="13"/>
  <c r="D757" i="13"/>
  <c r="E765" i="13"/>
  <c r="F716" i="13"/>
  <c r="E716" i="13"/>
  <c r="D716" i="13"/>
  <c r="E723" i="13"/>
  <c r="F697" i="13"/>
  <c r="E697" i="13"/>
  <c r="D697" i="13"/>
  <c r="E705" i="13"/>
  <c r="F665" i="13"/>
  <c r="E665" i="13"/>
  <c r="D665" i="13"/>
  <c r="E673" i="13"/>
  <c r="F623" i="13"/>
  <c r="E623" i="13"/>
  <c r="D623" i="13"/>
  <c r="E631" i="13"/>
  <c r="F571" i="13"/>
  <c r="E571" i="13"/>
  <c r="D571" i="13"/>
  <c r="E579" i="13"/>
  <c r="F552" i="13"/>
  <c r="E552" i="13"/>
  <c r="D552" i="13"/>
  <c r="E560" i="13"/>
  <c r="F503" i="13"/>
  <c r="E503" i="13"/>
  <c r="D503" i="13"/>
  <c r="E510" i="13"/>
  <c r="F484" i="13"/>
  <c r="E484" i="13"/>
  <c r="D484" i="13"/>
  <c r="E492" i="13"/>
  <c r="F450" i="13"/>
  <c r="E450" i="13"/>
  <c r="D450" i="13"/>
  <c r="E459" i="13"/>
  <c r="F409" i="13"/>
  <c r="E409" i="13"/>
  <c r="D409" i="13"/>
  <c r="E417" i="13"/>
  <c r="F341" i="13"/>
  <c r="E341" i="13"/>
  <c r="D341" i="13"/>
  <c r="E349" i="13"/>
  <c r="F1707" i="13"/>
  <c r="E1707" i="13"/>
  <c r="D1707" i="13"/>
  <c r="E1713" i="13"/>
  <c r="F1691" i="13"/>
  <c r="E1691" i="13"/>
  <c r="D1691" i="13"/>
  <c r="E1697" i="13"/>
  <c r="F1665" i="13"/>
  <c r="E1665" i="13"/>
  <c r="D1665" i="13"/>
  <c r="E1671" i="13"/>
  <c r="F1650" i="13"/>
  <c r="E1650" i="13"/>
  <c r="D1650" i="13"/>
  <c r="E1656" i="13"/>
  <c r="E1612" i="13"/>
  <c r="F1560" i="13"/>
  <c r="E1560" i="13"/>
  <c r="D1560" i="13"/>
  <c r="E1568" i="13"/>
  <c r="F1455" i="13"/>
  <c r="E1455" i="13"/>
  <c r="D1455" i="13"/>
  <c r="E1464" i="13"/>
  <c r="F1420" i="13"/>
  <c r="E1420" i="13"/>
  <c r="D1420" i="13"/>
  <c r="E1428" i="13"/>
  <c r="F1379" i="13"/>
  <c r="E1379" i="13"/>
  <c r="D1379" i="13"/>
  <c r="E1387" i="13"/>
  <c r="F1298" i="13"/>
  <c r="E1298" i="13"/>
  <c r="D1298" i="13"/>
  <c r="E1307" i="13"/>
  <c r="D95" i="1"/>
  <c r="D93" i="1"/>
  <c r="D91" i="1"/>
  <c r="E95" i="1" l="1"/>
  <c r="E96" i="1" l="1"/>
  <c r="D96" i="1"/>
  <c r="G96" i="1" l="1"/>
  <c r="G95" i="1"/>
  <c r="G94" i="1"/>
  <c r="G93" i="1"/>
  <c r="G92" i="1"/>
  <c r="G91" i="1"/>
  <c r="G90" i="1"/>
  <c r="F88" i="1"/>
  <c r="E88" i="1"/>
  <c r="D88" i="1"/>
  <c r="E87" i="1"/>
  <c r="C88" i="1"/>
  <c r="F96" i="1"/>
  <c r="F95" i="1"/>
  <c r="F91" i="1"/>
  <c r="F87" i="1" l="1"/>
  <c r="G88" i="1"/>
  <c r="F1654" i="13" l="1"/>
  <c r="D1654" i="13"/>
  <c r="F1651" i="13"/>
  <c r="E1651" i="13"/>
  <c r="D1651" i="13"/>
  <c r="G1588" i="13" l="1"/>
  <c r="G1190" i="13"/>
  <c r="G1189" i="13"/>
  <c r="G931" i="13"/>
  <c r="G911" i="13"/>
  <c r="G472" i="13"/>
  <c r="F111" i="1"/>
  <c r="E111" i="1"/>
  <c r="F541" i="13" l="1"/>
  <c r="E541" i="13"/>
  <c r="D541" i="13"/>
  <c r="D89" i="1"/>
  <c r="E85" i="1"/>
  <c r="G1737" i="13"/>
  <c r="G1736" i="13"/>
  <c r="E1735" i="13"/>
  <c r="F1734" i="13"/>
  <c r="D1734" i="13"/>
  <c r="E1733" i="13"/>
  <c r="F1732" i="13"/>
  <c r="D1732" i="13"/>
  <c r="F1731" i="13"/>
  <c r="D1731" i="13"/>
  <c r="F1728" i="13"/>
  <c r="F1727" i="13"/>
  <c r="G1725" i="13"/>
  <c r="G1724" i="13"/>
  <c r="G1723" i="13"/>
  <c r="G1722" i="13"/>
  <c r="F1721" i="13"/>
  <c r="E1721" i="13"/>
  <c r="D1721" i="13"/>
  <c r="G1720" i="13"/>
  <c r="E1719" i="13"/>
  <c r="G1718" i="13"/>
  <c r="F1717" i="13"/>
  <c r="D1717" i="13"/>
  <c r="G1716" i="13"/>
  <c r="F1715" i="13"/>
  <c r="E1715" i="13"/>
  <c r="G1714" i="13"/>
  <c r="G1713" i="13"/>
  <c r="G1712" i="13"/>
  <c r="F1711" i="13"/>
  <c r="E1711" i="13"/>
  <c r="D1711" i="13"/>
  <c r="F1710" i="13"/>
  <c r="E1710" i="13"/>
  <c r="D1710" i="13"/>
  <c r="F1709" i="13"/>
  <c r="E1709" i="13"/>
  <c r="D1709" i="13"/>
  <c r="F1708" i="13"/>
  <c r="D1708" i="13"/>
  <c r="G1705" i="13"/>
  <c r="G1704" i="13"/>
  <c r="G1703" i="13"/>
  <c r="G1702" i="13"/>
  <c r="F1701" i="13"/>
  <c r="E1701" i="13"/>
  <c r="D1701" i="13"/>
  <c r="G1700" i="13"/>
  <c r="F1699" i="13"/>
  <c r="E1699" i="13"/>
  <c r="G1698" i="13"/>
  <c r="G1697" i="13"/>
  <c r="G1696" i="13"/>
  <c r="F1695" i="13"/>
  <c r="E1695" i="13"/>
  <c r="D1695" i="13"/>
  <c r="F1694" i="13"/>
  <c r="E1694" i="13"/>
  <c r="D1694" i="13"/>
  <c r="F1693" i="13"/>
  <c r="E1693" i="13"/>
  <c r="D1693" i="13"/>
  <c r="F1692" i="13"/>
  <c r="E1692" i="13"/>
  <c r="D1692" i="13"/>
  <c r="F1689" i="13"/>
  <c r="E1689" i="13"/>
  <c r="D1689" i="13"/>
  <c r="G1683" i="13"/>
  <c r="G1682" i="13"/>
  <c r="G1681" i="13"/>
  <c r="G1680" i="13"/>
  <c r="F1679" i="13"/>
  <c r="E1679" i="13"/>
  <c r="D1679" i="13"/>
  <c r="G1678" i="13"/>
  <c r="E1677" i="13"/>
  <c r="G1676" i="13"/>
  <c r="F1675" i="13"/>
  <c r="D1675" i="13"/>
  <c r="G1674" i="13"/>
  <c r="F1673" i="13"/>
  <c r="E1673" i="13"/>
  <c r="G1672" i="13"/>
  <c r="G1671" i="13"/>
  <c r="G1670" i="13"/>
  <c r="F1669" i="13"/>
  <c r="E1669" i="13"/>
  <c r="D1669" i="13"/>
  <c r="F1668" i="13"/>
  <c r="E1668" i="13"/>
  <c r="D1668" i="13"/>
  <c r="F1667" i="13"/>
  <c r="E1667" i="13"/>
  <c r="D1667" i="13"/>
  <c r="F1666" i="13"/>
  <c r="D1666" i="13"/>
  <c r="G1663" i="13"/>
  <c r="G1662" i="13"/>
  <c r="G1661" i="13"/>
  <c r="F1660" i="13"/>
  <c r="E1660" i="13"/>
  <c r="G1659" i="13"/>
  <c r="F1658" i="13"/>
  <c r="E1658" i="13"/>
  <c r="G1657" i="13"/>
  <c r="G1656" i="13"/>
  <c r="G1655" i="13"/>
  <c r="E1654" i="13"/>
  <c r="F1653" i="13"/>
  <c r="E1653" i="13"/>
  <c r="D1653" i="13"/>
  <c r="F1652" i="13"/>
  <c r="E1652" i="13"/>
  <c r="D1652" i="13"/>
  <c r="F1648" i="13"/>
  <c r="E1648" i="13"/>
  <c r="D1648" i="13"/>
  <c r="G1636" i="13"/>
  <c r="G1635" i="13"/>
  <c r="G1634" i="13"/>
  <c r="F1633" i="13"/>
  <c r="E1633" i="13"/>
  <c r="G1632" i="13"/>
  <c r="G1631" i="13"/>
  <c r="G1630" i="13"/>
  <c r="F1629" i="13"/>
  <c r="E1629" i="13"/>
  <c r="D1629" i="13"/>
  <c r="G1628" i="13"/>
  <c r="F1627" i="13"/>
  <c r="E1627" i="13"/>
  <c r="G1626" i="13"/>
  <c r="G1625" i="13"/>
  <c r="G1624" i="13"/>
  <c r="F1623" i="13"/>
  <c r="E1623" i="13"/>
  <c r="D1623" i="13"/>
  <c r="F1622" i="13"/>
  <c r="E1622" i="13"/>
  <c r="D1622" i="13"/>
  <c r="F1621" i="13"/>
  <c r="E1621" i="13"/>
  <c r="D1621" i="13"/>
  <c r="F1620" i="13"/>
  <c r="E1620" i="13"/>
  <c r="D1620" i="13"/>
  <c r="E1619" i="13"/>
  <c r="G1617" i="13"/>
  <c r="G1616" i="13"/>
  <c r="F1615" i="13"/>
  <c r="E1615" i="13"/>
  <c r="G1614" i="13"/>
  <c r="G1613" i="13"/>
  <c r="G1612" i="13"/>
  <c r="G1611" i="13"/>
  <c r="F1610" i="13"/>
  <c r="E1610" i="13"/>
  <c r="D1610" i="13"/>
  <c r="F1609" i="13"/>
  <c r="E1609" i="13"/>
  <c r="D1609" i="13"/>
  <c r="F1608" i="13"/>
  <c r="E1608" i="13"/>
  <c r="D1608" i="13"/>
  <c r="F1607" i="13"/>
  <c r="E1607" i="13"/>
  <c r="D1607" i="13"/>
  <c r="F1606" i="13"/>
  <c r="E1606" i="13"/>
  <c r="D1606" i="13"/>
  <c r="F1604" i="13"/>
  <c r="E1604" i="13"/>
  <c r="D1604" i="13"/>
  <c r="G1598" i="13"/>
  <c r="G1597" i="13"/>
  <c r="G1596" i="13"/>
  <c r="F1595" i="13"/>
  <c r="E1595" i="13"/>
  <c r="G1594" i="13"/>
  <c r="E1593" i="13"/>
  <c r="G1592" i="13"/>
  <c r="F1591" i="13"/>
  <c r="D1591" i="13"/>
  <c r="G1590" i="13"/>
  <c r="F1589" i="13"/>
  <c r="E1589" i="13"/>
  <c r="G1587" i="13"/>
  <c r="G1586" i="13"/>
  <c r="F1585" i="13"/>
  <c r="E1585" i="13"/>
  <c r="D1585" i="13"/>
  <c r="F1584" i="13"/>
  <c r="E1584" i="13"/>
  <c r="D1584" i="13"/>
  <c r="F1583" i="13"/>
  <c r="E1583" i="13"/>
  <c r="D1583" i="13"/>
  <c r="F1582" i="13"/>
  <c r="D1582" i="13"/>
  <c r="E1581" i="13"/>
  <c r="G1579" i="13"/>
  <c r="G1578" i="13"/>
  <c r="D1578" i="13"/>
  <c r="G1577" i="13"/>
  <c r="G1576" i="13"/>
  <c r="G1575" i="13"/>
  <c r="F1574" i="13"/>
  <c r="E1574" i="13"/>
  <c r="G1573" i="13"/>
  <c r="F1572" i="13"/>
  <c r="E1572" i="13"/>
  <c r="G1571" i="13"/>
  <c r="G1570" i="13"/>
  <c r="G1569" i="13"/>
  <c r="G1568" i="13"/>
  <c r="G1567" i="13"/>
  <c r="F1566" i="13"/>
  <c r="E1566" i="13"/>
  <c r="D1566" i="13"/>
  <c r="F1565" i="13"/>
  <c r="E1565" i="13"/>
  <c r="D1565" i="13"/>
  <c r="F1564" i="13"/>
  <c r="E1564" i="13"/>
  <c r="F1563" i="13"/>
  <c r="E1563" i="13"/>
  <c r="F1562" i="13"/>
  <c r="E1562" i="13"/>
  <c r="D1562" i="13"/>
  <c r="F1561" i="13"/>
  <c r="E1561" i="13"/>
  <c r="D1561" i="13"/>
  <c r="F1558" i="13"/>
  <c r="E1558" i="13"/>
  <c r="D1558" i="13"/>
  <c r="G1540" i="13"/>
  <c r="G1539" i="13"/>
  <c r="G1538" i="13"/>
  <c r="G1537" i="13"/>
  <c r="F1536" i="13"/>
  <c r="E1536" i="13"/>
  <c r="D1536" i="13"/>
  <c r="G1535" i="13"/>
  <c r="G1534" i="13"/>
  <c r="G1533" i="13"/>
  <c r="F1532" i="13"/>
  <c r="E1532" i="13"/>
  <c r="D1532" i="13"/>
  <c r="G1531" i="13"/>
  <c r="G1530" i="13"/>
  <c r="G1529" i="13"/>
  <c r="G1528" i="13"/>
  <c r="F1527" i="13"/>
  <c r="E1527" i="13"/>
  <c r="D1527" i="13"/>
  <c r="F1526" i="13"/>
  <c r="E1526" i="13"/>
  <c r="D1526" i="13"/>
  <c r="F1525" i="13"/>
  <c r="E1525" i="13"/>
  <c r="D1525" i="13"/>
  <c r="F1524" i="13"/>
  <c r="E1524" i="13"/>
  <c r="D1524" i="13"/>
  <c r="F1523" i="13"/>
  <c r="E1523" i="13"/>
  <c r="D1523" i="13"/>
  <c r="E1522" i="13"/>
  <c r="F1520" i="13"/>
  <c r="E1520" i="13"/>
  <c r="D1520" i="13"/>
  <c r="E1515" i="13"/>
  <c r="G1514" i="13"/>
  <c r="G1513" i="13"/>
  <c r="F1512" i="13"/>
  <c r="D1512" i="13"/>
  <c r="G1511" i="13"/>
  <c r="G1510" i="13"/>
  <c r="G1509" i="13"/>
  <c r="F1508" i="13"/>
  <c r="E1508" i="13"/>
  <c r="G1507" i="13"/>
  <c r="G1506" i="13"/>
  <c r="G1505" i="13"/>
  <c r="G1504" i="13"/>
  <c r="F1503" i="13"/>
  <c r="E1503" i="13"/>
  <c r="D1503" i="13"/>
  <c r="F1502" i="13"/>
  <c r="F1501" i="13"/>
  <c r="E1501" i="13"/>
  <c r="F1500" i="13"/>
  <c r="E1500" i="13"/>
  <c r="D1500" i="13"/>
  <c r="F1499" i="13"/>
  <c r="E1499" i="13"/>
  <c r="D1499" i="13"/>
  <c r="E1498" i="13"/>
  <c r="G1496" i="13"/>
  <c r="G1495" i="13"/>
  <c r="G1494" i="13"/>
  <c r="G1493" i="13"/>
  <c r="F1492" i="13"/>
  <c r="E1492" i="13"/>
  <c r="D1492" i="13"/>
  <c r="G1491" i="13"/>
  <c r="G1490" i="13"/>
  <c r="G1489" i="13"/>
  <c r="F1488" i="13"/>
  <c r="E1488" i="13"/>
  <c r="D1488" i="13"/>
  <c r="G1487" i="13"/>
  <c r="F1486" i="13"/>
  <c r="E1486" i="13"/>
  <c r="G1485" i="13"/>
  <c r="G1484" i="13"/>
  <c r="G1483" i="13"/>
  <c r="G1482" i="13"/>
  <c r="F1481" i="13"/>
  <c r="E1481" i="13"/>
  <c r="D1481" i="13"/>
  <c r="F1480" i="13"/>
  <c r="E1480" i="13"/>
  <c r="D1480" i="13"/>
  <c r="F1479" i="13"/>
  <c r="G1479" i="13" s="1"/>
  <c r="F1478" i="13"/>
  <c r="E1478" i="13"/>
  <c r="D1478" i="13"/>
  <c r="F1477" i="13"/>
  <c r="E1477" i="13"/>
  <c r="D1477" i="13"/>
  <c r="E1476" i="13"/>
  <c r="G1474" i="13"/>
  <c r="G1473" i="13"/>
  <c r="G1472" i="13"/>
  <c r="G1471" i="13"/>
  <c r="F1470" i="13"/>
  <c r="E1470" i="13"/>
  <c r="G1469" i="13"/>
  <c r="F1468" i="13"/>
  <c r="E1468" i="13"/>
  <c r="G1467" i="13"/>
  <c r="G1466" i="13"/>
  <c r="G1465" i="13"/>
  <c r="G1464" i="13"/>
  <c r="G1463" i="13"/>
  <c r="F1462" i="13"/>
  <c r="E1462" i="13"/>
  <c r="D1462" i="13"/>
  <c r="F1461" i="13"/>
  <c r="E1461" i="13"/>
  <c r="D1461" i="13"/>
  <c r="F1460" i="13"/>
  <c r="F1459" i="13"/>
  <c r="E1459" i="13"/>
  <c r="F1458" i="13"/>
  <c r="E1458" i="13"/>
  <c r="D1458" i="13"/>
  <c r="F1457" i="13"/>
  <c r="E1457" i="13"/>
  <c r="D1457" i="13"/>
  <c r="F1456" i="13"/>
  <c r="E1456" i="13"/>
  <c r="D1456" i="13"/>
  <c r="F1453" i="13"/>
  <c r="E1453" i="13"/>
  <c r="D1453" i="13"/>
  <c r="G1447" i="13"/>
  <c r="G1446" i="13"/>
  <c r="G1445" i="13"/>
  <c r="G1444" i="13"/>
  <c r="G1443" i="13"/>
  <c r="G1442" i="13"/>
  <c r="G1441" i="13"/>
  <c r="F1440" i="13"/>
  <c r="E1440" i="13"/>
  <c r="D1440" i="13"/>
  <c r="G1439" i="13"/>
  <c r="G1438" i="13"/>
  <c r="G1437" i="13"/>
  <c r="G1436" i="13"/>
  <c r="G1435" i="13"/>
  <c r="F1434" i="13"/>
  <c r="E1434" i="13"/>
  <c r="D1434" i="13"/>
  <c r="G1433" i="13"/>
  <c r="F1432" i="13"/>
  <c r="E1432" i="13"/>
  <c r="E1431" i="13"/>
  <c r="G1430" i="13"/>
  <c r="G1429" i="13"/>
  <c r="G1428" i="13"/>
  <c r="G1427" i="13"/>
  <c r="F1426" i="13"/>
  <c r="D1426" i="13"/>
  <c r="F1425" i="13"/>
  <c r="D1425" i="13"/>
  <c r="F1424" i="13"/>
  <c r="E1424" i="13"/>
  <c r="D1424" i="13"/>
  <c r="F1423" i="13"/>
  <c r="E1423" i="13"/>
  <c r="D1423" i="13"/>
  <c r="F1422" i="13"/>
  <c r="E1422" i="13"/>
  <c r="D1422" i="13"/>
  <c r="F1421" i="13"/>
  <c r="E1421" i="13"/>
  <c r="D1421" i="13"/>
  <c r="G1418" i="13"/>
  <c r="G1417" i="13"/>
  <c r="G1416" i="13"/>
  <c r="G1415" i="13"/>
  <c r="F1414" i="13"/>
  <c r="E1414" i="13"/>
  <c r="D1414" i="13"/>
  <c r="G1413" i="13"/>
  <c r="G1412" i="13"/>
  <c r="G1411" i="13"/>
  <c r="F1410" i="13"/>
  <c r="E1410" i="13"/>
  <c r="D1410" i="13"/>
  <c r="G1409" i="13"/>
  <c r="F1408" i="13"/>
  <c r="E1408" i="13"/>
  <c r="G1407" i="13"/>
  <c r="E1406" i="13"/>
  <c r="G1405" i="13"/>
  <c r="G1404" i="13"/>
  <c r="F1403" i="13"/>
  <c r="D1403" i="13"/>
  <c r="F1402" i="13"/>
  <c r="E1402" i="13"/>
  <c r="D1402" i="13"/>
  <c r="F1401" i="13"/>
  <c r="D1401" i="13"/>
  <c r="F1400" i="13"/>
  <c r="E1400" i="13"/>
  <c r="D1400" i="13"/>
  <c r="F1399" i="13"/>
  <c r="E1399" i="13"/>
  <c r="D1399" i="13"/>
  <c r="E1398" i="13"/>
  <c r="G1396" i="13"/>
  <c r="G1395" i="13"/>
  <c r="G1394" i="13"/>
  <c r="G1393" i="13"/>
  <c r="F1392" i="13"/>
  <c r="E1392" i="13"/>
  <c r="G1391" i="13"/>
  <c r="F1390" i="13"/>
  <c r="E1390" i="13"/>
  <c r="G1389" i="13"/>
  <c r="G1388" i="13"/>
  <c r="G1387" i="13"/>
  <c r="G1386" i="13"/>
  <c r="F1385" i="13"/>
  <c r="E1385" i="13"/>
  <c r="D1385" i="13"/>
  <c r="F1384" i="13"/>
  <c r="E1384" i="13"/>
  <c r="D1384" i="13"/>
  <c r="F1383" i="13"/>
  <c r="F1382" i="13"/>
  <c r="E1382" i="13"/>
  <c r="D1382" i="13"/>
  <c r="F1381" i="13"/>
  <c r="E1381" i="13"/>
  <c r="D1381" i="13"/>
  <c r="F1380" i="13"/>
  <c r="E1380" i="13"/>
  <c r="D1380" i="13"/>
  <c r="F1377" i="13"/>
  <c r="E1377" i="13"/>
  <c r="D1377" i="13"/>
  <c r="D1368" i="13"/>
  <c r="G1365" i="13"/>
  <c r="G1364" i="13"/>
  <c r="G1363" i="13"/>
  <c r="G1362" i="13"/>
  <c r="F1361" i="13"/>
  <c r="E1361" i="13"/>
  <c r="D1361" i="13"/>
  <c r="G1360" i="13"/>
  <c r="G1359" i="13"/>
  <c r="G1358" i="13"/>
  <c r="F1357" i="13"/>
  <c r="E1357" i="13"/>
  <c r="D1357" i="13"/>
  <c r="G1356" i="13"/>
  <c r="E1355" i="13"/>
  <c r="E1354" i="13"/>
  <c r="F1353" i="13"/>
  <c r="D1353" i="13"/>
  <c r="G1352" i="13"/>
  <c r="G1351" i="13"/>
  <c r="G1350" i="13"/>
  <c r="G1349" i="13"/>
  <c r="G1348" i="13"/>
  <c r="F1347" i="13"/>
  <c r="E1347" i="13"/>
  <c r="D1347" i="13"/>
  <c r="F1346" i="13"/>
  <c r="E1346" i="13"/>
  <c r="D1346" i="13"/>
  <c r="F1345" i="13"/>
  <c r="E1345" i="13"/>
  <c r="D1345" i="13"/>
  <c r="F1344" i="13"/>
  <c r="E1344" i="13"/>
  <c r="D1344" i="13"/>
  <c r="F1343" i="13"/>
  <c r="D1343" i="13"/>
  <c r="F1342" i="13"/>
  <c r="D1342" i="13"/>
  <c r="E1341" i="13"/>
  <c r="G1339" i="13"/>
  <c r="G1338" i="13"/>
  <c r="G1337" i="13"/>
  <c r="G1336" i="13"/>
  <c r="F1335" i="13"/>
  <c r="E1335" i="13"/>
  <c r="G1334" i="13"/>
  <c r="G1333" i="13"/>
  <c r="G1332" i="13"/>
  <c r="F1331" i="13"/>
  <c r="E1331" i="13"/>
  <c r="D1331" i="13"/>
  <c r="E1330" i="13"/>
  <c r="F1329" i="13"/>
  <c r="G1328" i="13"/>
  <c r="G1327" i="13"/>
  <c r="G1326" i="13"/>
  <c r="F1325" i="13"/>
  <c r="E1325" i="13"/>
  <c r="D1325" i="13"/>
  <c r="F1324" i="13"/>
  <c r="E1324" i="13"/>
  <c r="D1324" i="13"/>
  <c r="F1323" i="13"/>
  <c r="E1323" i="13"/>
  <c r="D1323" i="13"/>
  <c r="F1322" i="13"/>
  <c r="E1322" i="13"/>
  <c r="D1322" i="13"/>
  <c r="E1321" i="13"/>
  <c r="G1319" i="13"/>
  <c r="G1318" i="13"/>
  <c r="F1317" i="13"/>
  <c r="E1317" i="13"/>
  <c r="G1316" i="13"/>
  <c r="G1315" i="13"/>
  <c r="G1314" i="13"/>
  <c r="F1313" i="13"/>
  <c r="E1313" i="13"/>
  <c r="E1312" i="13"/>
  <c r="F1311" i="13"/>
  <c r="G1310" i="13"/>
  <c r="G1309" i="13"/>
  <c r="E1308" i="13"/>
  <c r="G1307" i="13"/>
  <c r="G1306" i="13"/>
  <c r="F1305" i="13"/>
  <c r="D1305" i="13"/>
  <c r="F1304" i="13"/>
  <c r="E1304" i="13"/>
  <c r="D1304" i="13"/>
  <c r="F1303" i="13"/>
  <c r="F1302" i="13"/>
  <c r="E1302" i="13"/>
  <c r="D1302" i="13"/>
  <c r="F1301" i="13"/>
  <c r="D1301" i="13"/>
  <c r="F1300" i="13"/>
  <c r="E1300" i="13"/>
  <c r="D1300" i="13"/>
  <c r="F1299" i="13"/>
  <c r="E1299" i="13"/>
  <c r="D1299" i="13"/>
  <c r="F1296" i="13"/>
  <c r="E1296" i="13"/>
  <c r="D1296" i="13"/>
  <c r="G1290" i="13"/>
  <c r="G1289" i="13"/>
  <c r="G1288" i="13"/>
  <c r="G1287" i="13"/>
  <c r="F1286" i="13"/>
  <c r="E1286" i="13"/>
  <c r="D1286" i="13"/>
  <c r="G1285" i="13"/>
  <c r="G1284" i="13"/>
  <c r="G1283" i="13"/>
  <c r="G1282" i="13"/>
  <c r="F1281" i="13"/>
  <c r="E1281" i="13"/>
  <c r="D1281" i="13"/>
  <c r="G1280" i="13"/>
  <c r="E1279" i="13"/>
  <c r="F1278" i="13"/>
  <c r="D1278" i="13"/>
  <c r="G1277" i="13"/>
  <c r="G1276" i="13"/>
  <c r="E1275" i="13"/>
  <c r="G1274" i="13"/>
  <c r="G1273" i="13"/>
  <c r="F1272" i="13"/>
  <c r="D1272" i="13"/>
  <c r="F1271" i="13"/>
  <c r="E1271" i="13"/>
  <c r="D1271" i="13"/>
  <c r="F1270" i="13"/>
  <c r="E1270" i="13"/>
  <c r="D1270" i="13"/>
  <c r="F1269" i="13"/>
  <c r="D1269" i="13"/>
  <c r="F1268" i="13"/>
  <c r="E1268" i="13"/>
  <c r="D1268" i="13"/>
  <c r="F1267" i="13"/>
  <c r="D1267" i="13"/>
  <c r="G1264" i="13"/>
  <c r="G1263" i="13"/>
  <c r="G1262" i="13"/>
  <c r="G1261" i="13"/>
  <c r="F1260" i="13"/>
  <c r="E1260" i="13"/>
  <c r="D1260" i="13"/>
  <c r="G1259" i="13"/>
  <c r="G1258" i="13"/>
  <c r="G1257" i="13"/>
  <c r="F1256" i="13"/>
  <c r="E1256" i="13"/>
  <c r="D1256" i="13"/>
  <c r="E1255" i="13"/>
  <c r="F1254" i="13"/>
  <c r="G1253" i="13"/>
  <c r="G1252" i="13"/>
  <c r="G1251" i="13"/>
  <c r="F1250" i="13"/>
  <c r="E1250" i="13"/>
  <c r="D1250" i="13"/>
  <c r="F1249" i="13"/>
  <c r="E1249" i="13"/>
  <c r="D1249" i="13"/>
  <c r="F1248" i="13"/>
  <c r="E1248" i="13"/>
  <c r="D1248" i="13"/>
  <c r="F1247" i="13"/>
  <c r="E1247" i="13"/>
  <c r="D1247" i="13"/>
  <c r="E1246" i="13"/>
  <c r="G1244" i="13"/>
  <c r="G1243" i="13"/>
  <c r="G1242" i="13"/>
  <c r="G1241" i="13"/>
  <c r="F1240" i="13"/>
  <c r="E1240" i="13"/>
  <c r="E1239" i="13"/>
  <c r="F1238" i="13"/>
  <c r="G1237" i="13"/>
  <c r="E1236" i="13"/>
  <c r="G1235" i="13"/>
  <c r="G1234" i="13"/>
  <c r="F1233" i="13"/>
  <c r="D1233" i="13"/>
  <c r="F1232" i="13"/>
  <c r="E1232" i="13"/>
  <c r="D1232" i="13"/>
  <c r="F1231" i="13"/>
  <c r="F1230" i="13"/>
  <c r="D1230" i="13"/>
  <c r="F1229" i="13"/>
  <c r="E1229" i="13"/>
  <c r="D1229" i="13"/>
  <c r="F1228" i="13"/>
  <c r="E1228" i="13"/>
  <c r="D1228" i="13"/>
  <c r="F1225" i="13"/>
  <c r="E1225" i="13"/>
  <c r="D1225" i="13"/>
  <c r="G1219" i="13"/>
  <c r="G1218" i="13"/>
  <c r="G1217" i="13"/>
  <c r="G1216" i="13"/>
  <c r="F1215" i="13"/>
  <c r="E1215" i="13"/>
  <c r="D1215" i="13"/>
  <c r="G1214" i="13"/>
  <c r="G1213" i="13"/>
  <c r="G1212" i="13"/>
  <c r="F1211" i="13"/>
  <c r="E1211" i="13"/>
  <c r="D1211" i="13"/>
  <c r="E1210" i="13"/>
  <c r="F1209" i="13"/>
  <c r="D1209" i="13"/>
  <c r="G1208" i="13"/>
  <c r="G1207" i="13"/>
  <c r="E1206" i="13"/>
  <c r="G1205" i="13"/>
  <c r="G1204" i="13"/>
  <c r="F1203" i="13"/>
  <c r="D1203" i="13"/>
  <c r="F1202" i="13"/>
  <c r="E1202" i="13"/>
  <c r="D1202" i="13"/>
  <c r="F1201" i="13"/>
  <c r="E1201" i="13"/>
  <c r="D1201" i="13"/>
  <c r="F1200" i="13"/>
  <c r="D1200" i="13"/>
  <c r="F1199" i="13"/>
  <c r="E1199" i="13"/>
  <c r="D1199" i="13"/>
  <c r="F1198" i="13"/>
  <c r="D1198" i="13"/>
  <c r="G1195" i="13"/>
  <c r="G1194" i="13"/>
  <c r="G1193" i="13"/>
  <c r="G1192" i="13"/>
  <c r="F1191" i="13"/>
  <c r="E1191" i="13"/>
  <c r="D1191" i="13"/>
  <c r="G1188" i="13"/>
  <c r="F1187" i="13"/>
  <c r="E1187" i="13"/>
  <c r="D1187" i="13"/>
  <c r="G1186" i="13"/>
  <c r="F1185" i="13"/>
  <c r="E1185" i="13"/>
  <c r="G1184" i="13"/>
  <c r="G1183" i="13"/>
  <c r="G1182" i="13"/>
  <c r="F1181" i="13"/>
  <c r="E1181" i="13"/>
  <c r="D1181" i="13"/>
  <c r="F1180" i="13"/>
  <c r="E1180" i="13"/>
  <c r="D1180" i="13"/>
  <c r="F1179" i="13"/>
  <c r="E1179" i="13"/>
  <c r="D1179" i="13"/>
  <c r="F1178" i="13"/>
  <c r="E1178" i="13"/>
  <c r="D1178" i="13"/>
  <c r="E1177" i="13"/>
  <c r="G1175" i="13"/>
  <c r="G1174" i="13"/>
  <c r="G1173" i="13"/>
  <c r="F1172" i="13"/>
  <c r="E1172" i="13"/>
  <c r="G1171" i="13"/>
  <c r="D1171" i="13"/>
  <c r="G1170" i="13"/>
  <c r="G1169" i="13"/>
  <c r="G1168" i="13"/>
  <c r="G1167" i="13"/>
  <c r="F1166" i="13"/>
  <c r="E1166" i="13"/>
  <c r="G1165" i="13"/>
  <c r="F1164" i="13"/>
  <c r="E1164" i="13"/>
  <c r="G1163" i="13"/>
  <c r="G1162" i="13"/>
  <c r="E1161" i="13"/>
  <c r="G1160" i="13"/>
  <c r="G1159" i="13"/>
  <c r="F1158" i="13"/>
  <c r="D1158" i="13"/>
  <c r="F1157" i="13"/>
  <c r="E1157" i="13"/>
  <c r="D1157" i="13"/>
  <c r="F1156" i="13"/>
  <c r="E1156" i="13"/>
  <c r="F1155" i="13"/>
  <c r="F1154" i="13"/>
  <c r="D1154" i="13"/>
  <c r="F1153" i="13"/>
  <c r="E1153" i="13"/>
  <c r="D1153" i="13"/>
  <c r="F1152" i="13"/>
  <c r="E1152" i="13"/>
  <c r="D1152" i="13"/>
  <c r="F1149" i="13"/>
  <c r="E1149" i="13"/>
  <c r="D1149" i="13"/>
  <c r="G1137" i="13"/>
  <c r="G1136" i="13"/>
  <c r="G1135" i="13"/>
  <c r="G1134" i="13"/>
  <c r="F1133" i="13"/>
  <c r="E1133" i="13"/>
  <c r="D1133" i="13"/>
  <c r="G1132" i="13"/>
  <c r="G1131" i="13"/>
  <c r="G1130" i="13"/>
  <c r="F1129" i="13"/>
  <c r="E1129" i="13"/>
  <c r="D1129" i="13"/>
  <c r="G1128" i="13"/>
  <c r="E1127" i="13"/>
  <c r="F1126" i="13"/>
  <c r="D1126" i="13"/>
  <c r="G1125" i="13"/>
  <c r="G1124" i="13"/>
  <c r="E1123" i="13"/>
  <c r="G1122" i="13"/>
  <c r="G1121" i="13"/>
  <c r="F1120" i="13"/>
  <c r="D1120" i="13"/>
  <c r="F1119" i="13"/>
  <c r="E1119" i="13"/>
  <c r="D1119" i="13"/>
  <c r="F1118" i="13"/>
  <c r="E1118" i="13"/>
  <c r="D1118" i="13"/>
  <c r="F1117" i="13"/>
  <c r="D1117" i="13"/>
  <c r="F1116" i="13"/>
  <c r="E1116" i="13"/>
  <c r="D1116" i="13"/>
  <c r="F1115" i="13"/>
  <c r="D1115" i="13"/>
  <c r="G1112" i="13"/>
  <c r="G1111" i="13"/>
  <c r="G1110" i="13"/>
  <c r="G1109" i="13"/>
  <c r="F1108" i="13"/>
  <c r="E1108" i="13"/>
  <c r="D1108" i="13"/>
  <c r="G1107" i="13"/>
  <c r="G1106" i="13"/>
  <c r="G1105" i="13"/>
  <c r="F1104" i="13"/>
  <c r="E1104" i="13"/>
  <c r="D1104" i="13"/>
  <c r="G1103" i="13"/>
  <c r="F1102" i="13"/>
  <c r="E1102" i="13"/>
  <c r="G1101" i="13"/>
  <c r="G1100" i="13"/>
  <c r="G1099" i="13"/>
  <c r="F1098" i="13"/>
  <c r="E1098" i="13"/>
  <c r="D1098" i="13"/>
  <c r="F1097" i="13"/>
  <c r="E1097" i="13"/>
  <c r="D1097" i="13"/>
  <c r="F1096" i="13"/>
  <c r="E1096" i="13"/>
  <c r="D1096" i="13"/>
  <c r="F1095" i="13"/>
  <c r="E1095" i="13"/>
  <c r="D1095" i="13"/>
  <c r="E1094" i="13"/>
  <c r="G1092" i="13"/>
  <c r="G1091" i="13"/>
  <c r="F1090" i="13"/>
  <c r="E1090" i="13"/>
  <c r="G1089" i="13"/>
  <c r="G1088" i="13"/>
  <c r="D1088" i="13"/>
  <c r="G1087" i="13"/>
  <c r="G1086" i="13"/>
  <c r="G1085" i="13"/>
  <c r="F1084" i="13"/>
  <c r="E1084" i="13"/>
  <c r="G1083" i="13"/>
  <c r="F1082" i="13"/>
  <c r="E1082" i="13"/>
  <c r="G1081" i="13"/>
  <c r="G1080" i="13"/>
  <c r="E1079" i="13"/>
  <c r="G1078" i="13"/>
  <c r="G1077" i="13"/>
  <c r="F1076" i="13"/>
  <c r="D1076" i="13"/>
  <c r="F1075" i="13"/>
  <c r="E1075" i="13"/>
  <c r="D1075" i="13"/>
  <c r="F1074" i="13"/>
  <c r="F1073" i="13"/>
  <c r="E1073" i="13"/>
  <c r="F1072" i="13"/>
  <c r="D1072" i="13"/>
  <c r="F1071" i="13"/>
  <c r="E1071" i="13"/>
  <c r="D1071" i="13"/>
  <c r="F1070" i="13"/>
  <c r="E1070" i="13"/>
  <c r="D1070" i="13"/>
  <c r="F1067" i="13"/>
  <c r="E1067" i="13"/>
  <c r="D1067" i="13"/>
  <c r="E1061" i="13"/>
  <c r="G1060" i="13"/>
  <c r="G1059" i="13"/>
  <c r="G1058" i="13"/>
  <c r="F1057" i="13"/>
  <c r="E1057" i="13"/>
  <c r="D1057" i="13"/>
  <c r="G1056" i="13"/>
  <c r="G1055" i="13"/>
  <c r="G1054" i="13"/>
  <c r="F1053" i="13"/>
  <c r="E1053" i="13"/>
  <c r="G1052" i="13"/>
  <c r="F1051" i="13"/>
  <c r="E1051" i="13"/>
  <c r="G1050" i="13"/>
  <c r="G1049" i="13"/>
  <c r="G1048" i="13"/>
  <c r="F1047" i="13"/>
  <c r="E1047" i="13"/>
  <c r="D1047" i="13"/>
  <c r="F1046" i="13"/>
  <c r="D1046" i="13"/>
  <c r="F1045" i="13"/>
  <c r="F1044" i="13"/>
  <c r="E1044" i="13"/>
  <c r="D1044" i="13"/>
  <c r="F1043" i="13"/>
  <c r="E1043" i="13"/>
  <c r="D1043" i="13"/>
  <c r="E1042" i="13"/>
  <c r="G1040" i="13"/>
  <c r="G1039" i="13"/>
  <c r="G1038" i="13"/>
  <c r="G1037" i="13"/>
  <c r="F1036" i="13"/>
  <c r="E1036" i="13"/>
  <c r="D1036" i="13"/>
  <c r="G1035" i="13"/>
  <c r="G1034" i="13"/>
  <c r="G1033" i="13"/>
  <c r="F1032" i="13"/>
  <c r="E1032" i="13"/>
  <c r="D1032" i="13"/>
  <c r="G1031" i="13"/>
  <c r="F1030" i="13"/>
  <c r="E1030" i="13"/>
  <c r="G1029" i="13"/>
  <c r="G1028" i="13"/>
  <c r="G1027" i="13"/>
  <c r="G1026" i="13"/>
  <c r="F1025" i="13"/>
  <c r="E1025" i="13"/>
  <c r="D1025" i="13"/>
  <c r="F1024" i="13"/>
  <c r="E1024" i="13"/>
  <c r="D1024" i="13"/>
  <c r="F1023" i="13"/>
  <c r="E1023" i="13"/>
  <c r="D1023" i="13"/>
  <c r="F1022" i="13"/>
  <c r="E1022" i="13"/>
  <c r="D1022" i="13"/>
  <c r="F1021" i="13"/>
  <c r="E1021" i="13"/>
  <c r="D1021" i="13"/>
  <c r="G1018" i="13"/>
  <c r="G1017" i="13"/>
  <c r="D1017" i="13"/>
  <c r="G1016" i="13"/>
  <c r="G1015" i="13"/>
  <c r="F1014" i="13"/>
  <c r="E1014" i="13"/>
  <c r="G1013" i="13"/>
  <c r="G1012" i="13"/>
  <c r="G1011" i="13"/>
  <c r="G1010" i="13"/>
  <c r="F1009" i="13"/>
  <c r="E1009" i="13"/>
  <c r="D1009" i="13"/>
  <c r="G1008" i="13"/>
  <c r="E1007" i="13"/>
  <c r="F1006" i="13"/>
  <c r="D1006" i="13"/>
  <c r="G1005" i="13"/>
  <c r="G1004" i="13"/>
  <c r="G1003" i="13"/>
  <c r="G1002" i="13"/>
  <c r="F1001" i="13"/>
  <c r="E1001" i="13"/>
  <c r="D1001" i="13"/>
  <c r="F1000" i="13"/>
  <c r="E1000" i="13"/>
  <c r="D1000" i="13"/>
  <c r="F999" i="13"/>
  <c r="E999" i="13"/>
  <c r="D999" i="13"/>
  <c r="F998" i="13"/>
  <c r="E998" i="13"/>
  <c r="F997" i="13"/>
  <c r="D997" i="13"/>
  <c r="G994" i="13"/>
  <c r="G993" i="13"/>
  <c r="G992" i="13"/>
  <c r="G991" i="13"/>
  <c r="G990" i="13"/>
  <c r="G989" i="13"/>
  <c r="F988" i="13"/>
  <c r="E988" i="13"/>
  <c r="G987" i="13"/>
  <c r="F986" i="13"/>
  <c r="E986" i="13"/>
  <c r="G985" i="13"/>
  <c r="G984" i="13"/>
  <c r="E983" i="13"/>
  <c r="G982" i="13"/>
  <c r="G981" i="13"/>
  <c r="F980" i="13"/>
  <c r="D980" i="13"/>
  <c r="F979" i="13"/>
  <c r="E979" i="13"/>
  <c r="D979" i="13"/>
  <c r="F978" i="13"/>
  <c r="C978" i="13"/>
  <c r="F977" i="13"/>
  <c r="E977" i="13"/>
  <c r="F976" i="13"/>
  <c r="D976" i="13"/>
  <c r="F975" i="13"/>
  <c r="E975" i="13"/>
  <c r="D975" i="13"/>
  <c r="F974" i="13"/>
  <c r="E974" i="13"/>
  <c r="D974" i="13"/>
  <c r="F971" i="13"/>
  <c r="D971" i="13"/>
  <c r="G965" i="13"/>
  <c r="G964" i="13"/>
  <c r="G963" i="13"/>
  <c r="G962" i="13"/>
  <c r="F961" i="13"/>
  <c r="E961" i="13"/>
  <c r="D961" i="13"/>
  <c r="G960" i="13"/>
  <c r="G959" i="13"/>
  <c r="G958" i="13"/>
  <c r="G957" i="13"/>
  <c r="F956" i="13"/>
  <c r="E956" i="13"/>
  <c r="D956" i="13"/>
  <c r="G955" i="13"/>
  <c r="E954" i="13"/>
  <c r="F953" i="13"/>
  <c r="D953" i="13"/>
  <c r="G952" i="13"/>
  <c r="G951" i="13"/>
  <c r="E950" i="13"/>
  <c r="G949" i="13"/>
  <c r="G948" i="13"/>
  <c r="F947" i="13"/>
  <c r="D947" i="13"/>
  <c r="F946" i="13"/>
  <c r="E946" i="13"/>
  <c r="D946" i="13"/>
  <c r="F945" i="13"/>
  <c r="E945" i="13"/>
  <c r="D945" i="13"/>
  <c r="F944" i="13"/>
  <c r="D944" i="13"/>
  <c r="F943" i="13"/>
  <c r="E943" i="13"/>
  <c r="D943" i="13"/>
  <c r="F942" i="13"/>
  <c r="D942" i="13"/>
  <c r="G939" i="13"/>
  <c r="G938" i="13"/>
  <c r="G937" i="13"/>
  <c r="F936" i="13"/>
  <c r="E936" i="13"/>
  <c r="G935" i="13"/>
  <c r="G934" i="13"/>
  <c r="G933" i="13"/>
  <c r="F932" i="13"/>
  <c r="E932" i="13"/>
  <c r="D932" i="13"/>
  <c r="F930" i="13"/>
  <c r="E930" i="13"/>
  <c r="G929" i="13"/>
  <c r="G928" i="13"/>
  <c r="G927" i="13"/>
  <c r="F926" i="13"/>
  <c r="E926" i="13"/>
  <c r="D926" i="13"/>
  <c r="F925" i="13"/>
  <c r="E925" i="13"/>
  <c r="D925" i="13"/>
  <c r="F924" i="13"/>
  <c r="E924" i="13"/>
  <c r="D924" i="13"/>
  <c r="F923" i="13"/>
  <c r="E923" i="13"/>
  <c r="D923" i="13"/>
  <c r="E922" i="13"/>
  <c r="G920" i="13"/>
  <c r="G919" i="13"/>
  <c r="F918" i="13"/>
  <c r="E918" i="13"/>
  <c r="G917" i="13"/>
  <c r="G916" i="13"/>
  <c r="D916" i="13"/>
  <c r="G915" i="13"/>
  <c r="G914" i="13"/>
  <c r="G913" i="13"/>
  <c r="F912" i="13"/>
  <c r="E912" i="13"/>
  <c r="F910" i="13"/>
  <c r="E910" i="13"/>
  <c r="G909" i="13"/>
  <c r="G908" i="13"/>
  <c r="E907" i="13"/>
  <c r="G906" i="13"/>
  <c r="G905" i="13"/>
  <c r="F904" i="13"/>
  <c r="D904" i="13"/>
  <c r="F903" i="13"/>
  <c r="E903" i="13"/>
  <c r="D903" i="13"/>
  <c r="F902" i="13"/>
  <c r="E902" i="13"/>
  <c r="F901" i="13"/>
  <c r="F900" i="13"/>
  <c r="D900" i="13"/>
  <c r="F899" i="13"/>
  <c r="E899" i="13"/>
  <c r="D899" i="13"/>
  <c r="F898" i="13"/>
  <c r="E898" i="13"/>
  <c r="D898" i="13"/>
  <c r="F895" i="13"/>
  <c r="E895" i="13"/>
  <c r="D895" i="13"/>
  <c r="G889" i="13"/>
  <c r="F888" i="13"/>
  <c r="E888" i="13"/>
  <c r="D888" i="13"/>
  <c r="F887" i="13"/>
  <c r="E887" i="13"/>
  <c r="D887" i="13"/>
  <c r="G885" i="13"/>
  <c r="G884" i="13"/>
  <c r="G883" i="13"/>
  <c r="G882" i="13"/>
  <c r="F881" i="13"/>
  <c r="E881" i="13"/>
  <c r="D881" i="13"/>
  <c r="G880" i="13"/>
  <c r="G879" i="13"/>
  <c r="G878" i="13"/>
  <c r="F877" i="13"/>
  <c r="E877" i="13"/>
  <c r="D877" i="13"/>
  <c r="G876" i="13"/>
  <c r="E875" i="13"/>
  <c r="F874" i="13"/>
  <c r="D874" i="13"/>
  <c r="G873" i="13"/>
  <c r="G872" i="13"/>
  <c r="E871" i="13"/>
  <c r="G870" i="13"/>
  <c r="G869" i="13"/>
  <c r="F868" i="13"/>
  <c r="D868" i="13"/>
  <c r="F867" i="13"/>
  <c r="E867" i="13"/>
  <c r="D867" i="13"/>
  <c r="F866" i="13"/>
  <c r="E866" i="13"/>
  <c r="D866" i="13"/>
  <c r="F865" i="13"/>
  <c r="D865" i="13"/>
  <c r="F864" i="13"/>
  <c r="E864" i="13"/>
  <c r="D864" i="13"/>
  <c r="F863" i="13"/>
  <c r="D863" i="13"/>
  <c r="E862" i="13"/>
  <c r="G860" i="13"/>
  <c r="G859" i="13"/>
  <c r="G858" i="13"/>
  <c r="G857" i="13"/>
  <c r="F856" i="13"/>
  <c r="E856" i="13"/>
  <c r="D856" i="13"/>
  <c r="G855" i="13"/>
  <c r="G854" i="13"/>
  <c r="G853" i="13"/>
  <c r="F852" i="13"/>
  <c r="E852" i="13"/>
  <c r="D852" i="13"/>
  <c r="G851" i="13"/>
  <c r="F850" i="13"/>
  <c r="E850" i="13"/>
  <c r="D850" i="13"/>
  <c r="G849" i="13"/>
  <c r="G848" i="13"/>
  <c r="G847" i="13"/>
  <c r="F846" i="13"/>
  <c r="E846" i="13"/>
  <c r="D846" i="13"/>
  <c r="F845" i="13"/>
  <c r="E845" i="13"/>
  <c r="D845" i="13"/>
  <c r="F844" i="13"/>
  <c r="E844" i="13"/>
  <c r="D844" i="13"/>
  <c r="F843" i="13"/>
  <c r="E843" i="13"/>
  <c r="D843" i="13"/>
  <c r="E842" i="13"/>
  <c r="G840" i="13"/>
  <c r="G839" i="13"/>
  <c r="G838" i="13"/>
  <c r="G837" i="13"/>
  <c r="F836" i="13"/>
  <c r="E836" i="13"/>
  <c r="D836" i="13"/>
  <c r="G835" i="13"/>
  <c r="G834" i="13"/>
  <c r="G833" i="13"/>
  <c r="F832" i="13"/>
  <c r="E832" i="13"/>
  <c r="D832" i="13"/>
  <c r="G831" i="13"/>
  <c r="E830" i="13"/>
  <c r="F829" i="13"/>
  <c r="D829" i="13"/>
  <c r="G828" i="13"/>
  <c r="G827" i="13"/>
  <c r="G826" i="13"/>
  <c r="G825" i="13"/>
  <c r="F824" i="13"/>
  <c r="E824" i="13"/>
  <c r="D824" i="13"/>
  <c r="F823" i="13"/>
  <c r="E823" i="13"/>
  <c r="D823" i="13"/>
  <c r="F822" i="13"/>
  <c r="E822" i="13"/>
  <c r="D822" i="13"/>
  <c r="F821" i="13"/>
  <c r="E821" i="13"/>
  <c r="D821" i="13"/>
  <c r="F820" i="13"/>
  <c r="D820" i="13"/>
  <c r="G817" i="13"/>
  <c r="G816" i="13"/>
  <c r="G815" i="13"/>
  <c r="G814" i="13"/>
  <c r="F813" i="13"/>
  <c r="E813" i="13"/>
  <c r="D813" i="13"/>
  <c r="G812" i="13"/>
  <c r="E811" i="13"/>
  <c r="F810" i="13"/>
  <c r="D810" i="13"/>
  <c r="G808" i="13"/>
  <c r="E807" i="13"/>
  <c r="G806" i="13"/>
  <c r="G805" i="13"/>
  <c r="F804" i="13"/>
  <c r="D804" i="13"/>
  <c r="F803" i="13"/>
  <c r="E803" i="13"/>
  <c r="D803" i="13"/>
  <c r="F801" i="13"/>
  <c r="E801" i="13"/>
  <c r="F800" i="13"/>
  <c r="D800" i="13"/>
  <c r="F799" i="13"/>
  <c r="E799" i="13"/>
  <c r="D799" i="13"/>
  <c r="F798" i="13"/>
  <c r="E798" i="13"/>
  <c r="D798" i="13"/>
  <c r="F795" i="13"/>
  <c r="E795" i="13"/>
  <c r="D795" i="13"/>
  <c r="G783" i="13"/>
  <c r="E782" i="13"/>
  <c r="F781" i="13"/>
  <c r="D781" i="13"/>
  <c r="G780" i="13"/>
  <c r="G779" i="13"/>
  <c r="G778" i="13"/>
  <c r="F777" i="13"/>
  <c r="E777" i="13"/>
  <c r="D777" i="13"/>
  <c r="G776" i="13"/>
  <c r="G775" i="13"/>
  <c r="G774" i="13"/>
  <c r="F773" i="13"/>
  <c r="E773" i="13"/>
  <c r="D773" i="13"/>
  <c r="G772" i="13"/>
  <c r="E771" i="13"/>
  <c r="G770" i="13"/>
  <c r="F769" i="13"/>
  <c r="D769" i="13"/>
  <c r="G768" i="13"/>
  <c r="G767" i="13"/>
  <c r="E766" i="13"/>
  <c r="G765" i="13"/>
  <c r="G764" i="13"/>
  <c r="F763" i="13"/>
  <c r="D763" i="13"/>
  <c r="F762" i="13"/>
  <c r="D762" i="13"/>
  <c r="F761" i="13"/>
  <c r="E761" i="13"/>
  <c r="D761" i="13"/>
  <c r="F760" i="13"/>
  <c r="D760" i="13"/>
  <c r="F759" i="13"/>
  <c r="D759" i="13"/>
  <c r="F758" i="13"/>
  <c r="E758" i="13"/>
  <c r="D758" i="13"/>
  <c r="G755" i="13"/>
  <c r="G754" i="13"/>
  <c r="G753" i="13"/>
  <c r="F752" i="13"/>
  <c r="E752" i="13"/>
  <c r="D752" i="13"/>
  <c r="G751" i="13"/>
  <c r="G750" i="13"/>
  <c r="G749" i="13"/>
  <c r="F748" i="13"/>
  <c r="E748" i="13"/>
  <c r="D748" i="13"/>
  <c r="G747" i="13"/>
  <c r="F746" i="13"/>
  <c r="D746" i="13"/>
  <c r="G745" i="13"/>
  <c r="G744" i="13"/>
  <c r="G743" i="13"/>
  <c r="F742" i="13"/>
  <c r="E742" i="13"/>
  <c r="D742" i="13"/>
  <c r="F741" i="13"/>
  <c r="E741" i="13"/>
  <c r="D741" i="13"/>
  <c r="F740" i="13"/>
  <c r="E740" i="13"/>
  <c r="D740" i="13"/>
  <c r="F739" i="13"/>
  <c r="E739" i="13"/>
  <c r="D739" i="13"/>
  <c r="E738" i="13"/>
  <c r="G736" i="13"/>
  <c r="G735" i="13"/>
  <c r="G734" i="13"/>
  <c r="G733" i="13"/>
  <c r="F732" i="13"/>
  <c r="E732" i="13"/>
  <c r="D732" i="13"/>
  <c r="G731" i="13"/>
  <c r="G730" i="13"/>
  <c r="F729" i="13"/>
  <c r="E729" i="13"/>
  <c r="D729" i="13"/>
  <c r="G728" i="13"/>
  <c r="E727" i="13"/>
  <c r="F726" i="13"/>
  <c r="D726" i="13"/>
  <c r="G725" i="13"/>
  <c r="G724" i="13"/>
  <c r="G723" i="13"/>
  <c r="G722" i="13"/>
  <c r="F721" i="13"/>
  <c r="E721" i="13"/>
  <c r="D721" i="13"/>
  <c r="F720" i="13"/>
  <c r="E720" i="13"/>
  <c r="D720" i="13"/>
  <c r="F719" i="13"/>
  <c r="E719" i="13"/>
  <c r="D719" i="13"/>
  <c r="F718" i="13"/>
  <c r="E718" i="13"/>
  <c r="D718" i="13"/>
  <c r="F717" i="13"/>
  <c r="D717" i="13"/>
  <c r="G714" i="13"/>
  <c r="G713" i="13"/>
  <c r="G712" i="13"/>
  <c r="G711" i="13"/>
  <c r="F710" i="13"/>
  <c r="E710" i="13"/>
  <c r="D710" i="13"/>
  <c r="G709" i="13"/>
  <c r="F708" i="13"/>
  <c r="E708" i="13"/>
  <c r="D708" i="13"/>
  <c r="G707" i="13"/>
  <c r="E706" i="13"/>
  <c r="G705" i="13"/>
  <c r="G704" i="13"/>
  <c r="F703" i="13"/>
  <c r="D703" i="13"/>
  <c r="F702" i="13"/>
  <c r="E702" i="13"/>
  <c r="D702" i="13"/>
  <c r="F701" i="13"/>
  <c r="C701" i="13"/>
  <c r="F700" i="13"/>
  <c r="D700" i="13"/>
  <c r="F699" i="13"/>
  <c r="E699" i="13"/>
  <c r="D699" i="13"/>
  <c r="F698" i="13"/>
  <c r="E698" i="13"/>
  <c r="D698" i="13"/>
  <c r="F695" i="13"/>
  <c r="E695" i="13"/>
  <c r="D695" i="13"/>
  <c r="G688" i="13"/>
  <c r="G687" i="13"/>
  <c r="G686" i="13"/>
  <c r="G685" i="13"/>
  <c r="F684" i="13"/>
  <c r="E684" i="13"/>
  <c r="D684" i="13"/>
  <c r="G683" i="13"/>
  <c r="G682" i="13"/>
  <c r="G681" i="13"/>
  <c r="F680" i="13"/>
  <c r="E680" i="13"/>
  <c r="D680" i="13"/>
  <c r="G679" i="13"/>
  <c r="G678" i="13"/>
  <c r="F677" i="13"/>
  <c r="E677" i="13"/>
  <c r="D677" i="13"/>
  <c r="G676" i="13"/>
  <c r="G675" i="13"/>
  <c r="E674" i="13"/>
  <c r="G673" i="13"/>
  <c r="G672" i="13"/>
  <c r="F671" i="13"/>
  <c r="D671" i="13"/>
  <c r="F670" i="13"/>
  <c r="E670" i="13"/>
  <c r="D670" i="13"/>
  <c r="F669" i="13"/>
  <c r="E669" i="13"/>
  <c r="D669" i="13"/>
  <c r="F668" i="13"/>
  <c r="D668" i="13"/>
  <c r="F667" i="13"/>
  <c r="E667" i="13"/>
  <c r="D667" i="13"/>
  <c r="F666" i="13"/>
  <c r="E666" i="13"/>
  <c r="D666" i="13"/>
  <c r="G663" i="13"/>
  <c r="G662" i="13"/>
  <c r="G661" i="13"/>
  <c r="G660" i="13"/>
  <c r="F659" i="13"/>
  <c r="E659" i="13"/>
  <c r="D659" i="13"/>
  <c r="G658" i="13"/>
  <c r="G657" i="13"/>
  <c r="G656" i="13"/>
  <c r="F655" i="13"/>
  <c r="E655" i="13"/>
  <c r="D655" i="13"/>
  <c r="G654" i="13"/>
  <c r="F653" i="13"/>
  <c r="E653" i="13"/>
  <c r="D653" i="13"/>
  <c r="G652" i="13"/>
  <c r="E651" i="13"/>
  <c r="G650" i="13"/>
  <c r="G649" i="13"/>
  <c r="F648" i="13"/>
  <c r="D648" i="13"/>
  <c r="F647" i="13"/>
  <c r="E647" i="13"/>
  <c r="D647" i="13"/>
  <c r="F646" i="13"/>
  <c r="D646" i="13"/>
  <c r="F645" i="13"/>
  <c r="E645" i="13"/>
  <c r="D645" i="13"/>
  <c r="F644" i="13"/>
  <c r="E644" i="13"/>
  <c r="D644" i="13"/>
  <c r="E643" i="13"/>
  <c r="G641" i="13"/>
  <c r="G640" i="13"/>
  <c r="G639" i="13"/>
  <c r="G638" i="13"/>
  <c r="G637" i="13"/>
  <c r="F636" i="13"/>
  <c r="E636" i="13"/>
  <c r="D636" i="13"/>
  <c r="G635" i="13"/>
  <c r="F634" i="13"/>
  <c r="E634" i="13"/>
  <c r="D634" i="13"/>
  <c r="G633" i="13"/>
  <c r="G632" i="13"/>
  <c r="G631" i="13"/>
  <c r="G630" i="13"/>
  <c r="F629" i="13"/>
  <c r="E629" i="13"/>
  <c r="D629" i="13"/>
  <c r="F628" i="13"/>
  <c r="E628" i="13"/>
  <c r="D628" i="13"/>
  <c r="F627" i="13"/>
  <c r="C627" i="13"/>
  <c r="F626" i="13"/>
  <c r="E626" i="13"/>
  <c r="D626" i="13"/>
  <c r="F625" i="13"/>
  <c r="E625" i="13"/>
  <c r="D625" i="13"/>
  <c r="F624" i="13"/>
  <c r="E624" i="13"/>
  <c r="D624" i="13"/>
  <c r="C623" i="13"/>
  <c r="F621" i="13"/>
  <c r="E621" i="13"/>
  <c r="D621" i="13"/>
  <c r="G615" i="13"/>
  <c r="G614" i="13"/>
  <c r="G613" i="13"/>
  <c r="G612" i="13"/>
  <c r="F611" i="13"/>
  <c r="E611" i="13"/>
  <c r="D611" i="13"/>
  <c r="G610" i="13"/>
  <c r="G609" i="13"/>
  <c r="G608" i="13"/>
  <c r="F607" i="13"/>
  <c r="E607" i="13"/>
  <c r="D607" i="13"/>
  <c r="G606" i="13"/>
  <c r="F605" i="13"/>
  <c r="E605" i="13"/>
  <c r="D605" i="13"/>
  <c r="G604" i="13"/>
  <c r="E603" i="13"/>
  <c r="G602" i="13"/>
  <c r="G601" i="13"/>
  <c r="F600" i="13"/>
  <c r="D600" i="13"/>
  <c r="F599" i="13"/>
  <c r="E599" i="13"/>
  <c r="D599" i="13"/>
  <c r="F598" i="13"/>
  <c r="D598" i="13"/>
  <c r="F597" i="13"/>
  <c r="E597" i="13"/>
  <c r="D597" i="13"/>
  <c r="F596" i="13"/>
  <c r="E596" i="13"/>
  <c r="D596" i="13"/>
  <c r="E595" i="13"/>
  <c r="G593" i="13"/>
  <c r="G592" i="13"/>
  <c r="G591" i="13"/>
  <c r="G590" i="13"/>
  <c r="F589" i="13"/>
  <c r="E589" i="13"/>
  <c r="D589" i="13"/>
  <c r="G588" i="13"/>
  <c r="G587" i="13"/>
  <c r="F586" i="13"/>
  <c r="E586" i="13"/>
  <c r="D586" i="13"/>
  <c r="G585" i="13"/>
  <c r="G584" i="13"/>
  <c r="G583" i="13"/>
  <c r="F582" i="13"/>
  <c r="E582" i="13"/>
  <c r="D582" i="13"/>
  <c r="G581" i="13"/>
  <c r="G580" i="13"/>
  <c r="G579" i="13"/>
  <c r="G578" i="13"/>
  <c r="F577" i="13"/>
  <c r="E577" i="13"/>
  <c r="D577" i="13"/>
  <c r="F576" i="13"/>
  <c r="E576" i="13"/>
  <c r="D576" i="13"/>
  <c r="F575" i="13"/>
  <c r="E575" i="13"/>
  <c r="D575" i="13"/>
  <c r="F574" i="13"/>
  <c r="F573" i="13"/>
  <c r="E573" i="13"/>
  <c r="D573" i="13"/>
  <c r="F572" i="13"/>
  <c r="E572" i="13"/>
  <c r="D572" i="13"/>
  <c r="G569" i="13"/>
  <c r="G568" i="13"/>
  <c r="G567" i="13"/>
  <c r="G566" i="13"/>
  <c r="F565" i="13"/>
  <c r="E565" i="13"/>
  <c r="D565" i="13"/>
  <c r="G564" i="13"/>
  <c r="F563" i="13"/>
  <c r="E563" i="13"/>
  <c r="D563" i="13"/>
  <c r="G562" i="13"/>
  <c r="G561" i="13"/>
  <c r="G560" i="13"/>
  <c r="G559" i="13"/>
  <c r="F558" i="13"/>
  <c r="E558" i="13"/>
  <c r="D558" i="13"/>
  <c r="F557" i="13"/>
  <c r="E557" i="13"/>
  <c r="D557" i="13"/>
  <c r="F556" i="13"/>
  <c r="F555" i="13"/>
  <c r="E555" i="13"/>
  <c r="D555" i="13"/>
  <c r="F554" i="13"/>
  <c r="E554" i="13"/>
  <c r="D554" i="13"/>
  <c r="F553" i="13"/>
  <c r="E553" i="13"/>
  <c r="D553" i="13"/>
  <c r="F550" i="13"/>
  <c r="E550" i="13"/>
  <c r="D550" i="13"/>
  <c r="G544" i="13"/>
  <c r="G543" i="13"/>
  <c r="G542" i="13"/>
  <c r="G540" i="13"/>
  <c r="G539" i="13"/>
  <c r="G538" i="13"/>
  <c r="F537" i="13"/>
  <c r="E537" i="13"/>
  <c r="D537" i="13"/>
  <c r="G536" i="13"/>
  <c r="F535" i="13"/>
  <c r="E535" i="13"/>
  <c r="D535" i="13"/>
  <c r="G534" i="13"/>
  <c r="G533" i="13"/>
  <c r="G532" i="13"/>
  <c r="F531" i="13"/>
  <c r="E531" i="13"/>
  <c r="D531" i="13"/>
  <c r="F530" i="13"/>
  <c r="E530" i="13"/>
  <c r="D530" i="13"/>
  <c r="F529" i="13"/>
  <c r="E529" i="13"/>
  <c r="D529" i="13"/>
  <c r="F528" i="13"/>
  <c r="E528" i="13"/>
  <c r="D528" i="13"/>
  <c r="E527" i="13"/>
  <c r="G525" i="13"/>
  <c r="G524" i="13"/>
  <c r="G523" i="13"/>
  <c r="G522" i="13"/>
  <c r="G521" i="13"/>
  <c r="F520" i="13"/>
  <c r="E520" i="13"/>
  <c r="D520" i="13"/>
  <c r="G519" i="13"/>
  <c r="G518" i="13"/>
  <c r="G517" i="13"/>
  <c r="F516" i="13"/>
  <c r="E516" i="13"/>
  <c r="D516" i="13"/>
  <c r="G515" i="13"/>
  <c r="G514" i="13"/>
  <c r="F513" i="13"/>
  <c r="E513" i="13"/>
  <c r="D513" i="13"/>
  <c r="G512" i="13"/>
  <c r="G511" i="13"/>
  <c r="G510" i="13"/>
  <c r="G509" i="13"/>
  <c r="F508" i="13"/>
  <c r="E508" i="13"/>
  <c r="D508" i="13"/>
  <c r="F507" i="13"/>
  <c r="E507" i="13"/>
  <c r="D507" i="13"/>
  <c r="F506" i="13"/>
  <c r="E506" i="13"/>
  <c r="D506" i="13"/>
  <c r="F505" i="13"/>
  <c r="E505" i="13"/>
  <c r="D505" i="13"/>
  <c r="F504" i="13"/>
  <c r="E504" i="13"/>
  <c r="D504" i="13"/>
  <c r="G501" i="13"/>
  <c r="G500" i="13"/>
  <c r="G499" i="13"/>
  <c r="G498" i="13"/>
  <c r="F497" i="13"/>
  <c r="E497" i="13"/>
  <c r="D497" i="13"/>
  <c r="G496" i="13"/>
  <c r="F495" i="13"/>
  <c r="E495" i="13"/>
  <c r="D495" i="13"/>
  <c r="G494" i="13"/>
  <c r="E493" i="13"/>
  <c r="G492" i="13"/>
  <c r="G491" i="13"/>
  <c r="F490" i="13"/>
  <c r="D490" i="13"/>
  <c r="F489" i="13"/>
  <c r="E489" i="13"/>
  <c r="D489" i="13"/>
  <c r="F488" i="13"/>
  <c r="F487" i="13"/>
  <c r="D487" i="13"/>
  <c r="F486" i="13"/>
  <c r="E486" i="13"/>
  <c r="D486" i="13"/>
  <c r="F485" i="13"/>
  <c r="E485" i="13"/>
  <c r="D485" i="13"/>
  <c r="F482" i="13"/>
  <c r="E482" i="13"/>
  <c r="D482" i="13"/>
  <c r="G476" i="13"/>
  <c r="G475" i="13"/>
  <c r="G474" i="13"/>
  <c r="G473" i="13"/>
  <c r="F471" i="13"/>
  <c r="E471" i="13"/>
  <c r="D471" i="13"/>
  <c r="G470" i="13"/>
  <c r="G469" i="13"/>
  <c r="G468" i="13"/>
  <c r="F467" i="13"/>
  <c r="E467" i="13"/>
  <c r="D467" i="13"/>
  <c r="F466" i="13"/>
  <c r="G465" i="13"/>
  <c r="G464" i="13"/>
  <c r="E463" i="13"/>
  <c r="D463" i="13"/>
  <c r="G462" i="13"/>
  <c r="G461" i="13"/>
  <c r="G460" i="13"/>
  <c r="G459" i="13"/>
  <c r="G458" i="13"/>
  <c r="F457" i="13"/>
  <c r="E457" i="13"/>
  <c r="D457" i="13"/>
  <c r="E456" i="13"/>
  <c r="D456" i="13"/>
  <c r="F455" i="13"/>
  <c r="F454" i="13"/>
  <c r="E454" i="13"/>
  <c r="D454" i="13"/>
  <c r="F453" i="13"/>
  <c r="E453" i="13"/>
  <c r="D453" i="13"/>
  <c r="F452" i="13"/>
  <c r="E452" i="13"/>
  <c r="D452" i="13"/>
  <c r="F451" i="13"/>
  <c r="E451" i="13"/>
  <c r="D451" i="13"/>
  <c r="G448" i="13"/>
  <c r="G447" i="13"/>
  <c r="G446" i="13"/>
  <c r="G445" i="13"/>
  <c r="F444" i="13"/>
  <c r="E444" i="13"/>
  <c r="D444" i="13"/>
  <c r="G443" i="13"/>
  <c r="G442" i="13"/>
  <c r="G441" i="13"/>
  <c r="F440" i="13"/>
  <c r="E440" i="13"/>
  <c r="D440" i="13"/>
  <c r="G439" i="13"/>
  <c r="F438" i="13"/>
  <c r="E438" i="13"/>
  <c r="D438" i="13"/>
  <c r="G437" i="13"/>
  <c r="G436" i="13"/>
  <c r="G435" i="13"/>
  <c r="G434" i="13"/>
  <c r="F433" i="13"/>
  <c r="E433" i="13"/>
  <c r="D433" i="13"/>
  <c r="F432" i="13"/>
  <c r="E432" i="13"/>
  <c r="D432" i="13"/>
  <c r="F431" i="13"/>
  <c r="E431" i="13"/>
  <c r="D431" i="13"/>
  <c r="F430" i="13"/>
  <c r="E430" i="13"/>
  <c r="D430" i="13"/>
  <c r="F429" i="13"/>
  <c r="E429" i="13"/>
  <c r="D429" i="13"/>
  <c r="E428" i="13"/>
  <c r="G426" i="13"/>
  <c r="G425" i="13"/>
  <c r="G424" i="13"/>
  <c r="G423" i="13"/>
  <c r="F422" i="13"/>
  <c r="E422" i="13"/>
  <c r="D422" i="13"/>
  <c r="G421" i="13"/>
  <c r="F420" i="13"/>
  <c r="E420" i="13"/>
  <c r="D420" i="13"/>
  <c r="G419" i="13"/>
  <c r="G418" i="13"/>
  <c r="G417" i="13"/>
  <c r="G416" i="13"/>
  <c r="F415" i="13"/>
  <c r="E415" i="13"/>
  <c r="D415" i="13"/>
  <c r="F414" i="13"/>
  <c r="E414" i="13"/>
  <c r="D414" i="13"/>
  <c r="F413" i="13"/>
  <c r="C413" i="13"/>
  <c r="F412" i="13"/>
  <c r="E412" i="13"/>
  <c r="D412" i="13"/>
  <c r="F411" i="13"/>
  <c r="E411" i="13"/>
  <c r="D411" i="13"/>
  <c r="F410" i="13"/>
  <c r="E410" i="13"/>
  <c r="D410" i="13"/>
  <c r="F407" i="13"/>
  <c r="E407" i="13"/>
  <c r="D407" i="13"/>
  <c r="E401" i="13"/>
  <c r="G400" i="13"/>
  <c r="G399" i="13"/>
  <c r="G398" i="13"/>
  <c r="F397" i="13"/>
  <c r="E397" i="13"/>
  <c r="G396" i="13"/>
  <c r="G395" i="13"/>
  <c r="G394" i="13"/>
  <c r="F393" i="13"/>
  <c r="E393" i="13"/>
  <c r="D393" i="13"/>
  <c r="G392" i="13"/>
  <c r="F391" i="13"/>
  <c r="E391" i="13"/>
  <c r="D391" i="13"/>
  <c r="G390" i="13"/>
  <c r="G389" i="13"/>
  <c r="G388" i="13"/>
  <c r="F387" i="13"/>
  <c r="E387" i="13"/>
  <c r="D387" i="13"/>
  <c r="F386" i="13"/>
  <c r="D386" i="13"/>
  <c r="F385" i="13"/>
  <c r="E385" i="13"/>
  <c r="F384" i="13"/>
  <c r="E384" i="13"/>
  <c r="D384" i="13"/>
  <c r="F383" i="13"/>
  <c r="E383" i="13"/>
  <c r="D383" i="13"/>
  <c r="E382" i="13"/>
  <c r="G380" i="13"/>
  <c r="G379" i="13"/>
  <c r="G378" i="13"/>
  <c r="G377" i="13"/>
  <c r="F376" i="13"/>
  <c r="E376" i="13"/>
  <c r="D376" i="13"/>
  <c r="G375" i="13"/>
  <c r="G374" i="13"/>
  <c r="G373" i="13"/>
  <c r="F372" i="13"/>
  <c r="E372" i="13"/>
  <c r="D372" i="13"/>
  <c r="G371" i="13"/>
  <c r="F370" i="13"/>
  <c r="E370" i="13"/>
  <c r="G369" i="13"/>
  <c r="G368" i="13"/>
  <c r="G367" i="13"/>
  <c r="G366" i="13"/>
  <c r="F365" i="13"/>
  <c r="E365" i="13"/>
  <c r="D365" i="13"/>
  <c r="F364" i="13"/>
  <c r="E364" i="13"/>
  <c r="D364" i="13"/>
  <c r="F363" i="13"/>
  <c r="E363" i="13"/>
  <c r="D363" i="13"/>
  <c r="F362" i="13"/>
  <c r="E362" i="13"/>
  <c r="D362" i="13"/>
  <c r="F361" i="13"/>
  <c r="E361" i="13"/>
  <c r="D361" i="13"/>
  <c r="E360" i="13"/>
  <c r="G358" i="13"/>
  <c r="G357" i="13"/>
  <c r="G356" i="13"/>
  <c r="G355" i="13"/>
  <c r="F354" i="13"/>
  <c r="E354" i="13"/>
  <c r="G353" i="13"/>
  <c r="F352" i="13"/>
  <c r="E352" i="13"/>
  <c r="G351" i="13"/>
  <c r="G350" i="13"/>
  <c r="G349" i="13"/>
  <c r="G348" i="13"/>
  <c r="F347" i="13"/>
  <c r="E347" i="13"/>
  <c r="D347" i="13"/>
  <c r="F346" i="13"/>
  <c r="E346" i="13"/>
  <c r="D346" i="13"/>
  <c r="F345" i="13"/>
  <c r="F344" i="13"/>
  <c r="E344" i="13"/>
  <c r="D344" i="13"/>
  <c r="F343" i="13"/>
  <c r="E343" i="13"/>
  <c r="D343" i="13"/>
  <c r="F342" i="13"/>
  <c r="E342" i="13"/>
  <c r="D342" i="13"/>
  <c r="F339" i="13"/>
  <c r="D339" i="13"/>
  <c r="G326" i="13"/>
  <c r="G325" i="13"/>
  <c r="G324" i="13"/>
  <c r="G323" i="13"/>
  <c r="F322" i="13"/>
  <c r="E322" i="13"/>
  <c r="D322" i="13"/>
  <c r="G321" i="13"/>
  <c r="G320" i="13"/>
  <c r="G319" i="13"/>
  <c r="F318" i="13"/>
  <c r="E318" i="13"/>
  <c r="G317" i="13"/>
  <c r="F316" i="13"/>
  <c r="E316" i="13"/>
  <c r="G315" i="13"/>
  <c r="G314" i="13"/>
  <c r="G313" i="13"/>
  <c r="F312" i="13"/>
  <c r="E312" i="13"/>
  <c r="D312" i="13"/>
  <c r="F311" i="13"/>
  <c r="E311" i="13"/>
  <c r="D311" i="13"/>
  <c r="F310" i="13"/>
  <c r="E310" i="13"/>
  <c r="F309" i="13"/>
  <c r="E309" i="13"/>
  <c r="D309" i="13"/>
  <c r="F308" i="13"/>
  <c r="E308" i="13"/>
  <c r="D308" i="13"/>
  <c r="E307" i="13"/>
  <c r="G305" i="13"/>
  <c r="G304" i="13"/>
  <c r="G303" i="13"/>
  <c r="G302" i="13"/>
  <c r="F301" i="13"/>
  <c r="E301" i="13"/>
  <c r="D301" i="13"/>
  <c r="G300" i="13"/>
  <c r="G299" i="13"/>
  <c r="G298" i="13"/>
  <c r="F297" i="13"/>
  <c r="E297" i="13"/>
  <c r="D297" i="13"/>
  <c r="G296" i="13"/>
  <c r="G295" i="13"/>
  <c r="F294" i="13"/>
  <c r="E294" i="13"/>
  <c r="D294" i="13"/>
  <c r="G293" i="13"/>
  <c r="G292" i="13"/>
  <c r="G291" i="13"/>
  <c r="G290" i="13"/>
  <c r="G289" i="13"/>
  <c r="F288" i="13"/>
  <c r="E288" i="13"/>
  <c r="D288" i="13"/>
  <c r="F287" i="13"/>
  <c r="E287" i="13"/>
  <c r="D287" i="13"/>
  <c r="F286" i="13"/>
  <c r="E286" i="13"/>
  <c r="D286" i="13"/>
  <c r="F285" i="13"/>
  <c r="E285" i="13"/>
  <c r="D285" i="13"/>
  <c r="F284" i="13"/>
  <c r="E284" i="13"/>
  <c r="D284" i="13"/>
  <c r="F283" i="13"/>
  <c r="E283" i="13"/>
  <c r="D283" i="13"/>
  <c r="E282" i="13"/>
  <c r="G280" i="13"/>
  <c r="G279" i="13"/>
  <c r="G278" i="13"/>
  <c r="G277" i="13"/>
  <c r="F276" i="13"/>
  <c r="E276" i="13"/>
  <c r="D276" i="13"/>
  <c r="G275" i="13"/>
  <c r="G274" i="13"/>
  <c r="G273" i="13"/>
  <c r="F272" i="13"/>
  <c r="E272" i="13"/>
  <c r="D272" i="13"/>
  <c r="G271" i="13"/>
  <c r="F270" i="13"/>
  <c r="G269" i="13"/>
  <c r="G268" i="13"/>
  <c r="G267" i="13"/>
  <c r="F266" i="13"/>
  <c r="E266" i="13"/>
  <c r="D266" i="13"/>
  <c r="F265" i="13"/>
  <c r="E265" i="13"/>
  <c r="D265" i="13"/>
  <c r="F264" i="13"/>
  <c r="E264" i="13"/>
  <c r="D264" i="13"/>
  <c r="F263" i="13"/>
  <c r="E263" i="13"/>
  <c r="D263" i="13"/>
  <c r="E262" i="13"/>
  <c r="G260" i="13"/>
  <c r="G259" i="13"/>
  <c r="G258" i="13"/>
  <c r="G257" i="13"/>
  <c r="F256" i="13"/>
  <c r="E256" i="13"/>
  <c r="D256" i="13"/>
  <c r="G255" i="13"/>
  <c r="G254" i="13"/>
  <c r="F253" i="13"/>
  <c r="E253" i="13"/>
  <c r="D253" i="13"/>
  <c r="G252" i="13"/>
  <c r="G251" i="13"/>
  <c r="F250" i="13"/>
  <c r="E250" i="13"/>
  <c r="D250" i="13"/>
  <c r="G249" i="13"/>
  <c r="G248" i="13"/>
  <c r="E247" i="13"/>
  <c r="G246" i="13"/>
  <c r="F245" i="13"/>
  <c r="D245" i="13"/>
  <c r="F244" i="13"/>
  <c r="E244" i="13"/>
  <c r="D244" i="13"/>
  <c r="F243" i="13"/>
  <c r="E243" i="13"/>
  <c r="D243" i="13"/>
  <c r="F242" i="13"/>
  <c r="D242" i="13"/>
  <c r="F241" i="13"/>
  <c r="E241" i="13"/>
  <c r="D241" i="13"/>
  <c r="E240" i="13"/>
  <c r="G238" i="13"/>
  <c r="G237" i="13"/>
  <c r="G236" i="13"/>
  <c r="G235" i="13"/>
  <c r="F234" i="13"/>
  <c r="E234" i="13"/>
  <c r="G233" i="13"/>
  <c r="F232" i="13"/>
  <c r="G231" i="13"/>
  <c r="G230" i="13"/>
  <c r="E229" i="13"/>
  <c r="G228" i="13"/>
  <c r="F227" i="13"/>
  <c r="D227" i="13"/>
  <c r="F226" i="13"/>
  <c r="E226" i="13"/>
  <c r="D226" i="13"/>
  <c r="F225" i="13"/>
  <c r="F224" i="13"/>
  <c r="E224" i="13"/>
  <c r="D224" i="13"/>
  <c r="F223" i="13"/>
  <c r="D223" i="13"/>
  <c r="F222" i="13"/>
  <c r="E222" i="13"/>
  <c r="D222" i="13"/>
  <c r="E221" i="13"/>
  <c r="F219" i="13"/>
  <c r="E219" i="13"/>
  <c r="D219" i="13"/>
  <c r="G213" i="13"/>
  <c r="G212" i="13"/>
  <c r="G211" i="13"/>
  <c r="G210" i="13"/>
  <c r="F209" i="13"/>
  <c r="E209" i="13"/>
  <c r="D209" i="13"/>
  <c r="G208" i="13"/>
  <c r="G207" i="13"/>
  <c r="G206" i="13"/>
  <c r="F205" i="13"/>
  <c r="E205" i="13"/>
  <c r="D205" i="13"/>
  <c r="G204" i="13"/>
  <c r="G203" i="13"/>
  <c r="F202" i="13"/>
  <c r="E202" i="13"/>
  <c r="D202" i="13"/>
  <c r="G201" i="13"/>
  <c r="G200" i="13"/>
  <c r="G199" i="13"/>
  <c r="E198" i="13"/>
  <c r="G197" i="13"/>
  <c r="F196" i="13"/>
  <c r="D196" i="13"/>
  <c r="F195" i="13"/>
  <c r="E195" i="13"/>
  <c r="D195" i="13"/>
  <c r="F194" i="13"/>
  <c r="E194" i="13"/>
  <c r="D194" i="13"/>
  <c r="F193" i="13"/>
  <c r="E193" i="13"/>
  <c r="D193" i="13"/>
  <c r="F192" i="13"/>
  <c r="D192" i="13"/>
  <c r="F191" i="13"/>
  <c r="E191" i="13"/>
  <c r="D191" i="13"/>
  <c r="E190" i="13"/>
  <c r="G188" i="13"/>
  <c r="G187" i="13"/>
  <c r="G186" i="13"/>
  <c r="G185" i="13"/>
  <c r="F184" i="13"/>
  <c r="E184" i="13"/>
  <c r="D184" i="13"/>
  <c r="G183" i="13"/>
  <c r="G182" i="13"/>
  <c r="G181" i="13"/>
  <c r="F180" i="13"/>
  <c r="E180" i="13"/>
  <c r="D180" i="13"/>
  <c r="G179" i="13"/>
  <c r="F178" i="13"/>
  <c r="G177" i="13"/>
  <c r="G176" i="13"/>
  <c r="G175" i="13"/>
  <c r="F174" i="13"/>
  <c r="E174" i="13"/>
  <c r="D174" i="13"/>
  <c r="E173" i="13"/>
  <c r="D173" i="13"/>
  <c r="F172" i="13"/>
  <c r="E172" i="13"/>
  <c r="D172" i="13"/>
  <c r="F171" i="13"/>
  <c r="E171" i="13"/>
  <c r="D171" i="13"/>
  <c r="E170" i="13"/>
  <c r="G168" i="13"/>
  <c r="G167" i="13"/>
  <c r="G166" i="13"/>
  <c r="G165" i="13"/>
  <c r="F164" i="13"/>
  <c r="E164" i="13"/>
  <c r="D164" i="13"/>
  <c r="G163" i="13"/>
  <c r="G162" i="13"/>
  <c r="F161" i="13"/>
  <c r="E161" i="13"/>
  <c r="D161" i="13"/>
  <c r="G160" i="13"/>
  <c r="E159" i="13"/>
  <c r="F158" i="13"/>
  <c r="D158" i="13"/>
  <c r="G157" i="13"/>
  <c r="G156" i="13"/>
  <c r="E155" i="13"/>
  <c r="G154" i="13"/>
  <c r="F153" i="13"/>
  <c r="D153" i="13"/>
  <c r="F152" i="13"/>
  <c r="E152" i="13"/>
  <c r="D152" i="13"/>
  <c r="F151" i="13"/>
  <c r="E151" i="13"/>
  <c r="D151" i="13"/>
  <c r="F150" i="13"/>
  <c r="D150" i="13"/>
  <c r="F149" i="13"/>
  <c r="D149" i="13"/>
  <c r="G146" i="13"/>
  <c r="G145" i="13"/>
  <c r="G144" i="13"/>
  <c r="G143" i="13"/>
  <c r="G142" i="13"/>
  <c r="F141" i="13"/>
  <c r="E141" i="13"/>
  <c r="G140" i="13"/>
  <c r="F139" i="13"/>
  <c r="G138" i="13"/>
  <c r="E137" i="13"/>
  <c r="E136" i="13"/>
  <c r="E135" i="13"/>
  <c r="F134" i="13"/>
  <c r="D134" i="13"/>
  <c r="F133" i="13"/>
  <c r="E133" i="13"/>
  <c r="D133" i="13"/>
  <c r="F132" i="13"/>
  <c r="F131" i="13"/>
  <c r="D131" i="13"/>
  <c r="F130" i="13"/>
  <c r="D130" i="13"/>
  <c r="F129" i="13"/>
  <c r="D129" i="13"/>
  <c r="F126" i="13"/>
  <c r="E126" i="13"/>
  <c r="D126" i="13"/>
  <c r="G120" i="13"/>
  <c r="G119" i="13"/>
  <c r="G118" i="13"/>
  <c r="G117" i="13"/>
  <c r="F116" i="13"/>
  <c r="E116" i="13"/>
  <c r="D116" i="13"/>
  <c r="G115" i="13"/>
  <c r="G114" i="13"/>
  <c r="G113" i="13"/>
  <c r="F112" i="13"/>
  <c r="E112" i="13"/>
  <c r="D112" i="13"/>
  <c r="G111" i="13"/>
  <c r="G110" i="13"/>
  <c r="F109" i="13"/>
  <c r="E109" i="13"/>
  <c r="D109" i="13"/>
  <c r="G108" i="13"/>
  <c r="G107" i="13"/>
  <c r="G106" i="13"/>
  <c r="G105" i="13"/>
  <c r="G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E97" i="13"/>
  <c r="G95" i="13"/>
  <c r="G94" i="13"/>
  <c r="G93" i="13"/>
  <c r="F92" i="13"/>
  <c r="E92" i="13"/>
  <c r="D92" i="13"/>
  <c r="G91" i="13"/>
  <c r="G90" i="13"/>
  <c r="G89" i="13"/>
  <c r="F88" i="13"/>
  <c r="E88" i="13"/>
  <c r="D88" i="13"/>
  <c r="G87" i="13"/>
  <c r="F86" i="13"/>
  <c r="E86" i="13"/>
  <c r="D86" i="13"/>
  <c r="G85" i="13"/>
  <c r="G84" i="13"/>
  <c r="G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E78" i="13"/>
  <c r="G76" i="13"/>
  <c r="G75" i="13"/>
  <c r="G74" i="13"/>
  <c r="G73" i="13"/>
  <c r="F72" i="13"/>
  <c r="E72" i="13"/>
  <c r="D72" i="13"/>
  <c r="G71" i="13"/>
  <c r="G70" i="13"/>
  <c r="G69" i="13"/>
  <c r="F68" i="13"/>
  <c r="E68" i="13"/>
  <c r="D68" i="13"/>
  <c r="E67" i="13"/>
  <c r="G66" i="13"/>
  <c r="F65" i="13"/>
  <c r="D65" i="13"/>
  <c r="G64" i="13"/>
  <c r="G63" i="13"/>
  <c r="E62" i="13"/>
  <c r="G61" i="13"/>
  <c r="F60" i="13"/>
  <c r="D60" i="13"/>
  <c r="F59" i="13"/>
  <c r="D59" i="13"/>
  <c r="F58" i="13"/>
  <c r="E58" i="13"/>
  <c r="D58" i="13"/>
  <c r="F57" i="13"/>
  <c r="D57" i="13"/>
  <c r="F56" i="13"/>
  <c r="E56" i="13"/>
  <c r="D56" i="13"/>
  <c r="E55" i="13"/>
  <c r="G53" i="13"/>
  <c r="G52" i="13"/>
  <c r="G51" i="13"/>
  <c r="G50" i="13"/>
  <c r="G49" i="13"/>
  <c r="G48" i="13"/>
  <c r="F47" i="13"/>
  <c r="E47" i="13"/>
  <c r="D47" i="13"/>
  <c r="G46" i="13"/>
  <c r="F45" i="13"/>
  <c r="E45" i="13"/>
  <c r="D45" i="13"/>
  <c r="G44" i="13"/>
  <c r="G43" i="13"/>
  <c r="E42" i="13"/>
  <c r="G41" i="13"/>
  <c r="F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D35" i="13"/>
  <c r="F34" i="13"/>
  <c r="E34" i="13"/>
  <c r="D34" i="13"/>
  <c r="E33" i="13"/>
  <c r="F31" i="13"/>
  <c r="E31" i="13"/>
  <c r="D31" i="13"/>
  <c r="G89" i="1" l="1"/>
  <c r="F1649" i="13"/>
  <c r="D1649" i="13"/>
  <c r="E1649" i="13"/>
  <c r="E1020" i="13"/>
  <c r="G1501" i="13"/>
  <c r="G910" i="13"/>
  <c r="G1155" i="13"/>
  <c r="G205" i="13"/>
  <c r="G1499" i="13"/>
  <c r="G930" i="13"/>
  <c r="G1500" i="13"/>
  <c r="G541" i="13"/>
  <c r="F456" i="13"/>
  <c r="G136" i="13"/>
  <c r="E153" i="13"/>
  <c r="E227" i="13"/>
  <c r="E192" i="13"/>
  <c r="D1564" i="13"/>
  <c r="F173" i="13"/>
  <c r="D336" i="13"/>
  <c r="D1452" i="13"/>
  <c r="F1726" i="13"/>
  <c r="G757" i="13"/>
  <c r="D1602" i="13"/>
  <c r="E84" i="1"/>
  <c r="E490" i="13"/>
  <c r="G556" i="13"/>
  <c r="G697" i="13"/>
  <c r="G871" i="13"/>
  <c r="D892" i="13"/>
  <c r="E1329" i="13"/>
  <c r="E1426" i="13"/>
  <c r="F1557" i="13"/>
  <c r="D338" i="13"/>
  <c r="G240" i="13"/>
  <c r="E336" i="13"/>
  <c r="G901" i="13"/>
  <c r="G1007" i="13"/>
  <c r="G1114" i="13"/>
  <c r="G1127" i="13"/>
  <c r="E1200" i="13"/>
  <c r="G1398" i="13"/>
  <c r="D1517" i="13"/>
  <c r="E1602" i="13"/>
  <c r="E1666" i="13"/>
  <c r="G1691" i="13"/>
  <c r="D1730" i="13"/>
  <c r="E1072" i="13"/>
  <c r="E1452" i="13"/>
  <c r="E618" i="13"/>
  <c r="G139" i="13"/>
  <c r="G270" i="13"/>
  <c r="G627" i="13"/>
  <c r="G643" i="13"/>
  <c r="D694" i="13"/>
  <c r="E863" i="13"/>
  <c r="G956" i="13"/>
  <c r="G1074" i="13"/>
  <c r="E1301" i="13"/>
  <c r="D1519" i="13"/>
  <c r="F1602" i="13"/>
  <c r="G1650" i="13"/>
  <c r="F1644" i="13"/>
  <c r="G1719" i="13"/>
  <c r="F1730" i="13"/>
  <c r="E1046" i="13"/>
  <c r="D1064" i="13"/>
  <c r="G1227" i="13"/>
  <c r="E59" i="13"/>
  <c r="G428" i="13"/>
  <c r="G484" i="13"/>
  <c r="G574" i="13"/>
  <c r="G623" i="13"/>
  <c r="E726" i="13"/>
  <c r="F694" i="13"/>
  <c r="G830" i="13"/>
  <c r="G1069" i="13"/>
  <c r="G1246" i="13"/>
  <c r="F1517" i="13"/>
  <c r="E1519" i="13"/>
  <c r="D1647" i="13"/>
  <c r="D1729" i="13"/>
  <c r="D1728" i="13" s="1"/>
  <c r="G341" i="13"/>
  <c r="D968" i="13"/>
  <c r="G97" i="13"/>
  <c r="G132" i="13"/>
  <c r="E128" i="13"/>
  <c r="D337" i="13"/>
  <c r="G413" i="13"/>
  <c r="E600" i="13"/>
  <c r="G706" i="13"/>
  <c r="E762" i="13"/>
  <c r="G807" i="13"/>
  <c r="G1161" i="13"/>
  <c r="D1146" i="13"/>
  <c r="G1383" i="13"/>
  <c r="F1519" i="13"/>
  <c r="E1647" i="13"/>
  <c r="G1707" i="13"/>
  <c r="D1688" i="13"/>
  <c r="G1266" i="13"/>
  <c r="E1342" i="13"/>
  <c r="G552" i="13"/>
  <c r="G1420" i="13"/>
  <c r="G159" i="13"/>
  <c r="G225" i="13"/>
  <c r="D216" i="13"/>
  <c r="G282" i="13"/>
  <c r="G360" i="13"/>
  <c r="G382" i="13"/>
  <c r="G409" i="13"/>
  <c r="G450" i="13"/>
  <c r="G716" i="13"/>
  <c r="G738" i="13"/>
  <c r="G819" i="13"/>
  <c r="D886" i="13"/>
  <c r="G973" i="13"/>
  <c r="G978" i="13"/>
  <c r="G1042" i="13"/>
  <c r="E1233" i="13"/>
  <c r="E1272" i="13"/>
  <c r="G1303" i="13"/>
  <c r="D1451" i="13"/>
  <c r="E1688" i="13"/>
  <c r="G1460" i="13"/>
  <c r="D1646" i="13"/>
  <c r="G1045" i="13"/>
  <c r="G33" i="13"/>
  <c r="G455" i="13"/>
  <c r="D404" i="13"/>
  <c r="D481" i="13"/>
  <c r="D547" i="13"/>
  <c r="E648" i="13"/>
  <c r="E763" i="13"/>
  <c r="D802" i="13"/>
  <c r="G842" i="13"/>
  <c r="G950" i="13"/>
  <c r="G1197" i="13"/>
  <c r="G1210" i="13"/>
  <c r="E1311" i="13"/>
  <c r="G1379" i="13"/>
  <c r="G1498" i="13"/>
  <c r="E1591" i="13"/>
  <c r="E1603" i="13"/>
  <c r="E1686" i="13"/>
  <c r="C86" i="1"/>
  <c r="G941" i="13"/>
  <c r="G1177" i="13"/>
  <c r="G1522" i="13"/>
  <c r="G190" i="13"/>
  <c r="G55" i="13"/>
  <c r="G170" i="13"/>
  <c r="D479" i="13"/>
  <c r="E481" i="13"/>
  <c r="E547" i="13"/>
  <c r="G701" i="13"/>
  <c r="F802" i="13"/>
  <c r="F886" i="13"/>
  <c r="D1295" i="13"/>
  <c r="E86" i="1"/>
  <c r="G746" i="13"/>
  <c r="F1518" i="13"/>
  <c r="G1581" i="13"/>
  <c r="G907" i="13"/>
  <c r="G137" i="13"/>
  <c r="G488" i="13"/>
  <c r="G595" i="13"/>
  <c r="D618" i="13"/>
  <c r="E769" i="13"/>
  <c r="G665" i="13"/>
  <c r="G221" i="13"/>
  <c r="G345" i="13"/>
  <c r="E479" i="13"/>
  <c r="F481" i="13"/>
  <c r="G811" i="13"/>
  <c r="D894" i="13"/>
  <c r="G1123" i="13"/>
  <c r="G1231" i="13"/>
  <c r="G1239" i="13"/>
  <c r="D1222" i="13"/>
  <c r="D1293" i="13"/>
  <c r="G1476" i="13"/>
  <c r="E1512" i="13"/>
  <c r="D1518" i="13"/>
  <c r="F1645" i="13"/>
  <c r="G1735" i="13"/>
  <c r="E1224" i="13"/>
  <c r="G1480" i="13"/>
  <c r="G1694" i="13"/>
  <c r="G193" i="13"/>
  <c r="G1380" i="13"/>
  <c r="G887" i="13"/>
  <c r="G1610" i="13"/>
  <c r="G1021" i="13"/>
  <c r="G1102" i="13"/>
  <c r="G301" i="13"/>
  <c r="G936" i="13"/>
  <c r="G653" i="13"/>
  <c r="G597" i="13"/>
  <c r="E1238" i="13"/>
  <c r="G1424" i="13"/>
  <c r="G1572" i="13"/>
  <c r="E1642" i="13"/>
  <c r="D969" i="13"/>
  <c r="F1687" i="13"/>
  <c r="G529" i="13"/>
  <c r="D1642" i="13"/>
  <c r="G846" i="13"/>
  <c r="F77" i="13"/>
  <c r="E30" i="13"/>
  <c r="E148" i="13"/>
  <c r="D169" i="13"/>
  <c r="G80" i="13"/>
  <c r="G572" i="13"/>
  <c r="G1648" i="13"/>
  <c r="G47" i="13"/>
  <c r="F1555" i="13"/>
  <c r="E874" i="13"/>
  <c r="G1621" i="13"/>
  <c r="G1324" i="13"/>
  <c r="G1461" i="13"/>
  <c r="G36" i="13"/>
  <c r="G81" i="13"/>
  <c r="G116" i="13"/>
  <c r="G180" i="13"/>
  <c r="D548" i="13"/>
  <c r="D123" i="13"/>
  <c r="D405" i="13"/>
  <c r="E1158" i="13"/>
  <c r="D1552" i="13"/>
  <c r="G1095" i="13"/>
  <c r="G194" i="13"/>
  <c r="G504" i="13"/>
  <c r="G624" i="13"/>
  <c r="E1154" i="13"/>
  <c r="G1179" i="13"/>
  <c r="G253" i="13"/>
  <c r="G467" i="13"/>
  <c r="G250" i="13"/>
  <c r="G344" i="13"/>
  <c r="G589" i="13"/>
  <c r="G801" i="13"/>
  <c r="G1032" i="13"/>
  <c r="G1695" i="13"/>
  <c r="G1096" i="13"/>
  <c r="G287" i="13"/>
  <c r="G605" i="13"/>
  <c r="G977" i="13"/>
  <c r="G397" i="13"/>
  <c r="G824" i="13"/>
  <c r="D1019" i="13"/>
  <c r="G550" i="13"/>
  <c r="G718" i="13"/>
  <c r="G777" i="13"/>
  <c r="E841" i="13"/>
  <c r="G823" i="13"/>
  <c r="F215" i="13"/>
  <c r="D306" i="13"/>
  <c r="E338" i="13"/>
  <c r="E904" i="13"/>
  <c r="E997" i="13"/>
  <c r="G999" i="13"/>
  <c r="G1202" i="13"/>
  <c r="G1390" i="13"/>
  <c r="G1322" i="13"/>
  <c r="E820" i="13"/>
  <c r="G1000" i="13"/>
  <c r="G202" i="13"/>
  <c r="F336" i="13"/>
  <c r="G438" i="13"/>
  <c r="G1084" i="13"/>
  <c r="G1098" i="13"/>
  <c r="D1223" i="13"/>
  <c r="F1450" i="13"/>
  <c r="F1552" i="13"/>
  <c r="G1715" i="13"/>
  <c r="D617" i="13"/>
  <c r="F239" i="13"/>
  <c r="G741" i="13"/>
  <c r="D690" i="13"/>
  <c r="D1066" i="13"/>
  <c r="G1689" i="13"/>
  <c r="G708" i="13"/>
  <c r="G1304" i="13"/>
  <c r="G224" i="13"/>
  <c r="F691" i="13"/>
  <c r="E900" i="13"/>
  <c r="G1043" i="13"/>
  <c r="D1224" i="13"/>
  <c r="D1143" i="13"/>
  <c r="G1470" i="13"/>
  <c r="G1669" i="13"/>
  <c r="G1563" i="13"/>
  <c r="G346" i="13"/>
  <c r="E969" i="13"/>
  <c r="F403" i="13"/>
  <c r="F1147" i="13"/>
  <c r="G1047" i="13"/>
  <c r="E65" i="13"/>
  <c r="F30" i="13"/>
  <c r="G171" i="13"/>
  <c r="G219" i="13"/>
  <c r="G272" i="13"/>
  <c r="E487" i="13"/>
  <c r="G988" i="13"/>
  <c r="G1070" i="13"/>
  <c r="D1063" i="13"/>
  <c r="G1335" i="13"/>
  <c r="G1344" i="13"/>
  <c r="D1376" i="13"/>
  <c r="G1627" i="13"/>
  <c r="G821" i="13"/>
  <c r="G1133" i="13"/>
  <c r="G1692" i="13"/>
  <c r="G56" i="13"/>
  <c r="F408" i="13"/>
  <c r="E1115" i="13"/>
  <c r="E1690" i="13"/>
  <c r="G309" i="13"/>
  <c r="G363" i="13"/>
  <c r="G628" i="13"/>
  <c r="G881" i="13"/>
  <c r="G1693" i="13"/>
  <c r="G530" i="13"/>
  <c r="G1270" i="13"/>
  <c r="G1486" i="13"/>
  <c r="D1554" i="13"/>
  <c r="E223" i="13"/>
  <c r="G710" i="13"/>
  <c r="E406" i="13"/>
  <c r="F549" i="13"/>
  <c r="G1075" i="13"/>
  <c r="E149" i="13"/>
  <c r="G432" i="13"/>
  <c r="F547" i="13"/>
  <c r="G752" i="13"/>
  <c r="G795" i="13"/>
  <c r="G1240" i="13"/>
  <c r="D1574" i="13"/>
  <c r="G1381" i="13"/>
  <c r="G322" i="13"/>
  <c r="G1157" i="13"/>
  <c r="G1633" i="13"/>
  <c r="G385" i="13"/>
  <c r="G1296" i="13"/>
  <c r="G1585" i="13"/>
  <c r="G209" i="13"/>
  <c r="D546" i="13"/>
  <c r="F891" i="13"/>
  <c r="F970" i="13"/>
  <c r="G1271" i="13"/>
  <c r="E1305" i="13"/>
  <c r="E1451" i="13"/>
  <c r="E1552" i="13"/>
  <c r="G410" i="13"/>
  <c r="G112" i="13"/>
  <c r="G362" i="13"/>
  <c r="G603" i="13"/>
  <c r="G1187" i="13"/>
  <c r="G1229" i="13"/>
  <c r="E1425" i="13"/>
  <c r="G1421" i="13"/>
  <c r="E1143" i="13"/>
  <c r="D28" i="13"/>
  <c r="E218" i="13"/>
  <c r="G383" i="13"/>
  <c r="D693" i="13"/>
  <c r="G803" i="13"/>
  <c r="D841" i="13"/>
  <c r="G903" i="13"/>
  <c r="G943" i="13"/>
  <c r="F1292" i="13"/>
  <c r="D1294" i="13"/>
  <c r="D1497" i="13"/>
  <c r="G184" i="13"/>
  <c r="G1481" i="13"/>
  <c r="G1001" i="13"/>
  <c r="G1024" i="13"/>
  <c r="G457" i="13"/>
  <c r="G1061" i="13"/>
  <c r="E971" i="13"/>
  <c r="F478" i="13"/>
  <c r="G497" i="13"/>
  <c r="G505" i="13"/>
  <c r="G864" i="13"/>
  <c r="G1488" i="13"/>
  <c r="F1451" i="13"/>
  <c r="G1181" i="13"/>
  <c r="E131" i="13"/>
  <c r="G372" i="13"/>
  <c r="E619" i="13"/>
  <c r="G1710" i="13"/>
  <c r="G452" i="13"/>
  <c r="G645" i="13"/>
  <c r="G1129" i="13"/>
  <c r="F96" i="13"/>
  <c r="G82" i="13"/>
  <c r="G284" i="13"/>
  <c r="G577" i="13"/>
  <c r="G161" i="13"/>
  <c r="G288" i="13"/>
  <c r="G902" i="13"/>
  <c r="G553" i="13"/>
  <c r="G573" i="13"/>
  <c r="F1452" i="13"/>
  <c r="G263" i="13"/>
  <c r="G558" i="13"/>
  <c r="G1053" i="13"/>
  <c r="G1345" i="13"/>
  <c r="D1378" i="13"/>
  <c r="G1414" i="13"/>
  <c r="D261" i="13"/>
  <c r="G466" i="13"/>
  <c r="G695" i="13"/>
  <c r="G822" i="13"/>
  <c r="G856" i="13"/>
  <c r="G1178" i="13"/>
  <c r="F1221" i="13"/>
  <c r="G1323" i="13"/>
  <c r="D189" i="13"/>
  <c r="D217" i="13"/>
  <c r="F261" i="13"/>
  <c r="F715" i="13"/>
  <c r="F793" i="13"/>
  <c r="F1293" i="13"/>
  <c r="D1685" i="13"/>
  <c r="G88" i="13"/>
  <c r="G109" i="13"/>
  <c r="F122" i="13"/>
  <c r="G343" i="13"/>
  <c r="E408" i="13"/>
  <c r="E403" i="13"/>
  <c r="E405" i="13"/>
  <c r="D406" i="13"/>
  <c r="F463" i="13"/>
  <c r="G516" i="13"/>
  <c r="D619" i="13"/>
  <c r="E886" i="13"/>
  <c r="G924" i="13"/>
  <c r="E1066" i="13"/>
  <c r="G1116" i="13"/>
  <c r="G1249" i="13"/>
  <c r="G1286" i="13"/>
  <c r="E1371" i="13"/>
  <c r="G1458" i="13"/>
  <c r="G1607" i="13"/>
  <c r="G1652" i="13"/>
  <c r="G1701" i="13"/>
  <c r="D1706" i="13"/>
  <c r="G1384" i="13"/>
  <c r="G1268" i="13"/>
  <c r="G39" i="13"/>
  <c r="E125" i="13"/>
  <c r="F218" i="13"/>
  <c r="G264" i="13"/>
  <c r="G621" i="13"/>
  <c r="D620" i="13"/>
  <c r="D696" i="13"/>
  <c r="G729" i="13"/>
  <c r="D756" i="13"/>
  <c r="G1118" i="13"/>
  <c r="G1225" i="13"/>
  <c r="G1260" i="13"/>
  <c r="D1265" i="13"/>
  <c r="G1354" i="13"/>
  <c r="G1385" i="13"/>
  <c r="G1423" i="13"/>
  <c r="G1468" i="13"/>
  <c r="D1475" i="13"/>
  <c r="G1562" i="13"/>
  <c r="G506" i="13"/>
  <c r="G742" i="13"/>
  <c r="F1580" i="13"/>
  <c r="F1601" i="13"/>
  <c r="G164" i="13"/>
  <c r="D124" i="13"/>
  <c r="E620" i="13"/>
  <c r="G899" i="13"/>
  <c r="F1041" i="13"/>
  <c r="F1245" i="13"/>
  <c r="D1449" i="13"/>
  <c r="D1371" i="13"/>
  <c r="G1532" i="13"/>
  <c r="E1708" i="13"/>
  <c r="F546" i="13"/>
  <c r="G1608" i="13"/>
  <c r="F54" i="13"/>
  <c r="G285" i="13"/>
  <c r="G836" i="13"/>
  <c r="G1281" i="13"/>
  <c r="G1515" i="13"/>
  <c r="G86" i="13"/>
  <c r="G126" i="13"/>
  <c r="E158" i="13"/>
  <c r="E570" i="13"/>
  <c r="F737" i="13"/>
  <c r="E1126" i="13"/>
  <c r="F1222" i="13"/>
  <c r="G843" i="13"/>
  <c r="G365" i="13"/>
  <c r="G799" i="13"/>
  <c r="G1400" i="13"/>
  <c r="G178" i="13"/>
  <c r="G308" i="13"/>
  <c r="G352" i="13"/>
  <c r="G607" i="13"/>
  <c r="D281" i="13"/>
  <c r="D449" i="13"/>
  <c r="G571" i="13"/>
  <c r="D642" i="13"/>
  <c r="F619" i="13"/>
  <c r="G923" i="13"/>
  <c r="G1014" i="13"/>
  <c r="D1221" i="13"/>
  <c r="G1431" i="13"/>
  <c r="G1457" i="13"/>
  <c r="G1462" i="13"/>
  <c r="G1520" i="13"/>
  <c r="G773" i="13"/>
  <c r="G1067" i="13"/>
  <c r="G486" i="13"/>
  <c r="G1392" i="13"/>
  <c r="G1622" i="13"/>
  <c r="D32" i="13"/>
  <c r="G58" i="13"/>
  <c r="D127" i="13"/>
  <c r="G310" i="13"/>
  <c r="F335" i="13"/>
  <c r="E480" i="13"/>
  <c r="G576" i="13"/>
  <c r="E598" i="13"/>
  <c r="G666" i="13"/>
  <c r="F664" i="13"/>
  <c r="G740" i="13"/>
  <c r="E970" i="13"/>
  <c r="G1044" i="13"/>
  <c r="F1113" i="13"/>
  <c r="E1320" i="13"/>
  <c r="G1357" i="13"/>
  <c r="E1378" i="13"/>
  <c r="G1440" i="13"/>
  <c r="G1564" i="13"/>
  <c r="D1687" i="13"/>
  <c r="G1654" i="13"/>
  <c r="E1644" i="13"/>
  <c r="G99" i="13"/>
  <c r="F427" i="13"/>
  <c r="G430" i="13"/>
  <c r="D570" i="13"/>
  <c r="D664" i="13"/>
  <c r="G677" i="13"/>
  <c r="G1009" i="13"/>
  <c r="D1292" i="13"/>
  <c r="E1343" i="13"/>
  <c r="E1353" i="13"/>
  <c r="D998" i="13"/>
  <c r="D1014" i="13"/>
  <c r="G918" i="13"/>
  <c r="F894" i="13"/>
  <c r="E261" i="13"/>
  <c r="G262" i="13"/>
  <c r="G62" i="13"/>
  <c r="E57" i="13"/>
  <c r="G318" i="13"/>
  <c r="G422" i="13"/>
  <c r="G1153" i="13"/>
  <c r="G1228" i="13"/>
  <c r="G925" i="13"/>
  <c r="E150" i="13"/>
  <c r="G155" i="13"/>
  <c r="E245" i="13"/>
  <c r="G247" i="13"/>
  <c r="G307" i="13"/>
  <c r="E306" i="13"/>
  <c r="F306" i="13"/>
  <c r="G311" i="13"/>
  <c r="G557" i="13"/>
  <c r="G888" i="13"/>
  <c r="G998" i="13"/>
  <c r="D1419" i="13"/>
  <c r="G1721" i="13"/>
  <c r="F1688" i="13"/>
  <c r="D27" i="13"/>
  <c r="G1408" i="13"/>
  <c r="G451" i="13"/>
  <c r="E242" i="13"/>
  <c r="F622" i="13"/>
  <c r="F693" i="13"/>
  <c r="G732" i="13"/>
  <c r="E793" i="13"/>
  <c r="E944" i="13"/>
  <c r="E947" i="13"/>
  <c r="G1211" i="13"/>
  <c r="E1557" i="13"/>
  <c r="E1551" i="13"/>
  <c r="E804" i="13"/>
  <c r="E800" i="13"/>
  <c r="G133" i="13"/>
  <c r="E217" i="13"/>
  <c r="D1397" i="13"/>
  <c r="E40" i="13"/>
  <c r="E35" i="13"/>
  <c r="G42" i="13"/>
  <c r="G798" i="13"/>
  <c r="F1371" i="13"/>
  <c r="G1377" i="13"/>
  <c r="D96" i="13"/>
  <c r="F337" i="13"/>
  <c r="G354" i="13"/>
  <c r="G813" i="13"/>
  <c r="G1119" i="13"/>
  <c r="D30" i="13"/>
  <c r="F333" i="13"/>
  <c r="G513" i="13"/>
  <c r="D861" i="13"/>
  <c r="G1300" i="13"/>
  <c r="F1374" i="13"/>
  <c r="G1595" i="13"/>
  <c r="G1609" i="13"/>
  <c r="G37" i="13"/>
  <c r="G92" i="13"/>
  <c r="G103" i="13"/>
  <c r="D125" i="13"/>
  <c r="F381" i="13"/>
  <c r="G407" i="13"/>
  <c r="G412" i="13"/>
  <c r="D427" i="13"/>
  <c r="G444" i="13"/>
  <c r="G495" i="13"/>
  <c r="G507" i="13"/>
  <c r="G565" i="13"/>
  <c r="F617" i="13"/>
  <c r="G670" i="13"/>
  <c r="D809" i="13"/>
  <c r="E921" i="13"/>
  <c r="E893" i="13"/>
  <c r="D940" i="13"/>
  <c r="G1079" i="13"/>
  <c r="G1166" i="13"/>
  <c r="E1176" i="13"/>
  <c r="G1180" i="13"/>
  <c r="G1201" i="13"/>
  <c r="G1206" i="13"/>
  <c r="D1297" i="13"/>
  <c r="G1312" i="13"/>
  <c r="G1422" i="13"/>
  <c r="D1373" i="13"/>
  <c r="G1526" i="13"/>
  <c r="F1618" i="13"/>
  <c r="G342" i="13"/>
  <c r="G867" i="13"/>
  <c r="G1347" i="13"/>
  <c r="E130" i="13"/>
  <c r="F147" i="13"/>
  <c r="G256" i="13"/>
  <c r="G312" i="13"/>
  <c r="E427" i="13"/>
  <c r="G489" i="13"/>
  <c r="D480" i="13"/>
  <c r="D551" i="13"/>
  <c r="G582" i="13"/>
  <c r="G659" i="13"/>
  <c r="G702" i="13"/>
  <c r="F791" i="13"/>
  <c r="G912" i="13"/>
  <c r="G922" i="13"/>
  <c r="E894" i="13"/>
  <c r="G1051" i="13"/>
  <c r="D1145" i="13"/>
  <c r="E1375" i="13"/>
  <c r="D1375" i="13"/>
  <c r="F1475" i="13"/>
  <c r="D1664" i="13"/>
  <c r="D921" i="13"/>
  <c r="G926" i="13"/>
  <c r="G1090" i="13"/>
  <c r="D1176" i="13"/>
  <c r="E1198" i="13"/>
  <c r="D1320" i="13"/>
  <c r="F1375" i="13"/>
  <c r="G1434" i="13"/>
  <c r="G1453" i="13"/>
  <c r="D1521" i="13"/>
  <c r="E1618" i="13"/>
  <c r="F1642" i="13"/>
  <c r="F127" i="13"/>
  <c r="G34" i="13"/>
  <c r="G38" i="13"/>
  <c r="G172" i="13"/>
  <c r="G276" i="13"/>
  <c r="D340" i="13"/>
  <c r="G364" i="13"/>
  <c r="D381" i="13"/>
  <c r="G471" i="13"/>
  <c r="D502" i="13"/>
  <c r="G611" i="13"/>
  <c r="F696" i="13"/>
  <c r="E810" i="13"/>
  <c r="F1419" i="13"/>
  <c r="D1618" i="13"/>
  <c r="E1717" i="13"/>
  <c r="D29" i="13"/>
  <c r="E337" i="13"/>
  <c r="D408" i="13"/>
  <c r="E526" i="13"/>
  <c r="D333" i="13"/>
  <c r="D972" i="13"/>
  <c r="G986" i="13"/>
  <c r="E1006" i="13"/>
  <c r="F1064" i="13"/>
  <c r="G1151" i="13"/>
  <c r="D1196" i="13"/>
  <c r="E1209" i="13"/>
  <c r="F1373" i="13"/>
  <c r="F1556" i="13"/>
  <c r="F1686" i="13"/>
  <c r="D715" i="13"/>
  <c r="E29" i="13"/>
  <c r="E96" i="13"/>
  <c r="E25" i="13"/>
  <c r="D526" i="13"/>
  <c r="G555" i="13"/>
  <c r="G680" i="13"/>
  <c r="G771" i="13"/>
  <c r="F968" i="13"/>
  <c r="G1025" i="13"/>
  <c r="G1298" i="13"/>
  <c r="G1302" i="13"/>
  <c r="G1308" i="13"/>
  <c r="G1330" i="13"/>
  <c r="G1456" i="13"/>
  <c r="G1508" i="13"/>
  <c r="G1584" i="13"/>
  <c r="F1603" i="13"/>
  <c r="G1658" i="13"/>
  <c r="F1690" i="13"/>
  <c r="G1699" i="13"/>
  <c r="D25" i="13"/>
  <c r="F340" i="13"/>
  <c r="E335" i="13"/>
  <c r="G387" i="13"/>
  <c r="E404" i="13"/>
  <c r="G429" i="13"/>
  <c r="D791" i="13"/>
  <c r="F841" i="13"/>
  <c r="F972" i="13"/>
  <c r="E1076" i="13"/>
  <c r="E1203" i="13"/>
  <c r="E1518" i="13"/>
  <c r="G852" i="13"/>
  <c r="G68" i="13"/>
  <c r="F217" i="13"/>
  <c r="G453" i="13"/>
  <c r="F594" i="13"/>
  <c r="D737" i="13"/>
  <c r="D692" i="13"/>
  <c r="G797" i="13"/>
  <c r="D793" i="13"/>
  <c r="D794" i="13"/>
  <c r="D789" i="13"/>
  <c r="G1152" i="13"/>
  <c r="G1250" i="13"/>
  <c r="D1340" i="13"/>
  <c r="G1593" i="13"/>
  <c r="G1653" i="13"/>
  <c r="G286" i="13"/>
  <c r="G31" i="13"/>
  <c r="G174" i="13"/>
  <c r="F25" i="13"/>
  <c r="D359" i="13"/>
  <c r="G433" i="13"/>
  <c r="D483" i="13"/>
  <c r="G575" i="13"/>
  <c r="D622" i="13"/>
  <c r="F618" i="13"/>
  <c r="G719" i="13"/>
  <c r="E692" i="13"/>
  <c r="G845" i="13"/>
  <c r="G866" i="13"/>
  <c r="G898" i="13"/>
  <c r="G1164" i="13"/>
  <c r="G1185" i="13"/>
  <c r="G1247" i="13"/>
  <c r="F1449" i="13"/>
  <c r="E1502" i="13"/>
  <c r="G1565" i="13"/>
  <c r="E1554" i="13"/>
  <c r="G1604" i="13"/>
  <c r="E1601" i="13"/>
  <c r="D1644" i="13"/>
  <c r="G1668" i="13"/>
  <c r="E1675" i="13"/>
  <c r="F1093" i="13"/>
  <c r="G1097" i="13"/>
  <c r="F1148" i="13"/>
  <c r="G1215" i="13"/>
  <c r="G1477" i="13"/>
  <c r="E1475" i="13"/>
  <c r="F1521" i="13"/>
  <c r="G1524" i="13"/>
  <c r="G1606" i="13"/>
  <c r="F1605" i="13"/>
  <c r="G79" i="13"/>
  <c r="F359" i="13"/>
  <c r="G482" i="13"/>
  <c r="G655" i="13"/>
  <c r="G945" i="13"/>
  <c r="F940" i="13"/>
  <c r="G974" i="13"/>
  <c r="G1094" i="13"/>
  <c r="E1093" i="13"/>
  <c r="E1148" i="13"/>
  <c r="G1191" i="13"/>
  <c r="G1341" i="13"/>
  <c r="G1679" i="13"/>
  <c r="F1647" i="13"/>
  <c r="G151" i="13"/>
  <c r="F690" i="13"/>
  <c r="G932" i="13"/>
  <c r="G1619" i="13"/>
  <c r="G1629" i="13"/>
  <c r="G45" i="13"/>
  <c r="G229" i="13"/>
  <c r="G669" i="13"/>
  <c r="G1382" i="13"/>
  <c r="G1406" i="13"/>
  <c r="E1401" i="13"/>
  <c r="G1623" i="13"/>
  <c r="F1600" i="13"/>
  <c r="G1667" i="13"/>
  <c r="F1664" i="13"/>
  <c r="F32" i="13"/>
  <c r="E281" i="13"/>
  <c r="G316" i="13"/>
  <c r="G361" i="13"/>
  <c r="E359" i="13"/>
  <c r="G503" i="13"/>
  <c r="E502" i="13"/>
  <c r="G531" i="13"/>
  <c r="G651" i="13"/>
  <c r="G875" i="13"/>
  <c r="F896" i="13"/>
  <c r="G946" i="13"/>
  <c r="F892" i="13"/>
  <c r="G961" i="13"/>
  <c r="G1022" i="13"/>
  <c r="F1019" i="13"/>
  <c r="F1497" i="13"/>
  <c r="G1503" i="13"/>
  <c r="E1449" i="13"/>
  <c r="D54" i="13"/>
  <c r="D147" i="13"/>
  <c r="G152" i="13"/>
  <c r="F281" i="13"/>
  <c r="G420" i="13"/>
  <c r="G586" i="13"/>
  <c r="E548" i="13"/>
  <c r="E646" i="13"/>
  <c r="G720" i="13"/>
  <c r="G727" i="13"/>
  <c r="E717" i="13"/>
  <c r="G844" i="13"/>
  <c r="E942" i="13"/>
  <c r="E953" i="13"/>
  <c r="G954" i="13"/>
  <c r="D1041" i="13"/>
  <c r="G1455" i="13"/>
  <c r="E1454" i="13"/>
  <c r="G1459" i="13"/>
  <c r="F1454" i="13"/>
  <c r="G1478" i="13"/>
  <c r="E1732" i="13"/>
  <c r="E1731" i="13"/>
  <c r="G67" i="13"/>
  <c r="G102" i="13"/>
  <c r="F189" i="13"/>
  <c r="F216" i="13"/>
  <c r="G232" i="13"/>
  <c r="D239" i="13"/>
  <c r="G283" i="13"/>
  <c r="G384" i="13"/>
  <c r="G414" i="13"/>
  <c r="G528" i="13"/>
  <c r="F526" i="13"/>
  <c r="E551" i="13"/>
  <c r="F570" i="13"/>
  <c r="G634" i="13"/>
  <c r="F642" i="13"/>
  <c r="F620" i="13"/>
  <c r="G684" i="13"/>
  <c r="G698" i="13"/>
  <c r="G832" i="13"/>
  <c r="D902" i="13"/>
  <c r="D912" i="13"/>
  <c r="F1143" i="13"/>
  <c r="D1454" i="13"/>
  <c r="F1554" i="13"/>
  <c r="D1580" i="13"/>
  <c r="G1660" i="13"/>
  <c r="F1646" i="13"/>
  <c r="G1733" i="13"/>
  <c r="F29" i="13"/>
  <c r="F27" i="13"/>
  <c r="E60" i="13"/>
  <c r="D122" i="13"/>
  <c r="F124" i="13"/>
  <c r="G141" i="13"/>
  <c r="F125" i="13"/>
  <c r="G191" i="13"/>
  <c r="G391" i="13"/>
  <c r="F406" i="13"/>
  <c r="F479" i="13"/>
  <c r="F502" i="13"/>
  <c r="G520" i="13"/>
  <c r="F551" i="13"/>
  <c r="G563" i="13"/>
  <c r="E760" i="13"/>
  <c r="F1066" i="13"/>
  <c r="G1108" i="13"/>
  <c r="G1149" i="13"/>
  <c r="G1236" i="13"/>
  <c r="E1230" i="13"/>
  <c r="G1566" i="13"/>
  <c r="G1574" i="13"/>
  <c r="G376" i="13"/>
  <c r="F338" i="13"/>
  <c r="F794" i="13"/>
  <c r="E1267" i="13"/>
  <c r="G1279" i="13"/>
  <c r="E1278" i="13"/>
  <c r="G297" i="13"/>
  <c r="G1321" i="13"/>
  <c r="G454" i="13"/>
  <c r="F483" i="13"/>
  <c r="G527" i="13"/>
  <c r="F756" i="13"/>
  <c r="G758" i="13"/>
  <c r="G72" i="13"/>
  <c r="F809" i="13"/>
  <c r="F893" i="13"/>
  <c r="E976" i="13"/>
  <c r="E980" i="13"/>
  <c r="F1265" i="13"/>
  <c r="G1275" i="13"/>
  <c r="E1269" i="13"/>
  <c r="G1523" i="13"/>
  <c r="E1521" i="13"/>
  <c r="G1589" i="13"/>
  <c r="E1555" i="13"/>
  <c r="G347" i="13"/>
  <c r="E339" i="13"/>
  <c r="G401" i="13"/>
  <c r="E386" i="13"/>
  <c r="G411" i="13"/>
  <c r="G599" i="13"/>
  <c r="E737" i="13"/>
  <c r="G782" i="13"/>
  <c r="E781" i="13"/>
  <c r="F1063" i="13"/>
  <c r="F1150" i="13"/>
  <c r="G226" i="13"/>
  <c r="F692" i="13"/>
  <c r="E1403" i="13"/>
  <c r="G1432" i="13"/>
  <c r="G1558" i="13"/>
  <c r="G1331" i="13"/>
  <c r="F1294" i="13"/>
  <c r="G198" i="13"/>
  <c r="E671" i="13"/>
  <c r="E668" i="13"/>
  <c r="G674" i="13"/>
  <c r="G537" i="13"/>
  <c r="F28" i="13"/>
  <c r="G243" i="13"/>
  <c r="G1313" i="13"/>
  <c r="G1361" i="13"/>
  <c r="F1295" i="13"/>
  <c r="E216" i="13"/>
  <c r="D478" i="13"/>
  <c r="E1517" i="13"/>
  <c r="G1527" i="13"/>
  <c r="G78" i="13"/>
  <c r="E77" i="13"/>
  <c r="E196" i="13"/>
  <c r="D220" i="13"/>
  <c r="G234" i="13"/>
  <c r="F405" i="13"/>
  <c r="D549" i="13"/>
  <c r="D594" i="13"/>
  <c r="G625" i="13"/>
  <c r="G667" i="13"/>
  <c r="G766" i="13"/>
  <c r="G983" i="13"/>
  <c r="F1068" i="13"/>
  <c r="G1709" i="13"/>
  <c r="F1706" i="13"/>
  <c r="D77" i="13"/>
  <c r="G440" i="13"/>
  <c r="E449" i="13"/>
  <c r="G508" i="13"/>
  <c r="G535" i="13"/>
  <c r="G1071" i="13"/>
  <c r="G1082" i="13"/>
  <c r="G100" i="13"/>
  <c r="E169" i="13"/>
  <c r="F220" i="13"/>
  <c r="G222" i="13"/>
  <c r="D215" i="13"/>
  <c r="G265" i="13"/>
  <c r="G393" i="13"/>
  <c r="G554" i="13"/>
  <c r="G748" i="13"/>
  <c r="G761" i="13"/>
  <c r="D891" i="13"/>
  <c r="F1145" i="13"/>
  <c r="D1245" i="13"/>
  <c r="F1320" i="13"/>
  <c r="E1294" i="13"/>
  <c r="F1340" i="13"/>
  <c r="G1399" i="13"/>
  <c r="F1397" i="13"/>
  <c r="G1410" i="13"/>
  <c r="G1536" i="13"/>
  <c r="E1600" i="13"/>
  <c r="D1600" i="13"/>
  <c r="E134" i="13"/>
  <c r="E124" i="13"/>
  <c r="G195" i="13"/>
  <c r="G431" i="13"/>
  <c r="E549" i="13"/>
  <c r="G699" i="13"/>
  <c r="E693" i="13"/>
  <c r="G996" i="13"/>
  <c r="G1023" i="13"/>
  <c r="G1325" i="13"/>
  <c r="G1346" i="13"/>
  <c r="G1560" i="13"/>
  <c r="E1559" i="13"/>
  <c r="G1651" i="13"/>
  <c r="E1734" i="13"/>
  <c r="G135" i="13"/>
  <c r="F123" i="13"/>
  <c r="D218" i="13"/>
  <c r="G294" i="13"/>
  <c r="E340" i="13"/>
  <c r="D403" i="13"/>
  <c r="F480" i="13"/>
  <c r="G493" i="13"/>
  <c r="G596" i="13"/>
  <c r="E622" i="13"/>
  <c r="G629" i="13"/>
  <c r="G739" i="13"/>
  <c r="E794" i="13"/>
  <c r="G862" i="13"/>
  <c r="E868" i="13"/>
  <c r="E865" i="13"/>
  <c r="G877" i="13"/>
  <c r="G895" i="13"/>
  <c r="F789" i="13"/>
  <c r="G975" i="13"/>
  <c r="G1036" i="13"/>
  <c r="F1146" i="13"/>
  <c r="G1156" i="13"/>
  <c r="D1156" i="13"/>
  <c r="D1166" i="13"/>
  <c r="F1176" i="13"/>
  <c r="F1196" i="13"/>
  <c r="F1226" i="13"/>
  <c r="E1254" i="13"/>
  <c r="G1255" i="13"/>
  <c r="G244" i="13"/>
  <c r="G370" i="13"/>
  <c r="F818" i="13"/>
  <c r="F861" i="13"/>
  <c r="F995" i="13"/>
  <c r="E1223" i="13"/>
  <c r="F1297" i="13"/>
  <c r="G1525" i="13"/>
  <c r="F1559" i="13"/>
  <c r="G1665" i="13"/>
  <c r="G98" i="13"/>
  <c r="G241" i="13"/>
  <c r="G266" i="13"/>
  <c r="D335" i="13"/>
  <c r="F548" i="13"/>
  <c r="G644" i="13"/>
  <c r="E700" i="13"/>
  <c r="E703" i="13"/>
  <c r="G721" i="13"/>
  <c r="E759" i="13"/>
  <c r="G897" i="13"/>
  <c r="F967" i="13"/>
  <c r="F969" i="13"/>
  <c r="D967" i="13"/>
  <c r="D1093" i="13"/>
  <c r="G1104" i="13"/>
  <c r="F1065" i="13"/>
  <c r="G1172" i="13"/>
  <c r="D1226" i="13"/>
  <c r="F1223" i="13"/>
  <c r="G1299" i="13"/>
  <c r="G1355" i="13"/>
  <c r="G1561" i="13"/>
  <c r="E1645" i="13"/>
  <c r="E1639" i="13"/>
  <c r="G1677" i="13"/>
  <c r="G101" i="13"/>
  <c r="G415" i="13"/>
  <c r="G626" i="13"/>
  <c r="G647" i="13"/>
  <c r="E129" i="13"/>
  <c r="G485" i="13"/>
  <c r="F921" i="13"/>
  <c r="E1065" i="13"/>
  <c r="D1073" i="13"/>
  <c r="D1084" i="13"/>
  <c r="G1256" i="13"/>
  <c r="D1690" i="13"/>
  <c r="G1711" i="13"/>
  <c r="F1685" i="13"/>
  <c r="G636" i="13"/>
  <c r="G850" i="13"/>
  <c r="G1057" i="13"/>
  <c r="G1199" i="13"/>
  <c r="G979" i="13"/>
  <c r="F1224" i="13"/>
  <c r="G1402" i="13"/>
  <c r="E1582" i="13"/>
  <c r="G1673" i="13"/>
  <c r="E1685" i="13"/>
  <c r="D691" i="13"/>
  <c r="E1295" i="13"/>
  <c r="D1605" i="13"/>
  <c r="D818" i="13"/>
  <c r="E829" i="13"/>
  <c r="G1030" i="13"/>
  <c r="G1248" i="13"/>
  <c r="G1317" i="13"/>
  <c r="F1376" i="13"/>
  <c r="F1378" i="13"/>
  <c r="G1492" i="13"/>
  <c r="G1620" i="13"/>
  <c r="G1073" i="13"/>
  <c r="D1113" i="13"/>
  <c r="G1232" i="13"/>
  <c r="E1376" i="13"/>
  <c r="G1583" i="13"/>
  <c r="E1605" i="13"/>
  <c r="G1615" i="13"/>
  <c r="E1120" i="13"/>
  <c r="E1117" i="13"/>
  <c r="E1147" i="13"/>
  <c r="D1148" i="13"/>
  <c r="E1245" i="13"/>
  <c r="G1020" i="13" l="1"/>
  <c r="E1019" i="13"/>
  <c r="G153" i="13"/>
  <c r="G1502" i="13"/>
  <c r="E1068" i="13"/>
  <c r="G1072" i="13"/>
  <c r="G1272" i="13"/>
  <c r="G762" i="13"/>
  <c r="E189" i="13"/>
  <c r="G227" i="13"/>
  <c r="G456" i="13"/>
  <c r="F449" i="13"/>
  <c r="E546" i="13"/>
  <c r="F169" i="13"/>
  <c r="G1342" i="13"/>
  <c r="E1041" i="13"/>
  <c r="G192" i="13"/>
  <c r="G1426" i="13"/>
  <c r="G726" i="13"/>
  <c r="G1602" i="13"/>
  <c r="G1329" i="13"/>
  <c r="G1734" i="13"/>
  <c r="D1559" i="13"/>
  <c r="E478" i="13"/>
  <c r="E1556" i="13"/>
  <c r="E1553" i="13" s="1"/>
  <c r="G1046" i="13"/>
  <c r="G863" i="13"/>
  <c r="G600" i="13"/>
  <c r="G173" i="13"/>
  <c r="E1641" i="13"/>
  <c r="E1664" i="13"/>
  <c r="G1591" i="13"/>
  <c r="G1666" i="13"/>
  <c r="G763" i="13"/>
  <c r="G1519" i="13"/>
  <c r="D1516" i="13"/>
  <c r="C66" i="1" s="1"/>
  <c r="D1727" i="13"/>
  <c r="D1726" i="13" s="1"/>
  <c r="G1311" i="13"/>
  <c r="F332" i="13"/>
  <c r="G128" i="13"/>
  <c r="F796" i="13"/>
  <c r="D1140" i="13"/>
  <c r="E1221" i="13"/>
  <c r="D57" i="1" s="1"/>
  <c r="G1233" i="13"/>
  <c r="G1512" i="13"/>
  <c r="G490" i="13"/>
  <c r="G59" i="13"/>
  <c r="D1369" i="13"/>
  <c r="G976" i="13"/>
  <c r="D796" i="13"/>
  <c r="C29" i="1"/>
  <c r="D1147" i="13"/>
  <c r="G1403" i="13"/>
  <c r="E73" i="1"/>
  <c r="E1397" i="13"/>
  <c r="G1686" i="13"/>
  <c r="G947" i="13"/>
  <c r="G150" i="13"/>
  <c r="G463" i="13"/>
  <c r="G131" i="13"/>
  <c r="D1370" i="13"/>
  <c r="G65" i="13"/>
  <c r="E818" i="13"/>
  <c r="G1582" i="13"/>
  <c r="D1150" i="13"/>
  <c r="D86" i="1"/>
  <c r="E63" i="1"/>
  <c r="G1120" i="13"/>
  <c r="G1224" i="13"/>
  <c r="F1516" i="13"/>
  <c r="G760" i="13"/>
  <c r="D893" i="13"/>
  <c r="G481" i="13"/>
  <c r="E1297" i="13"/>
  <c r="G40" i="13"/>
  <c r="C84" i="1"/>
  <c r="D970" i="13"/>
  <c r="D31" i="1"/>
  <c r="E220" i="13"/>
  <c r="G1115" i="13"/>
  <c r="C49" i="1"/>
  <c r="E691" i="13"/>
  <c r="G900" i="13"/>
  <c r="C85" i="1"/>
  <c r="G1305" i="13"/>
  <c r="D896" i="13"/>
  <c r="E642" i="13"/>
  <c r="C79" i="1"/>
  <c r="E1146" i="13"/>
  <c r="C55" i="1"/>
  <c r="D792" i="13"/>
  <c r="D790" i="13" s="1"/>
  <c r="D995" i="13"/>
  <c r="D79" i="1"/>
  <c r="D1556" i="13"/>
  <c r="D1553" i="13" s="1"/>
  <c r="C73" i="1"/>
  <c r="E31" i="1"/>
  <c r="G1450" i="13"/>
  <c r="D1065" i="13"/>
  <c r="G944" i="13"/>
  <c r="G874" i="13"/>
  <c r="G759" i="13"/>
  <c r="E55" i="1"/>
  <c r="E49" i="1"/>
  <c r="F1551" i="13"/>
  <c r="E1293" i="13"/>
  <c r="E1064" i="13"/>
  <c r="E35" i="1"/>
  <c r="E57" i="1"/>
  <c r="G1425" i="13"/>
  <c r="E45" i="1"/>
  <c r="G997" i="13"/>
  <c r="E79" i="1"/>
  <c r="G1076" i="13"/>
  <c r="E1729" i="13"/>
  <c r="E1646" i="13"/>
  <c r="D1641" i="13"/>
  <c r="C43" i="1"/>
  <c r="G829" i="13"/>
  <c r="G134" i="13"/>
  <c r="E694" i="13"/>
  <c r="E1687" i="13"/>
  <c r="E1196" i="13"/>
  <c r="E37" i="1"/>
  <c r="G242" i="13"/>
  <c r="E1340" i="13"/>
  <c r="D1640" i="13"/>
  <c r="G598" i="13"/>
  <c r="E59" i="1"/>
  <c r="C35" i="1"/>
  <c r="G648" i="13"/>
  <c r="G904" i="13"/>
  <c r="G1269" i="13"/>
  <c r="D73" i="1"/>
  <c r="G800" i="13"/>
  <c r="E1706" i="13"/>
  <c r="G1452" i="13"/>
  <c r="E33" i="1"/>
  <c r="G487" i="13"/>
  <c r="G1238" i="13"/>
  <c r="G196" i="13"/>
  <c r="C37" i="1"/>
  <c r="D1068" i="13"/>
  <c r="E32" i="13"/>
  <c r="E1370" i="13"/>
  <c r="E690" i="13"/>
  <c r="G690" i="13" s="1"/>
  <c r="G700" i="13"/>
  <c r="G479" i="13"/>
  <c r="G618" i="13"/>
  <c r="G130" i="13"/>
  <c r="G804" i="13"/>
  <c r="G57" i="13"/>
  <c r="E123" i="13"/>
  <c r="G886" i="13"/>
  <c r="G547" i="13"/>
  <c r="E1150" i="13"/>
  <c r="G148" i="13"/>
  <c r="G1254" i="13"/>
  <c r="D75" i="1"/>
  <c r="E81" i="1"/>
  <c r="E861" i="13"/>
  <c r="E39" i="1"/>
  <c r="E1497" i="13"/>
  <c r="E968" i="13"/>
  <c r="G810" i="13"/>
  <c r="E43" i="1"/>
  <c r="E29" i="1"/>
  <c r="G769" i="13"/>
  <c r="E789" i="13"/>
  <c r="G336" i="13"/>
  <c r="E23" i="1"/>
  <c r="E67" i="1"/>
  <c r="D332" i="13"/>
  <c r="C67" i="1"/>
  <c r="E715" i="13"/>
  <c r="F1550" i="13"/>
  <c r="D329" i="13"/>
  <c r="E967" i="13"/>
  <c r="E892" i="13"/>
  <c r="E75" i="1"/>
  <c r="E65" i="1"/>
  <c r="D29" i="1"/>
  <c r="G1557" i="13"/>
  <c r="G1688" i="13"/>
  <c r="G245" i="13"/>
  <c r="C65" i="1"/>
  <c r="G149" i="13"/>
  <c r="C39" i="1"/>
  <c r="E47" i="1"/>
  <c r="G1158" i="13"/>
  <c r="G868" i="13"/>
  <c r="D81" i="1"/>
  <c r="G386" i="13"/>
  <c r="G1278" i="13"/>
  <c r="G1518" i="13"/>
  <c r="G1200" i="13"/>
  <c r="G1301" i="13"/>
  <c r="E27" i="13"/>
  <c r="F1549" i="13"/>
  <c r="E940" i="13"/>
  <c r="G1603" i="13"/>
  <c r="G1642" i="13"/>
  <c r="E1145" i="13"/>
  <c r="G77" i="13"/>
  <c r="G30" i="13"/>
  <c r="D1546" i="13"/>
  <c r="G158" i="13"/>
  <c r="G1154" i="13"/>
  <c r="D22" i="13"/>
  <c r="G408" i="13"/>
  <c r="G125" i="13"/>
  <c r="F1368" i="13"/>
  <c r="E995" i="13"/>
  <c r="G619" i="13"/>
  <c r="G1451" i="13"/>
  <c r="G261" i="13"/>
  <c r="G971" i="13"/>
  <c r="E483" i="13"/>
  <c r="D545" i="13"/>
  <c r="G337" i="13"/>
  <c r="G737" i="13"/>
  <c r="E1419" i="13"/>
  <c r="G820" i="13"/>
  <c r="G405" i="13"/>
  <c r="E24" i="13"/>
  <c r="D1142" i="13"/>
  <c r="G1449" i="13"/>
  <c r="G1143" i="13"/>
  <c r="E28" i="13"/>
  <c r="G427" i="13"/>
  <c r="G703" i="13"/>
  <c r="G1353" i="13"/>
  <c r="G620" i="13"/>
  <c r="G1343" i="13"/>
  <c r="G942" i="13"/>
  <c r="E896" i="13"/>
  <c r="E594" i="13"/>
  <c r="G526" i="13"/>
  <c r="G223" i="13"/>
  <c r="G306" i="13"/>
  <c r="F1448" i="13"/>
  <c r="G1378" i="13"/>
  <c r="G403" i="13"/>
  <c r="E334" i="13"/>
  <c r="E23" i="13"/>
  <c r="G25" i="13"/>
  <c r="G970" i="13"/>
  <c r="G781" i="13"/>
  <c r="G969" i="13"/>
  <c r="G1690" i="13"/>
  <c r="G1209" i="13"/>
  <c r="F890" i="13"/>
  <c r="G35" i="13"/>
  <c r="G841" i="13"/>
  <c r="G1552" i="13"/>
  <c r="G406" i="13"/>
  <c r="E1546" i="13"/>
  <c r="G1320" i="13"/>
  <c r="G693" i="13"/>
  <c r="G894" i="13"/>
  <c r="D616" i="13"/>
  <c r="G1601" i="13"/>
  <c r="G717" i="13"/>
  <c r="G1126" i="13"/>
  <c r="G480" i="13"/>
  <c r="E54" i="13"/>
  <c r="E1292" i="13"/>
  <c r="E127" i="13"/>
  <c r="E891" i="13"/>
  <c r="G1066" i="13"/>
  <c r="F1220" i="13"/>
  <c r="D24" i="13"/>
  <c r="G549" i="13"/>
  <c r="E330" i="13"/>
  <c r="G1708" i="13"/>
  <c r="F1546" i="13"/>
  <c r="F334" i="13"/>
  <c r="G570" i="13"/>
  <c r="G1203" i="13"/>
  <c r="D23" i="13"/>
  <c r="E1369" i="13"/>
  <c r="G1618" i="13"/>
  <c r="G218" i="13"/>
  <c r="E402" i="13"/>
  <c r="G921" i="13"/>
  <c r="E215" i="13"/>
  <c r="G96" i="13"/>
  <c r="G1371" i="13"/>
  <c r="E788" i="13"/>
  <c r="E1516" i="13"/>
  <c r="D67" i="1"/>
  <c r="D1220" i="13"/>
  <c r="C57" i="1"/>
  <c r="G340" i="13"/>
  <c r="D477" i="13"/>
  <c r="C33" i="1"/>
  <c r="D19" i="13"/>
  <c r="D1367" i="13"/>
  <c r="C63" i="1"/>
  <c r="D214" i="13"/>
  <c r="C23" i="1"/>
  <c r="G335" i="13"/>
  <c r="G953" i="13"/>
  <c r="D1599" i="13"/>
  <c r="C75" i="1"/>
  <c r="F1291" i="13"/>
  <c r="F404" i="13"/>
  <c r="G865" i="13"/>
  <c r="C47" i="1"/>
  <c r="D1372" i="13"/>
  <c r="C45" i="1"/>
  <c r="G1644" i="13"/>
  <c r="G502" i="13"/>
  <c r="F1141" i="13"/>
  <c r="D1291" i="13"/>
  <c r="C59" i="1"/>
  <c r="D402" i="13"/>
  <c r="C31" i="1"/>
  <c r="D1684" i="13"/>
  <c r="C81" i="1"/>
  <c r="G1294" i="13"/>
  <c r="G622" i="13"/>
  <c r="E239" i="13"/>
  <c r="E1448" i="13"/>
  <c r="D65" i="1"/>
  <c r="E972" i="13"/>
  <c r="G1675" i="13"/>
  <c r="F1367" i="13"/>
  <c r="G551" i="13"/>
  <c r="D1448" i="13"/>
  <c r="G1245" i="13"/>
  <c r="G793" i="13"/>
  <c r="G217" i="13"/>
  <c r="D1139" i="13"/>
  <c r="D26" i="13"/>
  <c r="E1141" i="13"/>
  <c r="D331" i="13"/>
  <c r="F1639" i="13"/>
  <c r="F785" i="13"/>
  <c r="F1372" i="13"/>
  <c r="G60" i="13"/>
  <c r="G1649" i="13"/>
  <c r="G646" i="13"/>
  <c r="E802" i="13"/>
  <c r="E809" i="13"/>
  <c r="F1369" i="13"/>
  <c r="G1375" i="13"/>
  <c r="E1063" i="13"/>
  <c r="E1580" i="13"/>
  <c r="G1198" i="13"/>
  <c r="E756" i="13"/>
  <c r="G1475" i="13"/>
  <c r="G1717" i="13"/>
  <c r="G1732" i="13"/>
  <c r="E787" i="13"/>
  <c r="G1176" i="13"/>
  <c r="G1374" i="13"/>
  <c r="G1006" i="13"/>
  <c r="G124" i="13"/>
  <c r="G129" i="13"/>
  <c r="E696" i="13"/>
  <c r="G692" i="13"/>
  <c r="G1223" i="13"/>
  <c r="G893" i="13"/>
  <c r="E1599" i="13"/>
  <c r="E1265" i="13"/>
  <c r="G281" i="13"/>
  <c r="G1093" i="13"/>
  <c r="D1643" i="13"/>
  <c r="D1638" i="13"/>
  <c r="D330" i="13"/>
  <c r="E147" i="13"/>
  <c r="F689" i="13"/>
  <c r="F121" i="13"/>
  <c r="G1267" i="13"/>
  <c r="G1521" i="13"/>
  <c r="G1647" i="13"/>
  <c r="F1641" i="13"/>
  <c r="D689" i="13"/>
  <c r="G671" i="13"/>
  <c r="E617" i="13"/>
  <c r="D785" i="13"/>
  <c r="E331" i="13"/>
  <c r="E1226" i="13"/>
  <c r="G1230" i="13"/>
  <c r="F21" i="13"/>
  <c r="F26" i="13"/>
  <c r="F19" i="13"/>
  <c r="F24" i="13"/>
  <c r="G1148" i="13"/>
  <c r="F1142" i="13"/>
  <c r="G1645" i="13"/>
  <c r="G1559" i="13"/>
  <c r="G1147" i="13"/>
  <c r="E1638" i="13"/>
  <c r="E1543" i="13"/>
  <c r="G1555" i="13"/>
  <c r="F1062" i="13"/>
  <c r="F1144" i="13"/>
  <c r="F1139" i="13"/>
  <c r="F1553" i="13"/>
  <c r="F1548" i="13"/>
  <c r="G1554" i="13"/>
  <c r="G216" i="13"/>
  <c r="F214" i="13"/>
  <c r="F330" i="13"/>
  <c r="G1295" i="13"/>
  <c r="D121" i="13"/>
  <c r="D21" i="13"/>
  <c r="G1685" i="13"/>
  <c r="F1684" i="13"/>
  <c r="E1548" i="13"/>
  <c r="F331" i="13"/>
  <c r="G338" i="13"/>
  <c r="G29" i="13"/>
  <c r="F23" i="13"/>
  <c r="G1731" i="13"/>
  <c r="E1730" i="13"/>
  <c r="D1548" i="13"/>
  <c r="G1517" i="13"/>
  <c r="F966" i="13"/>
  <c r="F1643" i="13"/>
  <c r="F792" i="13"/>
  <c r="E1222" i="13"/>
  <c r="F1640" i="13"/>
  <c r="E791" i="13"/>
  <c r="F616" i="13"/>
  <c r="E381" i="13"/>
  <c r="D334" i="13"/>
  <c r="D328" i="13"/>
  <c r="F22" i="13"/>
  <c r="G794" i="13"/>
  <c r="F788" i="13"/>
  <c r="G1117" i="13"/>
  <c r="E1113" i="13"/>
  <c r="G1376" i="13"/>
  <c r="F1370" i="13"/>
  <c r="G1065" i="13"/>
  <c r="E664" i="13"/>
  <c r="G668" i="13"/>
  <c r="F477" i="13"/>
  <c r="G1401" i="13"/>
  <c r="F328" i="13"/>
  <c r="G339" i="13"/>
  <c r="E333" i="13"/>
  <c r="E1142" i="13"/>
  <c r="G359" i="13"/>
  <c r="E1373" i="13"/>
  <c r="G980" i="13"/>
  <c r="G548" i="13"/>
  <c r="F545" i="13"/>
  <c r="F1140" i="13"/>
  <c r="E122" i="13"/>
  <c r="F1638" i="13"/>
  <c r="G1454" i="13"/>
  <c r="F787" i="13"/>
  <c r="G1600" i="13"/>
  <c r="F1599" i="13"/>
  <c r="G1605" i="13"/>
  <c r="G1019" i="13" l="1"/>
  <c r="E1728" i="13"/>
  <c r="D84" i="1" s="1"/>
  <c r="G1068" i="13"/>
  <c r="D35" i="1"/>
  <c r="G449" i="13"/>
  <c r="E545" i="13"/>
  <c r="G545" i="13" s="1"/>
  <c r="G546" i="13"/>
  <c r="G189" i="13"/>
  <c r="E477" i="13"/>
  <c r="G968" i="13"/>
  <c r="E1545" i="13"/>
  <c r="G169" i="13"/>
  <c r="G478" i="13"/>
  <c r="G1041" i="13"/>
  <c r="G1664" i="13"/>
  <c r="G1556" i="13"/>
  <c r="E1550" i="13"/>
  <c r="D33" i="1"/>
  <c r="G1293" i="13"/>
  <c r="E966" i="13"/>
  <c r="D46" i="1" s="1"/>
  <c r="G1397" i="13"/>
  <c r="G818" i="13"/>
  <c r="G1297" i="13"/>
  <c r="G123" i="13"/>
  <c r="G1064" i="13"/>
  <c r="D1545" i="13"/>
  <c r="G1221" i="13"/>
  <c r="E1684" i="13"/>
  <c r="D80" i="1" s="1"/>
  <c r="G1340" i="13"/>
  <c r="D966" i="13"/>
  <c r="C46" i="1" s="1"/>
  <c r="G995" i="13"/>
  <c r="G1706" i="13"/>
  <c r="D1144" i="13"/>
  <c r="E329" i="13"/>
  <c r="D788" i="13"/>
  <c r="G892" i="13"/>
  <c r="E1727" i="13"/>
  <c r="G642" i="13"/>
  <c r="G1687" i="13"/>
  <c r="G1646" i="13"/>
  <c r="G1497" i="13"/>
  <c r="D1062" i="13"/>
  <c r="C48" i="1" s="1"/>
  <c r="G940" i="13"/>
  <c r="D1141" i="13"/>
  <c r="E1643" i="13"/>
  <c r="D78" i="1" s="1"/>
  <c r="F18" i="13"/>
  <c r="E1640" i="13"/>
  <c r="G1640" i="13" s="1"/>
  <c r="E1144" i="13"/>
  <c r="D54" i="1" s="1"/>
  <c r="G1551" i="13"/>
  <c r="G691" i="13"/>
  <c r="G27" i="13"/>
  <c r="G1146" i="13"/>
  <c r="G1729" i="13"/>
  <c r="G861" i="13"/>
  <c r="E54" i="1"/>
  <c r="E62" i="1"/>
  <c r="G1226" i="13"/>
  <c r="D74" i="1"/>
  <c r="D66" i="1"/>
  <c r="E72" i="1"/>
  <c r="G664" i="13"/>
  <c r="G381" i="13"/>
  <c r="E80" i="1"/>
  <c r="C30" i="1"/>
  <c r="G715" i="13"/>
  <c r="D45" i="1"/>
  <c r="G1419" i="13"/>
  <c r="G1368" i="13"/>
  <c r="D39" i="1"/>
  <c r="D37" i="1"/>
  <c r="D43" i="1"/>
  <c r="D786" i="13"/>
  <c r="G147" i="13"/>
  <c r="G127" i="13"/>
  <c r="D85" i="1"/>
  <c r="G1370" i="13"/>
  <c r="D72" i="1"/>
  <c r="D787" i="13"/>
  <c r="D1637" i="13"/>
  <c r="G972" i="13"/>
  <c r="G54" i="13"/>
  <c r="G594" i="13"/>
  <c r="G28" i="13"/>
  <c r="C34" i="1"/>
  <c r="E792" i="13"/>
  <c r="G792" i="13" s="1"/>
  <c r="C78" i="1"/>
  <c r="G404" i="13"/>
  <c r="E28" i="1"/>
  <c r="E66" i="1"/>
  <c r="C58" i="1"/>
  <c r="C32" i="1"/>
  <c r="E34" i="1"/>
  <c r="G1113" i="13"/>
  <c r="D64" i="1"/>
  <c r="E58" i="1"/>
  <c r="G483" i="13"/>
  <c r="D47" i="1"/>
  <c r="D18" i="13"/>
  <c r="G696" i="13"/>
  <c r="E332" i="13"/>
  <c r="C38" i="1"/>
  <c r="G220" i="13"/>
  <c r="G1730" i="13"/>
  <c r="G756" i="13"/>
  <c r="G1196" i="13"/>
  <c r="G239" i="13"/>
  <c r="G32" i="13"/>
  <c r="G789" i="13"/>
  <c r="G896" i="13"/>
  <c r="C74" i="1"/>
  <c r="D28" i="1"/>
  <c r="D1366" i="13"/>
  <c r="C56" i="1"/>
  <c r="E214" i="13"/>
  <c r="G214" i="13" s="1"/>
  <c r="D63" i="1"/>
  <c r="G1265" i="13"/>
  <c r="C64" i="1"/>
  <c r="D890" i="13"/>
  <c r="E44" i="1"/>
  <c r="G1150" i="13"/>
  <c r="D1550" i="13"/>
  <c r="D1547" i="13" s="1"/>
  <c r="D59" i="1"/>
  <c r="D55" i="1"/>
  <c r="E36" i="1"/>
  <c r="G1549" i="13"/>
  <c r="C42" i="1"/>
  <c r="G694" i="13"/>
  <c r="G1580" i="13"/>
  <c r="E56" i="1"/>
  <c r="C72" i="1"/>
  <c r="G802" i="13"/>
  <c r="C62" i="1"/>
  <c r="D30" i="1"/>
  <c r="C80" i="1"/>
  <c r="C36" i="1"/>
  <c r="C28" i="1"/>
  <c r="G967" i="13"/>
  <c r="E689" i="13"/>
  <c r="G689" i="13" s="1"/>
  <c r="E38" i="1"/>
  <c r="C22" i="1"/>
  <c r="E64" i="1"/>
  <c r="G1145" i="13"/>
  <c r="G1546" i="13"/>
  <c r="D12" i="13"/>
  <c r="G1516" i="13"/>
  <c r="E328" i="13"/>
  <c r="E1291" i="13"/>
  <c r="G1291" i="13" s="1"/>
  <c r="E26" i="13"/>
  <c r="G787" i="13"/>
  <c r="E22" i="13"/>
  <c r="E1139" i="13"/>
  <c r="G788" i="13"/>
  <c r="G891" i="13"/>
  <c r="G1292" i="13"/>
  <c r="G1448" i="13"/>
  <c r="E890" i="13"/>
  <c r="G334" i="13"/>
  <c r="F402" i="13"/>
  <c r="G215" i="13"/>
  <c r="G330" i="13"/>
  <c r="F329" i="13"/>
  <c r="E16" i="13"/>
  <c r="G1369" i="13"/>
  <c r="D23" i="1"/>
  <c r="G1141" i="13"/>
  <c r="G1728" i="13"/>
  <c r="E46" i="1"/>
  <c r="G809" i="13"/>
  <c r="E78" i="1"/>
  <c r="E48" i="1"/>
  <c r="E1062" i="13"/>
  <c r="D49" i="1"/>
  <c r="G1063" i="13"/>
  <c r="G1599" i="13"/>
  <c r="E74" i="1"/>
  <c r="E22" i="1"/>
  <c r="G1142" i="13"/>
  <c r="E32" i="1"/>
  <c r="E796" i="13"/>
  <c r="F1543" i="13"/>
  <c r="G1639" i="13"/>
  <c r="D327" i="13"/>
  <c r="E17" i="13"/>
  <c r="G1638" i="13"/>
  <c r="F1637" i="13"/>
  <c r="G333" i="13"/>
  <c r="E19" i="13"/>
  <c r="E121" i="13"/>
  <c r="G122" i="13"/>
  <c r="E785" i="13"/>
  <c r="G791" i="13"/>
  <c r="G331" i="13"/>
  <c r="F1366" i="13"/>
  <c r="F1544" i="13"/>
  <c r="G1548" i="13"/>
  <c r="F1542" i="13"/>
  <c r="F1547" i="13"/>
  <c r="G24" i="13"/>
  <c r="F17" i="13"/>
  <c r="E21" i="13"/>
  <c r="E1140" i="13"/>
  <c r="E1220" i="13"/>
  <c r="G1222" i="13"/>
  <c r="G1553" i="13"/>
  <c r="F12" i="13"/>
  <c r="F20" i="13"/>
  <c r="F14" i="13"/>
  <c r="E616" i="13"/>
  <c r="G617" i="13"/>
  <c r="E1372" i="13"/>
  <c r="E1367" i="13"/>
  <c r="G1373" i="13"/>
  <c r="F786" i="13"/>
  <c r="F790" i="13"/>
  <c r="D1542" i="13"/>
  <c r="F1138" i="13"/>
  <c r="D20" i="13"/>
  <c r="D14" i="13"/>
  <c r="F16" i="13"/>
  <c r="G23" i="13"/>
  <c r="G1641" i="13"/>
  <c r="F1545" i="13"/>
  <c r="D34" i="1" l="1"/>
  <c r="D32" i="1"/>
  <c r="G477" i="13"/>
  <c r="C54" i="1"/>
  <c r="E1547" i="13"/>
  <c r="G966" i="13"/>
  <c r="G1550" i="13"/>
  <c r="G1684" i="13"/>
  <c r="E1726" i="13"/>
  <c r="G1727" i="13"/>
  <c r="D17" i="13"/>
  <c r="D10" i="13" s="1"/>
  <c r="E327" i="13"/>
  <c r="D1138" i="13"/>
  <c r="D784" i="13"/>
  <c r="E1637" i="13"/>
  <c r="G1144" i="13"/>
  <c r="E1542" i="13"/>
  <c r="F11" i="13"/>
  <c r="E1544" i="13"/>
  <c r="G1643" i="13"/>
  <c r="G22" i="13"/>
  <c r="D16" i="13"/>
  <c r="G329" i="13"/>
  <c r="G328" i="13"/>
  <c r="G402" i="13"/>
  <c r="G26" i="13"/>
  <c r="E786" i="13"/>
  <c r="G890" i="13"/>
  <c r="D1544" i="13"/>
  <c r="D22" i="1"/>
  <c r="D15" i="13"/>
  <c r="E790" i="13"/>
  <c r="G1543" i="13"/>
  <c r="D38" i="1"/>
  <c r="E18" i="13"/>
  <c r="G332" i="13"/>
  <c r="G796" i="13"/>
  <c r="G21" i="13"/>
  <c r="G1545" i="13"/>
  <c r="E42" i="1"/>
  <c r="D48" i="1"/>
  <c r="G121" i="13"/>
  <c r="C44" i="1"/>
  <c r="D58" i="1"/>
  <c r="E12" i="13"/>
  <c r="D11" i="13"/>
  <c r="E10" i="13"/>
  <c r="G1139" i="13"/>
  <c r="F327" i="13"/>
  <c r="D44" i="1"/>
  <c r="E30" i="1"/>
  <c r="G1140" i="13"/>
  <c r="G1062" i="13"/>
  <c r="G19" i="13"/>
  <c r="G1220" i="13"/>
  <c r="D56" i="1"/>
  <c r="G616" i="13"/>
  <c r="D36" i="1"/>
  <c r="G1372" i="13"/>
  <c r="D62" i="1"/>
  <c r="E1138" i="13"/>
  <c r="F784" i="13"/>
  <c r="G16" i="13"/>
  <c r="F9" i="13"/>
  <c r="F15" i="13"/>
  <c r="E20" i="13"/>
  <c r="E14" i="13"/>
  <c r="D7" i="13"/>
  <c r="F10" i="13"/>
  <c r="G17" i="13"/>
  <c r="E1366" i="13"/>
  <c r="G1367" i="13"/>
  <c r="G785" i="13"/>
  <c r="F1541" i="13"/>
  <c r="F7" i="13"/>
  <c r="G1547" i="13" l="1"/>
  <c r="E784" i="13"/>
  <c r="G786" i="13"/>
  <c r="D1541" i="13"/>
  <c r="E1541" i="13"/>
  <c r="G1542" i="13"/>
  <c r="D9" i="13"/>
  <c r="G1726" i="13"/>
  <c r="G1544" i="13"/>
  <c r="G1637" i="13"/>
  <c r="E9" i="13"/>
  <c r="G12" i="13"/>
  <c r="E11" i="13"/>
  <c r="G18" i="13"/>
  <c r="G1366" i="13"/>
  <c r="G1138" i="13"/>
  <c r="G10" i="13"/>
  <c r="D42" i="1"/>
  <c r="E15" i="13"/>
  <c r="D8" i="13"/>
  <c r="D13" i="13"/>
  <c r="G327" i="13"/>
  <c r="G790" i="13"/>
  <c r="G14" i="13"/>
  <c r="G20" i="13"/>
  <c r="F13" i="13"/>
  <c r="F8" i="13"/>
  <c r="E7" i="13"/>
  <c r="G784" i="13" l="1"/>
  <c r="G9" i="13"/>
  <c r="G1541" i="13"/>
  <c r="D6" i="13"/>
  <c r="E8" i="13"/>
  <c r="G11" i="13"/>
  <c r="E13" i="13"/>
  <c r="G15" i="13"/>
  <c r="G7" i="13"/>
  <c r="F6" i="13"/>
  <c r="G8" i="13" l="1"/>
  <c r="E6" i="13"/>
  <c r="G13" i="13"/>
  <c r="G6" i="13" l="1"/>
  <c r="E7" i="1" l="1"/>
  <c r="E8" i="1" l="1"/>
  <c r="C13" i="2"/>
  <c r="E102" i="1"/>
  <c r="E108" i="1"/>
  <c r="E11" i="1"/>
  <c r="E10" i="1"/>
  <c r="D97" i="1" l="1"/>
  <c r="G97" i="1" l="1"/>
  <c r="D87" i="1"/>
  <c r="G87" i="1" s="1"/>
  <c r="C17" i="2" l="1"/>
  <c r="C18" i="2"/>
  <c r="C14" i="2"/>
  <c r="C11" i="2"/>
  <c r="C14" i="4" l="1"/>
  <c r="D8" i="1" l="1"/>
  <c r="D7" i="1"/>
  <c r="G18" i="2" l="1"/>
  <c r="G17" i="2"/>
  <c r="G13" i="2"/>
  <c r="G10" i="2"/>
  <c r="C95" i="1" l="1"/>
  <c r="C87" i="1" s="1"/>
  <c r="F61" i="1"/>
  <c r="F60" i="1"/>
  <c r="F17" i="1"/>
  <c r="F16" i="1"/>
  <c r="G25" i="1"/>
  <c r="G24" i="1"/>
  <c r="F41" i="1"/>
  <c r="F40" i="1"/>
  <c r="G51" i="1"/>
  <c r="G50" i="1"/>
  <c r="F53" i="1"/>
  <c r="F52" i="1"/>
  <c r="F27" i="1"/>
  <c r="F26" i="1"/>
  <c r="F14" i="1" l="1"/>
  <c r="F15" i="1"/>
  <c r="E21" i="1"/>
  <c r="C21" i="1"/>
  <c r="E61" i="1" l="1"/>
  <c r="C19" i="1"/>
  <c r="E19" i="1"/>
  <c r="E20" i="1"/>
  <c r="C20" i="1"/>
  <c r="E18" i="1" l="1"/>
  <c r="D21" i="1"/>
  <c r="G47" i="1"/>
  <c r="G59" i="1"/>
  <c r="E60" i="1"/>
  <c r="C60" i="1"/>
  <c r="C61" i="1"/>
  <c r="C53" i="1"/>
  <c r="E53" i="1"/>
  <c r="C17" i="1"/>
  <c r="E17" i="1"/>
  <c r="E52" i="1"/>
  <c r="C52" i="1"/>
  <c r="C41" i="1"/>
  <c r="E27" i="1"/>
  <c r="C27" i="1"/>
  <c r="C26" i="1"/>
  <c r="E26" i="1"/>
  <c r="C18" i="1"/>
  <c r="C16" i="1" s="1"/>
  <c r="D19" i="1"/>
  <c r="E16" i="1" l="1"/>
  <c r="G31" i="1"/>
  <c r="G35" i="1"/>
  <c r="G39" i="1"/>
  <c r="G21" i="1"/>
  <c r="G45" i="1"/>
  <c r="D61" i="1"/>
  <c r="G33" i="1"/>
  <c r="D18" i="1"/>
  <c r="G18" i="1" s="1"/>
  <c r="C15" i="1"/>
  <c r="D17" i="1"/>
  <c r="G55" i="1"/>
  <c r="D53" i="1"/>
  <c r="C40" i="1"/>
  <c r="G57" i="1"/>
  <c r="G49" i="1"/>
  <c r="D27" i="1"/>
  <c r="E41" i="1"/>
  <c r="G29" i="1"/>
  <c r="G37" i="1"/>
  <c r="G23" i="1"/>
  <c r="D20" i="1"/>
  <c r="G19" i="1"/>
  <c r="E15" i="1" l="1"/>
  <c r="C14" i="1"/>
  <c r="G38" i="1"/>
  <c r="G28" i="1"/>
  <c r="D60" i="1"/>
  <c r="G58" i="1"/>
  <c r="D16" i="1"/>
  <c r="G17" i="1"/>
  <c r="G53" i="1"/>
  <c r="D52" i="1"/>
  <c r="G54" i="1"/>
  <c r="G44" i="1"/>
  <c r="E40" i="1"/>
  <c r="G27" i="1"/>
  <c r="G36" i="1"/>
  <c r="G34" i="1"/>
  <c r="G32" i="1"/>
  <c r="G30" i="1"/>
  <c r="D26" i="1"/>
  <c r="G22" i="1"/>
  <c r="G20" i="1"/>
  <c r="E14" i="1" l="1"/>
  <c r="G48" i="1"/>
  <c r="D40" i="1"/>
  <c r="G16" i="1"/>
  <c r="D41" i="1"/>
  <c r="G56" i="1"/>
  <c r="G43" i="1"/>
  <c r="G46" i="1"/>
  <c r="G26" i="1"/>
  <c r="F112" i="1"/>
  <c r="F99" i="1"/>
  <c r="F83" i="1"/>
  <c r="F82" i="1"/>
  <c r="F77" i="1"/>
  <c r="F76" i="1"/>
  <c r="F71" i="1"/>
  <c r="F70" i="1"/>
  <c r="F11" i="1"/>
  <c r="F8" i="1"/>
  <c r="F7" i="1"/>
  <c r="D14" i="1" l="1"/>
  <c r="D15" i="1"/>
  <c r="G42" i="1"/>
  <c r="G41" i="1"/>
  <c r="G52" i="1"/>
  <c r="F98" i="1"/>
  <c r="F5" i="1"/>
  <c r="F68" i="1"/>
  <c r="F12" i="1" s="1"/>
  <c r="F69" i="1"/>
  <c r="F13" i="1" s="1"/>
  <c r="G40" i="1" l="1"/>
  <c r="H13" i="2"/>
  <c r="H15" i="2" l="1"/>
  <c r="D83" i="1"/>
  <c r="D82" i="1"/>
  <c r="E83" i="1"/>
  <c r="E82" i="1"/>
  <c r="E77" i="1"/>
  <c r="D77" i="1"/>
  <c r="E76" i="1"/>
  <c r="D76" i="1"/>
  <c r="E71" i="1"/>
  <c r="D71" i="1"/>
  <c r="E70" i="1"/>
  <c r="D70" i="1"/>
  <c r="D69" i="1" l="1"/>
  <c r="D13" i="1" s="1"/>
  <c r="D68" i="1"/>
  <c r="D12" i="1" s="1"/>
  <c r="E68" i="1"/>
  <c r="E12" i="1" s="1"/>
  <c r="E69" i="1"/>
  <c r="E13" i="1" s="1"/>
  <c r="D15" i="2" l="1"/>
  <c r="G3" i="2" l="1"/>
  <c r="C3" i="2" l="1"/>
  <c r="C83" i="1" l="1"/>
  <c r="D7" i="2" l="1"/>
  <c r="C82" i="1" l="1"/>
  <c r="C77" i="1"/>
  <c r="C76" i="1"/>
  <c r="C71" i="1"/>
  <c r="C70" i="1"/>
  <c r="C68" i="1" l="1"/>
  <c r="C12" i="1" s="1"/>
  <c r="C69" i="1"/>
  <c r="C13" i="1" s="1"/>
  <c r="E98" i="1" l="1"/>
  <c r="E18" i="2" l="1"/>
  <c r="D16" i="2"/>
  <c r="E16" i="2" s="1"/>
  <c r="H16" i="2"/>
  <c r="I16" i="2" s="1"/>
  <c r="I18" i="2"/>
  <c r="D19" i="2"/>
  <c r="E19" i="2" s="1"/>
  <c r="H19" i="2"/>
  <c r="I19" i="2" s="1"/>
  <c r="D17" i="2"/>
  <c r="E17" i="2" l="1"/>
  <c r="G81" i="1" l="1"/>
  <c r="G80" i="1"/>
  <c r="G79" i="1"/>
  <c r="G78" i="1"/>
  <c r="G75" i="1"/>
  <c r="G74" i="1"/>
  <c r="G73" i="1"/>
  <c r="G72" i="1"/>
  <c r="G67" i="1"/>
  <c r="G66" i="1"/>
  <c r="G65" i="1"/>
  <c r="G64" i="1"/>
  <c r="G63" i="1"/>
  <c r="G62" i="1"/>
  <c r="D11" i="1"/>
  <c r="D10" i="1"/>
  <c r="D9" i="1"/>
  <c r="D6" i="1"/>
  <c r="D10" i="2"/>
  <c r="E10" i="2" s="1"/>
  <c r="D9" i="2"/>
  <c r="E9" i="2" s="1"/>
  <c r="D8" i="2"/>
  <c r="E8" i="2" s="1"/>
  <c r="E7" i="2"/>
  <c r="D6" i="2"/>
  <c r="E6" i="2" s="1"/>
  <c r="D5" i="2"/>
  <c r="G60" i="1" l="1"/>
  <c r="G14" i="1" s="1"/>
  <c r="G61" i="1"/>
  <c r="G15" i="1" s="1"/>
  <c r="G77" i="1"/>
  <c r="G70" i="1"/>
  <c r="G71" i="1"/>
  <c r="G76" i="1"/>
  <c r="H17" i="2"/>
  <c r="I17" i="2" s="1"/>
  <c r="G10" i="1"/>
  <c r="G9" i="1"/>
  <c r="G11" i="1"/>
  <c r="G6" i="1"/>
  <c r="G84" i="1"/>
  <c r="G8" i="1"/>
  <c r="G7" i="1"/>
  <c r="G85" i="1"/>
  <c r="G86" i="1"/>
  <c r="H8" i="2"/>
  <c r="I8" i="2" s="1"/>
  <c r="H5" i="2"/>
  <c r="E5" i="1"/>
  <c r="D5" i="1"/>
  <c r="C5" i="1"/>
  <c r="D13" i="2" l="1"/>
  <c r="G83" i="1"/>
  <c r="G82" i="1"/>
  <c r="G5" i="1"/>
  <c r="H10" i="2"/>
  <c r="I10" i="2" s="1"/>
  <c r="H9" i="2"/>
  <c r="I9" i="2" s="1"/>
  <c r="H7" i="2"/>
  <c r="I7" i="2" s="1"/>
  <c r="H6" i="2"/>
  <c r="I6" i="2" s="1"/>
  <c r="G68" i="1" l="1"/>
  <c r="G12" i="1" s="1"/>
  <c r="G69" i="1"/>
  <c r="G13" i="1" s="1"/>
  <c r="E14" i="2" l="1"/>
  <c r="E12" i="2"/>
  <c r="E11" i="2"/>
  <c r="B6" i="4" l="1"/>
  <c r="B28" i="4" l="1"/>
  <c r="I15" i="2" l="1"/>
  <c r="E15" i="2"/>
  <c r="I14" i="2"/>
  <c r="I12" i="2"/>
  <c r="I11" i="2"/>
  <c r="B29" i="4"/>
  <c r="B30" i="4" s="1"/>
  <c r="H3" i="2" l="1"/>
  <c r="E5" i="2"/>
  <c r="D3" i="2" l="1"/>
  <c r="I5" i="2"/>
  <c r="I13" i="2" l="1"/>
  <c r="E13" i="2"/>
  <c r="E3" i="2" l="1"/>
  <c r="I3" i="2" l="1"/>
  <c r="C6" i="4" l="1"/>
  <c r="C28" i="4" l="1"/>
  <c r="C29" i="4"/>
  <c r="C30" i="4" l="1"/>
</calcChain>
</file>

<file path=xl/sharedStrings.xml><?xml version="1.0" encoding="utf-8"?>
<sst xmlns="http://schemas.openxmlformats.org/spreadsheetml/2006/main" count="1920" uniqueCount="171">
  <si>
    <t>eurodes</t>
  </si>
  <si>
    <t>Algne eelarve</t>
  </si>
  <si>
    <t>Lõplik eelarve</t>
  </si>
  <si>
    <t>Täitmine miinus lõplik eelarve</t>
  </si>
  <si>
    <t>Saadud toetused</t>
  </si>
  <si>
    <t>Riigilõivud</t>
  </si>
  <si>
    <t>Tulu majandustegevusest</t>
  </si>
  <si>
    <t>Tulu põhivara ja varude müügist</t>
  </si>
  <si>
    <t>Trahvid ja muud varalised karistused</t>
  </si>
  <si>
    <t>sh piirmääraga vahendid</t>
  </si>
  <si>
    <t xml:space="preserve">TULUD </t>
  </si>
  <si>
    <t>KULUD</t>
  </si>
  <si>
    <t xml:space="preserve">INVESTEERINGUD </t>
  </si>
  <si>
    <t>KORRIGEERIMISED</t>
  </si>
  <si>
    <t>Intressikulu eraldistelt</t>
  </si>
  <si>
    <t>Saadud riigisisesed toetused</t>
  </si>
  <si>
    <t>Saadud välistoetused vahendamiseks riigiasutustele</t>
  </si>
  <si>
    <t>Investeeringud</t>
  </si>
  <si>
    <t>Saadud mitterahalised toetused</t>
  </si>
  <si>
    <t>Tulemusvaldkond: SISETURVALISUS</t>
  </si>
  <si>
    <t xml:space="preserve">Lisa </t>
  </si>
  <si>
    <t>Eelarve täitmise ja raamatupidamisaruannete võrdlus</t>
  </si>
  <si>
    <t>Kirje</t>
  </si>
  <si>
    <t>Selgitus</t>
  </si>
  <si>
    <t>Finantstulud</t>
  </si>
  <si>
    <t>Finantskulud</t>
  </si>
  <si>
    <t>3sisesed</t>
  </si>
  <si>
    <t>4,5,6sisesed</t>
  </si>
  <si>
    <t>15ettemaksed</t>
  </si>
  <si>
    <t>SIM</t>
  </si>
  <si>
    <t>Valitsemisala</t>
  </si>
  <si>
    <t>Siseministeerium</t>
  </si>
  <si>
    <t>Lõpliku eelarve kujunemine</t>
  </si>
  <si>
    <t>Tulud</t>
  </si>
  <si>
    <t>Esialgne eelarve</t>
  </si>
  <si>
    <t>Üle toodud eelmisest aastast</t>
  </si>
  <si>
    <t>Sihtotstarbeliste vahendite reservist</t>
  </si>
  <si>
    <t>Eelarves kavandatud toetused</t>
  </si>
  <si>
    <t>Tegelikult saadud toetused ja avatud sildfinantseerimine</t>
  </si>
  <si>
    <t>Eelarves kavandatud saastekvootide müügist</t>
  </si>
  <si>
    <t>Tegelikult saadud saastekvootide müügist</t>
  </si>
  <si>
    <t>Saastekvootide müügist saadud eelarve ümberjaotamine</t>
  </si>
  <si>
    <t>Eelarves kavandatud majandustegevusest laekuv tulu</t>
  </si>
  <si>
    <t>Tegelikult majandustegevusest saadud tulu</t>
  </si>
  <si>
    <t>Eelarves kavandatud muud tuludest sõltuvad kulud</t>
  </si>
  <si>
    <t>Eelarves kavandatud edasiantavad maksud</t>
  </si>
  <si>
    <t>Tegelikud edasiantavad maksud</t>
  </si>
  <si>
    <t xml:space="preserve">Saadud Vabariigi Valitsuse reservfondist </t>
  </si>
  <si>
    <t>Antud Vabariigi valitsuse reservfondi</t>
  </si>
  <si>
    <t>Saadud omandireformi reservfondist</t>
  </si>
  <si>
    <t>Kokku lõplik eelarve</t>
  </si>
  <si>
    <t>Käibemaks</t>
  </si>
  <si>
    <t>Käibemaksukulu tegevuskuludelt</t>
  </si>
  <si>
    <t>Muud tulud</t>
  </si>
  <si>
    <t>Tööjõukulud</t>
  </si>
  <si>
    <t>Majandamiskulud</t>
  </si>
  <si>
    <t>Muud kulud</t>
  </si>
  <si>
    <t>Kulud kokku</t>
  </si>
  <si>
    <t>Edasiantud välistoetused ja kaasfinantseerimine riigiasutustele</t>
  </si>
  <si>
    <t>Eelarves kavandatud välistoetuste kaasrahastamine</t>
  </si>
  <si>
    <t>Tegelik välistoetuste kaasrahastamine</t>
  </si>
  <si>
    <t>Käibemaksukulu investeeringutelt</t>
  </si>
  <si>
    <t>Tegevuskulud, v.a käibemaksukulu</t>
  </si>
  <si>
    <t>Tulu põhivarade ja varude müügist</t>
  </si>
  <si>
    <t>Muud investeeringud kokku</t>
  </si>
  <si>
    <t>Kulud, investeeringud</t>
  </si>
  <si>
    <t>Muud investeeringud</t>
  </si>
  <si>
    <t>Tulemusvaldkond: SIDUS ÜHISKOND</t>
  </si>
  <si>
    <t xml:space="preserve">SISEMINISTEERIUMI valitsemisala </t>
  </si>
  <si>
    <t>Õnnetuste, süütegude ja varakahjude ennetamine</t>
  </si>
  <si>
    <t>Tegevus- ja relvalubade väljaandmine</t>
  </si>
  <si>
    <t>Siseturvalisuse vabatahtlike kaasamine</t>
  </si>
  <si>
    <t>Avaliku korra tagamine</t>
  </si>
  <si>
    <t>Demineerimine</t>
  </si>
  <si>
    <t>Põhiseadusliku korra tagamine</t>
  </si>
  <si>
    <t>Raske ja organiseeritud kuritegevuse vastane võitlus</t>
  </si>
  <si>
    <t>Piirihaldus</t>
  </si>
  <si>
    <t>Objektivalve ja isikukaitse</t>
  </si>
  <si>
    <t>Rände- ja kodakondsuspoliitika kujundamine ning elluviimine</t>
  </si>
  <si>
    <t>Isikute tõsikindel tuvastamine ja dokumentide väljaandmine</t>
  </si>
  <si>
    <t>Migratsioonijärelevalve</t>
  </si>
  <si>
    <t>Tasemeõpe ja täienduskoolitus Sisekaitseakadeemias</t>
  </si>
  <si>
    <t>Sisekaitseakadeemia teadus-, arendus- ja innovatsioonitegevus</t>
  </si>
  <si>
    <t>Erakondade rahastamine</t>
  </si>
  <si>
    <t>Transpordivahendid</t>
  </si>
  <si>
    <t>Turvalise keskkonna kujundamine</t>
  </si>
  <si>
    <t>Rahvastikuregistri andmekvaliteedi tõstmine</t>
  </si>
  <si>
    <t>Rahvastikuregistri kasutusmugavuse parandamine</t>
  </si>
  <si>
    <t>Muudatused Vabariigi Valitsuse korralduste alusel</t>
  </si>
  <si>
    <t>Tegelikud muud tuludest sõltuvad kulud</t>
  </si>
  <si>
    <t>Kogukondliku arengu toetamine</t>
  </si>
  <si>
    <t>Usuvabaduse tagamine</t>
  </si>
  <si>
    <t>Täitmine 2024</t>
  </si>
  <si>
    <t>Raamatupidamisandmed 2024</t>
  </si>
  <si>
    <t>RE aruanne 2024</t>
  </si>
  <si>
    <t>Vahe 2024</t>
  </si>
  <si>
    <t>Päästmine maismaal ja siseveekogudel</t>
  </si>
  <si>
    <t>Abi osutamine Eesti päästepiirkonnas</t>
  </si>
  <si>
    <t>Kapitaliseeritud tööjõukulud (investeeringute suurendamine)</t>
  </si>
  <si>
    <t>2025. aasta riigieelarve täitmise arunne</t>
  </si>
  <si>
    <t>Täitmine 2025</t>
  </si>
  <si>
    <t>Sotsiaaltoetused</t>
  </si>
  <si>
    <t>Muud toetused</t>
  </si>
  <si>
    <t>Muud kulud, sh amortisatsioon</t>
  </si>
  <si>
    <t>Seaduses toodud kulude detailsem jaotus asutuste, majandusliku sisu ja liikide lõikes</t>
  </si>
  <si>
    <t>Sh piirmääraga kulud</t>
  </si>
  <si>
    <t>Sh arvestuslikud kulud</t>
  </si>
  <si>
    <t>Sh välistoetus koos riigieelarvelise kaasfinantseeringuga</t>
  </si>
  <si>
    <t>Sh muud tuludest sõltuvad kulud</t>
  </si>
  <si>
    <t>Sh amortisatsioon</t>
  </si>
  <si>
    <t>Investeeringutoetused</t>
  </si>
  <si>
    <t>Sh edasiantavad maksud</t>
  </si>
  <si>
    <t>IT-investeeringud</t>
  </si>
  <si>
    <t>Ennetava ja turvalise elukeskkonna kujundamise programm</t>
  </si>
  <si>
    <t>Programmi tegevus: Õnnetuste, süütegude ja varakahjude ennetamine</t>
  </si>
  <si>
    <t>Päästeamet</t>
  </si>
  <si>
    <t>Siseministeeriumi Infotehnoloogia- ja Arenduskeskus</t>
  </si>
  <si>
    <t>Politsei- ja Piirivalveamet</t>
  </si>
  <si>
    <t>Programmi tegevus: Siseturvalisuse vabatahtlike kaasamine</t>
  </si>
  <si>
    <t>Programmi tegevus: Turvalise keskkonna kujundamine</t>
  </si>
  <si>
    <t>Häirekeskus</t>
  </si>
  <si>
    <t>Kiire ja asjatundliku abi programm</t>
  </si>
  <si>
    <t>Hädaabiteadete vastuvõtmine ning abi väljasaatmine</t>
  </si>
  <si>
    <t>Süüteomenetlus</t>
  </si>
  <si>
    <t>Programmi tegevus: Hädaabiteadete vastuvõtmine ning abi väljasaatmine</t>
  </si>
  <si>
    <t>Programmi tegevus: Avaliku korra tagamine</t>
  </si>
  <si>
    <t>Programmi tegevus: Demineerimine</t>
  </si>
  <si>
    <t>Programmi tegevus: Päästmine maismaal ja siseveekogudel</t>
  </si>
  <si>
    <t>Programmi tegevus: Abi osutamine Eesti päästepiirkonnas</t>
  </si>
  <si>
    <t>Programmi tegevus: Süüteomenetlus</t>
  </si>
  <si>
    <t>Kindla sisejulgeoleku programm</t>
  </si>
  <si>
    <t>Programmi tegevus: Põhiseadusliku korra tagamine</t>
  </si>
  <si>
    <t>Kaitsepolitseiamet</t>
  </si>
  <si>
    <t>Programmi tegevus: Raske ja organiseeritud kuritegevuse vastane võitlus</t>
  </si>
  <si>
    <t>Programmi tegevus: Elanikkonnakaitse, kriisideks valmisolek ja nende lahendamine</t>
  </si>
  <si>
    <t>Programmi tegevus: Piirihaldus</t>
  </si>
  <si>
    <t>Eesti arengut toetava kodakondsus-, rände- ja identiteedihalduspoliitika programm</t>
  </si>
  <si>
    <t>Programmi tegevus: Rände- ja kodakondsuspoliitika kujundamine ning elluviimine</t>
  </si>
  <si>
    <t>Programmi tegevus: Migratsioonijärelevalve</t>
  </si>
  <si>
    <t>Programmi tegevus: Isikute tõsikindel tuvastamine ja dokumentide väljaandmine</t>
  </si>
  <si>
    <t>Targa ja innovaatilise siseturvalisuse programm</t>
  </si>
  <si>
    <t>Programmi tegevus: Tasemeõpe ja täienduskoolitus Sisekaitseakadeemias</t>
  </si>
  <si>
    <t>Sisekaitseakadeemia</t>
  </si>
  <si>
    <t>Programmi tegevus: Sisekaitseakadeemia teadus-, arendus- ja innovatsioonitegevus</t>
  </si>
  <si>
    <t>Programmi tegevus: IKT-teenuste pakkumine SIMi valitsemisalast väljapoole</t>
  </si>
  <si>
    <t>Kogukondliku Eesti programm</t>
  </si>
  <si>
    <t>Programmi tegevus: Kogukondliku arengu toetamine</t>
  </si>
  <si>
    <t>Programmi tegevus: Usuvabaduse tagamine</t>
  </si>
  <si>
    <t>Nutika rahvastikuarvestuse programm</t>
  </si>
  <si>
    <t>Programmi tegevus: Rahvastikuregistri andmekvaliteedi tõstmine</t>
  </si>
  <si>
    <t>Programmi tegevus: Rahvastikuregistri kasutusmugavuse parandamine</t>
  </si>
  <si>
    <t>Erakondade rahastamise programm</t>
  </si>
  <si>
    <t>Programmi tegevus: Erakondade rahastamine</t>
  </si>
  <si>
    <t>Muudatused 18.06.2025 lisaeelarve seaduse alusel</t>
  </si>
  <si>
    <t>Muudatused 03.12.2025 teise lisaeelarve seaduse alusel</t>
  </si>
  <si>
    <t>Tuludest sõltuvate kulude tegelik limiit</t>
  </si>
  <si>
    <t>RE aruanne 2025</t>
  </si>
  <si>
    <t>Vahe 2025</t>
  </si>
  <si>
    <t>Raamatupidamisandmed 2025</t>
  </si>
  <si>
    <t>Antud mitterahalised toetused</t>
  </si>
  <si>
    <t>Kapitaliseeritud tööjõukulud (kulude vähendamine)</t>
  </si>
  <si>
    <t>Ebatõenäoliselt laekuvad trahvinõuded (tulude taastamine)</t>
  </si>
  <si>
    <t>Edasiantud liiklustrahvid, mis kajastatakse Vabariigi Valitsuse eelarve osas</t>
  </si>
  <si>
    <t>Ebatõenäoliselt laekuvad trahvinõuded (kulude taastamine)</t>
  </si>
  <si>
    <t>Ebatõenäoliselt laekuvad muud nõuded (tulude taastamine)</t>
  </si>
  <si>
    <t>Ebatõenäoliselt laekuvad muud nõuded (kulude taastamine)</t>
  </si>
  <si>
    <t>Eraldiste moodustamine ja väljamaksed</t>
  </si>
  <si>
    <t>Elanikkonnakaitse, kriisideks valmisolek ja nende lahendamine</t>
  </si>
  <si>
    <t>IKT-teenuste pakkumine SIMi valitsemisalast väljapoole</t>
  </si>
  <si>
    <t xml:space="preserve">  IT Agentuuri hüvitised</t>
  </si>
  <si>
    <t>ˇga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</si>
</sst>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3" fontId="4" fillId="0" borderId="0" xfId="0" applyNumberFormat="1" applyFont="1"/>
    <xf numFmtId="3" fontId="0" fillId="0" borderId="0" xfId="0" applyNumberFormat="1"/>
    <xf numFmtId="0" fontId="0" fillId="0" borderId="1" xfId="0" applyBorder="1"/>
    <xf numFmtId="3" fontId="3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5" fillId="0" borderId="1" xfId="0" applyNumberFormat="1" applyFont="1" applyBorder="1" applyAlignment="1">
      <alignment horizontal="right"/>
    </xf>
    <xf numFmtId="3" fontId="7" fillId="0" borderId="1" xfId="2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0" xfId="0" applyFont="1"/>
    <xf numFmtId="3" fontId="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10" fillId="2" borderId="1" xfId="0" applyFont="1" applyFill="1" applyBorder="1" applyAlignment="1">
      <alignment vertical="top"/>
    </xf>
    <xf numFmtId="4" fontId="10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3" fontId="12" fillId="0" borderId="1" xfId="0" applyNumberFormat="1" applyFont="1" applyBorder="1"/>
    <xf numFmtId="0" fontId="9" fillId="0" borderId="0" xfId="0" applyFont="1"/>
    <xf numFmtId="0" fontId="12" fillId="0" borderId="0" xfId="0" applyFont="1"/>
    <xf numFmtId="3" fontId="12" fillId="0" borderId="0" xfId="0" applyNumberFormat="1" applyFont="1" applyAlignment="1">
      <alignment vertical="top"/>
    </xf>
    <xf numFmtId="0" fontId="10" fillId="3" borderId="1" xfId="0" applyFont="1" applyFill="1" applyBorder="1" applyAlignment="1">
      <alignment vertical="top"/>
    </xf>
    <xf numFmtId="3" fontId="12" fillId="3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0" fontId="12" fillId="0" borderId="1" xfId="0" applyFont="1" applyBorder="1"/>
    <xf numFmtId="0" fontId="10" fillId="0" borderId="1" xfId="0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3" fontId="12" fillId="0" borderId="0" xfId="0" applyNumberFormat="1" applyFont="1"/>
    <xf numFmtId="0" fontId="11" fillId="0" borderId="0" xfId="0" applyFont="1"/>
    <xf numFmtId="0" fontId="0" fillId="0" borderId="1" xfId="0" applyBorder="1" applyAlignment="1">
      <alignment horizontal="left"/>
    </xf>
    <xf numFmtId="0" fontId="11" fillId="0" borderId="1" xfId="0" applyFont="1" applyBorder="1"/>
    <xf numFmtId="3" fontId="11" fillId="0" borderId="1" xfId="0" applyNumberFormat="1" applyFont="1" applyBorder="1"/>
    <xf numFmtId="4" fontId="0" fillId="0" borderId="0" xfId="0" applyNumberFormat="1" applyAlignment="1">
      <alignment horizontal="right"/>
    </xf>
    <xf numFmtId="3" fontId="6" fillId="0" borderId="1" xfId="2" applyNumberFormat="1" applyFont="1" applyBorder="1" applyAlignment="1" applyProtection="1">
      <alignment horizontal="righ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wrapText="1"/>
    </xf>
    <xf numFmtId="4" fontId="10" fillId="2" borderId="1" xfId="0" applyNumberFormat="1" applyFont="1" applyFill="1" applyBorder="1" applyAlignment="1">
      <alignment horizontal="right" vertical="top" wrapText="1"/>
    </xf>
    <xf numFmtId="4" fontId="10" fillId="2" borderId="1" xfId="0" applyNumberFormat="1" applyFont="1" applyFill="1" applyBorder="1" applyAlignment="1">
      <alignment vertical="top"/>
    </xf>
    <xf numFmtId="0" fontId="3" fillId="0" borderId="0" xfId="0" applyFont="1"/>
    <xf numFmtId="3" fontId="5" fillId="0" borderId="0" xfId="0" applyNumberFormat="1" applyFont="1"/>
    <xf numFmtId="3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/>
    <xf numFmtId="0" fontId="3" fillId="0" borderId="1" xfId="2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3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3" fillId="0" borderId="1" xfId="4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5" fillId="0" borderId="1" xfId="4" applyFont="1" applyBorder="1" applyAlignment="1" applyProtection="1">
      <alignment horizontal="left"/>
      <protection locked="0"/>
    </xf>
    <xf numFmtId="0" fontId="5" fillId="0" borderId="1" xfId="4" applyFont="1" applyBorder="1" applyProtection="1">
      <protection locked="0"/>
    </xf>
    <xf numFmtId="3" fontId="7" fillId="0" borderId="1" xfId="2" applyNumberFormat="1" applyFont="1" applyBorder="1" applyProtection="1">
      <protection locked="0"/>
    </xf>
    <xf numFmtId="3" fontId="5" fillId="0" borderId="1" xfId="2" applyNumberFormat="1" applyFont="1" applyBorder="1" applyProtection="1">
      <protection locked="0"/>
    </xf>
    <xf numFmtId="0" fontId="4" fillId="0" borderId="1" xfId="0" applyFont="1" applyBorder="1"/>
    <xf numFmtId="3" fontId="2" fillId="0" borderId="0" xfId="0" applyNumberFormat="1" applyFont="1"/>
    <xf numFmtId="3" fontId="11" fillId="0" borderId="0" xfId="0" applyNumberFormat="1" applyFont="1"/>
    <xf numFmtId="0" fontId="14" fillId="0" borderId="1" xfId="0" applyFont="1" applyBorder="1"/>
    <xf numFmtId="3" fontId="14" fillId="0" borderId="1" xfId="0" applyNumberFormat="1" applyFont="1" applyBorder="1"/>
    <xf numFmtId="0" fontId="14" fillId="0" borderId="0" xfId="0" applyFont="1"/>
    <xf numFmtId="0" fontId="6" fillId="0" borderId="1" xfId="0" applyFont="1" applyBorder="1" applyAlignment="1" applyProtection="1">
      <alignment vertical="top"/>
      <protection locked="0"/>
    </xf>
    <xf numFmtId="0" fontId="12" fillId="2" borderId="1" xfId="0" applyFont="1" applyFill="1" applyBorder="1" applyAlignment="1">
      <alignment vertical="top"/>
    </xf>
    <xf numFmtId="3" fontId="13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3" fillId="0" borderId="1" xfId="0" applyFont="1" applyBorder="1"/>
    <xf numFmtId="0" fontId="11" fillId="5" borderId="1" xfId="0" applyFont="1" applyFill="1" applyBorder="1" applyAlignment="1">
      <alignment horizontal="left"/>
    </xf>
    <xf numFmtId="0" fontId="13" fillId="0" borderId="1" xfId="0" applyFont="1" applyBorder="1" applyAlignment="1" applyProtection="1">
      <alignment vertical="top"/>
      <protection locked="0"/>
    </xf>
    <xf numFmtId="3" fontId="13" fillId="0" borderId="1" xfId="2" applyNumberFormat="1" applyFont="1" applyBorder="1" applyAlignment="1" applyProtection="1">
      <alignment horizontal="left"/>
      <protection locked="0"/>
    </xf>
    <xf numFmtId="3" fontId="4" fillId="0" borderId="1" xfId="2" applyNumberFormat="1" applyFont="1" applyBorder="1" applyAlignment="1" applyProtection="1">
      <alignment horizontal="center"/>
      <protection locked="0"/>
    </xf>
    <xf numFmtId="3" fontId="11" fillId="0" borderId="1" xfId="0" applyNumberFormat="1" applyFont="1" applyBorder="1" applyAlignment="1">
      <alignment horizontal="center" wrapText="1"/>
    </xf>
    <xf numFmtId="0" fontId="0" fillId="5" borderId="1" xfId="0" applyFill="1" applyBorder="1"/>
    <xf numFmtId="3" fontId="0" fillId="5" borderId="1" xfId="0" applyNumberFormat="1" applyFill="1" applyBorder="1"/>
  </cellXfs>
  <cellStyles count="7">
    <cellStyle name="Comma 2" xfId="6" xr:uid="{68AF3142-48B6-46A0-9B66-4AC016C8CCBB}"/>
    <cellStyle name="Normaallaad 2" xfId="5" xr:uid="{625F7053-1720-45B8-BC60-DA405838C2BD}"/>
    <cellStyle name="Normal" xfId="0" builtinId="0"/>
    <cellStyle name="Normal 10 2" xfId="1" xr:uid="{D70F4CDE-1FE7-448C-B78C-16802263EF7D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G112"/>
  <sheetViews>
    <sheetView tabSelected="1" zoomScale="90" zoomScaleNormal="90" workbookViewId="0">
      <selection activeCell="F18" sqref="F18"/>
    </sheetView>
  </sheetViews>
  <sheetFormatPr defaultRowHeight="14.5" x14ac:dyDescent="0.35"/>
  <cols>
    <col min="1" max="1" width="7.453125" customWidth="1"/>
    <col min="2" max="2" width="53.453125" customWidth="1"/>
    <col min="3" max="7" width="22" style="2" customWidth="1"/>
  </cols>
  <sheetData>
    <row r="1" spans="1:7" ht="15.5" x14ac:dyDescent="0.35">
      <c r="A1" s="46" t="s">
        <v>99</v>
      </c>
      <c r="C1" s="1"/>
      <c r="E1" s="66"/>
      <c r="F1" s="66"/>
      <c r="G1" s="47"/>
    </row>
    <row r="2" spans="1:7" ht="15.5" x14ac:dyDescent="0.35">
      <c r="A2" t="s">
        <v>0</v>
      </c>
      <c r="C2" s="1"/>
      <c r="G2" s="47"/>
    </row>
    <row r="3" spans="1:7" ht="30.5" x14ac:dyDescent="0.35">
      <c r="A3" s="3"/>
      <c r="B3" s="3"/>
      <c r="C3" s="4" t="s">
        <v>1</v>
      </c>
      <c r="D3" s="4" t="s">
        <v>2</v>
      </c>
      <c r="E3" s="4" t="s">
        <v>100</v>
      </c>
      <c r="F3" s="4" t="s">
        <v>92</v>
      </c>
      <c r="G3" s="4" t="s">
        <v>3</v>
      </c>
    </row>
    <row r="4" spans="1:7" ht="15.5" x14ac:dyDescent="0.35">
      <c r="A4" s="57" t="s">
        <v>68</v>
      </c>
      <c r="B4" s="58"/>
      <c r="C4" s="8"/>
      <c r="D4" s="9"/>
      <c r="E4" s="41"/>
      <c r="F4" s="41"/>
      <c r="G4" s="6"/>
    </row>
    <row r="5" spans="1:7" ht="15.5" x14ac:dyDescent="0.35">
      <c r="A5" s="52" t="s">
        <v>10</v>
      </c>
      <c r="B5" s="52"/>
      <c r="C5" s="40">
        <f t="shared" ref="C5:E5" si="0">SUM(C6:C11)</f>
        <v>87758666</v>
      </c>
      <c r="D5" s="40">
        <f t="shared" si="0"/>
        <v>113527583</v>
      </c>
      <c r="E5" s="40">
        <f t="shared" si="0"/>
        <v>110706233.65999998</v>
      </c>
      <c r="F5" s="40">
        <f t="shared" ref="F5" si="1">SUM(F6:F11)</f>
        <v>62191672.219999999</v>
      </c>
      <c r="G5" s="40">
        <f>SUM(G6:G11)</f>
        <v>-2821349.3400000157</v>
      </c>
    </row>
    <row r="6" spans="1:7" ht="14.25" customHeight="1" x14ac:dyDescent="0.35">
      <c r="A6" s="53"/>
      <c r="B6" s="53" t="s">
        <v>5</v>
      </c>
      <c r="C6" s="7">
        <v>14532172</v>
      </c>
      <c r="D6" s="7">
        <f>C6</f>
        <v>14532172</v>
      </c>
      <c r="E6" s="7">
        <v>20005574.719999999</v>
      </c>
      <c r="F6" s="7">
        <v>13345753.41</v>
      </c>
      <c r="G6" s="7">
        <f>E6-D6</f>
        <v>5473402.7199999988</v>
      </c>
    </row>
    <row r="7" spans="1:7" ht="15.5" x14ac:dyDescent="0.35">
      <c r="A7" s="53"/>
      <c r="B7" s="53" t="s">
        <v>6</v>
      </c>
      <c r="C7" s="7">
        <v>2987148</v>
      </c>
      <c r="D7" s="7">
        <f>C7+1703933</f>
        <v>4691081</v>
      </c>
      <c r="E7" s="7">
        <f>5423454.55+541448.26-25.2</f>
        <v>5964877.6099999994</v>
      </c>
      <c r="F7" s="7">
        <f>5448287.56+314234.14-3683.2</f>
        <v>5758838.4999999991</v>
      </c>
      <c r="G7" s="7">
        <f t="shared" ref="G7:G11" si="2">E7-D7</f>
        <v>1273796.6099999994</v>
      </c>
    </row>
    <row r="8" spans="1:7" ht="15.5" x14ac:dyDescent="0.35">
      <c r="A8" s="53"/>
      <c r="B8" s="53" t="s">
        <v>4</v>
      </c>
      <c r="C8" s="7">
        <v>30540714</v>
      </c>
      <c r="D8" s="7">
        <f>C8+24064984</f>
        <v>54605698</v>
      </c>
      <c r="E8" s="7">
        <f>92206069.8-81916.12-42096018.82-1245816.34-1578937.11</f>
        <v>47203381.409999989</v>
      </c>
      <c r="F8" s="7">
        <f>37559635.54-15089522.25-71111.73-1677430.11-826917.23-209919.66</f>
        <v>19684734.559999999</v>
      </c>
      <c r="G8" s="7">
        <f t="shared" si="2"/>
        <v>-7402316.590000011</v>
      </c>
    </row>
    <row r="9" spans="1:7" ht="15.5" x14ac:dyDescent="0.35">
      <c r="A9" s="53"/>
      <c r="B9" s="53" t="s">
        <v>7</v>
      </c>
      <c r="C9" s="7">
        <v>3962000</v>
      </c>
      <c r="D9" s="7">
        <f t="shared" ref="D9:D11" si="3">C9</f>
        <v>3962000</v>
      </c>
      <c r="E9" s="7">
        <v>11367.59</v>
      </c>
      <c r="F9" s="7">
        <v>13034.26</v>
      </c>
      <c r="G9" s="7">
        <f t="shared" si="2"/>
        <v>-3950632.41</v>
      </c>
    </row>
    <row r="10" spans="1:7" ht="15.5" x14ac:dyDescent="0.35">
      <c r="A10" s="53"/>
      <c r="B10" s="53" t="s">
        <v>8</v>
      </c>
      <c r="C10" s="7">
        <v>34835132</v>
      </c>
      <c r="D10" s="7">
        <f t="shared" si="3"/>
        <v>34835132</v>
      </c>
      <c r="E10" s="7">
        <f>36205393.12+18019.57</f>
        <v>36223412.689999998</v>
      </c>
      <c r="F10" s="7">
        <v>22391095.75</v>
      </c>
      <c r="G10" s="7">
        <f t="shared" si="2"/>
        <v>1388280.6899999976</v>
      </c>
    </row>
    <row r="11" spans="1:7" ht="15.5" x14ac:dyDescent="0.35">
      <c r="A11" s="53"/>
      <c r="B11" s="53" t="s">
        <v>53</v>
      </c>
      <c r="C11" s="7">
        <v>901500</v>
      </c>
      <c r="D11" s="7">
        <f t="shared" si="3"/>
        <v>901500</v>
      </c>
      <c r="E11" s="7">
        <f>1297619.64</f>
        <v>1297619.6399999999</v>
      </c>
      <c r="F11" s="7">
        <f>956657.53+41292+266.21</f>
        <v>998215.74</v>
      </c>
      <c r="G11" s="7">
        <f t="shared" si="2"/>
        <v>396119.6399999999</v>
      </c>
    </row>
    <row r="12" spans="1:7" ht="15.5" x14ac:dyDescent="0.35">
      <c r="A12" s="52" t="s">
        <v>11</v>
      </c>
      <c r="B12" s="52"/>
      <c r="C12" s="40">
        <f>C14+C68+C86</f>
        <v>-551524741</v>
      </c>
      <c r="D12" s="40">
        <f>D14+D68+D86</f>
        <v>-635554404.50777984</v>
      </c>
      <c r="E12" s="40">
        <f>E14+E68+E86</f>
        <v>-602550841.23981738</v>
      </c>
      <c r="F12" s="40">
        <f>F14+F68+F86</f>
        <v>-552191610.58000004</v>
      </c>
      <c r="G12" s="40">
        <f>G14+G68+G86</f>
        <v>33003563.267962594</v>
      </c>
    </row>
    <row r="13" spans="1:7" ht="15.5" x14ac:dyDescent="0.35">
      <c r="A13" s="54"/>
      <c r="B13" s="53" t="s">
        <v>9</v>
      </c>
      <c r="C13" s="7">
        <f>C15+C69</f>
        <v>-463197500</v>
      </c>
      <c r="D13" s="7">
        <f>D15+D69</f>
        <v>-541361045.39891601</v>
      </c>
      <c r="E13" s="7">
        <f>E15+E69</f>
        <v>-516222110.39264411</v>
      </c>
      <c r="F13" s="7">
        <f>F15+F69</f>
        <v>-477459544.32999998</v>
      </c>
      <c r="G13" s="7">
        <f>G15+G69</f>
        <v>25138935.006271787</v>
      </c>
    </row>
    <row r="14" spans="1:7" ht="15.5" x14ac:dyDescent="0.35">
      <c r="A14" s="49" t="s">
        <v>19</v>
      </c>
      <c r="B14" s="49"/>
      <c r="C14" s="10">
        <f>C16+C26+C40+C52+C60</f>
        <v>-505312911</v>
      </c>
      <c r="D14" s="10">
        <f t="shared" ref="D14:G14" si="4">D16+D26+D40+D52+D60</f>
        <v>-586092029.65589321</v>
      </c>
      <c r="E14" s="10">
        <f t="shared" si="4"/>
        <v>-558470153.12989652</v>
      </c>
      <c r="F14" s="10">
        <f t="shared" si="4"/>
        <v>-511277726.41000003</v>
      </c>
      <c r="G14" s="10">
        <f t="shared" si="4"/>
        <v>27621876.525996823</v>
      </c>
    </row>
    <row r="15" spans="1:7" ht="15.5" x14ac:dyDescent="0.35">
      <c r="A15" s="49"/>
      <c r="B15" s="53" t="s">
        <v>9</v>
      </c>
      <c r="C15" s="8">
        <f>C17+C27+C41+C53+C61</f>
        <v>-447854235</v>
      </c>
      <c r="D15" s="8">
        <f t="shared" ref="D15:G15" si="5">D17+D27+D41+D53+D61</f>
        <v>-524069848.88777763</v>
      </c>
      <c r="E15" s="8">
        <f t="shared" si="5"/>
        <v>-501576035.21979219</v>
      </c>
      <c r="F15" s="8">
        <f t="shared" si="5"/>
        <v>-462296811.49000001</v>
      </c>
      <c r="G15" s="8">
        <f t="shared" si="5"/>
        <v>22493813.667985328</v>
      </c>
    </row>
    <row r="16" spans="1:7" s="35" customFormat="1" ht="15.5" x14ac:dyDescent="0.35">
      <c r="A16" s="49" t="s">
        <v>113</v>
      </c>
      <c r="B16" s="52"/>
      <c r="C16" s="10">
        <f>C18+C20+C22+C24</f>
        <v>-39151244</v>
      </c>
      <c r="D16" s="10">
        <f t="shared" ref="D16:G16" si="6">D18+D20+D22+D24</f>
        <v>-40905474.972326823</v>
      </c>
      <c r="E16" s="10">
        <f t="shared" si="6"/>
        <v>-38833333.150000006</v>
      </c>
      <c r="F16" s="10">
        <f t="shared" si="6"/>
        <v>-38463249.380000003</v>
      </c>
      <c r="G16" s="10">
        <f t="shared" si="6"/>
        <v>2072141.8223268194</v>
      </c>
    </row>
    <row r="17" spans="1:7" ht="15.5" x14ac:dyDescent="0.35">
      <c r="A17" s="49"/>
      <c r="B17" s="53" t="s">
        <v>9</v>
      </c>
      <c r="C17" s="8">
        <f>C19+C21+C23+C25</f>
        <v>-36822813</v>
      </c>
      <c r="D17" s="8">
        <f t="shared" ref="D17:G17" si="7">D19+D21+D23+D25</f>
        <v>-37900861.460000001</v>
      </c>
      <c r="E17" s="8">
        <f t="shared" si="7"/>
        <v>-36578498.049999997</v>
      </c>
      <c r="F17" s="8">
        <f t="shared" si="7"/>
        <v>-36508775.599999994</v>
      </c>
      <c r="G17" s="8">
        <f t="shared" si="7"/>
        <v>1322363.4100000001</v>
      </c>
    </row>
    <row r="18" spans="1:7" ht="15.5" x14ac:dyDescent="0.35">
      <c r="A18" s="60" t="s">
        <v>69</v>
      </c>
      <c r="B18" s="53"/>
      <c r="C18" s="8">
        <f>LISA!D26</f>
        <v>-8490361</v>
      </c>
      <c r="D18" s="8">
        <f>LISA!E26</f>
        <v>-9266056.5140553452</v>
      </c>
      <c r="E18" s="8">
        <f>LISA!F26</f>
        <v>-8994324.9800000004</v>
      </c>
      <c r="F18" s="8">
        <v>-9422633.1400000006</v>
      </c>
      <c r="G18" s="7">
        <f t="shared" ref="G18:G25" si="8">E18-D18</f>
        <v>271731.53405534476</v>
      </c>
    </row>
    <row r="19" spans="1:7" ht="15.5" x14ac:dyDescent="0.35">
      <c r="A19" s="60"/>
      <c r="B19" s="53" t="s">
        <v>9</v>
      </c>
      <c r="C19" s="8">
        <f>LISA!D27</f>
        <v>-7283256</v>
      </c>
      <c r="D19" s="8">
        <f>LISA!E27</f>
        <v>-7803937.5599999996</v>
      </c>
      <c r="E19" s="8">
        <f>LISA!F27</f>
        <v>-7851523.7200000007</v>
      </c>
      <c r="F19" s="8">
        <v>-8427215.25</v>
      </c>
      <c r="G19" s="7">
        <f t="shared" si="8"/>
        <v>-47586.16000000108</v>
      </c>
    </row>
    <row r="20" spans="1:7" ht="15.5" x14ac:dyDescent="0.35">
      <c r="A20" s="60" t="s">
        <v>71</v>
      </c>
      <c r="B20" s="61"/>
      <c r="C20" s="7">
        <f>LISA!D121</f>
        <v>-8345282</v>
      </c>
      <c r="D20" s="7">
        <f>LISA!E121</f>
        <v>-7648217.1182714775</v>
      </c>
      <c r="E20" s="7">
        <f>LISA!F121</f>
        <v>-6610134.9899999993</v>
      </c>
      <c r="F20" s="41">
        <v>-7558687.4800000004</v>
      </c>
      <c r="G20" s="7">
        <f t="shared" si="8"/>
        <v>1038082.1282714782</v>
      </c>
    </row>
    <row r="21" spans="1:7" ht="15.5" x14ac:dyDescent="0.35">
      <c r="A21" s="60"/>
      <c r="B21" s="53" t="s">
        <v>9</v>
      </c>
      <c r="C21" s="7">
        <f>LISA!D122</f>
        <v>-8165973</v>
      </c>
      <c r="D21" s="7">
        <f>LISA!E122</f>
        <v>-7409016.790000001</v>
      </c>
      <c r="E21" s="7">
        <f>LISA!F122</f>
        <v>-6483142.54</v>
      </c>
      <c r="F21" s="41">
        <v>-7502212.1100000003</v>
      </c>
      <c r="G21" s="7">
        <f t="shared" si="8"/>
        <v>925874.25000000093</v>
      </c>
    </row>
    <row r="22" spans="1:7" ht="15.5" x14ac:dyDescent="0.35">
      <c r="A22" s="60" t="s">
        <v>85</v>
      </c>
      <c r="B22" s="53"/>
      <c r="C22" s="8">
        <f>LISA!D214</f>
        <v>-22315601</v>
      </c>
      <c r="D22" s="8">
        <f>LISA!E214</f>
        <v>-23991201.34</v>
      </c>
      <c r="E22" s="8">
        <f>LISA!F214</f>
        <v>-23228873.180000003</v>
      </c>
      <c r="F22" s="8">
        <v>-18889617.949999999</v>
      </c>
      <c r="G22" s="7">
        <f t="shared" si="8"/>
        <v>762328.15999999642</v>
      </c>
    </row>
    <row r="23" spans="1:7" ht="15.5" x14ac:dyDescent="0.35">
      <c r="A23" s="60"/>
      <c r="B23" s="53" t="s">
        <v>9</v>
      </c>
      <c r="C23" s="8">
        <f>LISA!D215</f>
        <v>-21373584</v>
      </c>
      <c r="D23" s="8">
        <f>LISA!E215</f>
        <v>-22687907.109999999</v>
      </c>
      <c r="E23" s="8">
        <f>LISA!F215</f>
        <v>-22243831.789999999</v>
      </c>
      <c r="F23" s="8">
        <v>-18335944.550000001</v>
      </c>
      <c r="G23" s="7">
        <f t="shared" si="8"/>
        <v>444075.3200000003</v>
      </c>
    </row>
    <row r="24" spans="1:7" ht="15.5" x14ac:dyDescent="0.35">
      <c r="A24" s="60" t="s">
        <v>70</v>
      </c>
      <c r="B24" s="61"/>
      <c r="C24" s="7">
        <v>0</v>
      </c>
      <c r="D24" s="7">
        <v>0</v>
      </c>
      <c r="E24" s="41">
        <v>0</v>
      </c>
      <c r="F24" s="41">
        <v>-2592310.81</v>
      </c>
      <c r="G24" s="7">
        <f t="shared" si="8"/>
        <v>0</v>
      </c>
    </row>
    <row r="25" spans="1:7" ht="15.5" x14ac:dyDescent="0.35">
      <c r="A25" s="60"/>
      <c r="B25" s="53" t="s">
        <v>9</v>
      </c>
      <c r="C25" s="7">
        <v>0</v>
      </c>
      <c r="D25" s="7">
        <v>0</v>
      </c>
      <c r="E25" s="41">
        <v>0</v>
      </c>
      <c r="F25" s="41">
        <v>-2243403.69</v>
      </c>
      <c r="G25" s="7">
        <f t="shared" si="8"/>
        <v>0</v>
      </c>
    </row>
    <row r="26" spans="1:7" s="35" customFormat="1" ht="15.5" x14ac:dyDescent="0.35">
      <c r="A26" s="49" t="s">
        <v>121</v>
      </c>
      <c r="B26" s="52"/>
      <c r="C26" s="10">
        <f>C28+C30+C32+C34+C36+C38</f>
        <v>-225280333</v>
      </c>
      <c r="D26" s="10">
        <f t="shared" ref="D26:G26" si="9">D28+D30+D32+D34+D36+D38</f>
        <v>-253318939.36089772</v>
      </c>
      <c r="E26" s="10">
        <f t="shared" si="9"/>
        <v>-245110637.18000004</v>
      </c>
      <c r="F26" s="10">
        <f t="shared" si="9"/>
        <v>-240352190.41</v>
      </c>
      <c r="G26" s="10">
        <f t="shared" si="9"/>
        <v>8208302.1808976755</v>
      </c>
    </row>
    <row r="27" spans="1:7" ht="15.5" x14ac:dyDescent="0.35">
      <c r="A27" s="49"/>
      <c r="B27" s="53" t="s">
        <v>9</v>
      </c>
      <c r="C27" s="8">
        <f>C29+C31+C33+C35+C37+C39</f>
        <v>-210590272</v>
      </c>
      <c r="D27" s="8">
        <f t="shared" ref="D27:G27" si="10">D29+D31+D33+D35+D37+D39</f>
        <v>-232589470.90000001</v>
      </c>
      <c r="E27" s="8">
        <f t="shared" si="10"/>
        <v>-224940031.27000001</v>
      </c>
      <c r="F27" s="8">
        <f t="shared" si="10"/>
        <v>-224978315.31</v>
      </c>
      <c r="G27" s="8">
        <f t="shared" si="10"/>
        <v>7649439.6299999878</v>
      </c>
    </row>
    <row r="28" spans="1:7" ht="15.5" x14ac:dyDescent="0.35">
      <c r="A28" s="60" t="s">
        <v>122</v>
      </c>
      <c r="B28" s="61"/>
      <c r="C28" s="7">
        <f>LISA!D334</f>
        <v>-8702612</v>
      </c>
      <c r="D28" s="7">
        <f>LISA!E334</f>
        <v>-9988132.3600000013</v>
      </c>
      <c r="E28" s="7">
        <f>LISA!F334</f>
        <v>-8832116.6799999997</v>
      </c>
      <c r="F28" s="41">
        <v>-12356260.960000001</v>
      </c>
      <c r="G28" s="7">
        <f t="shared" ref="G28:G39" si="11">E28-D28</f>
        <v>1156015.6800000016</v>
      </c>
    </row>
    <row r="29" spans="1:7" ht="15.5" x14ac:dyDescent="0.35">
      <c r="A29" s="60"/>
      <c r="B29" s="53" t="s">
        <v>9</v>
      </c>
      <c r="C29" s="7">
        <f>LISA!D335</f>
        <v>-8350852</v>
      </c>
      <c r="D29" s="7">
        <f>LISA!E335</f>
        <v>-8596581.2100000009</v>
      </c>
      <c r="E29" s="7">
        <f>LISA!F335</f>
        <v>-8243669.4400000004</v>
      </c>
      <c r="F29" s="41">
        <v>-11691661.16</v>
      </c>
      <c r="G29" s="7">
        <f t="shared" si="11"/>
        <v>352911.77000000048</v>
      </c>
    </row>
    <row r="30" spans="1:7" ht="15.5" x14ac:dyDescent="0.35">
      <c r="A30" s="60" t="s">
        <v>72</v>
      </c>
      <c r="B30" s="61"/>
      <c r="C30" s="7">
        <f>LISA!D402</f>
        <v>-76996878</v>
      </c>
      <c r="D30" s="7">
        <f>LISA!E402</f>
        <v>-84399767.950112984</v>
      </c>
      <c r="E30" s="7">
        <f>LISA!F402</f>
        <v>-81108706</v>
      </c>
      <c r="F30" s="41">
        <v>-78586006.079999998</v>
      </c>
      <c r="G30" s="7">
        <f t="shared" si="11"/>
        <v>3291061.9501129836</v>
      </c>
    </row>
    <row r="31" spans="1:7" ht="15.5" x14ac:dyDescent="0.35">
      <c r="A31" s="60"/>
      <c r="B31" s="53" t="s">
        <v>9</v>
      </c>
      <c r="C31" s="7">
        <f>LISA!D403</f>
        <v>-73428842</v>
      </c>
      <c r="D31" s="7">
        <f>LISA!E403</f>
        <v>-79411569.709999993</v>
      </c>
      <c r="E31" s="7">
        <f>LISA!F403</f>
        <v>-76838256.75</v>
      </c>
      <c r="F31" s="41">
        <v>-74982341.739999995</v>
      </c>
      <c r="G31" s="7">
        <f t="shared" si="11"/>
        <v>2573312.9599999934</v>
      </c>
    </row>
    <row r="32" spans="1:7" ht="15.5" x14ac:dyDescent="0.35">
      <c r="A32" s="60" t="s">
        <v>73</v>
      </c>
      <c r="B32" s="61"/>
      <c r="C32" s="7">
        <f>LISA!D477</f>
        <v>-6031543</v>
      </c>
      <c r="D32" s="7">
        <f>LISA!E477</f>
        <v>-7625153.5557461642</v>
      </c>
      <c r="E32" s="7">
        <f>LISA!F477</f>
        <v>-6819198.0600000005</v>
      </c>
      <c r="F32" s="41">
        <v>-6626409.6900000004</v>
      </c>
      <c r="G32" s="7">
        <f t="shared" si="11"/>
        <v>805955.49574616365</v>
      </c>
    </row>
    <row r="33" spans="1:7" ht="15.5" x14ac:dyDescent="0.35">
      <c r="A33" s="60"/>
      <c r="B33" s="53" t="s">
        <v>9</v>
      </c>
      <c r="C33" s="7">
        <f>LISA!D478</f>
        <v>-5587796</v>
      </c>
      <c r="D33" s="7">
        <f>LISA!E478</f>
        <v>-7129292.6299999999</v>
      </c>
      <c r="E33" s="7">
        <f>LISA!F478</f>
        <v>-5796763.2300000004</v>
      </c>
      <c r="F33" s="41">
        <v>-5933525.2599999998</v>
      </c>
      <c r="G33" s="7">
        <f t="shared" si="11"/>
        <v>1332529.3999999994</v>
      </c>
    </row>
    <row r="34" spans="1:7" ht="15.5" x14ac:dyDescent="0.35">
      <c r="A34" s="60" t="s">
        <v>96</v>
      </c>
      <c r="B34" s="61"/>
      <c r="C34" s="7">
        <f>LISA!D545</f>
        <v>-78399125</v>
      </c>
      <c r="D34" s="7">
        <f>LISA!E545</f>
        <v>-91738519.878388792</v>
      </c>
      <c r="E34" s="7">
        <f>LISA!F545</f>
        <v>-91731106.080000013</v>
      </c>
      <c r="F34" s="41">
        <v>-89793561.469999999</v>
      </c>
      <c r="G34" s="7">
        <f t="shared" si="11"/>
        <v>7413.7983887791634</v>
      </c>
    </row>
    <row r="35" spans="1:7" ht="15.5" x14ac:dyDescent="0.35">
      <c r="A35" s="60"/>
      <c r="B35" s="53" t="s">
        <v>9</v>
      </c>
      <c r="C35" s="7">
        <f>LISA!D546</f>
        <v>-74177372</v>
      </c>
      <c r="D35" s="7">
        <f>LISA!E546</f>
        <v>-85359050.010000005</v>
      </c>
      <c r="E35" s="7">
        <f>LISA!F546</f>
        <v>-83873616.910000011</v>
      </c>
      <c r="F35" s="41">
        <v>-84490523.829999998</v>
      </c>
      <c r="G35" s="7">
        <f t="shared" si="11"/>
        <v>1485433.099999994</v>
      </c>
    </row>
    <row r="36" spans="1:7" ht="15.5" x14ac:dyDescent="0.35">
      <c r="A36" s="60" t="s">
        <v>97</v>
      </c>
      <c r="B36" s="61"/>
      <c r="C36" s="7">
        <f>LISA!D616</f>
        <v>-16651577</v>
      </c>
      <c r="D36" s="7">
        <f>LISA!E616</f>
        <v>-20612991.811687961</v>
      </c>
      <c r="E36" s="7">
        <f>LISA!F616</f>
        <v>-18768360.75</v>
      </c>
      <c r="F36" s="41">
        <v>-15868509.33</v>
      </c>
      <c r="G36" s="7">
        <f t="shared" si="11"/>
        <v>1844631.0616879612</v>
      </c>
    </row>
    <row r="37" spans="1:7" ht="15.5" x14ac:dyDescent="0.35">
      <c r="A37" s="60"/>
      <c r="B37" s="53" t="s">
        <v>9</v>
      </c>
      <c r="C37" s="7">
        <f>LISA!D617</f>
        <v>-12301190</v>
      </c>
      <c r="D37" s="7">
        <f>LISA!E617</f>
        <v>-15167934.090000002</v>
      </c>
      <c r="E37" s="7">
        <f>LISA!F617</f>
        <v>-14145014.809999999</v>
      </c>
      <c r="F37" s="41">
        <v>-12367995.939999999</v>
      </c>
      <c r="G37" s="7">
        <f t="shared" si="11"/>
        <v>1022919.2800000031</v>
      </c>
    </row>
    <row r="38" spans="1:7" ht="15.5" x14ac:dyDescent="0.35">
      <c r="A38" s="60" t="s">
        <v>123</v>
      </c>
      <c r="B38" s="61"/>
      <c r="C38" s="7">
        <f>LISA!D689</f>
        <v>-38498598</v>
      </c>
      <c r="D38" s="7">
        <f>LISA!E689</f>
        <v>-38954373.804961793</v>
      </c>
      <c r="E38" s="7">
        <f>LISA!F689</f>
        <v>-37851149.610000007</v>
      </c>
      <c r="F38" s="41">
        <v>-37121442.880000003</v>
      </c>
      <c r="G38" s="7">
        <f t="shared" si="11"/>
        <v>1103224.1949617863</v>
      </c>
    </row>
    <row r="39" spans="1:7" ht="15.5" x14ac:dyDescent="0.35">
      <c r="A39" s="60"/>
      <c r="B39" s="53" t="s">
        <v>9</v>
      </c>
      <c r="C39" s="7">
        <f>LISA!D690</f>
        <v>-36744220</v>
      </c>
      <c r="D39" s="7">
        <f>LISA!E690</f>
        <v>-36925043.25</v>
      </c>
      <c r="E39" s="7">
        <f>LISA!F690</f>
        <v>-36042710.130000003</v>
      </c>
      <c r="F39" s="41">
        <v>-35512267.380000003</v>
      </c>
      <c r="G39" s="7">
        <f t="shared" si="11"/>
        <v>882333.11999999732</v>
      </c>
    </row>
    <row r="40" spans="1:7" s="35" customFormat="1" ht="15.5" x14ac:dyDescent="0.35">
      <c r="A40" s="49" t="s">
        <v>130</v>
      </c>
      <c r="B40" s="52"/>
      <c r="C40" s="10">
        <f>C42+C44+C46+C48+C50</f>
        <v>-172653359</v>
      </c>
      <c r="D40" s="10">
        <f t="shared" ref="D40:G40" si="12">D42+D44+D46+D48+D50</f>
        <v>-214775932.14260954</v>
      </c>
      <c r="E40" s="10">
        <f t="shared" si="12"/>
        <v>-205755971.41000003</v>
      </c>
      <c r="F40" s="10">
        <f t="shared" si="12"/>
        <v>-167119672.03999999</v>
      </c>
      <c r="G40" s="10">
        <f t="shared" si="12"/>
        <v>9019960.7326095384</v>
      </c>
    </row>
    <row r="41" spans="1:7" ht="15.5" x14ac:dyDescent="0.35">
      <c r="A41" s="49"/>
      <c r="B41" s="53" t="s">
        <v>9</v>
      </c>
      <c r="C41" s="8">
        <f>C43+C45+C47+C49+C51</f>
        <v>-146055552</v>
      </c>
      <c r="D41" s="8">
        <f t="shared" ref="D41:G41" si="13">D43+D45+D47+D49+D51</f>
        <v>-193706179.58705807</v>
      </c>
      <c r="E41" s="8">
        <f t="shared" si="13"/>
        <v>-186036334.21000001</v>
      </c>
      <c r="F41" s="8">
        <f t="shared" si="13"/>
        <v>-149694753.67000002</v>
      </c>
      <c r="G41" s="8">
        <f t="shared" si="13"/>
        <v>7669845.377058072</v>
      </c>
    </row>
    <row r="42" spans="1:7" ht="15.5" x14ac:dyDescent="0.35">
      <c r="A42" s="60" t="s">
        <v>74</v>
      </c>
      <c r="B42" s="61"/>
      <c r="C42" s="7">
        <f>LISA!D790</f>
        <v>-57540942</v>
      </c>
      <c r="D42" s="7">
        <f>LISA!E790</f>
        <v>-94003591.048297107</v>
      </c>
      <c r="E42" s="7">
        <f>LISA!F790</f>
        <v>-92604472.239999995</v>
      </c>
      <c r="F42" s="41">
        <v>-50460798.200000003</v>
      </c>
      <c r="G42" s="7">
        <f t="shared" ref="G42:G51" si="14">E42-D42</f>
        <v>1399118.8082971126</v>
      </c>
    </row>
    <row r="43" spans="1:7" ht="15.5" x14ac:dyDescent="0.35">
      <c r="A43" s="60"/>
      <c r="B43" s="53" t="s">
        <v>9</v>
      </c>
      <c r="C43" s="7">
        <f>LISA!D791</f>
        <v>-57116713</v>
      </c>
      <c r="D43" s="7">
        <f>LISA!E791</f>
        <v>-93500098.289999992</v>
      </c>
      <c r="E43" s="7">
        <f>LISA!F791</f>
        <v>-92037298.25</v>
      </c>
      <c r="F43" s="41">
        <v>-50247867.140000001</v>
      </c>
      <c r="G43" s="7">
        <f t="shared" si="14"/>
        <v>1462800.0399999917</v>
      </c>
    </row>
    <row r="44" spans="1:7" ht="15.5" x14ac:dyDescent="0.35">
      <c r="A44" s="60" t="s">
        <v>75</v>
      </c>
      <c r="B44" s="61"/>
      <c r="C44" s="7">
        <f>LISA!D890</f>
        <v>-42779634</v>
      </c>
      <c r="D44" s="7">
        <f>LISA!E890</f>
        <v>-41853133.073486239</v>
      </c>
      <c r="E44" s="7">
        <f>LISA!F890</f>
        <v>-40800571.549999997</v>
      </c>
      <c r="F44" s="41">
        <v>-40787190.57</v>
      </c>
      <c r="G44" s="7">
        <f t="shared" si="14"/>
        <v>1052561.5234862417</v>
      </c>
    </row>
    <row r="45" spans="1:7" ht="15.5" x14ac:dyDescent="0.35">
      <c r="A45" s="60"/>
      <c r="B45" s="53" t="s">
        <v>9</v>
      </c>
      <c r="C45" s="7">
        <f>LISA!D891</f>
        <v>-37164389</v>
      </c>
      <c r="D45" s="7">
        <f>LISA!E891</f>
        <v>-37980171.929999992</v>
      </c>
      <c r="E45" s="7">
        <f>LISA!F891</f>
        <v>-37325973.579999998</v>
      </c>
      <c r="F45" s="41">
        <v>-38031998.850000001</v>
      </c>
      <c r="G45" s="7">
        <f t="shared" si="14"/>
        <v>654198.34999999404</v>
      </c>
    </row>
    <row r="46" spans="1:7" ht="15.5" x14ac:dyDescent="0.35">
      <c r="A46" s="60" t="s">
        <v>167</v>
      </c>
      <c r="B46" s="61"/>
      <c r="C46" s="7">
        <f>LISA!D966</f>
        <v>-10742301</v>
      </c>
      <c r="D46" s="7">
        <f>LISA!E966</f>
        <v>-16243394.286278829</v>
      </c>
      <c r="E46" s="7">
        <f>LISA!F966</f>
        <v>-14546625.58</v>
      </c>
      <c r="F46" s="41">
        <v>-9274797.9100000001</v>
      </c>
      <c r="G46" s="7">
        <f t="shared" si="14"/>
        <v>1696768.7062788289</v>
      </c>
    </row>
    <row r="47" spans="1:7" ht="15.5" x14ac:dyDescent="0.35">
      <c r="A47" s="60"/>
      <c r="B47" s="53" t="s">
        <v>9</v>
      </c>
      <c r="C47" s="7">
        <f>LISA!D967</f>
        <v>-10096657</v>
      </c>
      <c r="D47" s="7">
        <f>LISA!E967</f>
        <v>-15080328.457058081</v>
      </c>
      <c r="E47" s="7">
        <f>LISA!F967</f>
        <v>-13417682.16</v>
      </c>
      <c r="F47" s="41">
        <v>-8474765.5600000005</v>
      </c>
      <c r="G47" s="7">
        <f t="shared" si="14"/>
        <v>1662646.2970580813</v>
      </c>
    </row>
    <row r="48" spans="1:7" ht="15.5" x14ac:dyDescent="0.35">
      <c r="A48" s="60" t="s">
        <v>76</v>
      </c>
      <c r="B48" s="61"/>
      <c r="C48" s="7">
        <f>LISA!D1062</f>
        <v>-61590482</v>
      </c>
      <c r="D48" s="7">
        <f>LISA!E1062</f>
        <v>-62675813.734547362</v>
      </c>
      <c r="E48" s="7">
        <f>LISA!F1062</f>
        <v>-57804302.040000007</v>
      </c>
      <c r="F48" s="41">
        <v>-55626385.979999997</v>
      </c>
      <c r="G48" s="7">
        <f t="shared" si="14"/>
        <v>4871511.6945473552</v>
      </c>
    </row>
    <row r="49" spans="1:7" ht="15.5" x14ac:dyDescent="0.35">
      <c r="A49" s="60"/>
      <c r="B49" s="53" t="s">
        <v>9</v>
      </c>
      <c r="C49" s="7">
        <f>LISA!D1063</f>
        <v>-41677793</v>
      </c>
      <c r="D49" s="7">
        <f>LISA!E1063</f>
        <v>-47145580.910000004</v>
      </c>
      <c r="E49" s="7">
        <f>LISA!F1063</f>
        <v>-43255380.219999999</v>
      </c>
      <c r="F49" s="41">
        <v>-42201070.479999997</v>
      </c>
      <c r="G49" s="7">
        <f t="shared" si="14"/>
        <v>3890200.6900000051</v>
      </c>
    </row>
    <row r="50" spans="1:7" ht="15.5" x14ac:dyDescent="0.35">
      <c r="A50" s="60" t="s">
        <v>77</v>
      </c>
      <c r="B50" s="61"/>
      <c r="C50" s="7">
        <v>0</v>
      </c>
      <c r="D50" s="7">
        <v>0</v>
      </c>
      <c r="E50" s="41">
        <v>0</v>
      </c>
      <c r="F50" s="41">
        <v>-10970499.380000001</v>
      </c>
      <c r="G50" s="7">
        <f t="shared" si="14"/>
        <v>0</v>
      </c>
    </row>
    <row r="51" spans="1:7" ht="15.5" x14ac:dyDescent="0.35">
      <c r="A51" s="60"/>
      <c r="B51" s="53" t="s">
        <v>9</v>
      </c>
      <c r="C51" s="7">
        <v>0</v>
      </c>
      <c r="D51" s="7">
        <v>0</v>
      </c>
      <c r="E51" s="41">
        <v>0</v>
      </c>
      <c r="F51" s="41">
        <v>-10739051.640000001</v>
      </c>
      <c r="G51" s="7">
        <f t="shared" si="14"/>
        <v>0</v>
      </c>
    </row>
    <row r="52" spans="1:7" s="35" customFormat="1" ht="15.5" x14ac:dyDescent="0.35">
      <c r="A52" s="71" t="s">
        <v>136</v>
      </c>
      <c r="B52" s="52"/>
      <c r="C52" s="40">
        <f>C54+C56+C58</f>
        <v>-37104310</v>
      </c>
      <c r="D52" s="40">
        <f t="shared" ref="D52:G52" si="15">D54+D56+D58</f>
        <v>-43379429.334360585</v>
      </c>
      <c r="E52" s="40">
        <f t="shared" si="15"/>
        <v>-38523835.900000006</v>
      </c>
      <c r="F52" s="40">
        <f t="shared" si="15"/>
        <v>-38149145.659999996</v>
      </c>
      <c r="G52" s="40">
        <f t="shared" si="15"/>
        <v>4855593.4343605787</v>
      </c>
    </row>
    <row r="53" spans="1:7" ht="15.5" x14ac:dyDescent="0.35">
      <c r="A53" s="60"/>
      <c r="B53" s="53" t="s">
        <v>9</v>
      </c>
      <c r="C53" s="7">
        <f>C55+C57+C59</f>
        <v>-26091559</v>
      </c>
      <c r="D53" s="7">
        <f t="shared" ref="D53:G53" si="16">D55+D57+D59</f>
        <v>-31942234.099999998</v>
      </c>
      <c r="E53" s="7">
        <f t="shared" si="16"/>
        <v>-27991685.23</v>
      </c>
      <c r="F53" s="7">
        <f t="shared" si="16"/>
        <v>-28144935.149999999</v>
      </c>
      <c r="G53" s="7">
        <f t="shared" si="16"/>
        <v>3950548.8699999964</v>
      </c>
    </row>
    <row r="54" spans="1:7" ht="15.5" x14ac:dyDescent="0.35">
      <c r="A54" s="60" t="s">
        <v>78</v>
      </c>
      <c r="B54" s="61"/>
      <c r="C54" s="7">
        <f>LISA!D1144</f>
        <v>-10813291</v>
      </c>
      <c r="D54" s="7">
        <f>LISA!E1144</f>
        <v>-12645783.278922906</v>
      </c>
      <c r="E54" s="7">
        <f>LISA!F1144</f>
        <v>-11370282.359999999</v>
      </c>
      <c r="F54" s="41">
        <v>-10716791.68</v>
      </c>
      <c r="G54" s="7">
        <f t="shared" ref="G54:G59" si="17">E54-D54</f>
        <v>1275500.9189229067</v>
      </c>
    </row>
    <row r="55" spans="1:7" ht="15.5" x14ac:dyDescent="0.35">
      <c r="A55" s="60"/>
      <c r="B55" s="53" t="s">
        <v>9</v>
      </c>
      <c r="C55" s="7">
        <f>LISA!D1145</f>
        <v>-7714166</v>
      </c>
      <c r="D55" s="7">
        <f>LISA!E1145</f>
        <v>-9949653.5700000003</v>
      </c>
      <c r="E55" s="7">
        <f>LISA!F1145</f>
        <v>-8704461.3499999996</v>
      </c>
      <c r="F55" s="41">
        <v>-8686408.8300000001</v>
      </c>
      <c r="G55" s="7">
        <f t="shared" si="17"/>
        <v>1245192.2200000007</v>
      </c>
    </row>
    <row r="56" spans="1:7" ht="15.5" x14ac:dyDescent="0.35">
      <c r="A56" s="60" t="s">
        <v>80</v>
      </c>
      <c r="B56" s="61"/>
      <c r="C56" s="7">
        <f>LISA!D1220</f>
        <v>-7705172</v>
      </c>
      <c r="D56" s="7">
        <f>LISA!E1220</f>
        <v>-9895352.8774131909</v>
      </c>
      <c r="E56" s="7">
        <f>LISA!F1220</f>
        <v>-9034969.9400000032</v>
      </c>
      <c r="F56" s="41">
        <v>-8359273.5099999998</v>
      </c>
      <c r="G56" s="7">
        <f t="shared" si="17"/>
        <v>860382.9374131877</v>
      </c>
    </row>
    <row r="57" spans="1:7" ht="15.5" x14ac:dyDescent="0.35">
      <c r="A57" s="60"/>
      <c r="B57" s="53" t="s">
        <v>9</v>
      </c>
      <c r="C57" s="7">
        <f>LISA!D1221</f>
        <v>-6295140</v>
      </c>
      <c r="D57" s="7">
        <f>LISA!E1221</f>
        <v>-8417241.0599999987</v>
      </c>
      <c r="E57" s="7">
        <f>LISA!F1221</f>
        <v>-7478377.6500000013</v>
      </c>
      <c r="F57" s="41">
        <v>-7070645.8300000001</v>
      </c>
      <c r="G57" s="7">
        <f t="shared" si="17"/>
        <v>938863.40999999736</v>
      </c>
    </row>
    <row r="58" spans="1:7" ht="15.5" x14ac:dyDescent="0.35">
      <c r="A58" s="60" t="s">
        <v>79</v>
      </c>
      <c r="B58" s="61"/>
      <c r="C58" s="7">
        <f>LISA!D1291</f>
        <v>-18585847</v>
      </c>
      <c r="D58" s="7">
        <f>LISA!E1291</f>
        <v>-20838293.178024482</v>
      </c>
      <c r="E58" s="7">
        <f>LISA!F1291</f>
        <v>-18118583.599999998</v>
      </c>
      <c r="F58" s="41">
        <v>-19073080.469999999</v>
      </c>
      <c r="G58" s="7">
        <f t="shared" si="17"/>
        <v>2719709.5780244842</v>
      </c>
    </row>
    <row r="59" spans="1:7" ht="15.5" x14ac:dyDescent="0.35">
      <c r="A59" s="60"/>
      <c r="B59" s="53" t="s">
        <v>9</v>
      </c>
      <c r="C59" s="7">
        <f>LISA!D1292</f>
        <v>-12082253</v>
      </c>
      <c r="D59" s="7">
        <f>LISA!E1292</f>
        <v>-13575339.469999999</v>
      </c>
      <c r="E59" s="7">
        <f>LISA!F1292</f>
        <v>-11808846.23</v>
      </c>
      <c r="F59" s="41">
        <v>-12387880.49</v>
      </c>
      <c r="G59" s="7">
        <f t="shared" si="17"/>
        <v>1766493.2399999984</v>
      </c>
    </row>
    <row r="60" spans="1:7" ht="15.5" x14ac:dyDescent="0.35">
      <c r="A60" s="51" t="s">
        <v>140</v>
      </c>
      <c r="B60" s="51"/>
      <c r="C60" s="10">
        <f>C62+C64+C66</f>
        <v>-31123665</v>
      </c>
      <c r="D60" s="10">
        <f t="shared" ref="D60:G60" si="18">D62+D64+D66</f>
        <v>-33712253.84569861</v>
      </c>
      <c r="E60" s="10">
        <f t="shared" si="18"/>
        <v>-30246375.489896398</v>
      </c>
      <c r="F60" s="10">
        <f t="shared" si="18"/>
        <v>-27193468.920000002</v>
      </c>
      <c r="G60" s="10">
        <f t="shared" si="18"/>
        <v>3465878.3558022119</v>
      </c>
    </row>
    <row r="61" spans="1:7" ht="15.5" x14ac:dyDescent="0.35">
      <c r="A61" s="51"/>
      <c r="B61" s="53" t="s">
        <v>9</v>
      </c>
      <c r="C61" s="8">
        <f>C63+C65+C67</f>
        <v>-28294039</v>
      </c>
      <c r="D61" s="8">
        <f t="shared" ref="D61:G61" si="19">D63+D65+D67</f>
        <v>-27931102.840719495</v>
      </c>
      <c r="E61" s="8">
        <f t="shared" si="19"/>
        <v>-26029486.459792223</v>
      </c>
      <c r="F61" s="8">
        <f t="shared" si="19"/>
        <v>-22970031.759999998</v>
      </c>
      <c r="G61" s="8">
        <f t="shared" si="19"/>
        <v>1901616.3809272717</v>
      </c>
    </row>
    <row r="62" spans="1:7" ht="15.5" x14ac:dyDescent="0.35">
      <c r="A62" s="60" t="s">
        <v>81</v>
      </c>
      <c r="B62" s="61"/>
      <c r="C62" s="7">
        <f>LISA!D1372</f>
        <v>-26308977</v>
      </c>
      <c r="D62" s="7">
        <f>LISA!E1372</f>
        <v>-25995257.600955915</v>
      </c>
      <c r="E62" s="7">
        <f>LISA!F1372</f>
        <v>-23134473.171989996</v>
      </c>
      <c r="F62" s="41">
        <v>-21993590.510000002</v>
      </c>
      <c r="G62" s="7">
        <f t="shared" ref="G62:G67" si="20">E62-D62</f>
        <v>2860784.4289659187</v>
      </c>
    </row>
    <row r="63" spans="1:7" ht="15.5" x14ac:dyDescent="0.35">
      <c r="A63" s="60"/>
      <c r="B63" s="53" t="s">
        <v>9</v>
      </c>
      <c r="C63" s="7">
        <f>LISA!D1373</f>
        <v>-23804010</v>
      </c>
      <c r="D63" s="7">
        <f>LISA!E1373</f>
        <v>-21108597.240000002</v>
      </c>
      <c r="E63" s="7">
        <f>LISA!F1373</f>
        <v>-19781626.099999998</v>
      </c>
      <c r="F63" s="41">
        <v>-18582829.219999999</v>
      </c>
      <c r="G63" s="7">
        <f t="shared" si="20"/>
        <v>1326971.1400000043</v>
      </c>
    </row>
    <row r="64" spans="1:7" ht="15.5" x14ac:dyDescent="0.35">
      <c r="A64" s="60" t="s">
        <v>82</v>
      </c>
      <c r="B64" s="62"/>
      <c r="C64" s="63">
        <f>LISA!D1448</f>
        <v>-2991035</v>
      </c>
      <c r="D64" s="63">
        <f>LISA!E1448</f>
        <v>-5115617.3540038252</v>
      </c>
      <c r="E64" s="63">
        <f>LISA!F1448</f>
        <v>-4411574.5773149999</v>
      </c>
      <c r="F64" s="64">
        <v>-2952764.85</v>
      </c>
      <c r="G64" s="7">
        <f t="shared" si="20"/>
        <v>704042.77668882534</v>
      </c>
    </row>
    <row r="65" spans="1:7" ht="15.5" x14ac:dyDescent="0.35">
      <c r="A65" s="60"/>
      <c r="B65" s="53" t="s">
        <v>9</v>
      </c>
      <c r="C65" s="63">
        <f>LISA!D1449</f>
        <v>-2980568</v>
      </c>
      <c r="D65" s="63">
        <f>LISA!E1449</f>
        <v>-4452218.3599999994</v>
      </c>
      <c r="E65" s="63">
        <f>LISA!F1449</f>
        <v>-3812629.6999999993</v>
      </c>
      <c r="F65" s="64">
        <v>-2495420.37</v>
      </c>
      <c r="G65" s="7">
        <f t="shared" si="20"/>
        <v>639588.66000000015</v>
      </c>
    </row>
    <row r="66" spans="1:7" ht="15.5" x14ac:dyDescent="0.35">
      <c r="A66" s="60" t="s">
        <v>168</v>
      </c>
      <c r="B66" s="61"/>
      <c r="C66" s="7">
        <f>LISA!D1516</f>
        <v>-1823653</v>
      </c>
      <c r="D66" s="7">
        <f>LISA!E1516</f>
        <v>-2601378.89073887</v>
      </c>
      <c r="E66" s="7">
        <f>LISA!F1516</f>
        <v>-2700327.7405914022</v>
      </c>
      <c r="F66" s="41">
        <v>-2247113.56</v>
      </c>
      <c r="G66" s="7">
        <f t="shared" si="20"/>
        <v>-98948.849852532148</v>
      </c>
    </row>
    <row r="67" spans="1:7" ht="15.5" x14ac:dyDescent="0.35">
      <c r="A67" s="60"/>
      <c r="B67" s="53" t="s">
        <v>9</v>
      </c>
      <c r="C67" s="7">
        <f>LISA!D1517</f>
        <v>-1509461</v>
      </c>
      <c r="D67" s="7">
        <f>LISA!E1517</f>
        <v>-2370287.2407194944</v>
      </c>
      <c r="E67" s="7">
        <f>LISA!F1517</f>
        <v>-2435230.6597922272</v>
      </c>
      <c r="F67" s="41">
        <v>-1891782.17</v>
      </c>
      <c r="G67" s="7">
        <f t="shared" si="20"/>
        <v>-64943.419072732795</v>
      </c>
    </row>
    <row r="68" spans="1:7" s="35" customFormat="1" ht="15.5" x14ac:dyDescent="0.35">
      <c r="A68" s="49" t="s">
        <v>67</v>
      </c>
      <c r="B68" s="49"/>
      <c r="C68" s="10">
        <f>C70+C76+C82</f>
        <v>-17390990</v>
      </c>
      <c r="D68" s="10">
        <f t="shared" ref="D68:E69" si="21">D70+D76+D82</f>
        <v>-20916576.401886582</v>
      </c>
      <c r="E68" s="10">
        <f t="shared" si="21"/>
        <v>-16937484.66992081</v>
      </c>
      <c r="F68" s="10">
        <f t="shared" ref="F68" si="22">F70+F76+F82</f>
        <v>-16749079.140000001</v>
      </c>
      <c r="G68" s="10">
        <f t="shared" ref="G68" si="23">G70+G76+G82</f>
        <v>3979091.7319657709</v>
      </c>
    </row>
    <row r="69" spans="1:7" ht="15.5" x14ac:dyDescent="0.35">
      <c r="A69" s="50"/>
      <c r="B69" s="53" t="s">
        <v>9</v>
      </c>
      <c r="C69" s="8">
        <f>C71+C77+C83</f>
        <v>-15343265</v>
      </c>
      <c r="D69" s="8">
        <f t="shared" si="21"/>
        <v>-17291196.511138372</v>
      </c>
      <c r="E69" s="8">
        <f t="shared" si="21"/>
        <v>-14646075.172851913</v>
      </c>
      <c r="F69" s="8">
        <f t="shared" ref="F69" si="24">F71+F77+F83</f>
        <v>-15162732.84</v>
      </c>
      <c r="G69" s="8">
        <f t="shared" ref="G69" si="25">G71+G77+G83</f>
        <v>2645121.3382864599</v>
      </c>
    </row>
    <row r="70" spans="1:7" s="35" customFormat="1" ht="15.5" x14ac:dyDescent="0.35">
      <c r="A70" s="49" t="s">
        <v>145</v>
      </c>
      <c r="B70" s="52"/>
      <c r="C70" s="10">
        <f>C72+C74</f>
        <v>-4979595</v>
      </c>
      <c r="D70" s="10">
        <f t="shared" ref="D70:E71" si="26">D72+D74</f>
        <v>-5631162.2241412355</v>
      </c>
      <c r="E70" s="10">
        <f t="shared" si="26"/>
        <v>-4325743.1494094077</v>
      </c>
      <c r="F70" s="10">
        <f t="shared" ref="F70" si="27">F72+F74</f>
        <v>-4509069.8600000003</v>
      </c>
      <c r="G70" s="10">
        <f t="shared" ref="G70" si="28">G72+G74</f>
        <v>1305419.074731827</v>
      </c>
    </row>
    <row r="71" spans="1:7" s="35" customFormat="1" ht="15.5" x14ac:dyDescent="0.35">
      <c r="A71" s="49"/>
      <c r="B71" s="53" t="s">
        <v>9</v>
      </c>
      <c r="C71" s="8">
        <f>C73+C75</f>
        <v>-4155995</v>
      </c>
      <c r="D71" s="8">
        <f t="shared" si="26"/>
        <v>-4664668.055634914</v>
      </c>
      <c r="E71" s="8">
        <f t="shared" si="26"/>
        <v>-3663586.8920179168</v>
      </c>
      <c r="F71" s="8">
        <f t="shared" ref="F71" si="29">F73+F75</f>
        <v>-4292291.55</v>
      </c>
      <c r="G71" s="8">
        <f t="shared" ref="G71" si="30">G73+G75</f>
        <v>1001081.1636169968</v>
      </c>
    </row>
    <row r="72" spans="1:7" ht="15.5" x14ac:dyDescent="0.35">
      <c r="A72" s="60" t="s">
        <v>90</v>
      </c>
      <c r="B72" s="53"/>
      <c r="C72" s="8">
        <f>LISA!D1553</f>
        <v>-4215107</v>
      </c>
      <c r="D72" s="8">
        <f>LISA!E1553</f>
        <v>-4840786.8027191153</v>
      </c>
      <c r="E72" s="8">
        <f>LISA!F1553</f>
        <v>-3589471.6676537548</v>
      </c>
      <c r="F72" s="8">
        <v>-3630108.45</v>
      </c>
      <c r="G72" s="7">
        <f t="shared" ref="G72:G85" si="31">E72-D72</f>
        <v>1251315.1350653605</v>
      </c>
    </row>
    <row r="73" spans="1:7" ht="15.5" x14ac:dyDescent="0.35">
      <c r="A73" s="50"/>
      <c r="B73" s="53" t="s">
        <v>9</v>
      </c>
      <c r="C73" s="8">
        <f>LISA!D1554</f>
        <v>-3394037</v>
      </c>
      <c r="D73" s="8">
        <f>LISA!E1554</f>
        <v>-3877803.5337826703</v>
      </c>
      <c r="E73" s="8">
        <f>LISA!F1554</f>
        <v>-2930316.1551008369</v>
      </c>
      <c r="F73" s="8">
        <v>-3416133.7</v>
      </c>
      <c r="G73" s="7">
        <f t="shared" si="31"/>
        <v>947487.37868183339</v>
      </c>
    </row>
    <row r="74" spans="1:7" ht="15.5" x14ac:dyDescent="0.35">
      <c r="A74" s="50" t="s">
        <v>91</v>
      </c>
      <c r="B74" s="53"/>
      <c r="C74" s="8">
        <f>LISA!D1599</f>
        <v>-764488</v>
      </c>
      <c r="D74" s="8">
        <f>LISA!E1599</f>
        <v>-790375.42142211983</v>
      </c>
      <c r="E74" s="8">
        <f>LISA!F1599</f>
        <v>-736271.48175565328</v>
      </c>
      <c r="F74" s="8">
        <v>-878961.41</v>
      </c>
      <c r="G74" s="7">
        <f t="shared" si="31"/>
        <v>54103.939666466555</v>
      </c>
    </row>
    <row r="75" spans="1:7" ht="15.5" x14ac:dyDescent="0.35">
      <c r="A75" s="50"/>
      <c r="B75" s="53" t="s">
        <v>9</v>
      </c>
      <c r="C75" s="8">
        <f>LISA!D1600</f>
        <v>-761958</v>
      </c>
      <c r="D75" s="8">
        <f>LISA!E1600</f>
        <v>-786864.52185224334</v>
      </c>
      <c r="E75" s="8">
        <f>LISA!F1600</f>
        <v>-733270.73691707989</v>
      </c>
      <c r="F75" s="8">
        <v>-876157.85</v>
      </c>
      <c r="G75" s="7">
        <f t="shared" si="31"/>
        <v>53593.78493516345</v>
      </c>
    </row>
    <row r="76" spans="1:7" s="35" customFormat="1" ht="15.5" x14ac:dyDescent="0.35">
      <c r="A76" s="49" t="s">
        <v>148</v>
      </c>
      <c r="B76" s="52"/>
      <c r="C76" s="10">
        <f>C78+C80</f>
        <v>-7480895</v>
      </c>
      <c r="D76" s="10">
        <f t="shared" ref="D76:E77" si="32">D78+D80</f>
        <v>-10354914.177745346</v>
      </c>
      <c r="E76" s="10">
        <f t="shared" si="32"/>
        <v>-7681241.5205114037</v>
      </c>
      <c r="F76" s="10">
        <f t="shared" ref="F76" si="33">F78+F80</f>
        <v>-7052859.2799999993</v>
      </c>
      <c r="G76" s="10">
        <f t="shared" ref="G76" si="34">G78+G80</f>
        <v>2673672.6572339437</v>
      </c>
    </row>
    <row r="77" spans="1:7" s="35" customFormat="1" ht="15.5" x14ac:dyDescent="0.35">
      <c r="A77" s="49"/>
      <c r="B77" s="53" t="s">
        <v>9</v>
      </c>
      <c r="C77" s="8">
        <f>C79+C81</f>
        <v>-6256770</v>
      </c>
      <c r="D77" s="8">
        <f t="shared" si="32"/>
        <v>-7696028.4555034591</v>
      </c>
      <c r="E77" s="8">
        <f t="shared" si="32"/>
        <v>-6051988.2808339959</v>
      </c>
      <c r="F77" s="8">
        <f t="shared" ref="F77" si="35">F79+F81</f>
        <v>-5683291.29</v>
      </c>
      <c r="G77" s="8">
        <f t="shared" ref="G77" si="36">G79+G81</f>
        <v>1644040.1746694632</v>
      </c>
    </row>
    <row r="78" spans="1:7" ht="15.5" x14ac:dyDescent="0.35">
      <c r="A78" s="50" t="s">
        <v>86</v>
      </c>
      <c r="B78" s="53"/>
      <c r="C78" s="8">
        <f>LISA!D1643</f>
        <v>-4079405</v>
      </c>
      <c r="D78" s="8">
        <f>LISA!E1643</f>
        <v>-5666324.4961420428</v>
      </c>
      <c r="E78" s="8">
        <f>LISA!F1643</f>
        <v>-4168100.5686176419</v>
      </c>
      <c r="F78" s="8">
        <v>-3871629.11</v>
      </c>
      <c r="G78" s="7">
        <f t="shared" si="31"/>
        <v>1498223.9275244009</v>
      </c>
    </row>
    <row r="79" spans="1:7" ht="15.5" x14ac:dyDescent="0.35">
      <c r="A79" s="50"/>
      <c r="B79" s="53" t="s">
        <v>9</v>
      </c>
      <c r="C79" s="8">
        <f>LISA!D1644</f>
        <v>-3445565</v>
      </c>
      <c r="D79" s="8">
        <f>LISA!E1644</f>
        <v>-4245782.1551807513</v>
      </c>
      <c r="E79" s="8">
        <f>LISA!F1644</f>
        <v>-3305407.9426088333</v>
      </c>
      <c r="F79" s="8">
        <v>-3206118.48</v>
      </c>
      <c r="G79" s="7">
        <f t="shared" si="31"/>
        <v>940374.21257191803</v>
      </c>
    </row>
    <row r="80" spans="1:7" ht="15.5" x14ac:dyDescent="0.35">
      <c r="A80" s="50" t="s">
        <v>87</v>
      </c>
      <c r="B80" s="53"/>
      <c r="C80" s="8">
        <f>LISA!D1684</f>
        <v>-3401490</v>
      </c>
      <c r="D80" s="8">
        <f>LISA!E1684</f>
        <v>-4688589.6816033041</v>
      </c>
      <c r="E80" s="8">
        <f>LISA!F1684</f>
        <v>-3513140.9518937613</v>
      </c>
      <c r="F80" s="8">
        <v>-3181230.17</v>
      </c>
      <c r="G80" s="7">
        <f t="shared" si="31"/>
        <v>1175448.7297095428</v>
      </c>
    </row>
    <row r="81" spans="1:7" ht="15.5" x14ac:dyDescent="0.35">
      <c r="A81" s="50"/>
      <c r="B81" s="53" t="s">
        <v>9</v>
      </c>
      <c r="C81" s="8">
        <f>LISA!D1685</f>
        <v>-2811205</v>
      </c>
      <c r="D81" s="8">
        <f>LISA!E1685</f>
        <v>-3450246.3003227077</v>
      </c>
      <c r="E81" s="8">
        <f>LISA!F1685</f>
        <v>-2746580.3382251626</v>
      </c>
      <c r="F81" s="8">
        <v>-2477172.81</v>
      </c>
      <c r="G81" s="7">
        <f t="shared" si="31"/>
        <v>703665.96209754515</v>
      </c>
    </row>
    <row r="82" spans="1:7" s="35" customFormat="1" ht="15.5" x14ac:dyDescent="0.35">
      <c r="A82" s="49" t="s">
        <v>151</v>
      </c>
      <c r="B82" s="52"/>
      <c r="C82" s="10">
        <f>C84</f>
        <v>-4930500</v>
      </c>
      <c r="D82" s="10">
        <f t="shared" ref="D82:E83" si="37">D84</f>
        <v>-4930500</v>
      </c>
      <c r="E82" s="10">
        <f t="shared" si="37"/>
        <v>-4930500</v>
      </c>
      <c r="F82" s="10">
        <f t="shared" ref="F82" si="38">F84</f>
        <v>-5187150</v>
      </c>
      <c r="G82" s="10">
        <f t="shared" ref="G82" si="39">G84</f>
        <v>0</v>
      </c>
    </row>
    <row r="83" spans="1:7" s="35" customFormat="1" ht="15.5" x14ac:dyDescent="0.35">
      <c r="A83" s="49"/>
      <c r="B83" s="53" t="s">
        <v>9</v>
      </c>
      <c r="C83" s="8">
        <f>C85</f>
        <v>-4930500</v>
      </c>
      <c r="D83" s="8">
        <f t="shared" si="37"/>
        <v>-4930500</v>
      </c>
      <c r="E83" s="8">
        <f t="shared" si="37"/>
        <v>-4930500</v>
      </c>
      <c r="F83" s="8">
        <f t="shared" ref="F83" si="40">F85</f>
        <v>-5187150</v>
      </c>
      <c r="G83" s="8">
        <f t="shared" ref="G83" si="41">G85</f>
        <v>0</v>
      </c>
    </row>
    <row r="84" spans="1:7" ht="15.5" x14ac:dyDescent="0.35">
      <c r="A84" s="50" t="s">
        <v>83</v>
      </c>
      <c r="B84" s="53"/>
      <c r="C84" s="8">
        <f>LISA!D1728</f>
        <v>-4930500</v>
      </c>
      <c r="D84" s="8">
        <f>LISA!E1728</f>
        <v>-4930500</v>
      </c>
      <c r="E84" s="8">
        <f>LISA!F1728</f>
        <v>-4930500</v>
      </c>
      <c r="F84" s="8">
        <v>-5187150</v>
      </c>
      <c r="G84" s="7">
        <f t="shared" si="31"/>
        <v>0</v>
      </c>
    </row>
    <row r="85" spans="1:7" ht="15.5" x14ac:dyDescent="0.35">
      <c r="A85" s="50"/>
      <c r="B85" s="53" t="s">
        <v>9</v>
      </c>
      <c r="C85" s="8">
        <f>LISA!D1729</f>
        <v>-4930500</v>
      </c>
      <c r="D85" s="8">
        <f>LISA!E1729</f>
        <v>-4930500</v>
      </c>
      <c r="E85" s="8">
        <f>LISA!F1729</f>
        <v>-4930500</v>
      </c>
      <c r="F85" s="8">
        <v>-5187150</v>
      </c>
      <c r="G85" s="7">
        <f t="shared" si="31"/>
        <v>0</v>
      </c>
    </row>
    <row r="86" spans="1:7" s="35" customFormat="1" ht="15.5" x14ac:dyDescent="0.35">
      <c r="A86" s="49" t="s">
        <v>51</v>
      </c>
      <c r="B86" s="52"/>
      <c r="C86" s="10">
        <f>LISA!D1734</f>
        <v>-28820840</v>
      </c>
      <c r="D86" s="10">
        <f>LISA!E1734</f>
        <v>-28545798.450000003</v>
      </c>
      <c r="E86" s="10">
        <f>LISA!F1734</f>
        <v>-27143203.440000001</v>
      </c>
      <c r="F86" s="10">
        <v>-24164805.030000001</v>
      </c>
      <c r="G86" s="10">
        <f>E86-D86</f>
        <v>1402595.0100000016</v>
      </c>
    </row>
    <row r="87" spans="1:7" s="35" customFormat="1" ht="15.5" x14ac:dyDescent="0.35">
      <c r="A87" s="59" t="s">
        <v>12</v>
      </c>
      <c r="B87" s="52"/>
      <c r="C87" s="10">
        <f>C89+C91+C93+C95+C97</f>
        <v>-54081858</v>
      </c>
      <c r="D87" s="10">
        <f t="shared" ref="D87:F87" si="42">D89+D91+D93+D95+D97</f>
        <v>-101636256.44</v>
      </c>
      <c r="E87" s="10">
        <f t="shared" si="42"/>
        <v>-80759582.730000004</v>
      </c>
      <c r="F87" s="10">
        <f t="shared" si="42"/>
        <v>-46265788.579999998</v>
      </c>
      <c r="G87" s="10">
        <f>E87-D87</f>
        <v>20876673.709999993</v>
      </c>
    </row>
    <row r="88" spans="1:7" ht="15.5" x14ac:dyDescent="0.35">
      <c r="A88" s="53"/>
      <c r="B88" s="53" t="s">
        <v>9</v>
      </c>
      <c r="C88" s="8">
        <f>C90+C92+C94+C96</f>
        <v>-33072521</v>
      </c>
      <c r="D88" s="8">
        <f t="shared" ref="D88:F88" si="43">D90+D92+D94+D96</f>
        <v>-55380555.75</v>
      </c>
      <c r="E88" s="8">
        <f t="shared" si="43"/>
        <v>-35668721.619999997</v>
      </c>
      <c r="F88" s="8">
        <f t="shared" si="43"/>
        <v>-30283112.740000002</v>
      </c>
      <c r="G88" s="8">
        <f>E88-D88</f>
        <v>19711834.130000003</v>
      </c>
    </row>
    <row r="89" spans="1:7" ht="15.5" x14ac:dyDescent="0.35">
      <c r="A89" s="53" t="s">
        <v>84</v>
      </c>
      <c r="B89" s="53"/>
      <c r="C89" s="8">
        <v>-13494770</v>
      </c>
      <c r="D89" s="7">
        <f>-33558644.18</f>
        <v>-33558644.18</v>
      </c>
      <c r="E89" s="8">
        <v>-27562022.039999999</v>
      </c>
      <c r="F89" s="8">
        <v>-11013069.24</v>
      </c>
      <c r="G89" s="8">
        <f t="shared" ref="G89:G97" si="44">E89-D89</f>
        <v>5996622.1400000006</v>
      </c>
    </row>
    <row r="90" spans="1:7" ht="15.5" x14ac:dyDescent="0.35">
      <c r="A90" s="53"/>
      <c r="B90" s="53" t="s">
        <v>9</v>
      </c>
      <c r="C90" s="8">
        <v>-9928966</v>
      </c>
      <c r="D90" s="7">
        <v>-15007628.060000001</v>
      </c>
      <c r="E90" s="8">
        <v>-9027076.6300000008</v>
      </c>
      <c r="F90" s="8">
        <v>-10999122.390000001</v>
      </c>
      <c r="G90" s="8">
        <f t="shared" si="44"/>
        <v>5980551.4299999997</v>
      </c>
    </row>
    <row r="91" spans="1:7" ht="15.5" x14ac:dyDescent="0.35">
      <c r="A91" s="53" t="s">
        <v>112</v>
      </c>
      <c r="B91" s="53"/>
      <c r="C91" s="8">
        <v>0</v>
      </c>
      <c r="D91" s="7">
        <f>-8866757-537475.18-6406639.49</f>
        <v>-15810871.67</v>
      </c>
      <c r="E91" s="8">
        <v>-10166318.76</v>
      </c>
      <c r="F91" s="8">
        <f>-2783288.22-3340425.78-96207.79-857977.68</f>
        <v>-7077899.4699999997</v>
      </c>
      <c r="G91" s="8">
        <f t="shared" si="44"/>
        <v>5644552.9100000001</v>
      </c>
    </row>
    <row r="92" spans="1:7" ht="15.5" x14ac:dyDescent="0.35">
      <c r="A92" s="53"/>
      <c r="B92" s="53" t="s">
        <v>9</v>
      </c>
      <c r="C92" s="8">
        <v>0</v>
      </c>
      <c r="D92" s="7">
        <v>-8866757</v>
      </c>
      <c r="E92" s="8">
        <v>-3457954.35</v>
      </c>
      <c r="F92" s="8">
        <v>-2783288.22</v>
      </c>
      <c r="G92" s="8">
        <f t="shared" si="44"/>
        <v>5408802.6500000004</v>
      </c>
    </row>
    <row r="93" spans="1:7" ht="15.5" x14ac:dyDescent="0.35">
      <c r="A93" s="53" t="s">
        <v>66</v>
      </c>
      <c r="B93" s="53"/>
      <c r="C93" s="8">
        <v>0</v>
      </c>
      <c r="D93" s="7">
        <f>-5900434-7892.92-779398.58</f>
        <v>-6687725.5</v>
      </c>
      <c r="E93" s="8">
        <v>-5048760.29</v>
      </c>
      <c r="F93" s="8">
        <v>-4976505</v>
      </c>
      <c r="G93" s="8">
        <f t="shared" si="44"/>
        <v>1638965.21</v>
      </c>
    </row>
    <row r="94" spans="1:7" ht="15.5" x14ac:dyDescent="0.35">
      <c r="A94" s="53"/>
      <c r="B94" s="53" t="s">
        <v>9</v>
      </c>
      <c r="C94" s="8">
        <v>0</v>
      </c>
      <c r="D94" s="7">
        <v>-5900434</v>
      </c>
      <c r="E94" s="8">
        <v>-4271185.01</v>
      </c>
      <c r="F94" s="8">
        <v>-4109515</v>
      </c>
      <c r="G94" s="8">
        <f t="shared" si="44"/>
        <v>1629248.9900000002</v>
      </c>
    </row>
    <row r="95" spans="1:7" ht="15.5" x14ac:dyDescent="0.35">
      <c r="A95" s="53" t="s">
        <v>64</v>
      </c>
      <c r="B95" s="53"/>
      <c r="C95" s="8">
        <f>-43278039+13494770</f>
        <v>-29783269</v>
      </c>
      <c r="D95" s="7">
        <f>-52171119.73+8866757+5900434+537475.18+7892.92+779398.58+6406639.49</f>
        <v>-29672522.559999995</v>
      </c>
      <c r="E95" s="8">
        <f>-38194370.85+10166318.76+5048760.29</f>
        <v>-22979291.800000004</v>
      </c>
      <c r="F95" s="8">
        <f>-27022301.45+4976505+7077899.47</f>
        <v>-14967896.98</v>
      </c>
      <c r="G95" s="8">
        <f t="shared" si="44"/>
        <v>6693230.7599999905</v>
      </c>
    </row>
    <row r="96" spans="1:7" ht="15.5" x14ac:dyDescent="0.35">
      <c r="A96" s="53"/>
      <c r="B96" s="53" t="s">
        <v>9</v>
      </c>
      <c r="C96" s="8">
        <v>-23143555</v>
      </c>
      <c r="D96" s="7">
        <f>-40372927.69+8866757+5900434</f>
        <v>-25605736.689999998</v>
      </c>
      <c r="E96" s="8">
        <f>-26641644.99+3457954.35+4271185.01</f>
        <v>-18912505.629999995</v>
      </c>
      <c r="F96" s="8">
        <f>-19284271.35+4109796+2783288.22</f>
        <v>-12391187.130000001</v>
      </c>
      <c r="G96" s="8">
        <f t="shared" si="44"/>
        <v>6693231.0600000024</v>
      </c>
    </row>
    <row r="97" spans="1:7" ht="15.5" x14ac:dyDescent="0.35">
      <c r="A97" s="50" t="s">
        <v>51</v>
      </c>
      <c r="B97" s="53"/>
      <c r="C97" s="8">
        <v>-10803819</v>
      </c>
      <c r="D97" s="7">
        <f>C97-5602132+7056283-6556824.53</f>
        <v>-15906492.530000001</v>
      </c>
      <c r="E97" s="8">
        <v>-15003189.84</v>
      </c>
      <c r="F97" s="8">
        <v>-8230417.8899999997</v>
      </c>
      <c r="G97" s="8">
        <f t="shared" si="44"/>
        <v>903302.69000000134</v>
      </c>
    </row>
    <row r="98" spans="1:7" ht="15.5" x14ac:dyDescent="0.35">
      <c r="A98" s="55" t="s">
        <v>13</v>
      </c>
      <c r="B98" s="55"/>
      <c r="C98" s="40"/>
      <c r="D98" s="40"/>
      <c r="E98" s="40">
        <f>SUM(E99:E112)</f>
        <v>-97917021.539999992</v>
      </c>
      <c r="F98" s="40">
        <f>SUM(F99:F112)</f>
        <v>-100703385.56999999</v>
      </c>
      <c r="G98" s="40"/>
    </row>
    <row r="99" spans="1:7" ht="15.5" x14ac:dyDescent="0.35">
      <c r="A99" s="11"/>
      <c r="B99" s="53" t="s">
        <v>18</v>
      </c>
      <c r="C99" s="7"/>
      <c r="D99" s="7"/>
      <c r="E99" s="7">
        <v>81916.12</v>
      </c>
      <c r="F99" s="7">
        <f>71111.73+1677430.11</f>
        <v>1748541.84</v>
      </c>
      <c r="G99" s="6"/>
    </row>
    <row r="100" spans="1:7" ht="15.5" x14ac:dyDescent="0.35">
      <c r="A100" s="11"/>
      <c r="B100" s="53" t="s">
        <v>15</v>
      </c>
      <c r="C100" s="7"/>
      <c r="D100" s="7"/>
      <c r="E100" s="7">
        <v>1578937.11</v>
      </c>
      <c r="F100" s="7">
        <v>209919.66</v>
      </c>
      <c r="G100" s="6"/>
    </row>
    <row r="101" spans="1:7" ht="15.5" x14ac:dyDescent="0.35">
      <c r="A101" s="11"/>
      <c r="B101" s="53" t="s">
        <v>16</v>
      </c>
      <c r="C101" s="7"/>
      <c r="D101" s="7"/>
      <c r="E101" s="7">
        <v>1245816.3400000001</v>
      </c>
      <c r="F101" s="7">
        <v>826917.23</v>
      </c>
      <c r="G101" s="6"/>
    </row>
    <row r="102" spans="1:7" ht="15.5" x14ac:dyDescent="0.35">
      <c r="A102" s="11"/>
      <c r="B102" s="53" t="s">
        <v>58</v>
      </c>
      <c r="C102" s="7"/>
      <c r="D102" s="7"/>
      <c r="E102" s="7">
        <f>-335416.47-1245816.34</f>
        <v>-1581232.81</v>
      </c>
      <c r="F102" s="7">
        <v>-1064819.6000000001</v>
      </c>
      <c r="G102" s="6"/>
    </row>
    <row r="103" spans="1:7" ht="15.5" x14ac:dyDescent="0.35">
      <c r="A103" s="11"/>
      <c r="B103" s="53" t="s">
        <v>162</v>
      </c>
      <c r="C103" s="7"/>
      <c r="D103" s="7"/>
      <c r="E103" s="7">
        <v>-259235.92</v>
      </c>
      <c r="F103" s="7">
        <v>-209976.5</v>
      </c>
      <c r="G103" s="6"/>
    </row>
    <row r="104" spans="1:7" ht="15.5" x14ac:dyDescent="0.35">
      <c r="A104" s="11"/>
      <c r="B104" s="53" t="s">
        <v>161</v>
      </c>
      <c r="C104" s="7"/>
      <c r="D104" s="7"/>
      <c r="E104" s="7">
        <v>-620179.74</v>
      </c>
      <c r="F104" s="7">
        <v>1169774.3500000001</v>
      </c>
      <c r="G104" s="6"/>
    </row>
    <row r="105" spans="1:7" ht="15.5" x14ac:dyDescent="0.35">
      <c r="A105" s="11"/>
      <c r="B105" s="53" t="s">
        <v>163</v>
      </c>
      <c r="C105" s="7"/>
      <c r="D105" s="7"/>
      <c r="E105" s="7">
        <v>620179.74</v>
      </c>
      <c r="F105" s="7">
        <v>-1169774.3500000001</v>
      </c>
      <c r="G105" s="6"/>
    </row>
    <row r="106" spans="1:7" ht="15.5" x14ac:dyDescent="0.35">
      <c r="A106" s="11"/>
      <c r="B106" s="53" t="s">
        <v>164</v>
      </c>
      <c r="C106" s="7"/>
      <c r="D106" s="7"/>
      <c r="E106" s="7">
        <v>25.2</v>
      </c>
      <c r="F106" s="7">
        <v>3683.2</v>
      </c>
      <c r="G106" s="6"/>
    </row>
    <row r="107" spans="1:7" ht="15.5" x14ac:dyDescent="0.35">
      <c r="A107" s="11"/>
      <c r="B107" s="53" t="s">
        <v>165</v>
      </c>
      <c r="C107" s="7"/>
      <c r="D107" s="7"/>
      <c r="E107" s="7">
        <v>-25.2</v>
      </c>
      <c r="F107" s="7">
        <v>-3683.2</v>
      </c>
      <c r="G107" s="6"/>
    </row>
    <row r="108" spans="1:7" ht="15.5" x14ac:dyDescent="0.35">
      <c r="A108" s="11"/>
      <c r="B108" s="53" t="s">
        <v>159</v>
      </c>
      <c r="C108" s="7"/>
      <c r="D108" s="41"/>
      <c r="E108" s="41">
        <f>-302545.44</f>
        <v>-302545.44</v>
      </c>
      <c r="F108" s="41">
        <v>-175510.9</v>
      </c>
      <c r="G108" s="6"/>
    </row>
    <row r="109" spans="1:7" ht="15.5" x14ac:dyDescent="0.35">
      <c r="A109" s="11"/>
      <c r="B109" s="56" t="s">
        <v>98</v>
      </c>
      <c r="C109" s="7"/>
      <c r="D109" s="41"/>
      <c r="E109" s="41">
        <v>-1685254.92</v>
      </c>
      <c r="F109" s="41">
        <v>-1472564.7</v>
      </c>
      <c r="G109" s="6"/>
    </row>
    <row r="110" spans="1:7" ht="15.5" x14ac:dyDescent="0.35">
      <c r="A110" s="11"/>
      <c r="B110" s="56" t="s">
        <v>160</v>
      </c>
      <c r="C110" s="7"/>
      <c r="D110" s="41"/>
      <c r="E110" s="41">
        <v>1685254.92</v>
      </c>
      <c r="F110" s="41">
        <v>1472565</v>
      </c>
      <c r="G110" s="6"/>
    </row>
    <row r="111" spans="1:7" ht="15.5" x14ac:dyDescent="0.35">
      <c r="A111" s="11"/>
      <c r="B111" s="53" t="s">
        <v>166</v>
      </c>
      <c r="C111" s="7"/>
      <c r="D111" s="41"/>
      <c r="E111" s="41">
        <f>-50292275.53+1118618.59</f>
        <v>-49173656.939999998</v>
      </c>
      <c r="F111" s="41">
        <f>-57299646.93+703341.33</f>
        <v>-56596305.600000001</v>
      </c>
      <c r="G111" s="6"/>
    </row>
    <row r="112" spans="1:7" ht="15.5" x14ac:dyDescent="0.35">
      <c r="A112" s="11"/>
      <c r="B112" s="56" t="s">
        <v>14</v>
      </c>
      <c r="C112" s="7"/>
      <c r="D112" s="41"/>
      <c r="E112" s="41">
        <v>-49507020</v>
      </c>
      <c r="F112" s="41">
        <f>-45442152</f>
        <v>-45442152</v>
      </c>
      <c r="G112" s="6"/>
    </row>
  </sheetData>
  <autoFilter ref="A3:G112" xr:uid="{C8B09F5C-00A4-4BD3-B743-9BFC60E719C1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52C-D577-4AC0-AB2D-448D0F264886}">
  <dimension ref="A1:G1737"/>
  <sheetViews>
    <sheetView topLeftCell="A197" workbookViewId="0">
      <selection activeCell="I1619" sqref="I1619"/>
    </sheetView>
  </sheetViews>
  <sheetFormatPr defaultRowHeight="14.5" x14ac:dyDescent="0.35"/>
  <cols>
    <col min="1" max="1" width="5.7265625" customWidth="1"/>
    <col min="2" max="2" width="26" customWidth="1"/>
    <col min="3" max="3" width="54.81640625" customWidth="1"/>
    <col min="4" max="4" width="15.7265625" style="2" customWidth="1"/>
    <col min="5" max="5" width="17.54296875" style="2" customWidth="1"/>
    <col min="6" max="6" width="17.6328125" style="2" customWidth="1"/>
    <col min="7" max="7" width="15.453125" style="2" customWidth="1"/>
  </cols>
  <sheetData>
    <row r="1" spans="1:7" x14ac:dyDescent="0.35">
      <c r="A1" s="35" t="s">
        <v>170</v>
      </c>
      <c r="B1" s="35"/>
    </row>
    <row r="2" spans="1:7" x14ac:dyDescent="0.35">
      <c r="A2" s="35" t="s">
        <v>104</v>
      </c>
      <c r="B2" s="35"/>
    </row>
    <row r="4" spans="1:7" ht="29" x14ac:dyDescent="0.35">
      <c r="A4" s="78"/>
      <c r="B4" s="78"/>
      <c r="C4" s="79"/>
      <c r="D4" s="80" t="s">
        <v>1</v>
      </c>
      <c r="E4" s="80" t="s">
        <v>2</v>
      </c>
      <c r="F4" s="80" t="s">
        <v>100</v>
      </c>
      <c r="G4" s="80" t="s">
        <v>3</v>
      </c>
    </row>
    <row r="5" spans="1:7" x14ac:dyDescent="0.35">
      <c r="A5" s="76" t="s">
        <v>68</v>
      </c>
      <c r="B5" s="81"/>
      <c r="C5" s="81"/>
      <c r="D5" s="82"/>
      <c r="E5" s="82"/>
      <c r="F5" s="82"/>
      <c r="G5" s="82"/>
    </row>
    <row r="6" spans="1:7" s="35" customFormat="1" x14ac:dyDescent="0.35">
      <c r="A6" s="74" t="s">
        <v>57</v>
      </c>
      <c r="B6" s="37"/>
      <c r="C6" s="37"/>
      <c r="D6" s="38">
        <f>SUM(D7:D12)</f>
        <v>-551524741</v>
      </c>
      <c r="E6" s="38">
        <f t="shared" ref="E6" si="0">SUM(E7:E12)</f>
        <v>-635554404.50777996</v>
      </c>
      <c r="F6" s="38">
        <f>SUM(F7:F12)</f>
        <v>-602550841.23981702</v>
      </c>
      <c r="G6" s="38">
        <f t="shared" ref="G6:G31" si="1">F6-E6</f>
        <v>33003563.267962933</v>
      </c>
    </row>
    <row r="7" spans="1:7" x14ac:dyDescent="0.35">
      <c r="A7" s="74"/>
      <c r="B7" s="3" t="s">
        <v>105</v>
      </c>
      <c r="C7" s="3"/>
      <c r="D7" s="5">
        <f>D14+D1542</f>
        <v>-463197500</v>
      </c>
      <c r="E7" s="5">
        <f>E14+E1542</f>
        <v>-541361045.39891601</v>
      </c>
      <c r="F7" s="5">
        <f>F14+F1542</f>
        <v>-516222110.39264411</v>
      </c>
      <c r="G7" s="5">
        <f t="shared" si="1"/>
        <v>25138935.006271899</v>
      </c>
    </row>
    <row r="8" spans="1:7" x14ac:dyDescent="0.35">
      <c r="A8" s="74"/>
      <c r="B8" s="3" t="s">
        <v>106</v>
      </c>
      <c r="C8" s="3"/>
      <c r="D8" s="5">
        <f>D15+D1735</f>
        <v>-31959044</v>
      </c>
      <c r="E8" s="5">
        <f>E15+E1735</f>
        <v>-32752755.164000001</v>
      </c>
      <c r="F8" s="5">
        <f>F15+F1735+F1543</f>
        <v>-32288157.995805621</v>
      </c>
      <c r="G8" s="5">
        <f t="shared" si="1"/>
        <v>464597.16819437966</v>
      </c>
    </row>
    <row r="9" spans="1:7" x14ac:dyDescent="0.35">
      <c r="A9" s="74"/>
      <c r="B9" s="3" t="s">
        <v>107</v>
      </c>
      <c r="C9" s="3"/>
      <c r="D9" s="5">
        <f t="shared" ref="D9:F10" si="2">D16+D1544+D1736</f>
        <v>-26014262</v>
      </c>
      <c r="E9" s="5">
        <f t="shared" si="2"/>
        <v>-21222739.658276141</v>
      </c>
      <c r="F9" s="5">
        <f t="shared" si="2"/>
        <v>-19124883.191281375</v>
      </c>
      <c r="G9" s="5">
        <f t="shared" si="1"/>
        <v>2097856.4669947661</v>
      </c>
    </row>
    <row r="10" spans="1:7" x14ac:dyDescent="0.35">
      <c r="A10" s="74"/>
      <c r="B10" s="3" t="s">
        <v>108</v>
      </c>
      <c r="C10" s="3"/>
      <c r="D10" s="5">
        <f t="shared" si="2"/>
        <v>-2933146</v>
      </c>
      <c r="E10" s="5">
        <f t="shared" si="2"/>
        <v>-12797076.558713267</v>
      </c>
      <c r="F10" s="5">
        <f t="shared" si="2"/>
        <v>-5218635.2355747456</v>
      </c>
      <c r="G10" s="5">
        <f t="shared" si="1"/>
        <v>7578441.3231385211</v>
      </c>
    </row>
    <row r="11" spans="1:7" x14ac:dyDescent="0.35">
      <c r="A11" s="74"/>
      <c r="B11" s="3" t="s">
        <v>111</v>
      </c>
      <c r="C11" s="3"/>
      <c r="D11" s="5">
        <f>D18</f>
        <v>-115000</v>
      </c>
      <c r="E11" s="5">
        <f t="shared" ref="E11:F11" si="3">E18</f>
        <v>-115000</v>
      </c>
      <c r="F11" s="5">
        <f t="shared" si="3"/>
        <v>0</v>
      </c>
      <c r="G11" s="5">
        <f t="shared" si="1"/>
        <v>115000</v>
      </c>
    </row>
    <row r="12" spans="1:7" x14ac:dyDescent="0.35">
      <c r="A12" s="74"/>
      <c r="B12" s="3" t="s">
        <v>109</v>
      </c>
      <c r="C12" s="3"/>
      <c r="D12" s="5">
        <f>D19+D1546</f>
        <v>-27305789</v>
      </c>
      <c r="E12" s="5">
        <f>E19+E1546</f>
        <v>-27305787.727874476</v>
      </c>
      <c r="F12" s="5">
        <f>F19+F1546</f>
        <v>-29697054.424511328</v>
      </c>
      <c r="G12" s="5">
        <f t="shared" si="1"/>
        <v>-2391266.6966368519</v>
      </c>
    </row>
    <row r="13" spans="1:7" s="35" customFormat="1" x14ac:dyDescent="0.35">
      <c r="A13" s="74" t="s">
        <v>19</v>
      </c>
      <c r="B13" s="37"/>
      <c r="C13" s="37"/>
      <c r="D13" s="38">
        <f>SUM(D14:D19)</f>
        <v>-505312911</v>
      </c>
      <c r="E13" s="38">
        <f>SUM(E14:E19)</f>
        <v>-586092029.65589333</v>
      </c>
      <c r="F13" s="38">
        <f>SUM(F14:F19)</f>
        <v>-558470153.1298964</v>
      </c>
      <c r="G13" s="38">
        <f t="shared" si="1"/>
        <v>27621876.525996923</v>
      </c>
    </row>
    <row r="14" spans="1:7" x14ac:dyDescent="0.35">
      <c r="A14" s="74"/>
      <c r="B14" s="3" t="s">
        <v>105</v>
      </c>
      <c r="C14" s="3"/>
      <c r="D14" s="5">
        <f>D21+D328+D785+D1139+D1367</f>
        <v>-447854235</v>
      </c>
      <c r="E14" s="5">
        <f>E21+E328+E785+E1139+E1367</f>
        <v>-524069848.88777763</v>
      </c>
      <c r="F14" s="5">
        <f>F21+F328+F785+F1139+F1367</f>
        <v>-501576035.21979219</v>
      </c>
      <c r="G14" s="5">
        <f t="shared" si="1"/>
        <v>22493813.667985439</v>
      </c>
    </row>
    <row r="15" spans="1:7" x14ac:dyDescent="0.35">
      <c r="A15" s="74"/>
      <c r="B15" s="3" t="s">
        <v>106</v>
      </c>
      <c r="C15" s="3"/>
      <c r="D15" s="5">
        <f>D22+D329+D786+D1140</f>
        <v>-5466583</v>
      </c>
      <c r="E15" s="5">
        <f>E22+E329+E786+E1140</f>
        <v>-5466581.1639999999</v>
      </c>
      <c r="F15" s="5">
        <f>F22+F329+F786+F1140+F1368</f>
        <v>-6404818.5599999996</v>
      </c>
      <c r="G15" s="5">
        <f t="shared" si="1"/>
        <v>-938237.39599999972</v>
      </c>
    </row>
    <row r="16" spans="1:7" x14ac:dyDescent="0.35">
      <c r="A16" s="74"/>
      <c r="B16" s="3" t="s">
        <v>107</v>
      </c>
      <c r="C16" s="3"/>
      <c r="D16" s="5">
        <f>D23+D330+D787+D1141+D1369</f>
        <v>-22924933</v>
      </c>
      <c r="E16" s="5">
        <f>E23+E330+E787+E1141+E1369</f>
        <v>-18686381.171411771</v>
      </c>
      <c r="F16" s="5">
        <f>F23+F330+F787+F1141+F1369</f>
        <v>-16908362.335378297</v>
      </c>
      <c r="G16" s="5">
        <f>F16-E16</f>
        <v>1778018.8360334747</v>
      </c>
    </row>
    <row r="17" spans="1:7" x14ac:dyDescent="0.35">
      <c r="A17" s="74"/>
      <c r="B17" s="3" t="s">
        <v>108</v>
      </c>
      <c r="C17" s="3"/>
      <c r="D17" s="5">
        <f>D24+D331+D788+D1142+D1370</f>
        <v>-2299972</v>
      </c>
      <c r="E17" s="5">
        <f>E24+E331+E788+E1142+E1370</f>
        <v>-11102031.314622376</v>
      </c>
      <c r="F17" s="5">
        <f>F24+F331+F788+F1142+F1370</f>
        <v>-4967647.4524430092</v>
      </c>
      <c r="G17" s="5">
        <f t="shared" si="1"/>
        <v>6134383.8621793669</v>
      </c>
    </row>
    <row r="18" spans="1:7" x14ac:dyDescent="0.35">
      <c r="A18" s="74"/>
      <c r="B18" s="3" t="s">
        <v>111</v>
      </c>
      <c r="C18" s="3"/>
      <c r="D18" s="5">
        <f>D332</f>
        <v>-115000</v>
      </c>
      <c r="E18" s="5">
        <f t="shared" ref="E18:F18" si="4">E332</f>
        <v>-115000</v>
      </c>
      <c r="F18" s="5">
        <f t="shared" si="4"/>
        <v>0</v>
      </c>
      <c r="G18" s="5">
        <f t="shared" si="1"/>
        <v>115000</v>
      </c>
    </row>
    <row r="19" spans="1:7" x14ac:dyDescent="0.35">
      <c r="A19" s="74"/>
      <c r="B19" s="3" t="s">
        <v>109</v>
      </c>
      <c r="C19" s="3"/>
      <c r="D19" s="5">
        <f>D25+D333+D789+D1143+D1371</f>
        <v>-26652188</v>
      </c>
      <c r="E19" s="5">
        <f>E25+E333+E789+E1143+E1371</f>
        <v>-26652187.118081525</v>
      </c>
      <c r="F19" s="5">
        <f>F25+F333+F789+F1143+F1371</f>
        <v>-28613289.562282868</v>
      </c>
      <c r="G19" s="5">
        <f t="shared" si="1"/>
        <v>-1961102.4442013428</v>
      </c>
    </row>
    <row r="20" spans="1:7" s="35" customFormat="1" x14ac:dyDescent="0.35">
      <c r="A20" s="38" t="s">
        <v>113</v>
      </c>
      <c r="B20" s="37"/>
      <c r="C20" s="37"/>
      <c r="D20" s="38">
        <f>SUM(D21:D25)</f>
        <v>-39151244</v>
      </c>
      <c r="E20" s="38">
        <f>SUM(E21:E25)</f>
        <v>-40905474.972326823</v>
      </c>
      <c r="F20" s="38">
        <f>SUM(F21:F25)</f>
        <v>-38833333.149999999</v>
      </c>
      <c r="G20" s="38">
        <f t="shared" si="1"/>
        <v>2072141.8223268241</v>
      </c>
    </row>
    <row r="21" spans="1:7" x14ac:dyDescent="0.35">
      <c r="A21" s="36"/>
      <c r="B21" s="3" t="s">
        <v>105</v>
      </c>
      <c r="C21" s="3"/>
      <c r="D21" s="5">
        <f t="shared" ref="D21:F25" si="5">D27+D122+D215</f>
        <v>-36822813</v>
      </c>
      <c r="E21" s="5">
        <f t="shared" si="5"/>
        <v>-37900861.460000001</v>
      </c>
      <c r="F21" s="5">
        <f t="shared" si="5"/>
        <v>-36578498.049999997</v>
      </c>
      <c r="G21" s="5">
        <f t="shared" si="1"/>
        <v>1322363.4100000039</v>
      </c>
    </row>
    <row r="22" spans="1:7" x14ac:dyDescent="0.35">
      <c r="A22" s="36"/>
      <c r="B22" s="3" t="s">
        <v>106</v>
      </c>
      <c r="C22" s="3"/>
      <c r="D22" s="5">
        <f t="shared" si="5"/>
        <v>-47711</v>
      </c>
      <c r="E22" s="5">
        <f>E28+E123+E216</f>
        <v>-47709.614000000001</v>
      </c>
      <c r="F22" s="5">
        <f>F28+F123+F216</f>
        <v>-89883.63</v>
      </c>
      <c r="G22" s="5">
        <f t="shared" si="1"/>
        <v>-42174.016000000003</v>
      </c>
    </row>
    <row r="23" spans="1:7" x14ac:dyDescent="0.35">
      <c r="A23" s="3"/>
      <c r="B23" s="3" t="s">
        <v>107</v>
      </c>
      <c r="C23" s="3"/>
      <c r="D23" s="5">
        <f t="shared" si="5"/>
        <v>-856708</v>
      </c>
      <c r="E23" s="5">
        <f t="shared" si="5"/>
        <v>-1203946.6800000002</v>
      </c>
      <c r="F23" s="5">
        <f t="shared" si="5"/>
        <v>-985120.51</v>
      </c>
      <c r="G23" s="5">
        <f t="shared" si="1"/>
        <v>218826.17000000016</v>
      </c>
    </row>
    <row r="24" spans="1:7" x14ac:dyDescent="0.35">
      <c r="A24" s="3"/>
      <c r="B24" s="3" t="s">
        <v>108</v>
      </c>
      <c r="C24" s="3"/>
      <c r="D24" s="5">
        <f t="shared" si="5"/>
        <v>-103608</v>
      </c>
      <c r="E24" s="5">
        <f t="shared" si="5"/>
        <v>-432554.38</v>
      </c>
      <c r="F24" s="5">
        <f t="shared" si="5"/>
        <v>-141176.44</v>
      </c>
      <c r="G24" s="5">
        <f t="shared" si="1"/>
        <v>291377.94</v>
      </c>
    </row>
    <row r="25" spans="1:7" x14ac:dyDescent="0.35">
      <c r="A25" s="3"/>
      <c r="B25" s="3" t="s">
        <v>109</v>
      </c>
      <c r="C25" s="3"/>
      <c r="D25" s="5">
        <f t="shared" si="5"/>
        <v>-1320404</v>
      </c>
      <c r="E25" s="5">
        <f t="shared" si="5"/>
        <v>-1320402.8383268211</v>
      </c>
      <c r="F25" s="5">
        <f>F31+F126+F219</f>
        <v>-1038654.5199999999</v>
      </c>
      <c r="G25" s="5">
        <f t="shared" si="1"/>
        <v>281748.3183268212</v>
      </c>
    </row>
    <row r="26" spans="1:7" s="35" customFormat="1" x14ac:dyDescent="0.35">
      <c r="A26" s="37" t="s">
        <v>114</v>
      </c>
      <c r="B26" s="37"/>
      <c r="C26" s="37"/>
      <c r="D26" s="38">
        <f>SUM(D27:D31)</f>
        <v>-8490361</v>
      </c>
      <c r="E26" s="38">
        <f t="shared" ref="E26:F26" si="6">SUM(E27:E31)</f>
        <v>-9266056.5140553452</v>
      </c>
      <c r="F26" s="38">
        <f t="shared" si="6"/>
        <v>-8994324.9800000004</v>
      </c>
      <c r="G26" s="38">
        <f t="shared" si="1"/>
        <v>271731.53405534476</v>
      </c>
    </row>
    <row r="27" spans="1:7" x14ac:dyDescent="0.35">
      <c r="A27" s="3"/>
      <c r="B27" s="3" t="s">
        <v>105</v>
      </c>
      <c r="C27" s="3"/>
      <c r="D27" s="5">
        <f>D40+D60+D82+D103</f>
        <v>-7283256</v>
      </c>
      <c r="E27" s="5">
        <f>E40+E60+E82+E103</f>
        <v>-7803937.5599999996</v>
      </c>
      <c r="F27" s="5">
        <f t="shared" ref="F27" si="7">F40+F60+F82+F103</f>
        <v>-7851523.7200000007</v>
      </c>
      <c r="G27" s="5">
        <f t="shared" si="1"/>
        <v>-47586.16000000108</v>
      </c>
    </row>
    <row r="28" spans="1:7" x14ac:dyDescent="0.35">
      <c r="A28" s="3"/>
      <c r="B28" s="3" t="s">
        <v>106</v>
      </c>
      <c r="C28" s="3"/>
      <c r="D28" s="5">
        <f>D65+D109+D45+D86</f>
        <v>-13175</v>
      </c>
      <c r="E28" s="5">
        <f>E65+E109+E45+E86</f>
        <v>-13174.224</v>
      </c>
      <c r="F28" s="5">
        <f t="shared" ref="F28" si="8">F65+F109+F45+F86</f>
        <v>-32624.260000000006</v>
      </c>
      <c r="G28" s="5">
        <f t="shared" si="1"/>
        <v>-19450.036000000007</v>
      </c>
    </row>
    <row r="29" spans="1:7" x14ac:dyDescent="0.35">
      <c r="A29" s="3"/>
      <c r="B29" s="3" t="s">
        <v>107</v>
      </c>
      <c r="C29" s="3"/>
      <c r="D29" s="5">
        <f>D47+D68+D88+D112</f>
        <v>-760807</v>
      </c>
      <c r="E29" s="5">
        <f t="shared" ref="E29:F29" si="9">E47+E68+E88+E112</f>
        <v>-915320.64</v>
      </c>
      <c r="F29" s="5">
        <f t="shared" si="9"/>
        <v>-756361.83</v>
      </c>
      <c r="G29" s="5">
        <f t="shared" si="1"/>
        <v>158958.81000000006</v>
      </c>
    </row>
    <row r="30" spans="1:7" x14ac:dyDescent="0.35">
      <c r="A30" s="3"/>
      <c r="B30" s="3" t="s">
        <v>108</v>
      </c>
      <c r="C30" s="3"/>
      <c r="D30" s="5">
        <f>D72+D116+D92</f>
        <v>-766</v>
      </c>
      <c r="E30" s="5">
        <f>E72+E116+E92</f>
        <v>-101267.17</v>
      </c>
      <c r="F30" s="5">
        <f t="shared" ref="F30" si="10">F72+F116+F92</f>
        <v>-79364.88</v>
      </c>
      <c r="G30" s="5">
        <f t="shared" si="1"/>
        <v>21902.289999999994</v>
      </c>
    </row>
    <row r="31" spans="1:7" x14ac:dyDescent="0.35">
      <c r="A31" s="3"/>
      <c r="B31" s="3" t="s">
        <v>109</v>
      </c>
      <c r="C31" s="3"/>
      <c r="D31" s="5">
        <f>D53+D76+D95+D120</f>
        <v>-432357</v>
      </c>
      <c r="E31" s="5">
        <f t="shared" ref="E31:F31" si="11">E53+E76+E95+E120</f>
        <v>-432356.9200553447</v>
      </c>
      <c r="F31" s="5">
        <f t="shared" si="11"/>
        <v>-274450.28999999998</v>
      </c>
      <c r="G31" s="5">
        <f t="shared" si="1"/>
        <v>157906.63005534472</v>
      </c>
    </row>
    <row r="32" spans="1:7" x14ac:dyDescent="0.35">
      <c r="A32" s="37"/>
      <c r="B32" s="37" t="s">
        <v>31</v>
      </c>
      <c r="C32" s="37"/>
      <c r="D32" s="38">
        <f>SUM(D33:D39)</f>
        <v>-1295692</v>
      </c>
      <c r="E32" s="38">
        <f t="shared" ref="E32:F32" si="12">SUM(E33:E39)</f>
        <v>-1461304.4347714628</v>
      </c>
      <c r="F32" s="38">
        <f t="shared" si="12"/>
        <v>-1285903.3700000001</v>
      </c>
      <c r="G32" s="38">
        <f>F32-E32</f>
        <v>175401.0647714627</v>
      </c>
    </row>
    <row r="33" spans="1:7" x14ac:dyDescent="0.35">
      <c r="A33" s="3"/>
      <c r="B33" s="3"/>
      <c r="C33" s="3" t="s">
        <v>155</v>
      </c>
      <c r="D33" s="5">
        <v>0</v>
      </c>
      <c r="E33" s="5">
        <f>E48</f>
        <v>-774328</v>
      </c>
      <c r="F33" s="5">
        <v>0</v>
      </c>
      <c r="G33" s="5">
        <f t="shared" ref="G33:G39" si="13">F33-E33</f>
        <v>774328</v>
      </c>
    </row>
    <row r="34" spans="1:7" x14ac:dyDescent="0.35">
      <c r="A34" s="3"/>
      <c r="B34" s="3"/>
      <c r="C34" s="3" t="s">
        <v>54</v>
      </c>
      <c r="D34" s="5">
        <f>D41+D49</f>
        <v>-585379</v>
      </c>
      <c r="E34" s="5">
        <f t="shared" ref="E34:F35" si="14">E41+E49</f>
        <v>-564695.56000000006</v>
      </c>
      <c r="F34" s="5">
        <f t="shared" si="14"/>
        <v>-599832.84000000008</v>
      </c>
      <c r="G34" s="5">
        <f t="shared" si="13"/>
        <v>-35137.280000000028</v>
      </c>
    </row>
    <row r="35" spans="1:7" x14ac:dyDescent="0.35">
      <c r="A35" s="3"/>
      <c r="B35" s="3"/>
      <c r="C35" s="3" t="s">
        <v>55</v>
      </c>
      <c r="D35" s="5">
        <f>D42+D50</f>
        <v>-132613</v>
      </c>
      <c r="E35" s="5">
        <f t="shared" si="14"/>
        <v>-119548.12999999999</v>
      </c>
      <c r="F35" s="5">
        <f t="shared" si="14"/>
        <v>-254306.11</v>
      </c>
      <c r="G35" s="5">
        <f t="shared" si="13"/>
        <v>-134757.97999999998</v>
      </c>
    </row>
    <row r="36" spans="1:7" x14ac:dyDescent="0.35">
      <c r="A36" s="3"/>
      <c r="B36" s="3"/>
      <c r="C36" s="3" t="s">
        <v>101</v>
      </c>
      <c r="D36" s="5">
        <f>D43</f>
        <v>-187</v>
      </c>
      <c r="E36" s="5">
        <f t="shared" ref="E36:F36" si="15">E43</f>
        <v>-186.64</v>
      </c>
      <c r="F36" s="5">
        <f t="shared" si="15"/>
        <v>-153.13999999999999</v>
      </c>
      <c r="G36" s="5">
        <f t="shared" si="13"/>
        <v>33.5</v>
      </c>
    </row>
    <row r="37" spans="1:7" x14ac:dyDescent="0.35">
      <c r="A37" s="3"/>
      <c r="B37" s="3"/>
      <c r="C37" s="3" t="s">
        <v>110</v>
      </c>
      <c r="D37" s="5">
        <f>D51</f>
        <v>0</v>
      </c>
      <c r="E37" s="5">
        <f t="shared" ref="E37:F38" si="16">E51</f>
        <v>0</v>
      </c>
      <c r="F37" s="5">
        <f t="shared" si="16"/>
        <v>-8139.86</v>
      </c>
      <c r="G37" s="5">
        <f t="shared" si="13"/>
        <v>-8139.86</v>
      </c>
    </row>
    <row r="38" spans="1:7" x14ac:dyDescent="0.35">
      <c r="A38" s="3"/>
      <c r="B38" s="3"/>
      <c r="C38" s="3" t="s">
        <v>102</v>
      </c>
      <c r="D38" s="5">
        <f>D52</f>
        <v>-575000</v>
      </c>
      <c r="E38" s="5">
        <f t="shared" si="16"/>
        <v>0</v>
      </c>
      <c r="F38" s="5">
        <f t="shared" si="16"/>
        <v>-420201.75</v>
      </c>
      <c r="G38" s="5">
        <f t="shared" si="13"/>
        <v>-420201.75</v>
      </c>
    </row>
    <row r="39" spans="1:7" x14ac:dyDescent="0.35">
      <c r="A39" s="3"/>
      <c r="B39" s="3"/>
      <c r="C39" s="3" t="s">
        <v>103</v>
      </c>
      <c r="D39" s="5">
        <f>D44+D53+D46</f>
        <v>-2513</v>
      </c>
      <c r="E39" s="5">
        <f t="shared" ref="E39:F39" si="17">E44+E53+E46</f>
        <v>-2546.1047714630754</v>
      </c>
      <c r="F39" s="5">
        <f t="shared" si="17"/>
        <v>-3269.67</v>
      </c>
      <c r="G39" s="5">
        <f t="shared" si="13"/>
        <v>-723.56522853692468</v>
      </c>
    </row>
    <row r="40" spans="1:7" x14ac:dyDescent="0.35">
      <c r="A40" s="37"/>
      <c r="B40" s="37"/>
      <c r="C40" s="37" t="s">
        <v>105</v>
      </c>
      <c r="D40" s="38">
        <f>SUM(D41:D44)</f>
        <v>-585933</v>
      </c>
      <c r="E40" s="38">
        <f t="shared" ref="E40:F40" si="18">SUM(E41:E44)</f>
        <v>-684935.56</v>
      </c>
      <c r="F40" s="38">
        <f t="shared" si="18"/>
        <v>-626834.9</v>
      </c>
      <c r="G40" s="38">
        <f>F40-E40</f>
        <v>58100.660000000033</v>
      </c>
    </row>
    <row r="41" spans="1:7" x14ac:dyDescent="0.35">
      <c r="A41" s="3"/>
      <c r="B41" s="3"/>
      <c r="C41" s="3" t="s">
        <v>54</v>
      </c>
      <c r="D41" s="5">
        <v>-483290</v>
      </c>
      <c r="E41" s="5">
        <v>-564695.56000000006</v>
      </c>
      <c r="F41" s="5">
        <v>-512835.71</v>
      </c>
      <c r="G41" s="5">
        <f t="shared" ref="G41:G46" si="19">F41-E41</f>
        <v>51859.850000000035</v>
      </c>
    </row>
    <row r="42" spans="1:7" x14ac:dyDescent="0.35">
      <c r="A42" s="3"/>
      <c r="B42" s="3"/>
      <c r="C42" s="3" t="s">
        <v>55</v>
      </c>
      <c r="D42" s="5">
        <v>-101984</v>
      </c>
      <c r="E42" s="5">
        <f>-115378.62-4169.51</f>
        <v>-119548.12999999999</v>
      </c>
      <c r="F42" s="5">
        <v>-113405.75</v>
      </c>
      <c r="G42" s="5">
        <f t="shared" si="19"/>
        <v>6142.3799999999901</v>
      </c>
    </row>
    <row r="43" spans="1:7" x14ac:dyDescent="0.35">
      <c r="A43" s="3"/>
      <c r="B43" s="3"/>
      <c r="C43" s="3" t="s">
        <v>101</v>
      </c>
      <c r="D43" s="5">
        <v>-187</v>
      </c>
      <c r="E43" s="5">
        <v>-186.64</v>
      </c>
      <c r="F43" s="5">
        <v>-153.13999999999999</v>
      </c>
      <c r="G43" s="5">
        <f t="shared" si="19"/>
        <v>33.5</v>
      </c>
    </row>
    <row r="44" spans="1:7" x14ac:dyDescent="0.35">
      <c r="A44" s="3"/>
      <c r="B44" s="3"/>
      <c r="C44" s="3" t="s">
        <v>56</v>
      </c>
      <c r="D44" s="5">
        <v>-472</v>
      </c>
      <c r="E44" s="5">
        <v>-505.23</v>
      </c>
      <c r="F44" s="5">
        <v>-440.3</v>
      </c>
      <c r="G44" s="5">
        <f t="shared" si="19"/>
        <v>64.930000000000007</v>
      </c>
    </row>
    <row r="45" spans="1:7" s="35" customFormat="1" x14ac:dyDescent="0.35">
      <c r="A45" s="37"/>
      <c r="B45" s="37"/>
      <c r="C45" s="37" t="s">
        <v>106</v>
      </c>
      <c r="D45" s="38">
        <f>D46</f>
        <v>0</v>
      </c>
      <c r="E45" s="38">
        <f t="shared" ref="E45:F45" si="20">E46</f>
        <v>0</v>
      </c>
      <c r="F45" s="38">
        <f t="shared" si="20"/>
        <v>84.69</v>
      </c>
      <c r="G45" s="38">
        <f t="shared" si="19"/>
        <v>84.69</v>
      </c>
    </row>
    <row r="46" spans="1:7" x14ac:dyDescent="0.35">
      <c r="A46" s="3"/>
      <c r="B46" s="3"/>
      <c r="C46" s="3" t="s">
        <v>56</v>
      </c>
      <c r="D46" s="5">
        <v>0</v>
      </c>
      <c r="E46" s="5">
        <v>0</v>
      </c>
      <c r="F46" s="5">
        <v>84.69</v>
      </c>
      <c r="G46" s="5">
        <f t="shared" si="19"/>
        <v>84.69</v>
      </c>
    </row>
    <row r="47" spans="1:7" x14ac:dyDescent="0.35">
      <c r="A47" s="37"/>
      <c r="B47" s="37"/>
      <c r="C47" s="37" t="s">
        <v>107</v>
      </c>
      <c r="D47" s="38">
        <f>SUM(D48:D52)</f>
        <v>-707718</v>
      </c>
      <c r="E47" s="38">
        <f t="shared" ref="E47:F47" si="21">SUM(E48:E52)</f>
        <v>-774328</v>
      </c>
      <c r="F47" s="38">
        <f t="shared" si="21"/>
        <v>-656239.1</v>
      </c>
      <c r="G47" s="38">
        <f>F47-E47</f>
        <v>118088.90000000002</v>
      </c>
    </row>
    <row r="48" spans="1:7" x14ac:dyDescent="0.35">
      <c r="A48" s="3"/>
      <c r="B48" s="3"/>
      <c r="C48" s="3" t="s">
        <v>155</v>
      </c>
      <c r="D48" s="5">
        <v>0</v>
      </c>
      <c r="E48" s="5">
        <v>-774328</v>
      </c>
      <c r="F48" s="5">
        <v>0</v>
      </c>
      <c r="G48" s="5">
        <f t="shared" ref="G48:G53" si="22">F48-E48</f>
        <v>774328</v>
      </c>
    </row>
    <row r="49" spans="1:7" x14ac:dyDescent="0.35">
      <c r="A49" s="3"/>
      <c r="B49" s="3"/>
      <c r="C49" s="3" t="s">
        <v>54</v>
      </c>
      <c r="D49" s="5">
        <v>-102089</v>
      </c>
      <c r="E49" s="5">
        <v>0</v>
      </c>
      <c r="F49" s="5">
        <v>-86997.13</v>
      </c>
      <c r="G49" s="5">
        <f t="shared" si="22"/>
        <v>-86997.13</v>
      </c>
    </row>
    <row r="50" spans="1:7" x14ac:dyDescent="0.35">
      <c r="A50" s="3"/>
      <c r="B50" s="3"/>
      <c r="C50" s="3" t="s">
        <v>55</v>
      </c>
      <c r="D50" s="5">
        <v>-30629</v>
      </c>
      <c r="E50" s="5">
        <v>0</v>
      </c>
      <c r="F50" s="5">
        <v>-140900.35999999999</v>
      </c>
      <c r="G50" s="5">
        <f t="shared" si="22"/>
        <v>-140900.35999999999</v>
      </c>
    </row>
    <row r="51" spans="1:7" x14ac:dyDescent="0.35">
      <c r="A51" s="3"/>
      <c r="B51" s="3"/>
      <c r="C51" s="3" t="s">
        <v>110</v>
      </c>
      <c r="D51" s="5">
        <v>0</v>
      </c>
      <c r="E51" s="5">
        <v>0</v>
      </c>
      <c r="F51" s="5">
        <v>-8139.86</v>
      </c>
      <c r="G51" s="5">
        <f t="shared" si="22"/>
        <v>-8139.86</v>
      </c>
    </row>
    <row r="52" spans="1:7" x14ac:dyDescent="0.35">
      <c r="A52" s="37"/>
      <c r="B52" s="37"/>
      <c r="C52" s="3" t="s">
        <v>102</v>
      </c>
      <c r="D52" s="5">
        <v>-575000</v>
      </c>
      <c r="E52" s="5">
        <v>0</v>
      </c>
      <c r="F52" s="5">
        <v>-420201.75</v>
      </c>
      <c r="G52" s="5">
        <f t="shared" si="22"/>
        <v>-420201.75</v>
      </c>
    </row>
    <row r="53" spans="1:7" s="35" customFormat="1" x14ac:dyDescent="0.35">
      <c r="A53" s="37"/>
      <c r="B53" s="37"/>
      <c r="C53" s="37" t="s">
        <v>109</v>
      </c>
      <c r="D53" s="38">
        <v>-2041</v>
      </c>
      <c r="E53" s="67">
        <v>-2040.8747714630754</v>
      </c>
      <c r="F53" s="38">
        <v>-2914.06</v>
      </c>
      <c r="G53" s="38">
        <f t="shared" si="22"/>
        <v>-873.18522853692457</v>
      </c>
    </row>
    <row r="54" spans="1:7" x14ac:dyDescent="0.35">
      <c r="A54" s="37"/>
      <c r="B54" s="37" t="s">
        <v>115</v>
      </c>
      <c r="C54" s="37"/>
      <c r="D54" s="38">
        <f>SUM(D55:D59)</f>
        <v>-5314077</v>
      </c>
      <c r="E54" s="38">
        <f t="shared" ref="E54:F54" si="23">SUM(E55:E59)</f>
        <v>-5735015.8951026006</v>
      </c>
      <c r="F54" s="38">
        <f t="shared" si="23"/>
        <v>-5808745.2000000002</v>
      </c>
      <c r="G54" s="38">
        <f>F54-E54</f>
        <v>-73729.304897399619</v>
      </c>
    </row>
    <row r="55" spans="1:7" x14ac:dyDescent="0.35">
      <c r="A55" s="3"/>
      <c r="B55" s="3"/>
      <c r="C55" s="3" t="s">
        <v>155</v>
      </c>
      <c r="D55" s="5">
        <v>0</v>
      </c>
      <c r="E55" s="5">
        <f>E73+E69</f>
        <v>-87684.52</v>
      </c>
      <c r="F55" s="5">
        <v>0</v>
      </c>
      <c r="G55" s="5">
        <f t="shared" ref="G55:G59" si="24">F55-E55</f>
        <v>87684.52</v>
      </c>
    </row>
    <row r="56" spans="1:7" x14ac:dyDescent="0.35">
      <c r="A56" s="3"/>
      <c r="B56" s="3"/>
      <c r="C56" s="3" t="s">
        <v>54</v>
      </c>
      <c r="D56" s="5">
        <f>D61+D66+D74+D70</f>
        <v>-2972177</v>
      </c>
      <c r="E56" s="5">
        <f t="shared" ref="E56:F56" si="25">E61+E66+E74+E70</f>
        <v>-3393373.78</v>
      </c>
      <c r="F56" s="5">
        <f t="shared" si="25"/>
        <v>-3332833.4400000004</v>
      </c>
      <c r="G56" s="5">
        <f t="shared" si="24"/>
        <v>60540.339999999385</v>
      </c>
    </row>
    <row r="57" spans="1:7" x14ac:dyDescent="0.35">
      <c r="A57" s="3"/>
      <c r="B57" s="3"/>
      <c r="C57" s="3" t="s">
        <v>55</v>
      </c>
      <c r="D57" s="5">
        <f>D62+D71+D75</f>
        <v>-1146841</v>
      </c>
      <c r="E57" s="5">
        <f t="shared" ref="E57:F57" si="26">E62+E71+E75</f>
        <v>-1378196.6300000001</v>
      </c>
      <c r="F57" s="5">
        <f t="shared" si="26"/>
        <v>-1395660.04</v>
      </c>
      <c r="G57" s="5">
        <f t="shared" si="24"/>
        <v>-17463.409999999916</v>
      </c>
    </row>
    <row r="58" spans="1:7" x14ac:dyDescent="0.35">
      <c r="A58" s="3"/>
      <c r="B58" s="3"/>
      <c r="C58" s="3" t="s">
        <v>102</v>
      </c>
      <c r="D58" s="5">
        <f>D63</f>
        <v>-1011281</v>
      </c>
      <c r="E58" s="5">
        <f t="shared" ref="E58:F58" si="27">E63</f>
        <v>-691149.34</v>
      </c>
      <c r="F58" s="5">
        <f t="shared" si="27"/>
        <v>-1039282.83</v>
      </c>
      <c r="G58" s="5">
        <f t="shared" si="24"/>
        <v>-348133.49</v>
      </c>
    </row>
    <row r="59" spans="1:7" x14ac:dyDescent="0.35">
      <c r="A59" s="3"/>
      <c r="B59" s="3"/>
      <c r="C59" s="3" t="s">
        <v>103</v>
      </c>
      <c r="D59" s="5">
        <f>D76+D67+D64</f>
        <v>-183778</v>
      </c>
      <c r="E59" s="5">
        <f t="shared" ref="E59:F59" si="28">E76+E67+E64</f>
        <v>-184611.62510260084</v>
      </c>
      <c r="F59" s="5">
        <f t="shared" si="28"/>
        <v>-40968.89</v>
      </c>
      <c r="G59" s="5">
        <f t="shared" si="24"/>
        <v>143642.73510260083</v>
      </c>
    </row>
    <row r="60" spans="1:7" x14ac:dyDescent="0.35">
      <c r="A60" s="37"/>
      <c r="B60" s="37"/>
      <c r="C60" s="37" t="s">
        <v>105</v>
      </c>
      <c r="D60" s="38">
        <f>SUM(D61:D64)</f>
        <v>-5112627</v>
      </c>
      <c r="E60" s="38">
        <f t="shared" ref="E60:F60" si="29">SUM(E61:E64)</f>
        <v>-5450815.5299999993</v>
      </c>
      <c r="F60" s="38">
        <f t="shared" si="29"/>
        <v>-5650681.9199999999</v>
      </c>
      <c r="G60" s="38">
        <f>F60-E60</f>
        <v>-199866.3900000006</v>
      </c>
    </row>
    <row r="61" spans="1:7" x14ac:dyDescent="0.35">
      <c r="A61" s="3"/>
      <c r="B61" s="3"/>
      <c r="C61" s="3" t="s">
        <v>54</v>
      </c>
      <c r="D61" s="5">
        <v>-2958979</v>
      </c>
      <c r="E61" s="5">
        <v>-3380636.25</v>
      </c>
      <c r="F61" s="5">
        <v>-3277207.49</v>
      </c>
      <c r="G61" s="5">
        <f t="shared" ref="G61:G64" si="30">F61-E61</f>
        <v>103428.75999999978</v>
      </c>
    </row>
    <row r="62" spans="1:7" x14ac:dyDescent="0.35">
      <c r="A62" s="3"/>
      <c r="B62" s="3"/>
      <c r="C62" s="3" t="s">
        <v>55</v>
      </c>
      <c r="D62" s="5">
        <v>-1142367</v>
      </c>
      <c r="E62" s="5">
        <f>-1378089.79-106.84</f>
        <v>-1378196.6300000001</v>
      </c>
      <c r="F62" s="5">
        <v>-1333562.0900000001</v>
      </c>
      <c r="G62" s="5">
        <f t="shared" si="30"/>
        <v>44634.540000000037</v>
      </c>
    </row>
    <row r="63" spans="1:7" x14ac:dyDescent="0.35">
      <c r="A63" s="3"/>
      <c r="B63" s="3"/>
      <c r="C63" s="3" t="s">
        <v>102</v>
      </c>
      <c r="D63" s="5">
        <v>-1011281</v>
      </c>
      <c r="E63" s="5">
        <v>-691149.34</v>
      </c>
      <c r="F63" s="5">
        <v>-1039282.83</v>
      </c>
      <c r="G63" s="5">
        <f t="shared" si="30"/>
        <v>-348133.49</v>
      </c>
    </row>
    <row r="64" spans="1:7" x14ac:dyDescent="0.35">
      <c r="A64" s="3"/>
      <c r="B64" s="3"/>
      <c r="C64" s="3" t="s">
        <v>56</v>
      </c>
      <c r="D64" s="5">
        <v>0</v>
      </c>
      <c r="E64" s="5">
        <v>-833.31</v>
      </c>
      <c r="F64" s="5">
        <v>-629.51</v>
      </c>
      <c r="G64" s="5">
        <f t="shared" si="30"/>
        <v>203.79999999999995</v>
      </c>
    </row>
    <row r="65" spans="1:7" x14ac:dyDescent="0.35">
      <c r="A65" s="37"/>
      <c r="B65" s="37"/>
      <c r="C65" s="37" t="s">
        <v>106</v>
      </c>
      <c r="D65" s="38">
        <f>SUM(D66:D67)</f>
        <v>-12738</v>
      </c>
      <c r="E65" s="38">
        <f t="shared" ref="E65:F65" si="31">SUM(E66:E67)</f>
        <v>-12737.53</v>
      </c>
      <c r="F65" s="38">
        <f t="shared" si="31"/>
        <v>-32473.980000000003</v>
      </c>
      <c r="G65" s="38">
        <f>F65-E65</f>
        <v>-19736.450000000004</v>
      </c>
    </row>
    <row r="66" spans="1:7" x14ac:dyDescent="0.35">
      <c r="A66" s="3"/>
      <c r="B66" s="3"/>
      <c r="C66" s="3" t="s">
        <v>54</v>
      </c>
      <c r="D66" s="5">
        <v>-12738</v>
      </c>
      <c r="E66" s="5">
        <v>-12737.53</v>
      </c>
      <c r="F66" s="5">
        <v>-32397.74</v>
      </c>
      <c r="G66" s="5">
        <f t="shared" ref="G66:G67" si="32">F66-E66</f>
        <v>-19660.21</v>
      </c>
    </row>
    <row r="67" spans="1:7" x14ac:dyDescent="0.35">
      <c r="A67" s="3"/>
      <c r="B67" s="3"/>
      <c r="C67" s="3" t="s">
        <v>56</v>
      </c>
      <c r="D67" s="5">
        <v>0</v>
      </c>
      <c r="E67" s="5">
        <f t="shared" ref="E67" si="33">D67</f>
        <v>0</v>
      </c>
      <c r="F67" s="5">
        <v>-76.239999999999995</v>
      </c>
      <c r="G67" s="5">
        <f t="shared" si="32"/>
        <v>-76.239999999999995</v>
      </c>
    </row>
    <row r="68" spans="1:7" x14ac:dyDescent="0.35">
      <c r="A68" s="37"/>
      <c r="B68" s="37"/>
      <c r="C68" s="37" t="s">
        <v>107</v>
      </c>
      <c r="D68" s="38">
        <f>SUM(D69:D71)</f>
        <v>-4181</v>
      </c>
      <c r="E68" s="38">
        <f t="shared" ref="E68:F68" si="34">SUM(E69:E71)</f>
        <v>-72633.02</v>
      </c>
      <c r="F68" s="38">
        <f t="shared" si="34"/>
        <v>-34057.360000000001</v>
      </c>
      <c r="G68" s="38">
        <f>F68-E68</f>
        <v>38575.660000000003</v>
      </c>
    </row>
    <row r="69" spans="1:7" x14ac:dyDescent="0.35">
      <c r="A69" s="3"/>
      <c r="B69" s="3"/>
      <c r="C69" s="3" t="s">
        <v>155</v>
      </c>
      <c r="D69" s="5">
        <v>0</v>
      </c>
      <c r="E69" s="5">
        <v>-72633.02</v>
      </c>
      <c r="F69" s="5">
        <v>0</v>
      </c>
      <c r="G69" s="5">
        <f t="shared" ref="G69:G71" si="35">F69-E69</f>
        <v>72633.02</v>
      </c>
    </row>
    <row r="70" spans="1:7" x14ac:dyDescent="0.35">
      <c r="A70" s="3"/>
      <c r="B70" s="3"/>
      <c r="C70" s="3" t="s">
        <v>54</v>
      </c>
      <c r="D70" s="5">
        <v>0</v>
      </c>
      <c r="E70" s="5">
        <v>0</v>
      </c>
      <c r="F70" s="5">
        <v>-23228.21</v>
      </c>
      <c r="G70" s="5">
        <f t="shared" si="35"/>
        <v>-23228.21</v>
      </c>
    </row>
    <row r="71" spans="1:7" x14ac:dyDescent="0.35">
      <c r="A71" s="37"/>
      <c r="B71" s="37"/>
      <c r="C71" s="3" t="s">
        <v>55</v>
      </c>
      <c r="D71" s="5">
        <v>-4181</v>
      </c>
      <c r="E71" s="5">
        <v>0</v>
      </c>
      <c r="F71" s="5">
        <v>-10829.15</v>
      </c>
      <c r="G71" s="5">
        <f t="shared" si="35"/>
        <v>-10829.15</v>
      </c>
    </row>
    <row r="72" spans="1:7" s="35" customFormat="1" x14ac:dyDescent="0.35">
      <c r="A72" s="37"/>
      <c r="B72" s="37"/>
      <c r="C72" s="37" t="s">
        <v>108</v>
      </c>
      <c r="D72" s="38">
        <f>SUM(D73:D75)</f>
        <v>-753</v>
      </c>
      <c r="E72" s="38">
        <f t="shared" ref="E72:F72" si="36">SUM(E73:E75)</f>
        <v>-15051.5</v>
      </c>
      <c r="F72" s="38">
        <f t="shared" si="36"/>
        <v>-51268.800000000003</v>
      </c>
      <c r="G72" s="38">
        <f>F72-E72</f>
        <v>-36217.300000000003</v>
      </c>
    </row>
    <row r="73" spans="1:7" x14ac:dyDescent="0.35">
      <c r="A73" s="3"/>
      <c r="B73" s="3"/>
      <c r="C73" s="3" t="s">
        <v>155</v>
      </c>
      <c r="D73" s="5">
        <v>0</v>
      </c>
      <c r="E73" s="5">
        <v>-15051.5</v>
      </c>
      <c r="F73" s="5">
        <v>0</v>
      </c>
      <c r="G73" s="5">
        <f t="shared" ref="G73:G76" si="37">F73-E73</f>
        <v>15051.5</v>
      </c>
    </row>
    <row r="74" spans="1:7" x14ac:dyDescent="0.35">
      <c r="A74" s="3"/>
      <c r="B74" s="3"/>
      <c r="C74" s="3" t="s">
        <v>54</v>
      </c>
      <c r="D74" s="5">
        <v>-460</v>
      </c>
      <c r="E74" s="5">
        <v>0</v>
      </c>
      <c r="F74" s="5">
        <v>0</v>
      </c>
      <c r="G74" s="5">
        <f t="shared" si="37"/>
        <v>0</v>
      </c>
    </row>
    <row r="75" spans="1:7" x14ac:dyDescent="0.35">
      <c r="A75" s="3"/>
      <c r="B75" s="3"/>
      <c r="C75" s="3" t="s">
        <v>55</v>
      </c>
      <c r="D75" s="5">
        <v>-293</v>
      </c>
      <c r="E75" s="5">
        <v>0</v>
      </c>
      <c r="F75" s="5">
        <v>-51268.800000000003</v>
      </c>
      <c r="G75" s="5">
        <f t="shared" si="37"/>
        <v>-51268.800000000003</v>
      </c>
    </row>
    <row r="76" spans="1:7" s="35" customFormat="1" x14ac:dyDescent="0.35">
      <c r="A76" s="37"/>
      <c r="B76" s="37"/>
      <c r="C76" s="37" t="s">
        <v>109</v>
      </c>
      <c r="D76" s="38">
        <v>-183778</v>
      </c>
      <c r="E76" s="67">
        <v>-183778.31510260084</v>
      </c>
      <c r="F76" s="38">
        <v>-40263.14</v>
      </c>
      <c r="G76" s="38">
        <f t="shared" si="37"/>
        <v>143515.17510260083</v>
      </c>
    </row>
    <row r="77" spans="1:7" x14ac:dyDescent="0.35">
      <c r="A77" s="37"/>
      <c r="B77" s="37" t="s">
        <v>116</v>
      </c>
      <c r="C77" s="37"/>
      <c r="D77" s="38">
        <f>SUM(D78:D81)</f>
        <v>-715317</v>
      </c>
      <c r="E77" s="38">
        <f t="shared" ref="E77:F77" si="38">SUM(E78:E81)</f>
        <v>-798004.78506796132</v>
      </c>
      <c r="F77" s="38">
        <f t="shared" si="38"/>
        <v>-695038.16</v>
      </c>
      <c r="G77" s="38">
        <f>F77-E77</f>
        <v>102966.62506796129</v>
      </c>
    </row>
    <row r="78" spans="1:7" x14ac:dyDescent="0.35">
      <c r="A78" s="37"/>
      <c r="B78" s="37"/>
      <c r="C78" s="3" t="s">
        <v>155</v>
      </c>
      <c r="D78" s="38">
        <v>0</v>
      </c>
      <c r="E78" s="5">
        <f>E93+E89</f>
        <v>-36986.660000000003</v>
      </c>
      <c r="F78" s="5">
        <v>0</v>
      </c>
      <c r="G78" s="5">
        <f t="shared" ref="G78:G81" si="39">F78-E78</f>
        <v>36986.660000000003</v>
      </c>
    </row>
    <row r="79" spans="1:7" x14ac:dyDescent="0.35">
      <c r="A79" s="3"/>
      <c r="B79" s="3"/>
      <c r="C79" s="3" t="s">
        <v>54</v>
      </c>
      <c r="D79" s="5">
        <f>D83+D90+D94</f>
        <v>-289011</v>
      </c>
      <c r="E79" s="5">
        <f t="shared" ref="E79" si="40">E83+E90+E94</f>
        <v>-327580.71999999997</v>
      </c>
      <c r="F79" s="5">
        <f>F83+F90+F94</f>
        <v>-315756.17</v>
      </c>
      <c r="G79" s="5">
        <f t="shared" si="39"/>
        <v>11824.549999999988</v>
      </c>
    </row>
    <row r="80" spans="1:7" x14ac:dyDescent="0.35">
      <c r="A80" s="3"/>
      <c r="B80" s="3"/>
      <c r="C80" s="3" t="s">
        <v>55</v>
      </c>
      <c r="D80" s="5">
        <f>D84+D91</f>
        <v>-262162</v>
      </c>
      <c r="E80" s="5">
        <f t="shared" ref="E80:F80" si="41">E84+E91</f>
        <v>-269229.03000000003</v>
      </c>
      <c r="F80" s="5">
        <f t="shared" si="41"/>
        <v>-244877.83000000002</v>
      </c>
      <c r="G80" s="5">
        <f t="shared" si="39"/>
        <v>24351.200000000012</v>
      </c>
    </row>
    <row r="81" spans="1:7" x14ac:dyDescent="0.35">
      <c r="A81" s="3"/>
      <c r="B81" s="3"/>
      <c r="C81" s="3" t="s">
        <v>103</v>
      </c>
      <c r="D81" s="5">
        <f>D95+D87+D85</f>
        <v>-164144</v>
      </c>
      <c r="E81" s="5">
        <f t="shared" ref="E81:F81" si="42">E95+E87+E85</f>
        <v>-164208.37506796123</v>
      </c>
      <c r="F81" s="5">
        <f t="shared" si="42"/>
        <v>-134404.16</v>
      </c>
      <c r="G81" s="5">
        <f t="shared" si="39"/>
        <v>29804.215067961224</v>
      </c>
    </row>
    <row r="82" spans="1:7" x14ac:dyDescent="0.35">
      <c r="A82" s="37"/>
      <c r="B82" s="37"/>
      <c r="C82" s="37" t="s">
        <v>105</v>
      </c>
      <c r="D82" s="38">
        <f>SUM(D83:D85)</f>
        <v>-539408</v>
      </c>
      <c r="E82" s="38">
        <f t="shared" ref="E82:F82" si="43">SUM(E83:E85)</f>
        <v>-596873.93999999994</v>
      </c>
      <c r="F82" s="38">
        <f t="shared" si="43"/>
        <v>-551081.78</v>
      </c>
      <c r="G82" s="38">
        <f>F82-E82</f>
        <v>45792.159999999916</v>
      </c>
    </row>
    <row r="83" spans="1:7" x14ac:dyDescent="0.35">
      <c r="A83" s="3"/>
      <c r="B83" s="3"/>
      <c r="C83" s="3" t="s">
        <v>54</v>
      </c>
      <c r="D83" s="5">
        <v>-279334</v>
      </c>
      <c r="E83" s="5">
        <v>-327580.71999999997</v>
      </c>
      <c r="F83" s="5">
        <v>-307621.8</v>
      </c>
      <c r="G83" s="5">
        <f t="shared" ref="G83:G87" si="44">F83-E83</f>
        <v>19958.919999999984</v>
      </c>
    </row>
    <row r="84" spans="1:7" x14ac:dyDescent="0.35">
      <c r="A84" s="3"/>
      <c r="B84" s="3"/>
      <c r="C84" s="3" t="s">
        <v>55</v>
      </c>
      <c r="D84" s="5">
        <v>-260074</v>
      </c>
      <c r="E84" s="5">
        <v>-269229.03000000003</v>
      </c>
      <c r="F84" s="5">
        <v>-243397.98</v>
      </c>
      <c r="G84" s="5">
        <f t="shared" si="44"/>
        <v>25831.050000000017</v>
      </c>
    </row>
    <row r="85" spans="1:7" x14ac:dyDescent="0.35">
      <c r="A85" s="3"/>
      <c r="B85" s="3"/>
      <c r="C85" s="3" t="s">
        <v>56</v>
      </c>
      <c r="D85" s="5">
        <v>0</v>
      </c>
      <c r="E85" s="5">
        <v>-64.19</v>
      </c>
      <c r="F85" s="5">
        <v>-62</v>
      </c>
      <c r="G85" s="5">
        <f t="shared" si="44"/>
        <v>2.1899999999999977</v>
      </c>
    </row>
    <row r="86" spans="1:7" s="35" customFormat="1" x14ac:dyDescent="0.35">
      <c r="A86" s="37"/>
      <c r="B86" s="37"/>
      <c r="C86" s="37" t="s">
        <v>106</v>
      </c>
      <c r="D86" s="38">
        <f>D87</f>
        <v>0</v>
      </c>
      <c r="E86" s="38">
        <f t="shared" ref="E86:F86" si="45">E87</f>
        <v>0</v>
      </c>
      <c r="F86" s="38">
        <f t="shared" si="45"/>
        <v>-25.89</v>
      </c>
      <c r="G86" s="38">
        <f t="shared" si="44"/>
        <v>-25.89</v>
      </c>
    </row>
    <row r="87" spans="1:7" x14ac:dyDescent="0.35">
      <c r="A87" s="3"/>
      <c r="B87" s="3"/>
      <c r="C87" s="3" t="s">
        <v>56</v>
      </c>
      <c r="D87" s="5">
        <v>0</v>
      </c>
      <c r="E87" s="5">
        <v>0</v>
      </c>
      <c r="F87" s="5">
        <v>-25.89</v>
      </c>
      <c r="G87" s="5">
        <f t="shared" si="44"/>
        <v>-25.89</v>
      </c>
    </row>
    <row r="88" spans="1:7" x14ac:dyDescent="0.35">
      <c r="A88" s="37"/>
      <c r="B88" s="37"/>
      <c r="C88" s="37" t="s">
        <v>107</v>
      </c>
      <c r="D88" s="38">
        <f>SUM(D89:D91)</f>
        <v>-11765</v>
      </c>
      <c r="E88" s="38">
        <f t="shared" ref="E88:F88" si="46">SUM(E89:E91)</f>
        <v>-9104.41</v>
      </c>
      <c r="F88" s="38">
        <f t="shared" si="46"/>
        <v>-9094.15</v>
      </c>
      <c r="G88" s="38">
        <f>F88-E88</f>
        <v>10.260000000000218</v>
      </c>
    </row>
    <row r="89" spans="1:7" x14ac:dyDescent="0.35">
      <c r="A89" s="3"/>
      <c r="B89" s="3"/>
      <c r="C89" s="3" t="s">
        <v>155</v>
      </c>
      <c r="D89" s="5">
        <v>0</v>
      </c>
      <c r="E89" s="5">
        <v>-9104.41</v>
      </c>
      <c r="F89" s="5">
        <v>0</v>
      </c>
      <c r="G89" s="5">
        <f t="shared" ref="G89:G95" si="47">F89-E89</f>
        <v>9104.41</v>
      </c>
    </row>
    <row r="90" spans="1:7" x14ac:dyDescent="0.35">
      <c r="A90" s="3"/>
      <c r="B90" s="3"/>
      <c r="C90" s="3" t="s">
        <v>54</v>
      </c>
      <c r="D90" s="5">
        <v>-9677</v>
      </c>
      <c r="E90" s="5">
        <v>0</v>
      </c>
      <c r="F90" s="5">
        <v>-7614.3</v>
      </c>
      <c r="G90" s="5">
        <f t="shared" si="47"/>
        <v>-7614.3</v>
      </c>
    </row>
    <row r="91" spans="1:7" x14ac:dyDescent="0.35">
      <c r="A91" s="37"/>
      <c r="B91" s="37"/>
      <c r="C91" s="3" t="s">
        <v>55</v>
      </c>
      <c r="D91" s="5">
        <v>-2088</v>
      </c>
      <c r="E91" s="5">
        <v>0</v>
      </c>
      <c r="F91" s="5">
        <v>-1479.85</v>
      </c>
      <c r="G91" s="5">
        <f t="shared" si="47"/>
        <v>-1479.85</v>
      </c>
    </row>
    <row r="92" spans="1:7" s="35" customFormat="1" x14ac:dyDescent="0.35">
      <c r="A92" s="37"/>
      <c r="B92" s="37"/>
      <c r="C92" s="37" t="s">
        <v>108</v>
      </c>
      <c r="D92" s="38">
        <f>SUM(D93:D94)</f>
        <v>0</v>
      </c>
      <c r="E92" s="38">
        <f t="shared" ref="E92:F92" si="48">SUM(E93:E94)</f>
        <v>-27882.25</v>
      </c>
      <c r="F92" s="38">
        <f t="shared" si="48"/>
        <v>-520.07000000000005</v>
      </c>
      <c r="G92" s="38">
        <f>F92-E92</f>
        <v>27362.18</v>
      </c>
    </row>
    <row r="93" spans="1:7" x14ac:dyDescent="0.35">
      <c r="A93" s="3"/>
      <c r="B93" s="3"/>
      <c r="C93" s="3" t="s">
        <v>155</v>
      </c>
      <c r="D93" s="5">
        <v>0</v>
      </c>
      <c r="E93" s="5">
        <v>-27882.25</v>
      </c>
      <c r="F93" s="5">
        <v>0</v>
      </c>
      <c r="G93" s="5">
        <f t="shared" ref="G93:G94" si="49">F93-E93</f>
        <v>27882.25</v>
      </c>
    </row>
    <row r="94" spans="1:7" x14ac:dyDescent="0.35">
      <c r="A94" s="3"/>
      <c r="B94" s="3"/>
      <c r="C94" s="3" t="s">
        <v>54</v>
      </c>
      <c r="D94" s="5">
        <v>0</v>
      </c>
      <c r="E94" s="5">
        <v>0</v>
      </c>
      <c r="F94" s="5">
        <v>-520.07000000000005</v>
      </c>
      <c r="G94" s="5">
        <f t="shared" si="49"/>
        <v>-520.07000000000005</v>
      </c>
    </row>
    <row r="95" spans="1:7" s="35" customFormat="1" x14ac:dyDescent="0.35">
      <c r="A95" s="37"/>
      <c r="B95" s="37"/>
      <c r="C95" s="37" t="s">
        <v>109</v>
      </c>
      <c r="D95" s="38">
        <v>-164144</v>
      </c>
      <c r="E95" s="67">
        <v>-164144.18506796123</v>
      </c>
      <c r="F95" s="38">
        <v>-134316.26999999999</v>
      </c>
      <c r="G95" s="38">
        <f t="shared" si="47"/>
        <v>29827.915067961236</v>
      </c>
    </row>
    <row r="96" spans="1:7" x14ac:dyDescent="0.35">
      <c r="A96" s="37"/>
      <c r="B96" s="37" t="s">
        <v>117</v>
      </c>
      <c r="C96" s="37"/>
      <c r="D96" s="38">
        <f>SUM(D97:D102)</f>
        <v>-1165275</v>
      </c>
      <c r="E96" s="38">
        <f t="shared" ref="E96:F96" si="50">SUM(E97:E102)</f>
        <v>-1271731.3991133196</v>
      </c>
      <c r="F96" s="38">
        <f t="shared" si="50"/>
        <v>-1204638.25</v>
      </c>
      <c r="G96" s="38">
        <f>F96-E96</f>
        <v>67093.149113319581</v>
      </c>
    </row>
    <row r="97" spans="1:7" x14ac:dyDescent="0.35">
      <c r="A97" s="3"/>
      <c r="B97" s="3"/>
      <c r="C97" s="3" t="s">
        <v>155</v>
      </c>
      <c r="D97" s="5">
        <v>0</v>
      </c>
      <c r="E97" s="5">
        <f>E117+E113</f>
        <v>-117588.63</v>
      </c>
      <c r="F97" s="5">
        <v>0</v>
      </c>
      <c r="G97" s="5">
        <f t="shared" ref="G97:G102" si="51">F97-E97</f>
        <v>117588.63</v>
      </c>
    </row>
    <row r="98" spans="1:7" x14ac:dyDescent="0.35">
      <c r="A98" s="3"/>
      <c r="B98" s="3"/>
      <c r="C98" s="3" t="s">
        <v>54</v>
      </c>
      <c r="D98" s="5">
        <f>D104+D110+D114+D118</f>
        <v>-495303</v>
      </c>
      <c r="E98" s="5">
        <f t="shared" ref="E98:F98" si="52">E104+E110+E114+E118</f>
        <v>-467937.95400000003</v>
      </c>
      <c r="F98" s="5">
        <f t="shared" si="52"/>
        <v>-513922.13</v>
      </c>
      <c r="G98" s="5">
        <f t="shared" si="51"/>
        <v>-45984.175999999978</v>
      </c>
    </row>
    <row r="99" spans="1:7" x14ac:dyDescent="0.35">
      <c r="A99" s="3"/>
      <c r="B99" s="3"/>
      <c r="C99" s="3" t="s">
        <v>55</v>
      </c>
      <c r="D99" s="5">
        <f>D105+D115+D119</f>
        <v>-587292</v>
      </c>
      <c r="E99" s="5">
        <f t="shared" ref="E99:F99" si="53">E105+E115+E119</f>
        <v>-603103.06999999995</v>
      </c>
      <c r="F99" s="5">
        <f t="shared" si="53"/>
        <v>-593433.91</v>
      </c>
      <c r="G99" s="5">
        <f t="shared" si="51"/>
        <v>9669.1599999999162</v>
      </c>
    </row>
    <row r="100" spans="1:7" x14ac:dyDescent="0.35">
      <c r="A100" s="3"/>
      <c r="B100" s="3"/>
      <c r="C100" s="3" t="s">
        <v>101</v>
      </c>
      <c r="D100" s="5">
        <f>D106</f>
        <v>-6</v>
      </c>
      <c r="E100" s="5">
        <f t="shared" ref="E100:F101" si="54">E106</f>
        <v>-5.63</v>
      </c>
      <c r="F100" s="5">
        <f t="shared" si="54"/>
        <v>-5.63</v>
      </c>
      <c r="G100" s="5">
        <f t="shared" si="51"/>
        <v>0</v>
      </c>
    </row>
    <row r="101" spans="1:7" x14ac:dyDescent="0.35">
      <c r="A101" s="3"/>
      <c r="B101" s="3"/>
      <c r="C101" s="3" t="s">
        <v>102</v>
      </c>
      <c r="D101" s="5">
        <f>D107</f>
        <v>-29</v>
      </c>
      <c r="E101" s="5">
        <f t="shared" si="54"/>
        <v>-41.49</v>
      </c>
      <c r="F101" s="5">
        <f t="shared" si="54"/>
        <v>-41.49</v>
      </c>
      <c r="G101" s="5">
        <f t="shared" si="51"/>
        <v>0</v>
      </c>
    </row>
    <row r="102" spans="1:7" x14ac:dyDescent="0.35">
      <c r="A102" s="3"/>
      <c r="B102" s="3"/>
      <c r="C102" s="3" t="s">
        <v>103</v>
      </c>
      <c r="D102" s="5">
        <f>D108+D120+D111</f>
        <v>-82645</v>
      </c>
      <c r="E102" s="5">
        <f t="shared" ref="E102:F102" si="55">E108+E120+E111</f>
        <v>-83054.625113319533</v>
      </c>
      <c r="F102" s="5">
        <f t="shared" si="55"/>
        <v>-97235.090000000011</v>
      </c>
      <c r="G102" s="5">
        <f t="shared" si="51"/>
        <v>-14180.464886680478</v>
      </c>
    </row>
    <row r="103" spans="1:7" x14ac:dyDescent="0.35">
      <c r="A103" s="37"/>
      <c r="B103" s="37"/>
      <c r="C103" s="37" t="s">
        <v>105</v>
      </c>
      <c r="D103" s="38">
        <f>SUM(D104:D108)</f>
        <v>-1045288</v>
      </c>
      <c r="E103" s="38">
        <f t="shared" ref="E103:F103" si="56">SUM(E104:E108)</f>
        <v>-1071312.53</v>
      </c>
      <c r="F103" s="38">
        <f t="shared" si="56"/>
        <v>-1022925.1199999999</v>
      </c>
      <c r="G103" s="38">
        <f>F103-E103</f>
        <v>48387.410000000149</v>
      </c>
    </row>
    <row r="104" spans="1:7" x14ac:dyDescent="0.35">
      <c r="A104" s="3"/>
      <c r="B104" s="3"/>
      <c r="C104" s="3" t="s">
        <v>54</v>
      </c>
      <c r="D104" s="5">
        <v>-465479</v>
      </c>
      <c r="E104" s="5">
        <v>-467501.26</v>
      </c>
      <c r="F104" s="5">
        <v>-461097.45</v>
      </c>
      <c r="G104" s="5">
        <f t="shared" ref="G104:G108" si="57">F104-E104</f>
        <v>6403.8099999999977</v>
      </c>
    </row>
    <row r="105" spans="1:7" x14ac:dyDescent="0.35">
      <c r="A105" s="3"/>
      <c r="B105" s="3"/>
      <c r="C105" s="3" t="s">
        <v>55</v>
      </c>
      <c r="D105" s="5">
        <v>-579523</v>
      </c>
      <c r="E105" s="5">
        <v>-603103.06999999995</v>
      </c>
      <c r="F105" s="5">
        <v>-561456.73</v>
      </c>
      <c r="G105" s="5">
        <f t="shared" si="57"/>
        <v>41646.339999999967</v>
      </c>
    </row>
    <row r="106" spans="1:7" x14ac:dyDescent="0.35">
      <c r="A106" s="3"/>
      <c r="B106" s="3"/>
      <c r="C106" s="3" t="s">
        <v>101</v>
      </c>
      <c r="D106" s="5">
        <v>-6</v>
      </c>
      <c r="E106" s="5">
        <v>-5.63</v>
      </c>
      <c r="F106" s="5">
        <v>-5.63</v>
      </c>
      <c r="G106" s="5">
        <f t="shared" si="57"/>
        <v>0</v>
      </c>
    </row>
    <row r="107" spans="1:7" x14ac:dyDescent="0.35">
      <c r="A107" s="3"/>
      <c r="B107" s="3"/>
      <c r="C107" s="3" t="s">
        <v>102</v>
      </c>
      <c r="D107" s="5">
        <v>-29</v>
      </c>
      <c r="E107" s="5">
        <v>-41.49</v>
      </c>
      <c r="F107" s="5">
        <v>-41.49</v>
      </c>
      <c r="G107" s="5">
        <f t="shared" si="57"/>
        <v>0</v>
      </c>
    </row>
    <row r="108" spans="1:7" x14ac:dyDescent="0.35">
      <c r="A108" s="3"/>
      <c r="B108" s="3"/>
      <c r="C108" s="3" t="s">
        <v>56</v>
      </c>
      <c r="D108" s="5">
        <v>-251</v>
      </c>
      <c r="E108" s="5">
        <v>-661.08</v>
      </c>
      <c r="F108" s="5">
        <v>-323.82</v>
      </c>
      <c r="G108" s="5">
        <f t="shared" si="57"/>
        <v>337.26000000000005</v>
      </c>
    </row>
    <row r="109" spans="1:7" x14ac:dyDescent="0.35">
      <c r="A109" s="37"/>
      <c r="B109" s="37"/>
      <c r="C109" s="37" t="s">
        <v>106</v>
      </c>
      <c r="D109" s="38">
        <f>SUM(D110:D111)</f>
        <v>-437</v>
      </c>
      <c r="E109" s="38">
        <f t="shared" ref="E109:F109" si="58">SUM(E110:E111)</f>
        <v>-436.69400000000002</v>
      </c>
      <c r="F109" s="38">
        <f t="shared" si="58"/>
        <v>-209.07999999999998</v>
      </c>
      <c r="G109" s="38">
        <f>F109-E109</f>
        <v>227.61400000000003</v>
      </c>
    </row>
    <row r="110" spans="1:7" x14ac:dyDescent="0.35">
      <c r="A110" s="3"/>
      <c r="B110" s="3"/>
      <c r="C110" s="3" t="s">
        <v>54</v>
      </c>
      <c r="D110" s="5">
        <v>-437</v>
      </c>
      <c r="E110" s="2">
        <v>-436.69400000000002</v>
      </c>
      <c r="F110" s="5">
        <v>-254.63</v>
      </c>
      <c r="G110" s="5">
        <f t="shared" ref="G110:G111" si="59">F110-E110</f>
        <v>182.06400000000002</v>
      </c>
    </row>
    <row r="111" spans="1:7" x14ac:dyDescent="0.35">
      <c r="A111" s="3"/>
      <c r="B111" s="3"/>
      <c r="C111" s="3" t="s">
        <v>56</v>
      </c>
      <c r="D111" s="5">
        <v>0</v>
      </c>
      <c r="E111" s="5">
        <v>0</v>
      </c>
      <c r="F111" s="5">
        <v>45.55</v>
      </c>
      <c r="G111" s="5">
        <f t="shared" si="59"/>
        <v>45.55</v>
      </c>
    </row>
    <row r="112" spans="1:7" x14ac:dyDescent="0.35">
      <c r="A112" s="37"/>
      <c r="B112" s="37"/>
      <c r="C112" s="37" t="s">
        <v>107</v>
      </c>
      <c r="D112" s="38">
        <f>SUM(D113:D115)</f>
        <v>-37143</v>
      </c>
      <c r="E112" s="38">
        <f t="shared" ref="E112:F112" si="60">SUM(E113:E115)</f>
        <v>-59255.21</v>
      </c>
      <c r="F112" s="38">
        <f t="shared" si="60"/>
        <v>-56971.22</v>
      </c>
      <c r="G112" s="38">
        <f>F112-E112</f>
        <v>2283.989999999998</v>
      </c>
    </row>
    <row r="113" spans="1:7" x14ac:dyDescent="0.35">
      <c r="A113" s="3"/>
      <c r="B113" s="3"/>
      <c r="C113" s="3" t="s">
        <v>155</v>
      </c>
      <c r="D113" s="5">
        <v>0</v>
      </c>
      <c r="E113" s="5">
        <v>-59255.21</v>
      </c>
      <c r="F113" s="5">
        <v>0</v>
      </c>
      <c r="G113" s="5">
        <f t="shared" ref="G113:G115" si="61">F113-E113</f>
        <v>59255.21</v>
      </c>
    </row>
    <row r="114" spans="1:7" x14ac:dyDescent="0.35">
      <c r="A114" s="3"/>
      <c r="B114" s="3"/>
      <c r="C114" s="3" t="s">
        <v>54</v>
      </c>
      <c r="D114" s="5">
        <v>-29387</v>
      </c>
      <c r="E114" s="5">
        <v>0</v>
      </c>
      <c r="F114" s="5">
        <v>-43239.42</v>
      </c>
      <c r="G114" s="5">
        <f t="shared" si="61"/>
        <v>-43239.42</v>
      </c>
    </row>
    <row r="115" spans="1:7" x14ac:dyDescent="0.35">
      <c r="A115" s="37"/>
      <c r="B115" s="37"/>
      <c r="C115" s="3" t="s">
        <v>55</v>
      </c>
      <c r="D115" s="5">
        <v>-7756</v>
      </c>
      <c r="E115" s="5">
        <v>0</v>
      </c>
      <c r="F115" s="5">
        <v>-13731.8</v>
      </c>
      <c r="G115" s="5">
        <f t="shared" si="61"/>
        <v>-13731.8</v>
      </c>
    </row>
    <row r="116" spans="1:7" s="35" customFormat="1" x14ac:dyDescent="0.35">
      <c r="A116" s="37"/>
      <c r="B116" s="37"/>
      <c r="C116" s="37" t="s">
        <v>108</v>
      </c>
      <c r="D116" s="38">
        <f>SUM(D117:D119)</f>
        <v>-13</v>
      </c>
      <c r="E116" s="38">
        <f t="shared" ref="E116:F116" si="62">SUM(E117:E119)</f>
        <v>-58333.42</v>
      </c>
      <c r="F116" s="38">
        <f t="shared" si="62"/>
        <v>-27576.010000000002</v>
      </c>
      <c r="G116" s="38">
        <f>F116-E116</f>
        <v>30757.409999999996</v>
      </c>
    </row>
    <row r="117" spans="1:7" x14ac:dyDescent="0.35">
      <c r="A117" s="3"/>
      <c r="B117" s="3"/>
      <c r="C117" s="3" t="s">
        <v>155</v>
      </c>
      <c r="D117" s="5">
        <v>0</v>
      </c>
      <c r="E117" s="5">
        <v>-58333.42</v>
      </c>
      <c r="F117" s="5">
        <v>0</v>
      </c>
      <c r="G117" s="5">
        <f t="shared" ref="G117:G133" si="63">F117-E117</f>
        <v>58333.42</v>
      </c>
    </row>
    <row r="118" spans="1:7" x14ac:dyDescent="0.35">
      <c r="A118" s="3"/>
      <c r="B118" s="3"/>
      <c r="C118" s="3" t="s">
        <v>54</v>
      </c>
      <c r="D118" s="5">
        <v>0</v>
      </c>
      <c r="E118" s="5">
        <v>0</v>
      </c>
      <c r="F118" s="5">
        <v>-9330.6299999999992</v>
      </c>
      <c r="G118" s="5">
        <f t="shared" si="63"/>
        <v>-9330.6299999999992</v>
      </c>
    </row>
    <row r="119" spans="1:7" x14ac:dyDescent="0.35">
      <c r="A119" s="3"/>
      <c r="B119" s="3"/>
      <c r="C119" s="3" t="s">
        <v>55</v>
      </c>
      <c r="D119" s="5">
        <v>-13</v>
      </c>
      <c r="E119" s="5">
        <v>0</v>
      </c>
      <c r="F119" s="5">
        <v>-18245.38</v>
      </c>
      <c r="G119" s="5">
        <f t="shared" si="63"/>
        <v>-18245.38</v>
      </c>
    </row>
    <row r="120" spans="1:7" s="35" customFormat="1" x14ac:dyDescent="0.35">
      <c r="A120" s="37"/>
      <c r="B120" s="37"/>
      <c r="C120" s="37" t="s">
        <v>109</v>
      </c>
      <c r="D120" s="38">
        <v>-82394</v>
      </c>
      <c r="E120" s="67">
        <v>-82393.545113319531</v>
      </c>
      <c r="F120" s="38">
        <v>-96956.82</v>
      </c>
      <c r="G120" s="38">
        <f t="shared" si="63"/>
        <v>-14563.274886680476</v>
      </c>
    </row>
    <row r="121" spans="1:7" s="35" customFormat="1" x14ac:dyDescent="0.35">
      <c r="A121" s="75" t="s">
        <v>118</v>
      </c>
      <c r="B121" s="75"/>
      <c r="C121" s="75"/>
      <c r="D121" s="73">
        <f>SUM(D122:D126)</f>
        <v>-8345282</v>
      </c>
      <c r="E121" s="73">
        <f t="shared" ref="E121:F121" si="64">SUM(E122:E126)</f>
        <v>-7648217.1182714775</v>
      </c>
      <c r="F121" s="73">
        <f t="shared" si="64"/>
        <v>-6610134.9899999993</v>
      </c>
      <c r="G121" s="73">
        <f t="shared" si="63"/>
        <v>1038082.1282714782</v>
      </c>
    </row>
    <row r="122" spans="1:7" x14ac:dyDescent="0.35">
      <c r="A122" s="3"/>
      <c r="B122" s="3" t="s">
        <v>105</v>
      </c>
      <c r="C122" s="3"/>
      <c r="D122" s="5">
        <f>D134+D153+D174+D196</f>
        <v>-8165973</v>
      </c>
      <c r="E122" s="5">
        <f>E134+E153+E174+E196</f>
        <v>-7409016.790000001</v>
      </c>
      <c r="F122" s="5">
        <f>F134+F153+F174+F196</f>
        <v>-6483142.54</v>
      </c>
      <c r="G122" s="5">
        <f t="shared" si="63"/>
        <v>925874.25000000093</v>
      </c>
    </row>
    <row r="123" spans="1:7" x14ac:dyDescent="0.35">
      <c r="A123" s="3"/>
      <c r="B123" s="3" t="s">
        <v>106</v>
      </c>
      <c r="C123" s="3"/>
      <c r="D123" s="5">
        <f>D158+D202</f>
        <v>-10130</v>
      </c>
      <c r="E123" s="5">
        <f>E158+E202</f>
        <v>-10129.61</v>
      </c>
      <c r="F123" s="5">
        <f>F158+F202+F139+F178</f>
        <v>-26228.93</v>
      </c>
      <c r="G123" s="5">
        <f t="shared" si="63"/>
        <v>-16099.32</v>
      </c>
    </row>
    <row r="124" spans="1:7" x14ac:dyDescent="0.35">
      <c r="A124" s="3"/>
      <c r="B124" s="3" t="s">
        <v>107</v>
      </c>
      <c r="C124" s="3"/>
      <c r="D124" s="5">
        <f>D161+D180+D205</f>
        <v>-12652</v>
      </c>
      <c r="E124" s="5">
        <f>E161+E180+E205+E141</f>
        <v>-58248.68</v>
      </c>
      <c r="F124" s="5">
        <f>+F141+F161+F180+F205</f>
        <v>-49594.179999999993</v>
      </c>
      <c r="G124" s="5">
        <f t="shared" si="63"/>
        <v>8654.5000000000073</v>
      </c>
    </row>
    <row r="125" spans="1:7" x14ac:dyDescent="0.35">
      <c r="A125" s="3"/>
      <c r="B125" s="3" t="s">
        <v>108</v>
      </c>
      <c r="C125" s="3"/>
      <c r="D125" s="5">
        <f>D164+D184+D209</f>
        <v>-600</v>
      </c>
      <c r="E125" s="5">
        <f>E164+E184+E209</f>
        <v>-14895.689999999999</v>
      </c>
      <c r="F125" s="5">
        <f>+F164+F184+F209</f>
        <v>-10571.89</v>
      </c>
      <c r="G125" s="5">
        <f t="shared" si="63"/>
        <v>4323.7999999999993</v>
      </c>
    </row>
    <row r="126" spans="1:7" x14ac:dyDescent="0.35">
      <c r="A126" s="3"/>
      <c r="B126" s="3" t="s">
        <v>109</v>
      </c>
      <c r="C126" s="3"/>
      <c r="D126" s="5">
        <f>D146+D168+D188+D213</f>
        <v>-155927</v>
      </c>
      <c r="E126" s="5">
        <f>E146+E168+E188+E213</f>
        <v>-155926.3482714764</v>
      </c>
      <c r="F126" s="5">
        <f>F146+F168+F188+F213</f>
        <v>-40597.449999999997</v>
      </c>
      <c r="G126" s="5">
        <f t="shared" si="63"/>
        <v>115328.8982714764</v>
      </c>
    </row>
    <row r="127" spans="1:7" x14ac:dyDescent="0.35">
      <c r="A127" s="37"/>
      <c r="B127" s="37" t="s">
        <v>31</v>
      </c>
      <c r="C127" s="37"/>
      <c r="D127" s="38">
        <f>SUM(D129:D133)</f>
        <v>-279799</v>
      </c>
      <c r="E127" s="38">
        <f>SUM(E128:E133)</f>
        <v>-378187.05320283718</v>
      </c>
      <c r="F127" s="38">
        <f>SUM(F128:F133)</f>
        <v>-344292.03</v>
      </c>
      <c r="G127" s="38">
        <f t="shared" si="63"/>
        <v>33895.023202837154</v>
      </c>
    </row>
    <row r="128" spans="1:7" x14ac:dyDescent="0.35">
      <c r="A128" s="37"/>
      <c r="B128" s="37"/>
      <c r="C128" s="3" t="s">
        <v>155</v>
      </c>
      <c r="D128" s="5">
        <v>0</v>
      </c>
      <c r="E128" s="5">
        <f>+E141</f>
        <v>-39318</v>
      </c>
      <c r="F128" s="5">
        <v>0</v>
      </c>
      <c r="G128" s="5">
        <f t="shared" si="63"/>
        <v>39318</v>
      </c>
    </row>
    <row r="129" spans="1:7" x14ac:dyDescent="0.35">
      <c r="A129" s="3"/>
      <c r="B129" s="3"/>
      <c r="C129" s="3" t="s">
        <v>54</v>
      </c>
      <c r="D129" s="5">
        <f t="shared" ref="D129:E131" si="65">D135</f>
        <v>-230333</v>
      </c>
      <c r="E129" s="5">
        <f t="shared" si="65"/>
        <v>-279604.68</v>
      </c>
      <c r="F129" s="5">
        <f>F135+F143</f>
        <v>-282620.67</v>
      </c>
      <c r="G129" s="5">
        <f t="shared" si="63"/>
        <v>-3015.9899999999907</v>
      </c>
    </row>
    <row r="130" spans="1:7" x14ac:dyDescent="0.35">
      <c r="A130" s="3"/>
      <c r="B130" s="3"/>
      <c r="C130" s="3" t="s">
        <v>55</v>
      </c>
      <c r="D130" s="5">
        <f t="shared" si="65"/>
        <v>-47858</v>
      </c>
      <c r="E130" s="5">
        <f t="shared" si="65"/>
        <v>-57641.070000000007</v>
      </c>
      <c r="F130" s="5">
        <f>F136+F144</f>
        <v>-58080.83</v>
      </c>
      <c r="G130" s="5">
        <f t="shared" si="63"/>
        <v>-439.75999999999476</v>
      </c>
    </row>
    <row r="131" spans="1:7" x14ac:dyDescent="0.35">
      <c r="A131" s="3"/>
      <c r="B131" s="3"/>
      <c r="C131" s="3" t="s">
        <v>101</v>
      </c>
      <c r="D131" s="5">
        <f t="shared" si="65"/>
        <v>-410</v>
      </c>
      <c r="E131" s="5">
        <f t="shared" si="65"/>
        <v>-410</v>
      </c>
      <c r="F131" s="5">
        <f>F137</f>
        <v>-336</v>
      </c>
      <c r="G131" s="5">
        <f t="shared" si="63"/>
        <v>74</v>
      </c>
    </row>
    <row r="132" spans="1:7" x14ac:dyDescent="0.35">
      <c r="A132" s="3"/>
      <c r="B132" s="3"/>
      <c r="C132" s="3" t="s">
        <v>110</v>
      </c>
      <c r="D132" s="5">
        <v>0</v>
      </c>
      <c r="E132" s="5">
        <v>0</v>
      </c>
      <c r="F132" s="5">
        <f>+F145</f>
        <v>-1696.07</v>
      </c>
      <c r="G132" s="5">
        <f t="shared" si="63"/>
        <v>-1696.07</v>
      </c>
    </row>
    <row r="133" spans="1:7" x14ac:dyDescent="0.35">
      <c r="A133" s="3"/>
      <c r="B133" s="3"/>
      <c r="C133" s="3" t="s">
        <v>103</v>
      </c>
      <c r="D133" s="5">
        <f>D138+D146</f>
        <v>-1198</v>
      </c>
      <c r="E133" s="5">
        <f>E138+E146</f>
        <v>-1213.3032028372099</v>
      </c>
      <c r="F133" s="5">
        <f>F138+F146+F140</f>
        <v>-1558.46</v>
      </c>
      <c r="G133" s="5">
        <f t="shared" si="63"/>
        <v>-345.1567971627901</v>
      </c>
    </row>
    <row r="134" spans="1:7" x14ac:dyDescent="0.35">
      <c r="A134" s="37"/>
      <c r="B134" s="37"/>
      <c r="C134" s="37" t="s">
        <v>105</v>
      </c>
      <c r="D134" s="38">
        <f>SUM(D135:D138)</f>
        <v>-278826</v>
      </c>
      <c r="E134" s="38">
        <f t="shared" ref="E134" si="66">SUM(E135:E138)</f>
        <v>-337896.51</v>
      </c>
      <c r="F134" s="38">
        <f>SUM(F135:F138)</f>
        <v>-303659.05</v>
      </c>
      <c r="G134" s="38">
        <f>F134-E134</f>
        <v>34237.460000000021</v>
      </c>
    </row>
    <row r="135" spans="1:7" x14ac:dyDescent="0.35">
      <c r="A135" s="3"/>
      <c r="B135" s="3"/>
      <c r="C135" s="3" t="s">
        <v>54</v>
      </c>
      <c r="D135" s="5">
        <v>-230333</v>
      </c>
      <c r="E135" s="5">
        <f>-279604.68</f>
        <v>-279604.68</v>
      </c>
      <c r="F135" s="5">
        <v>-250096</v>
      </c>
      <c r="G135" s="5">
        <f t="shared" ref="G135:G146" si="67">F135-E135</f>
        <v>29508.679999999993</v>
      </c>
    </row>
    <row r="136" spans="1:7" x14ac:dyDescent="0.35">
      <c r="A136" s="3"/>
      <c r="B136" s="3"/>
      <c r="C136" s="3" t="s">
        <v>55</v>
      </c>
      <c r="D136" s="5">
        <v>-47858</v>
      </c>
      <c r="E136" s="5">
        <f>-55654.16-1986.91</f>
        <v>-57641.070000000007</v>
      </c>
      <c r="F136" s="5">
        <v>-53017.23</v>
      </c>
      <c r="G136" s="5">
        <f t="shared" si="67"/>
        <v>4623.8400000000038</v>
      </c>
    </row>
    <row r="137" spans="1:7" s="35" customFormat="1" x14ac:dyDescent="0.35">
      <c r="A137" s="3"/>
      <c r="B137" s="3"/>
      <c r="C137" s="3" t="s">
        <v>101</v>
      </c>
      <c r="D137" s="5">
        <v>-410</v>
      </c>
      <c r="E137" s="5">
        <f>D137</f>
        <v>-410</v>
      </c>
      <c r="F137" s="5">
        <v>-336</v>
      </c>
      <c r="G137" s="5">
        <f t="shared" si="67"/>
        <v>74</v>
      </c>
    </row>
    <row r="138" spans="1:7" x14ac:dyDescent="0.35">
      <c r="A138" s="3"/>
      <c r="B138" s="3"/>
      <c r="C138" s="3" t="s">
        <v>56</v>
      </c>
      <c r="D138" s="5">
        <v>-225</v>
      </c>
      <c r="E138" s="5">
        <v>-240.76</v>
      </c>
      <c r="F138" s="5">
        <v>-209.82</v>
      </c>
      <c r="G138" s="5">
        <f t="shared" si="67"/>
        <v>30.939999999999998</v>
      </c>
    </row>
    <row r="139" spans="1:7" x14ac:dyDescent="0.35">
      <c r="A139" s="3"/>
      <c r="B139" s="3"/>
      <c r="C139" s="37" t="s">
        <v>106</v>
      </c>
      <c r="D139" s="38">
        <v>0</v>
      </c>
      <c r="E139" s="38">
        <v>0</v>
      </c>
      <c r="F139" s="38">
        <f>+F140</f>
        <v>40</v>
      </c>
      <c r="G139" s="38">
        <f t="shared" si="67"/>
        <v>40</v>
      </c>
    </row>
    <row r="140" spans="1:7" x14ac:dyDescent="0.35">
      <c r="A140" s="3"/>
      <c r="B140" s="3"/>
      <c r="C140" s="3" t="s">
        <v>56</v>
      </c>
      <c r="D140" s="5">
        <v>0</v>
      </c>
      <c r="E140" s="5">
        <v>0</v>
      </c>
      <c r="F140" s="5">
        <v>40</v>
      </c>
      <c r="G140" s="5">
        <f t="shared" si="67"/>
        <v>40</v>
      </c>
    </row>
    <row r="141" spans="1:7" x14ac:dyDescent="0.35">
      <c r="A141" s="3"/>
      <c r="B141" s="3"/>
      <c r="C141" s="37" t="s">
        <v>107</v>
      </c>
      <c r="D141" s="38">
        <v>0</v>
      </c>
      <c r="E141" s="38">
        <f>+E142</f>
        <v>-39318</v>
      </c>
      <c r="F141" s="38">
        <f>+F142+F143+F144+F145</f>
        <v>-39284.339999999997</v>
      </c>
      <c r="G141" s="38">
        <f t="shared" si="67"/>
        <v>33.660000000003492</v>
      </c>
    </row>
    <row r="142" spans="1:7" x14ac:dyDescent="0.35">
      <c r="A142" s="3"/>
      <c r="B142" s="3"/>
      <c r="C142" s="3" t="s">
        <v>155</v>
      </c>
      <c r="D142" s="5">
        <v>0</v>
      </c>
      <c r="E142" s="5">
        <v>-39318</v>
      </c>
      <c r="F142" s="5">
        <v>0</v>
      </c>
      <c r="G142" s="5">
        <f t="shared" si="67"/>
        <v>39318</v>
      </c>
    </row>
    <row r="143" spans="1:7" x14ac:dyDescent="0.35">
      <c r="A143" s="3"/>
      <c r="B143" s="3"/>
      <c r="C143" s="3" t="s">
        <v>54</v>
      </c>
      <c r="D143" s="5">
        <v>0</v>
      </c>
      <c r="E143" s="5">
        <v>0</v>
      </c>
      <c r="F143" s="5">
        <v>-32524.67</v>
      </c>
      <c r="G143" s="5">
        <f t="shared" si="67"/>
        <v>-32524.67</v>
      </c>
    </row>
    <row r="144" spans="1:7" x14ac:dyDescent="0.35">
      <c r="A144" s="3"/>
      <c r="B144" s="3"/>
      <c r="C144" s="3" t="s">
        <v>55</v>
      </c>
      <c r="D144" s="5">
        <v>0</v>
      </c>
      <c r="E144" s="5">
        <v>0</v>
      </c>
      <c r="F144" s="5">
        <v>-5063.6000000000004</v>
      </c>
      <c r="G144" s="5">
        <f t="shared" si="67"/>
        <v>-5063.6000000000004</v>
      </c>
    </row>
    <row r="145" spans="1:7" x14ac:dyDescent="0.35">
      <c r="A145" s="3"/>
      <c r="B145" s="3"/>
      <c r="C145" s="3" t="s">
        <v>110</v>
      </c>
      <c r="D145" s="5">
        <v>0</v>
      </c>
      <c r="E145" s="5">
        <v>0</v>
      </c>
      <c r="F145" s="5">
        <v>-1696.07</v>
      </c>
      <c r="G145" s="5">
        <f t="shared" si="67"/>
        <v>-1696.07</v>
      </c>
    </row>
    <row r="146" spans="1:7" x14ac:dyDescent="0.35">
      <c r="A146" s="37"/>
      <c r="B146" s="37"/>
      <c r="C146" s="37" t="s">
        <v>109</v>
      </c>
      <c r="D146" s="38">
        <v>-973</v>
      </c>
      <c r="E146" s="67">
        <v>-972.54320283720995</v>
      </c>
      <c r="F146" s="38">
        <v>-1388.64</v>
      </c>
      <c r="G146" s="38">
        <f t="shared" si="67"/>
        <v>-416.09679716279015</v>
      </c>
    </row>
    <row r="147" spans="1:7" x14ac:dyDescent="0.35">
      <c r="A147" s="37"/>
      <c r="B147" s="37" t="s">
        <v>115</v>
      </c>
      <c r="C147" s="37"/>
      <c r="D147" s="38">
        <f>SUM(D149:D152)</f>
        <v>-5008812</v>
      </c>
      <c r="E147" s="38">
        <f>SUM(E148:E152)</f>
        <v>-3849123.7768255807</v>
      </c>
      <c r="F147" s="38">
        <f>SUM(F148:F152)</f>
        <v>-3185250.25</v>
      </c>
      <c r="G147" s="38">
        <f>F147-E147</f>
        <v>663873.52682558075</v>
      </c>
    </row>
    <row r="148" spans="1:7" x14ac:dyDescent="0.35">
      <c r="A148" s="37"/>
      <c r="B148" s="37"/>
      <c r="C148" s="3" t="s">
        <v>155</v>
      </c>
      <c r="D148" s="5">
        <v>0</v>
      </c>
      <c r="E148" s="5">
        <f>+E161+E164</f>
        <v>-12794.38</v>
      </c>
      <c r="F148" s="5">
        <v>0</v>
      </c>
      <c r="G148" s="5">
        <f>F148-E148</f>
        <v>12794.38</v>
      </c>
    </row>
    <row r="149" spans="1:7" x14ac:dyDescent="0.35">
      <c r="A149" s="3"/>
      <c r="B149" s="3"/>
      <c r="C149" s="3" t="s">
        <v>54</v>
      </c>
      <c r="D149" s="5">
        <f>D154+D159+D166</f>
        <v>-2177404</v>
      </c>
      <c r="E149" s="5">
        <f>E154+E159+E166</f>
        <v>-418010.01</v>
      </c>
      <c r="F149" s="5">
        <f>F154+F159+F166</f>
        <v>-485627</v>
      </c>
      <c r="G149" s="5">
        <f t="shared" ref="G149:G152" si="68">F149-E149</f>
        <v>-67616.989999999991</v>
      </c>
    </row>
    <row r="150" spans="1:7" x14ac:dyDescent="0.35">
      <c r="A150" s="3"/>
      <c r="B150" s="3"/>
      <c r="C150" s="3" t="s">
        <v>55</v>
      </c>
      <c r="D150" s="5">
        <f>D155+D163+D167</f>
        <v>-2640674</v>
      </c>
      <c r="E150" s="5">
        <f>E155+E163+E167</f>
        <v>-2954855.81</v>
      </c>
      <c r="F150" s="5">
        <f>F155+F163+F167</f>
        <v>-2404384.84</v>
      </c>
      <c r="G150" s="5">
        <f t="shared" si="68"/>
        <v>550470.9700000002</v>
      </c>
    </row>
    <row r="151" spans="1:7" s="35" customFormat="1" x14ac:dyDescent="0.35">
      <c r="A151" s="3"/>
      <c r="B151" s="3"/>
      <c r="C151" s="3" t="s">
        <v>102</v>
      </c>
      <c r="D151" s="5">
        <f>D156</f>
        <v>-58758</v>
      </c>
      <c r="E151" s="5">
        <f>E156</f>
        <v>-331365.52</v>
      </c>
      <c r="F151" s="5">
        <f>F156</f>
        <v>-279226.15999999997</v>
      </c>
      <c r="G151" s="5">
        <f t="shared" si="68"/>
        <v>52139.360000000044</v>
      </c>
    </row>
    <row r="152" spans="1:7" x14ac:dyDescent="0.35">
      <c r="A152" s="3"/>
      <c r="B152" s="3"/>
      <c r="C152" s="3" t="s">
        <v>103</v>
      </c>
      <c r="D152" s="5">
        <f>D168</f>
        <v>-131976</v>
      </c>
      <c r="E152" s="5">
        <f>E168+E157</f>
        <v>-132098.05682558072</v>
      </c>
      <c r="F152" s="5">
        <f>F168+F157+F160</f>
        <v>-16012.25</v>
      </c>
      <c r="G152" s="5">
        <f t="shared" si="68"/>
        <v>116085.80682558072</v>
      </c>
    </row>
    <row r="153" spans="1:7" x14ac:dyDescent="0.35">
      <c r="A153" s="37"/>
      <c r="B153" s="37"/>
      <c r="C153" s="37" t="s">
        <v>105</v>
      </c>
      <c r="D153" s="38">
        <f>SUM(D154:D157)</f>
        <v>-4864146</v>
      </c>
      <c r="E153" s="38">
        <f t="shared" ref="E153:F153" si="69">SUM(E154:E157)</f>
        <v>-3695205.93</v>
      </c>
      <c r="F153" s="38">
        <f t="shared" si="69"/>
        <v>-3136201.79</v>
      </c>
      <c r="G153" s="38">
        <f>F153-E153</f>
        <v>559004.14000000013</v>
      </c>
    </row>
    <row r="154" spans="1:7" s="35" customFormat="1" x14ac:dyDescent="0.35">
      <c r="A154" s="3"/>
      <c r="B154" s="3"/>
      <c r="C154" s="3" t="s">
        <v>54</v>
      </c>
      <c r="D154" s="5">
        <v>-2167927</v>
      </c>
      <c r="E154" s="5">
        <v>-408863.01</v>
      </c>
      <c r="F154" s="5">
        <v>-459950</v>
      </c>
      <c r="G154" s="5">
        <f t="shared" ref="G154:G157" si="70">F154-E154</f>
        <v>-51086.989999999991</v>
      </c>
    </row>
    <row r="155" spans="1:7" x14ac:dyDescent="0.35">
      <c r="A155" s="3"/>
      <c r="B155" s="3"/>
      <c r="C155" s="3" t="s">
        <v>55</v>
      </c>
      <c r="D155" s="5">
        <v>-2637461</v>
      </c>
      <c r="E155" s="5">
        <f>-2954840.22-15.59</f>
        <v>-2954855.81</v>
      </c>
      <c r="F155" s="5">
        <v>-2396937.71</v>
      </c>
      <c r="G155" s="5">
        <f t="shared" si="70"/>
        <v>557918.10000000009</v>
      </c>
    </row>
    <row r="156" spans="1:7" x14ac:dyDescent="0.35">
      <c r="A156" s="3"/>
      <c r="B156" s="3"/>
      <c r="C156" s="3" t="s">
        <v>102</v>
      </c>
      <c r="D156" s="5">
        <v>-58758</v>
      </c>
      <c r="E156" s="5">
        <v>-331365.52</v>
      </c>
      <c r="F156" s="5">
        <v>-279226.15999999997</v>
      </c>
      <c r="G156" s="5">
        <f t="shared" si="70"/>
        <v>52139.360000000044</v>
      </c>
    </row>
    <row r="157" spans="1:7" x14ac:dyDescent="0.35">
      <c r="A157" s="3"/>
      <c r="B157" s="3"/>
      <c r="C157" s="3" t="s">
        <v>56</v>
      </c>
      <c r="D157" s="5">
        <v>0</v>
      </c>
      <c r="E157" s="5">
        <v>-121.59</v>
      </c>
      <c r="F157" s="5">
        <v>-87.92</v>
      </c>
      <c r="G157" s="5">
        <f t="shared" si="70"/>
        <v>33.67</v>
      </c>
    </row>
    <row r="158" spans="1:7" x14ac:dyDescent="0.35">
      <c r="A158" s="37"/>
      <c r="B158" s="37"/>
      <c r="C158" s="37" t="s">
        <v>106</v>
      </c>
      <c r="D158" s="38">
        <f>D159</f>
        <v>-9147</v>
      </c>
      <c r="E158" s="38">
        <f t="shared" ref="E158" si="71">E159</f>
        <v>-9147</v>
      </c>
      <c r="F158" s="38">
        <f>F159+F160</f>
        <v>-25689.33</v>
      </c>
      <c r="G158" s="38">
        <f>F158-E158</f>
        <v>-16542.330000000002</v>
      </c>
    </row>
    <row r="159" spans="1:7" x14ac:dyDescent="0.35">
      <c r="A159" s="3"/>
      <c r="B159" s="3"/>
      <c r="C159" s="3" t="s">
        <v>54</v>
      </c>
      <c r="D159" s="5">
        <v>-9147</v>
      </c>
      <c r="E159" s="5">
        <f t="shared" ref="E159" si="72">D159</f>
        <v>-9147</v>
      </c>
      <c r="F159" s="5">
        <v>-25677</v>
      </c>
      <c r="G159" s="5">
        <f t="shared" ref="G159:G163" si="73">F159-E159</f>
        <v>-16530</v>
      </c>
    </row>
    <row r="160" spans="1:7" x14ac:dyDescent="0.35">
      <c r="A160" s="3"/>
      <c r="B160" s="3"/>
      <c r="C160" s="3" t="s">
        <v>56</v>
      </c>
      <c r="D160" s="5">
        <v>0</v>
      </c>
      <c r="E160" s="5">
        <v>0</v>
      </c>
      <c r="F160" s="5">
        <v>-12.33</v>
      </c>
      <c r="G160" s="5">
        <f t="shared" si="73"/>
        <v>-12.33</v>
      </c>
    </row>
    <row r="161" spans="1:7" x14ac:dyDescent="0.35">
      <c r="A161" s="37"/>
      <c r="B161" s="37"/>
      <c r="C161" s="37" t="s">
        <v>107</v>
      </c>
      <c r="D161" s="38">
        <f>SUM(D163:D163)</f>
        <v>-3003</v>
      </c>
      <c r="E161" s="38">
        <f>SUM(E162:E163)</f>
        <v>-10598.16</v>
      </c>
      <c r="F161" s="38">
        <f>SUM(F162:F163)</f>
        <v>-1854.17</v>
      </c>
      <c r="G161" s="38">
        <f t="shared" si="73"/>
        <v>8743.99</v>
      </c>
    </row>
    <row r="162" spans="1:7" x14ac:dyDescent="0.35">
      <c r="A162" s="37"/>
      <c r="B162" s="37"/>
      <c r="C162" s="3" t="s">
        <v>155</v>
      </c>
      <c r="D162" s="5">
        <v>0</v>
      </c>
      <c r="E162" s="5">
        <v>-10598.16</v>
      </c>
      <c r="F162" s="5">
        <v>0</v>
      </c>
      <c r="G162" s="5">
        <f t="shared" si="73"/>
        <v>10598.16</v>
      </c>
    </row>
    <row r="163" spans="1:7" x14ac:dyDescent="0.35">
      <c r="A163" s="37"/>
      <c r="B163" s="37"/>
      <c r="C163" s="3" t="s">
        <v>55</v>
      </c>
      <c r="D163" s="5">
        <v>-3003</v>
      </c>
      <c r="E163" s="5">
        <v>0</v>
      </c>
      <c r="F163" s="5">
        <v>-1854.17</v>
      </c>
      <c r="G163" s="5">
        <f t="shared" si="73"/>
        <v>-1854.17</v>
      </c>
    </row>
    <row r="164" spans="1:7" x14ac:dyDescent="0.35">
      <c r="A164" s="37"/>
      <c r="B164" s="37"/>
      <c r="C164" s="37" t="s">
        <v>108</v>
      </c>
      <c r="D164" s="38">
        <f>SUM(D165:D167)</f>
        <v>-540</v>
      </c>
      <c r="E164" s="38">
        <f t="shared" ref="E164:F164" si="74">SUM(E165:E167)</f>
        <v>-2196.2199999999998</v>
      </c>
      <c r="F164" s="38">
        <f t="shared" si="74"/>
        <v>-5592.96</v>
      </c>
      <c r="G164" s="38">
        <f>F164-E164</f>
        <v>-3396.7400000000002</v>
      </c>
    </row>
    <row r="165" spans="1:7" s="35" customFormat="1" x14ac:dyDescent="0.35">
      <c r="A165" s="37"/>
      <c r="B165" s="37"/>
      <c r="C165" s="3" t="s">
        <v>155</v>
      </c>
      <c r="D165" s="5">
        <v>0</v>
      </c>
      <c r="E165" s="5">
        <v>-2196.2199999999998</v>
      </c>
      <c r="F165" s="5">
        <v>0</v>
      </c>
      <c r="G165" s="5">
        <f t="shared" ref="G165:G168" si="75">F165-E165</f>
        <v>2196.2199999999998</v>
      </c>
    </row>
    <row r="166" spans="1:7" x14ac:dyDescent="0.35">
      <c r="A166" s="3"/>
      <c r="B166" s="3"/>
      <c r="C166" s="3" t="s">
        <v>54</v>
      </c>
      <c r="D166" s="5">
        <v>-330</v>
      </c>
      <c r="E166" s="5">
        <v>0</v>
      </c>
      <c r="F166" s="5">
        <v>0</v>
      </c>
      <c r="G166" s="5">
        <f t="shared" si="75"/>
        <v>0</v>
      </c>
    </row>
    <row r="167" spans="1:7" x14ac:dyDescent="0.35">
      <c r="A167" s="3"/>
      <c r="B167" s="3"/>
      <c r="C167" s="3" t="s">
        <v>55</v>
      </c>
      <c r="D167" s="5">
        <v>-210</v>
      </c>
      <c r="E167" s="5">
        <v>0</v>
      </c>
      <c r="F167" s="5">
        <v>-5592.96</v>
      </c>
      <c r="G167" s="5">
        <f t="shared" si="75"/>
        <v>-5592.96</v>
      </c>
    </row>
    <row r="168" spans="1:7" s="35" customFormat="1" x14ac:dyDescent="0.35">
      <c r="A168" s="37"/>
      <c r="B168" s="37"/>
      <c r="C168" s="37" t="s">
        <v>109</v>
      </c>
      <c r="D168" s="38">
        <v>-131976</v>
      </c>
      <c r="E168" s="67">
        <v>-131976.46682558072</v>
      </c>
      <c r="F168" s="38">
        <v>-15912</v>
      </c>
      <c r="G168" s="38">
        <f t="shared" si="75"/>
        <v>116064.46682558072</v>
      </c>
    </row>
    <row r="169" spans="1:7" x14ac:dyDescent="0.35">
      <c r="A169" s="37"/>
      <c r="B169" s="37" t="s">
        <v>116</v>
      </c>
      <c r="C169" s="37"/>
      <c r="D169" s="38">
        <f>SUM(D171:D173)</f>
        <v>-142102</v>
      </c>
      <c r="E169" s="38">
        <f>SUM(E170:E173)</f>
        <v>-180250.86824305844</v>
      </c>
      <c r="F169" s="38">
        <f>SUM(F170:F173)</f>
        <v>-160971.43000000002</v>
      </c>
      <c r="G169" s="38">
        <f>F169-E169</f>
        <v>19279.438243058423</v>
      </c>
    </row>
    <row r="170" spans="1:7" x14ac:dyDescent="0.35">
      <c r="A170" s="37"/>
      <c r="B170" s="37"/>
      <c r="C170" s="3" t="s">
        <v>155</v>
      </c>
      <c r="D170" s="5">
        <v>0</v>
      </c>
      <c r="E170" s="5">
        <f>+E181+E185</f>
        <v>-13983.27</v>
      </c>
      <c r="F170" s="5">
        <v>0</v>
      </c>
      <c r="G170" s="5">
        <f>F170-E170</f>
        <v>13983.27</v>
      </c>
    </row>
    <row r="171" spans="1:7" x14ac:dyDescent="0.35">
      <c r="A171" s="3"/>
      <c r="B171" s="3"/>
      <c r="C171" s="3" t="s">
        <v>54</v>
      </c>
      <c r="D171" s="5">
        <f>D175+D182+D186</f>
        <v>-57118</v>
      </c>
      <c r="E171" s="5">
        <f>E175+E182+E186</f>
        <v>-71484.600000000006</v>
      </c>
      <c r="F171" s="5">
        <f>F175+F182+F186</f>
        <v>-71379.520000000004</v>
      </c>
      <c r="G171" s="5">
        <f t="shared" ref="G171:G173" si="76">F171-E171</f>
        <v>105.08000000000175</v>
      </c>
    </row>
    <row r="172" spans="1:7" x14ac:dyDescent="0.35">
      <c r="A172" s="3"/>
      <c r="B172" s="3"/>
      <c r="C172" s="3" t="s">
        <v>55</v>
      </c>
      <c r="D172" s="5">
        <f>D176+D183+D187</f>
        <v>-68116</v>
      </c>
      <c r="E172" s="5">
        <f t="shared" ref="E172:F172" si="77">E176+E183+E187</f>
        <v>-77895.070000000007</v>
      </c>
      <c r="F172" s="5">
        <f t="shared" si="77"/>
        <v>-74495.179999999993</v>
      </c>
      <c r="G172" s="5">
        <f t="shared" si="76"/>
        <v>3399.890000000014</v>
      </c>
    </row>
    <row r="173" spans="1:7" x14ac:dyDescent="0.35">
      <c r="A173" s="3"/>
      <c r="B173" s="3"/>
      <c r="C173" s="3" t="s">
        <v>103</v>
      </c>
      <c r="D173" s="5">
        <f>D188</f>
        <v>-16868</v>
      </c>
      <c r="E173" s="5">
        <f>E188+E177</f>
        <v>-16887.92824305845</v>
      </c>
      <c r="F173" s="5">
        <f>F188+F178+F177</f>
        <v>-15096.73</v>
      </c>
      <c r="G173" s="5">
        <f t="shared" si="76"/>
        <v>1791.1982430584503</v>
      </c>
    </row>
    <row r="174" spans="1:7" x14ac:dyDescent="0.35">
      <c r="A174" s="37"/>
      <c r="B174" s="37"/>
      <c r="C174" s="37" t="s">
        <v>105</v>
      </c>
      <c r="D174" s="38">
        <f>SUM(D175:D176)</f>
        <v>-122749</v>
      </c>
      <c r="E174" s="38">
        <f>SUM(E175:E177)</f>
        <v>-149400.02000000002</v>
      </c>
      <c r="F174" s="38">
        <f>SUM(F175:F177)</f>
        <v>-143861.71</v>
      </c>
      <c r="G174" s="38">
        <f>F174-E174</f>
        <v>5538.3100000000268</v>
      </c>
    </row>
    <row r="175" spans="1:7" x14ac:dyDescent="0.35">
      <c r="A175" s="3"/>
      <c r="B175" s="3"/>
      <c r="C175" s="3" t="s">
        <v>54</v>
      </c>
      <c r="D175" s="5">
        <v>-55085</v>
      </c>
      <c r="E175" s="5">
        <v>-71484.600000000006</v>
      </c>
      <c r="F175" s="5">
        <v>-69661.960000000006</v>
      </c>
      <c r="G175" s="5">
        <f t="shared" ref="G175:G179" si="78">F175-E175</f>
        <v>1822.6399999999994</v>
      </c>
    </row>
    <row r="176" spans="1:7" x14ac:dyDescent="0.35">
      <c r="A176" s="3"/>
      <c r="B176" s="3"/>
      <c r="C176" s="3" t="s">
        <v>55</v>
      </c>
      <c r="D176" s="5">
        <v>-67664</v>
      </c>
      <c r="E176" s="5">
        <v>-77895.070000000007</v>
      </c>
      <c r="F176" s="5">
        <v>-74179.289999999994</v>
      </c>
      <c r="G176" s="5">
        <f t="shared" si="78"/>
        <v>3715.7800000000134</v>
      </c>
    </row>
    <row r="177" spans="1:7" x14ac:dyDescent="0.35">
      <c r="A177" s="3"/>
      <c r="B177" s="3"/>
      <c r="C177" s="3" t="s">
        <v>56</v>
      </c>
      <c r="D177" s="5">
        <v>0</v>
      </c>
      <c r="E177" s="5">
        <v>-20.350000000000001</v>
      </c>
      <c r="F177" s="5">
        <v>-20.46</v>
      </c>
      <c r="G177" s="5">
        <f t="shared" si="78"/>
        <v>-0.10999999999999943</v>
      </c>
    </row>
    <row r="178" spans="1:7" x14ac:dyDescent="0.35">
      <c r="A178" s="3"/>
      <c r="B178" s="3"/>
      <c r="C178" s="37" t="s">
        <v>106</v>
      </c>
      <c r="D178" s="38">
        <v>0</v>
      </c>
      <c r="E178" s="38">
        <v>0</v>
      </c>
      <c r="F178" s="38">
        <f>+F179</f>
        <v>-5</v>
      </c>
      <c r="G178" s="38">
        <f t="shared" si="78"/>
        <v>-5</v>
      </c>
    </row>
    <row r="179" spans="1:7" x14ac:dyDescent="0.35">
      <c r="A179" s="3"/>
      <c r="B179" s="3"/>
      <c r="C179" s="3" t="s">
        <v>56</v>
      </c>
      <c r="D179" s="5">
        <v>0</v>
      </c>
      <c r="E179" s="5">
        <v>0</v>
      </c>
      <c r="F179" s="5">
        <v>-5</v>
      </c>
      <c r="G179" s="5">
        <f t="shared" si="78"/>
        <v>-5</v>
      </c>
    </row>
    <row r="180" spans="1:7" x14ac:dyDescent="0.35">
      <c r="A180" s="37"/>
      <c r="B180" s="37"/>
      <c r="C180" s="37" t="s">
        <v>107</v>
      </c>
      <c r="D180" s="38">
        <f>SUM(D182:D183)</f>
        <v>-2454</v>
      </c>
      <c r="E180" s="38">
        <f>SUM(E181:E183)</f>
        <v>-1899.27</v>
      </c>
      <c r="F180" s="38">
        <f>SUM(F181:F183)</f>
        <v>-1897.4499999999998</v>
      </c>
      <c r="G180" s="38">
        <f>F180-E180</f>
        <v>1.8200000000001637</v>
      </c>
    </row>
    <row r="181" spans="1:7" x14ac:dyDescent="0.35">
      <c r="A181" s="37"/>
      <c r="B181" s="37"/>
      <c r="C181" s="3" t="s">
        <v>155</v>
      </c>
      <c r="D181" s="5">
        <v>0</v>
      </c>
      <c r="E181" s="5">
        <v>-1899.27</v>
      </c>
      <c r="F181" s="5">
        <v>0</v>
      </c>
      <c r="G181" s="5">
        <f t="shared" ref="G181:G183" si="79">F181-E181</f>
        <v>1899.27</v>
      </c>
    </row>
    <row r="182" spans="1:7" x14ac:dyDescent="0.35">
      <c r="A182" s="3"/>
      <c r="B182" s="3"/>
      <c r="C182" s="3" t="s">
        <v>54</v>
      </c>
      <c r="D182" s="5">
        <v>-2016</v>
      </c>
      <c r="E182" s="5">
        <v>0</v>
      </c>
      <c r="F182" s="5">
        <v>-1586.56</v>
      </c>
      <c r="G182" s="5">
        <f t="shared" si="79"/>
        <v>-1586.56</v>
      </c>
    </row>
    <row r="183" spans="1:7" x14ac:dyDescent="0.35">
      <c r="A183" s="37"/>
      <c r="B183" s="37"/>
      <c r="C183" s="3" t="s">
        <v>55</v>
      </c>
      <c r="D183" s="5">
        <v>-438</v>
      </c>
      <c r="E183" s="5">
        <v>0</v>
      </c>
      <c r="F183" s="5">
        <v>-310.89</v>
      </c>
      <c r="G183" s="5">
        <f t="shared" si="79"/>
        <v>-310.89</v>
      </c>
    </row>
    <row r="184" spans="1:7" x14ac:dyDescent="0.35">
      <c r="A184" s="37"/>
      <c r="B184" s="37"/>
      <c r="C184" s="37" t="s">
        <v>108</v>
      </c>
      <c r="D184" s="38">
        <f>SUM(D186:D187)</f>
        <v>-31</v>
      </c>
      <c r="E184" s="38">
        <f>SUM(E185:E187)</f>
        <v>-12084</v>
      </c>
      <c r="F184" s="38">
        <f>SUM(F185:F187)</f>
        <v>-136</v>
      </c>
      <c r="G184" s="38">
        <f>F184-E184</f>
        <v>11948</v>
      </c>
    </row>
    <row r="185" spans="1:7" x14ac:dyDescent="0.35">
      <c r="A185" s="37"/>
      <c r="B185" s="37"/>
      <c r="C185" s="3" t="s">
        <v>155</v>
      </c>
      <c r="D185" s="5">
        <v>0</v>
      </c>
      <c r="E185" s="5">
        <v>-12084</v>
      </c>
      <c r="F185" s="5">
        <v>0</v>
      </c>
      <c r="G185" s="5">
        <f>F185-E185</f>
        <v>12084</v>
      </c>
    </row>
    <row r="186" spans="1:7" s="35" customFormat="1" x14ac:dyDescent="0.35">
      <c r="A186" s="3"/>
      <c r="B186" s="3"/>
      <c r="C186" s="3" t="s">
        <v>54</v>
      </c>
      <c r="D186" s="5">
        <v>-17</v>
      </c>
      <c r="E186" s="5">
        <v>0</v>
      </c>
      <c r="F186" s="5">
        <v>-131</v>
      </c>
      <c r="G186" s="5">
        <f t="shared" ref="G186:G188" si="80">F186-E186</f>
        <v>-131</v>
      </c>
    </row>
    <row r="187" spans="1:7" x14ac:dyDescent="0.35">
      <c r="A187" s="3"/>
      <c r="B187" s="3"/>
      <c r="C187" s="3" t="s">
        <v>55</v>
      </c>
      <c r="D187" s="5">
        <v>-14</v>
      </c>
      <c r="E187" s="5">
        <v>0</v>
      </c>
      <c r="F187" s="5">
        <v>-5</v>
      </c>
      <c r="G187" s="5">
        <f t="shared" si="80"/>
        <v>-5</v>
      </c>
    </row>
    <row r="188" spans="1:7" s="35" customFormat="1" x14ac:dyDescent="0.35">
      <c r="A188" s="37"/>
      <c r="B188" s="37"/>
      <c r="C188" s="37" t="s">
        <v>109</v>
      </c>
      <c r="D188" s="38">
        <v>-16868</v>
      </c>
      <c r="E188" s="67">
        <v>-16867.578243058451</v>
      </c>
      <c r="F188" s="38">
        <v>-15071.27</v>
      </c>
      <c r="G188" s="38">
        <f t="shared" si="80"/>
        <v>1796.3082430584509</v>
      </c>
    </row>
    <row r="189" spans="1:7" s="35" customFormat="1" x14ac:dyDescent="0.35">
      <c r="A189" s="37"/>
      <c r="B189" s="37" t="s">
        <v>117</v>
      </c>
      <c r="C189" s="37"/>
      <c r="D189" s="38">
        <f>SUM(D191:D195)</f>
        <v>-2914569</v>
      </c>
      <c r="E189" s="38">
        <f>SUM(E190:E195)</f>
        <v>-3240655.42</v>
      </c>
      <c r="F189" s="38">
        <f>SUM(F190:F195)</f>
        <v>-2919621.28</v>
      </c>
      <c r="G189" s="38">
        <f>F189-E189</f>
        <v>321034.14000000013</v>
      </c>
    </row>
    <row r="190" spans="1:7" x14ac:dyDescent="0.35">
      <c r="A190" s="37"/>
      <c r="B190" s="37"/>
      <c r="C190" s="3" t="s">
        <v>155</v>
      </c>
      <c r="D190" s="5">
        <v>0</v>
      </c>
      <c r="E190" s="5">
        <f>+E206+E210</f>
        <v>-7048.72</v>
      </c>
      <c r="F190" s="5">
        <v>0</v>
      </c>
      <c r="G190" s="5">
        <f>+F190-E190</f>
        <v>7048.72</v>
      </c>
    </row>
    <row r="191" spans="1:7" x14ac:dyDescent="0.35">
      <c r="A191" s="3"/>
      <c r="B191" s="3"/>
      <c r="C191" s="3" t="s">
        <v>54</v>
      </c>
      <c r="D191" s="5">
        <f>D197+D203+D207</f>
        <v>-1120732</v>
      </c>
      <c r="E191" s="5">
        <f>E197+E203+E207</f>
        <v>-1364528.29</v>
      </c>
      <c r="F191" s="5">
        <f>F197+F203+F207+F212</f>
        <v>-1370410.08</v>
      </c>
      <c r="G191" s="5">
        <f t="shared" ref="G191:G195" si="81">F191-E191</f>
        <v>-5881.7900000000373</v>
      </c>
    </row>
    <row r="192" spans="1:7" x14ac:dyDescent="0.35">
      <c r="A192" s="3"/>
      <c r="B192" s="3"/>
      <c r="C192" s="3" t="s">
        <v>55</v>
      </c>
      <c r="D192" s="5">
        <f>D198+D208+D211</f>
        <v>-1667266</v>
      </c>
      <c r="E192" s="5">
        <f>E198+E208+E211</f>
        <v>-1694848.8499999999</v>
      </c>
      <c r="F192" s="5">
        <f t="shared" ref="F192" si="82">F198+F208+F211</f>
        <v>-1373355.94</v>
      </c>
      <c r="G192" s="5">
        <f t="shared" si="81"/>
        <v>321492.90999999992</v>
      </c>
    </row>
    <row r="193" spans="1:7" x14ac:dyDescent="0.35">
      <c r="A193" s="3"/>
      <c r="B193" s="3"/>
      <c r="C193" s="3" t="s">
        <v>101</v>
      </c>
      <c r="D193" s="5">
        <f>D199</f>
        <v>-13</v>
      </c>
      <c r="E193" s="5">
        <f t="shared" ref="E193:F194" si="83">E199</f>
        <v>-12.66</v>
      </c>
      <c r="F193" s="5">
        <f t="shared" si="83"/>
        <v>-13</v>
      </c>
      <c r="G193" s="5">
        <f t="shared" si="81"/>
        <v>-0.33999999999999986</v>
      </c>
    </row>
    <row r="194" spans="1:7" x14ac:dyDescent="0.35">
      <c r="A194" s="3"/>
      <c r="B194" s="3"/>
      <c r="C194" s="3" t="s">
        <v>102</v>
      </c>
      <c r="D194" s="5">
        <f>D200</f>
        <v>-120065</v>
      </c>
      <c r="E194" s="5">
        <f>E200</f>
        <v>-120093.35</v>
      </c>
      <c r="F194" s="5">
        <f t="shared" si="83"/>
        <v>-120093</v>
      </c>
      <c r="G194" s="5">
        <f t="shared" si="81"/>
        <v>0.35000000000582077</v>
      </c>
    </row>
    <row r="195" spans="1:7" x14ac:dyDescent="0.35">
      <c r="A195" s="3"/>
      <c r="B195" s="3"/>
      <c r="C195" s="3" t="s">
        <v>103</v>
      </c>
      <c r="D195" s="5">
        <f>D201+D213</f>
        <v>-6493</v>
      </c>
      <c r="E195" s="5">
        <f t="shared" ref="E195" si="84">E201+E213</f>
        <v>-54123.55</v>
      </c>
      <c r="F195" s="5">
        <f>F201+F213+F204</f>
        <v>-55749.26</v>
      </c>
      <c r="G195" s="5">
        <f t="shared" si="81"/>
        <v>-1625.7099999999991</v>
      </c>
    </row>
    <row r="196" spans="1:7" x14ac:dyDescent="0.35">
      <c r="A196" s="37"/>
      <c r="B196" s="37"/>
      <c r="C196" s="37" t="s">
        <v>105</v>
      </c>
      <c r="D196" s="38">
        <f>SUM(D197:D201)</f>
        <v>-2900252</v>
      </c>
      <c r="E196" s="38">
        <f t="shared" ref="E196:F196" si="85">SUM(E197:E201)</f>
        <v>-3226514.33</v>
      </c>
      <c r="F196" s="38">
        <f t="shared" si="85"/>
        <v>-2899419.99</v>
      </c>
      <c r="G196" s="38">
        <f>F196-E196</f>
        <v>327094.33999999985</v>
      </c>
    </row>
    <row r="197" spans="1:7" x14ac:dyDescent="0.35">
      <c r="A197" s="3"/>
      <c r="B197" s="3"/>
      <c r="C197" s="3" t="s">
        <v>54</v>
      </c>
      <c r="D197" s="5">
        <v>-1114363</v>
      </c>
      <c r="E197" s="5">
        <v>-1363545.68</v>
      </c>
      <c r="F197" s="5">
        <v>-1364049.95</v>
      </c>
      <c r="G197" s="5">
        <f t="shared" ref="G197:G201" si="86">F197-E197</f>
        <v>-504.27000000001863</v>
      </c>
    </row>
    <row r="198" spans="1:7" x14ac:dyDescent="0.35">
      <c r="A198" s="3"/>
      <c r="B198" s="3"/>
      <c r="C198" s="3" t="s">
        <v>55</v>
      </c>
      <c r="D198" s="5">
        <v>-1665428</v>
      </c>
      <c r="E198" s="5">
        <f>-1694658.92-189.93</f>
        <v>-1694848.8499999999</v>
      </c>
      <c r="F198" s="5">
        <v>-1367741.32</v>
      </c>
      <c r="G198" s="5">
        <f t="shared" si="86"/>
        <v>327107.5299999998</v>
      </c>
    </row>
    <row r="199" spans="1:7" x14ac:dyDescent="0.35">
      <c r="A199" s="3"/>
      <c r="B199" s="3"/>
      <c r="C199" s="3" t="s">
        <v>101</v>
      </c>
      <c r="D199" s="5">
        <v>-13</v>
      </c>
      <c r="E199" s="5">
        <v>-12.66</v>
      </c>
      <c r="F199" s="5">
        <v>-13</v>
      </c>
      <c r="G199" s="5">
        <f t="shared" si="86"/>
        <v>-0.33999999999999986</v>
      </c>
    </row>
    <row r="200" spans="1:7" x14ac:dyDescent="0.35">
      <c r="A200" s="3"/>
      <c r="B200" s="3"/>
      <c r="C200" s="3" t="s">
        <v>102</v>
      </c>
      <c r="D200" s="5">
        <v>-120065</v>
      </c>
      <c r="E200" s="5">
        <v>-120093.35</v>
      </c>
      <c r="F200" s="5">
        <v>-120093</v>
      </c>
      <c r="G200" s="5">
        <f t="shared" si="86"/>
        <v>0.35000000000582077</v>
      </c>
    </row>
    <row r="201" spans="1:7" x14ac:dyDescent="0.35">
      <c r="A201" s="3"/>
      <c r="B201" s="3"/>
      <c r="C201" s="3" t="s">
        <v>56</v>
      </c>
      <c r="D201" s="5">
        <v>-383</v>
      </c>
      <c r="E201" s="5">
        <v>-48013.79</v>
      </c>
      <c r="F201" s="5">
        <v>-47522.720000000001</v>
      </c>
      <c r="G201" s="5">
        <f t="shared" si="86"/>
        <v>491.06999999999971</v>
      </c>
    </row>
    <row r="202" spans="1:7" x14ac:dyDescent="0.35">
      <c r="A202" s="37"/>
      <c r="B202" s="37"/>
      <c r="C202" s="37" t="s">
        <v>106</v>
      </c>
      <c r="D202" s="38">
        <f>D203</f>
        <v>-983</v>
      </c>
      <c r="E202" s="38">
        <f t="shared" ref="E202" si="87">E203</f>
        <v>-982.61</v>
      </c>
      <c r="F202" s="38">
        <f>F203+F204</f>
        <v>-574.6</v>
      </c>
      <c r="G202" s="38">
        <f>F202-E202</f>
        <v>408.01</v>
      </c>
    </row>
    <row r="203" spans="1:7" x14ac:dyDescent="0.35">
      <c r="A203" s="3"/>
      <c r="B203" s="3"/>
      <c r="C203" s="3" t="s">
        <v>54</v>
      </c>
      <c r="D203" s="5">
        <v>-983</v>
      </c>
      <c r="E203" s="5">
        <v>-982.61</v>
      </c>
      <c r="F203" s="5">
        <v>-573.6</v>
      </c>
      <c r="G203" s="5">
        <f t="shared" ref="G203:G204" si="88">F203-E203</f>
        <v>409.01</v>
      </c>
    </row>
    <row r="204" spans="1:7" x14ac:dyDescent="0.35">
      <c r="A204" s="3"/>
      <c r="B204" s="3"/>
      <c r="C204" s="3" t="s">
        <v>56</v>
      </c>
      <c r="D204" s="5">
        <v>0</v>
      </c>
      <c r="E204" s="5">
        <v>0</v>
      </c>
      <c r="F204" s="5">
        <v>-1</v>
      </c>
      <c r="G204" s="5">
        <f t="shared" si="88"/>
        <v>-1</v>
      </c>
    </row>
    <row r="205" spans="1:7" s="35" customFormat="1" x14ac:dyDescent="0.35">
      <c r="A205" s="37"/>
      <c r="B205" s="37"/>
      <c r="C205" s="37" t="s">
        <v>107</v>
      </c>
      <c r="D205" s="38">
        <f>SUM(D207:D208)</f>
        <v>-7195</v>
      </c>
      <c r="E205" s="38">
        <f>SUM(E206:E208)</f>
        <v>-6433.25</v>
      </c>
      <c r="F205" s="38">
        <f>SUM(F206:F208)</f>
        <v>-6558.2199999999993</v>
      </c>
      <c r="G205" s="38">
        <f>F205-E205</f>
        <v>-124.96999999999935</v>
      </c>
    </row>
    <row r="206" spans="1:7" x14ac:dyDescent="0.35">
      <c r="A206" s="37"/>
      <c r="B206" s="37"/>
      <c r="C206" s="3" t="s">
        <v>155</v>
      </c>
      <c r="D206" s="5">
        <v>0</v>
      </c>
      <c r="E206" s="5">
        <v>-6433.25</v>
      </c>
      <c r="F206" s="5">
        <v>0</v>
      </c>
      <c r="G206" s="5">
        <f>+F206-E206</f>
        <v>6433.25</v>
      </c>
    </row>
    <row r="207" spans="1:7" x14ac:dyDescent="0.35">
      <c r="A207" s="3"/>
      <c r="B207" s="3"/>
      <c r="C207" s="3" t="s">
        <v>54</v>
      </c>
      <c r="D207" s="5">
        <v>-5386</v>
      </c>
      <c r="E207" s="5">
        <v>0</v>
      </c>
      <c r="F207" s="5">
        <v>-4938.74</v>
      </c>
      <c r="G207" s="5">
        <f t="shared" ref="G207:G208" si="89">F207-E207</f>
        <v>-4938.74</v>
      </c>
    </row>
    <row r="208" spans="1:7" x14ac:dyDescent="0.35">
      <c r="A208" s="37"/>
      <c r="B208" s="37"/>
      <c r="C208" s="3" t="s">
        <v>55</v>
      </c>
      <c r="D208" s="5">
        <v>-1809</v>
      </c>
      <c r="E208" s="5">
        <v>0</v>
      </c>
      <c r="F208" s="5">
        <v>-1619.48</v>
      </c>
      <c r="G208" s="5">
        <f t="shared" si="89"/>
        <v>-1619.48</v>
      </c>
    </row>
    <row r="209" spans="1:7" x14ac:dyDescent="0.35">
      <c r="A209" s="37"/>
      <c r="B209" s="37"/>
      <c r="C209" s="37" t="s">
        <v>108</v>
      </c>
      <c r="D209" s="38">
        <f>SUM(D211:D211)</f>
        <v>-29</v>
      </c>
      <c r="E209" s="38">
        <f>SUM(E210:E212)</f>
        <v>-615.47</v>
      </c>
      <c r="F209" s="38">
        <f>SUM(F210:F212)</f>
        <v>-4842.93</v>
      </c>
      <c r="G209" s="38">
        <f>F209-E209</f>
        <v>-4227.46</v>
      </c>
    </row>
    <row r="210" spans="1:7" x14ac:dyDescent="0.35">
      <c r="A210" s="37"/>
      <c r="B210" s="37"/>
      <c r="C210" s="3" t="s">
        <v>155</v>
      </c>
      <c r="D210" s="5">
        <v>0</v>
      </c>
      <c r="E210" s="5">
        <v>-615.47</v>
      </c>
      <c r="F210" s="5">
        <v>0</v>
      </c>
      <c r="G210" s="5">
        <f>F210-E210</f>
        <v>615.47</v>
      </c>
    </row>
    <row r="211" spans="1:7" x14ac:dyDescent="0.35">
      <c r="A211" s="3"/>
      <c r="B211" s="3"/>
      <c r="C211" s="3" t="s">
        <v>55</v>
      </c>
      <c r="D211" s="5">
        <v>-29</v>
      </c>
      <c r="E211" s="5">
        <v>0</v>
      </c>
      <c r="F211" s="5">
        <v>-3995.14</v>
      </c>
      <c r="G211" s="5">
        <f t="shared" ref="G211:G219" si="90">F211-E211</f>
        <v>-3995.14</v>
      </c>
    </row>
    <row r="212" spans="1:7" x14ac:dyDescent="0.35">
      <c r="A212" s="3"/>
      <c r="B212" s="3"/>
      <c r="C212" s="3" t="s">
        <v>54</v>
      </c>
      <c r="D212" s="5">
        <v>0</v>
      </c>
      <c r="E212" s="5">
        <v>0</v>
      </c>
      <c r="F212" s="5">
        <v>-847.79</v>
      </c>
      <c r="G212" s="5">
        <f t="shared" si="90"/>
        <v>-847.79</v>
      </c>
    </row>
    <row r="213" spans="1:7" x14ac:dyDescent="0.35">
      <c r="A213" s="37"/>
      <c r="B213" s="37"/>
      <c r="C213" s="37" t="s">
        <v>109</v>
      </c>
      <c r="D213" s="38">
        <v>-6110</v>
      </c>
      <c r="E213" s="38">
        <v>-6109.76</v>
      </c>
      <c r="F213" s="38">
        <v>-8225.5400000000009</v>
      </c>
      <c r="G213" s="38">
        <f t="shared" si="90"/>
        <v>-2115.7800000000007</v>
      </c>
    </row>
    <row r="214" spans="1:7" x14ac:dyDescent="0.35">
      <c r="A214" s="75" t="s">
        <v>119</v>
      </c>
      <c r="B214" s="75"/>
      <c r="C214" s="75"/>
      <c r="D214" s="73">
        <f>SUM(D215:D219)</f>
        <v>-22315601</v>
      </c>
      <c r="E214" s="73">
        <f t="shared" ref="E214:F214" si="91">SUM(E215:E219)</f>
        <v>-23991201.34</v>
      </c>
      <c r="F214" s="73">
        <f t="shared" si="91"/>
        <v>-23228873.180000003</v>
      </c>
      <c r="G214" s="73">
        <f t="shared" si="90"/>
        <v>762328.15999999642</v>
      </c>
    </row>
    <row r="215" spans="1:7" x14ac:dyDescent="0.35">
      <c r="A215" s="3"/>
      <c r="B215" s="3" t="s">
        <v>105</v>
      </c>
      <c r="C215" s="3"/>
      <c r="D215" s="5">
        <f>D227+D245+D266+D288+D312</f>
        <v>-21373584</v>
      </c>
      <c r="E215" s="5">
        <f>E227+E245+E266+E288+E312</f>
        <v>-22687907.109999999</v>
      </c>
      <c r="F215" s="5">
        <f t="shared" ref="F215" si="92">F227+F245+F266+F288+F312</f>
        <v>-22243831.789999999</v>
      </c>
      <c r="G215" s="5">
        <f t="shared" si="90"/>
        <v>444075.3200000003</v>
      </c>
    </row>
    <row r="216" spans="1:7" x14ac:dyDescent="0.35">
      <c r="A216" s="3"/>
      <c r="B216" s="3" t="s">
        <v>106</v>
      </c>
      <c r="C216" s="3"/>
      <c r="D216" s="5">
        <f>D250+D294</f>
        <v>-24406</v>
      </c>
      <c r="E216" s="5">
        <f>E250+E294</f>
        <v>-24405.780000000002</v>
      </c>
      <c r="F216" s="5">
        <f>F250+F294+F232+F270+F316</f>
        <v>-31030.44</v>
      </c>
      <c r="G216" s="5">
        <f t="shared" si="90"/>
        <v>-6624.6599999999962</v>
      </c>
    </row>
    <row r="217" spans="1:7" x14ac:dyDescent="0.35">
      <c r="A217" s="3"/>
      <c r="B217" s="3" t="s">
        <v>107</v>
      </c>
      <c r="C217" s="3"/>
      <c r="D217" s="5">
        <f>D253+D272+D297</f>
        <v>-83249</v>
      </c>
      <c r="E217" s="5">
        <f>E253+E272+E297+E318+E234</f>
        <v>-230377.36</v>
      </c>
      <c r="F217" s="5">
        <f>F253+F272+F297+F234+F318</f>
        <v>-179164.49999999997</v>
      </c>
      <c r="G217" s="5">
        <f t="shared" si="90"/>
        <v>51212.860000000015</v>
      </c>
    </row>
    <row r="218" spans="1:7" x14ac:dyDescent="0.35">
      <c r="A218" s="3"/>
      <c r="B218" s="3" t="s">
        <v>108</v>
      </c>
      <c r="C218" s="3"/>
      <c r="D218" s="5">
        <f>D256+D276+D301+D322</f>
        <v>-102242</v>
      </c>
      <c r="E218" s="5">
        <f t="shared" ref="E218:F218" si="93">E256+E276+E301+E322</f>
        <v>-316391.52</v>
      </c>
      <c r="F218" s="5">
        <f t="shared" si="93"/>
        <v>-51239.67</v>
      </c>
      <c r="G218" s="5">
        <f t="shared" si="90"/>
        <v>265151.85000000003</v>
      </c>
    </row>
    <row r="219" spans="1:7" s="35" customFormat="1" x14ac:dyDescent="0.35">
      <c r="A219" s="3"/>
      <c r="B219" s="3" t="s">
        <v>109</v>
      </c>
      <c r="C219" s="3"/>
      <c r="D219" s="5">
        <f>D238+D260+D280+D305+D326</f>
        <v>-732120</v>
      </c>
      <c r="E219" s="5">
        <f t="shared" ref="E219:F219" si="94">E238+E260+E280+E305+E326</f>
        <v>-732119.57</v>
      </c>
      <c r="F219" s="5">
        <f t="shared" si="94"/>
        <v>-723606.77999999991</v>
      </c>
      <c r="G219" s="5">
        <f t="shared" si="90"/>
        <v>8512.7900000000373</v>
      </c>
    </row>
    <row r="220" spans="1:7" x14ac:dyDescent="0.35">
      <c r="A220" s="37"/>
      <c r="B220" s="37" t="s">
        <v>31</v>
      </c>
      <c r="C220" s="37"/>
      <c r="D220" s="38">
        <f>SUM(D222:D226)</f>
        <v>-166138</v>
      </c>
      <c r="E220" s="38">
        <f>SUM(E221:E226)</f>
        <v>-218783.53</v>
      </c>
      <c r="F220" s="38">
        <f>SUM(F221:F226)</f>
        <v>-206749.94000000003</v>
      </c>
      <c r="G220" s="38">
        <f>F220-E220</f>
        <v>12033.589999999967</v>
      </c>
    </row>
    <row r="221" spans="1:7" x14ac:dyDescent="0.35">
      <c r="A221" s="37"/>
      <c r="B221" s="37"/>
      <c r="C221" s="3" t="s">
        <v>155</v>
      </c>
      <c r="D221" s="5">
        <v>0</v>
      </c>
      <c r="E221" s="5">
        <f>+E235</f>
        <v>-22332.34</v>
      </c>
      <c r="F221" s="5">
        <v>0</v>
      </c>
      <c r="G221" s="5">
        <f>F221-E221</f>
        <v>22332.34</v>
      </c>
    </row>
    <row r="222" spans="1:7" s="35" customFormat="1" x14ac:dyDescent="0.35">
      <c r="A222" s="3"/>
      <c r="B222" s="3"/>
      <c r="C222" s="3" t="s">
        <v>54</v>
      </c>
      <c r="D222" s="5">
        <f>D228</f>
        <v>-134451</v>
      </c>
      <c r="E222" s="5">
        <f>E228</f>
        <v>-152408.41</v>
      </c>
      <c r="F222" s="5">
        <f>F228+F236</f>
        <v>-154566.95000000001</v>
      </c>
      <c r="G222" s="5">
        <f t="shared" ref="G222:G226" si="95">F222-E222</f>
        <v>-2158.5400000000081</v>
      </c>
    </row>
    <row r="223" spans="1:7" x14ac:dyDescent="0.35">
      <c r="A223" s="3"/>
      <c r="B223" s="3"/>
      <c r="C223" s="3" t="s">
        <v>55</v>
      </c>
      <c r="D223" s="5">
        <f>D229</f>
        <v>-30269</v>
      </c>
      <c r="E223" s="5">
        <f>E229</f>
        <v>-42615.53</v>
      </c>
      <c r="F223" s="5">
        <f>F229</f>
        <v>-37240.53</v>
      </c>
      <c r="G223" s="5">
        <f t="shared" si="95"/>
        <v>5375</v>
      </c>
    </row>
    <row r="224" spans="1:7" x14ac:dyDescent="0.35">
      <c r="A224" s="3"/>
      <c r="B224" s="3"/>
      <c r="C224" s="3" t="s">
        <v>101</v>
      </c>
      <c r="D224" s="5">
        <f>D230</f>
        <v>-719</v>
      </c>
      <c r="E224" s="5">
        <f t="shared" ref="E224:F224" si="96">E230</f>
        <v>-718.81</v>
      </c>
      <c r="F224" s="5">
        <f t="shared" si="96"/>
        <v>-589.88</v>
      </c>
      <c r="G224" s="5">
        <f t="shared" si="95"/>
        <v>128.92999999999995</v>
      </c>
    </row>
    <row r="225" spans="1:7" x14ac:dyDescent="0.35">
      <c r="A225" s="3"/>
      <c r="B225" s="3"/>
      <c r="C225" s="3" t="s">
        <v>110</v>
      </c>
      <c r="D225" s="5">
        <v>0</v>
      </c>
      <c r="E225" s="5">
        <v>0</v>
      </c>
      <c r="F225" s="5">
        <f>+F237</f>
        <v>-13443.26</v>
      </c>
      <c r="G225" s="5">
        <f t="shared" si="95"/>
        <v>-13443.26</v>
      </c>
    </row>
    <row r="226" spans="1:7" x14ac:dyDescent="0.35">
      <c r="A226" s="3"/>
      <c r="B226" s="3"/>
      <c r="C226" s="3" t="s">
        <v>103</v>
      </c>
      <c r="D226" s="5">
        <f>D231+D238</f>
        <v>-699</v>
      </c>
      <c r="E226" s="5">
        <f t="shared" ref="E226" si="97">E231+E238</f>
        <v>-708.44</v>
      </c>
      <c r="F226" s="5">
        <f>F231+F238+F233</f>
        <v>-909.31999999999994</v>
      </c>
      <c r="G226" s="5">
        <f t="shared" si="95"/>
        <v>-200.87999999999988</v>
      </c>
    </row>
    <row r="227" spans="1:7" x14ac:dyDescent="0.35">
      <c r="A227" s="37"/>
      <c r="B227" s="37"/>
      <c r="C227" s="37" t="s">
        <v>105</v>
      </c>
      <c r="D227" s="38">
        <f>SUM(D228:D231)</f>
        <v>-165570</v>
      </c>
      <c r="E227" s="38">
        <f t="shared" ref="E227:F227" si="98">SUM(E228:E231)</f>
        <v>-195883.33</v>
      </c>
      <c r="F227" s="38">
        <f t="shared" si="98"/>
        <v>-183894.08000000002</v>
      </c>
      <c r="G227" s="38">
        <f>F227-E227</f>
        <v>11989.249999999971</v>
      </c>
    </row>
    <row r="228" spans="1:7" x14ac:dyDescent="0.35">
      <c r="A228" s="3"/>
      <c r="B228" s="3"/>
      <c r="C228" s="3" t="s">
        <v>54</v>
      </c>
      <c r="D228" s="5">
        <v>-134451</v>
      </c>
      <c r="E228" s="5">
        <v>-152408.41</v>
      </c>
      <c r="F228" s="5">
        <v>-145941.16</v>
      </c>
      <c r="G228" s="5">
        <f t="shared" ref="G228:G238" si="99">F228-E228</f>
        <v>6467.25</v>
      </c>
    </row>
    <row r="229" spans="1:7" x14ac:dyDescent="0.35">
      <c r="A229" s="3"/>
      <c r="B229" s="3"/>
      <c r="C229" s="3" t="s">
        <v>55</v>
      </c>
      <c r="D229" s="5">
        <v>-30269</v>
      </c>
      <c r="E229" s="5">
        <f>-41455.4-1160.13</f>
        <v>-42615.53</v>
      </c>
      <c r="F229" s="5">
        <v>-37240.53</v>
      </c>
      <c r="G229" s="5">
        <f t="shared" si="99"/>
        <v>5375</v>
      </c>
    </row>
    <row r="230" spans="1:7" x14ac:dyDescent="0.35">
      <c r="A230" s="3"/>
      <c r="B230" s="3"/>
      <c r="C230" s="3" t="s">
        <v>101</v>
      </c>
      <c r="D230" s="5">
        <v>-719</v>
      </c>
      <c r="E230" s="5">
        <v>-718.81</v>
      </c>
      <c r="F230" s="5">
        <v>-589.88</v>
      </c>
      <c r="G230" s="5">
        <f t="shared" si="99"/>
        <v>128.92999999999995</v>
      </c>
    </row>
    <row r="231" spans="1:7" x14ac:dyDescent="0.35">
      <c r="A231" s="3"/>
      <c r="B231" s="3"/>
      <c r="C231" s="3" t="s">
        <v>56</v>
      </c>
      <c r="D231" s="5">
        <v>-131</v>
      </c>
      <c r="E231" s="5">
        <v>-140.58000000000001</v>
      </c>
      <c r="F231" s="5">
        <v>-122.51</v>
      </c>
      <c r="G231" s="5">
        <f t="shared" si="99"/>
        <v>18.070000000000007</v>
      </c>
    </row>
    <row r="232" spans="1:7" x14ac:dyDescent="0.35">
      <c r="A232" s="3"/>
      <c r="B232" s="3"/>
      <c r="C232" s="37" t="s">
        <v>106</v>
      </c>
      <c r="D232" s="38">
        <v>0</v>
      </c>
      <c r="E232" s="38">
        <v>0</v>
      </c>
      <c r="F232" s="38">
        <f>+F233</f>
        <v>24</v>
      </c>
      <c r="G232" s="38">
        <f t="shared" si="99"/>
        <v>24</v>
      </c>
    </row>
    <row r="233" spans="1:7" s="35" customFormat="1" x14ac:dyDescent="0.35">
      <c r="A233" s="3"/>
      <c r="B233" s="3"/>
      <c r="C233" s="3" t="s">
        <v>56</v>
      </c>
      <c r="D233" s="5">
        <v>0</v>
      </c>
      <c r="E233" s="5">
        <v>0</v>
      </c>
      <c r="F233" s="5">
        <v>24</v>
      </c>
      <c r="G233" s="5">
        <f t="shared" si="99"/>
        <v>24</v>
      </c>
    </row>
    <row r="234" spans="1:7" x14ac:dyDescent="0.35">
      <c r="A234" s="3"/>
      <c r="B234" s="3"/>
      <c r="C234" s="37" t="s">
        <v>107</v>
      </c>
      <c r="D234" s="5">
        <v>0</v>
      </c>
      <c r="E234" s="38">
        <f>+E235+E236+E237</f>
        <v>-22332.34</v>
      </c>
      <c r="F234" s="38">
        <f>+F235+F236+F237</f>
        <v>-22069.050000000003</v>
      </c>
      <c r="G234" s="38">
        <f t="shared" si="99"/>
        <v>263.28999999999724</v>
      </c>
    </row>
    <row r="235" spans="1:7" x14ac:dyDescent="0.35">
      <c r="A235" s="3"/>
      <c r="B235" s="3"/>
      <c r="C235" s="3" t="s">
        <v>155</v>
      </c>
      <c r="D235" s="5">
        <v>0</v>
      </c>
      <c r="E235" s="5">
        <v>-22332.34</v>
      </c>
      <c r="F235" s="5">
        <v>0</v>
      </c>
      <c r="G235" s="5">
        <f t="shared" si="99"/>
        <v>22332.34</v>
      </c>
    </row>
    <row r="236" spans="1:7" s="35" customFormat="1" x14ac:dyDescent="0.35">
      <c r="A236" s="3"/>
      <c r="B236" s="3"/>
      <c r="C236" s="3" t="s">
        <v>54</v>
      </c>
      <c r="D236" s="5">
        <v>0</v>
      </c>
      <c r="E236" s="5">
        <v>0</v>
      </c>
      <c r="F236" s="5">
        <v>-8625.7900000000009</v>
      </c>
      <c r="G236" s="5">
        <f t="shared" si="99"/>
        <v>-8625.7900000000009</v>
      </c>
    </row>
    <row r="237" spans="1:7" x14ac:dyDescent="0.35">
      <c r="A237" s="3"/>
      <c r="B237" s="3"/>
      <c r="C237" s="3" t="s">
        <v>110</v>
      </c>
      <c r="D237" s="5">
        <v>0</v>
      </c>
      <c r="E237" s="5">
        <v>0</v>
      </c>
      <c r="F237" s="5">
        <v>-13443.26</v>
      </c>
      <c r="G237" s="5">
        <f t="shared" si="99"/>
        <v>-13443.26</v>
      </c>
    </row>
    <row r="238" spans="1:7" x14ac:dyDescent="0.35">
      <c r="A238" s="37"/>
      <c r="B238" s="37"/>
      <c r="C238" s="37" t="s">
        <v>109</v>
      </c>
      <c r="D238" s="38">
        <v>-568</v>
      </c>
      <c r="E238" s="38">
        <v>-567.86</v>
      </c>
      <c r="F238" s="38">
        <v>-810.81</v>
      </c>
      <c r="G238" s="38">
        <f t="shared" si="99"/>
        <v>-242.94999999999993</v>
      </c>
    </row>
    <row r="239" spans="1:7" x14ac:dyDescent="0.35">
      <c r="A239" s="37"/>
      <c r="B239" s="37" t="s">
        <v>115</v>
      </c>
      <c r="C239" s="37"/>
      <c r="D239" s="38">
        <f>SUM(D241:D244)</f>
        <v>-2686690</v>
      </c>
      <c r="E239" s="38">
        <f>SUM(E240:E244)</f>
        <v>-3316685.19</v>
      </c>
      <c r="F239" s="38">
        <f>SUM(F241:F244)</f>
        <v>-2961736.0100000002</v>
      </c>
      <c r="G239" s="38">
        <f>F239-E239</f>
        <v>354949.1799999997</v>
      </c>
    </row>
    <row r="240" spans="1:7" x14ac:dyDescent="0.35">
      <c r="A240" s="37"/>
      <c r="B240" s="37"/>
      <c r="C240" s="3" t="s">
        <v>155</v>
      </c>
      <c r="D240" s="5">
        <v>0</v>
      </c>
      <c r="E240" s="5">
        <f>+E257+E254</f>
        <v>-62048.65</v>
      </c>
      <c r="F240" s="5">
        <v>0</v>
      </c>
      <c r="G240" s="5">
        <f>F240-E240</f>
        <v>62048.65</v>
      </c>
    </row>
    <row r="241" spans="1:7" x14ac:dyDescent="0.35">
      <c r="A241" s="3"/>
      <c r="B241" s="3"/>
      <c r="C241" s="3" t="s">
        <v>54</v>
      </c>
      <c r="D241" s="5">
        <f>D246+D251+D258</f>
        <v>-1860605</v>
      </c>
      <c r="E241" s="5">
        <f>E246+E251+E258</f>
        <v>-2501641.7999999998</v>
      </c>
      <c r="F241" s="5">
        <f>F246+F251+F258</f>
        <v>-2309263.67</v>
      </c>
      <c r="G241" s="5">
        <f t="shared" ref="G241:G244" si="100">F241-E241</f>
        <v>192378.12999999989</v>
      </c>
    </row>
    <row r="242" spans="1:7" x14ac:dyDescent="0.35">
      <c r="A242" s="3"/>
      <c r="B242" s="3"/>
      <c r="C242" s="3" t="s">
        <v>55</v>
      </c>
      <c r="D242" s="5">
        <f>D247+D255+D259</f>
        <v>-703977</v>
      </c>
      <c r="E242" s="5">
        <f>E247+E255+E259</f>
        <v>-631180.30999999994</v>
      </c>
      <c r="F242" s="5">
        <f>F247+F255+F259</f>
        <v>-633465.95000000007</v>
      </c>
      <c r="G242" s="5">
        <f t="shared" si="100"/>
        <v>-2285.6400000001304</v>
      </c>
    </row>
    <row r="243" spans="1:7" x14ac:dyDescent="0.35">
      <c r="A243" s="3"/>
      <c r="B243" s="3"/>
      <c r="C243" s="3" t="s">
        <v>102</v>
      </c>
      <c r="D243" s="5">
        <f>D248</f>
        <v>-7061</v>
      </c>
      <c r="E243" s="5">
        <f>E248</f>
        <v>-6178.16</v>
      </c>
      <c r="F243" s="5">
        <f t="shared" ref="F243" si="101">F248</f>
        <v>-1361.87</v>
      </c>
      <c r="G243" s="5">
        <f t="shared" si="100"/>
        <v>4816.29</v>
      </c>
    </row>
    <row r="244" spans="1:7" x14ac:dyDescent="0.35">
      <c r="A244" s="3"/>
      <c r="B244" s="3"/>
      <c r="C244" s="3" t="s">
        <v>103</v>
      </c>
      <c r="D244" s="5">
        <f>D260</f>
        <v>-115047</v>
      </c>
      <c r="E244" s="5">
        <f>E260+E249+E252</f>
        <v>-115636.26999999999</v>
      </c>
      <c r="F244" s="5">
        <f>F260+F249+F252</f>
        <v>-17644.52</v>
      </c>
      <c r="G244" s="5">
        <f t="shared" si="100"/>
        <v>97991.749999999985</v>
      </c>
    </row>
    <row r="245" spans="1:7" x14ac:dyDescent="0.35">
      <c r="A245" s="37"/>
      <c r="B245" s="37"/>
      <c r="C245" s="37" t="s">
        <v>105</v>
      </c>
      <c r="D245" s="38">
        <f>SUM(D246:D248)</f>
        <v>-2560580</v>
      </c>
      <c r="E245" s="38">
        <f>SUM(E246:E249)</f>
        <v>-3131616.16</v>
      </c>
      <c r="F245" s="38">
        <f>SUM(F246:F249)</f>
        <v>-2894419.98</v>
      </c>
      <c r="G245" s="38">
        <f>F245-E245</f>
        <v>237196.18000000017</v>
      </c>
    </row>
    <row r="246" spans="1:7" x14ac:dyDescent="0.35">
      <c r="A246" s="3"/>
      <c r="B246" s="3"/>
      <c r="C246" s="3" t="s">
        <v>54</v>
      </c>
      <c r="D246" s="5">
        <v>-1852343</v>
      </c>
      <c r="E246" s="5">
        <v>-2493668.0099999998</v>
      </c>
      <c r="F246" s="5">
        <v>-2288180.39</v>
      </c>
      <c r="G246" s="5">
        <f t="shared" ref="G246:G249" si="102">F246-E246</f>
        <v>205487.61999999965</v>
      </c>
    </row>
    <row r="247" spans="1:7" x14ac:dyDescent="0.35">
      <c r="A247" s="3"/>
      <c r="B247" s="3"/>
      <c r="C247" s="3" t="s">
        <v>55</v>
      </c>
      <c r="D247" s="5">
        <v>-701176</v>
      </c>
      <c r="E247" s="5">
        <f>-631104.71-75.6</f>
        <v>-631180.30999999994</v>
      </c>
      <c r="F247" s="5">
        <v>-604421.42000000004</v>
      </c>
      <c r="G247" s="5">
        <f t="shared" si="102"/>
        <v>26758.889999999898</v>
      </c>
    </row>
    <row r="248" spans="1:7" x14ac:dyDescent="0.35">
      <c r="A248" s="3"/>
      <c r="B248" s="3"/>
      <c r="C248" s="3" t="s">
        <v>102</v>
      </c>
      <c r="D248" s="5">
        <v>-7061</v>
      </c>
      <c r="E248" s="5">
        <v>-6178.16</v>
      </c>
      <c r="F248" s="5">
        <v>-1361.87</v>
      </c>
      <c r="G248" s="5">
        <f t="shared" si="102"/>
        <v>4816.29</v>
      </c>
    </row>
    <row r="249" spans="1:7" x14ac:dyDescent="0.35">
      <c r="A249" s="3"/>
      <c r="B249" s="3"/>
      <c r="C249" s="3" t="s">
        <v>56</v>
      </c>
      <c r="D249" s="5">
        <v>0</v>
      </c>
      <c r="E249" s="5">
        <v>-589.67999999999995</v>
      </c>
      <c r="F249" s="5">
        <v>-456.3</v>
      </c>
      <c r="G249" s="5">
        <f t="shared" si="102"/>
        <v>133.37999999999994</v>
      </c>
    </row>
    <row r="250" spans="1:7" x14ac:dyDescent="0.35">
      <c r="A250" s="37"/>
      <c r="B250" s="37"/>
      <c r="C250" s="37" t="s">
        <v>106</v>
      </c>
      <c r="D250" s="38">
        <f>D251</f>
        <v>-7974</v>
      </c>
      <c r="E250" s="38">
        <f t="shared" ref="E250" si="103">E251</f>
        <v>-7973.79</v>
      </c>
      <c r="F250" s="38">
        <f>F251+F252</f>
        <v>-21120.28</v>
      </c>
      <c r="G250" s="38">
        <f>F250-E250</f>
        <v>-13146.489999999998</v>
      </c>
    </row>
    <row r="251" spans="1:7" x14ac:dyDescent="0.35">
      <c r="A251" s="3"/>
      <c r="B251" s="3"/>
      <c r="C251" s="3" t="s">
        <v>54</v>
      </c>
      <c r="D251" s="5">
        <v>-7974</v>
      </c>
      <c r="E251" s="5">
        <v>-7973.79</v>
      </c>
      <c r="F251" s="5">
        <v>-21083.279999999999</v>
      </c>
      <c r="G251" s="5">
        <f t="shared" ref="G251:G252" si="104">F251-E251</f>
        <v>-13109.489999999998</v>
      </c>
    </row>
    <row r="252" spans="1:7" x14ac:dyDescent="0.35">
      <c r="A252" s="3"/>
      <c r="B252" s="3"/>
      <c r="C252" s="3" t="s">
        <v>56</v>
      </c>
      <c r="D252" s="5">
        <v>0</v>
      </c>
      <c r="E252" s="5">
        <v>0</v>
      </c>
      <c r="F252" s="5">
        <v>-37</v>
      </c>
      <c r="G252" s="5">
        <f t="shared" si="104"/>
        <v>-37</v>
      </c>
    </row>
    <row r="253" spans="1:7" x14ac:dyDescent="0.35">
      <c r="A253" s="37"/>
      <c r="B253" s="37"/>
      <c r="C253" s="37" t="s">
        <v>107</v>
      </c>
      <c r="D253" s="38">
        <f>SUM(D255:D255)</f>
        <v>-2618</v>
      </c>
      <c r="E253" s="38">
        <f>SUM(E254:E255)</f>
        <v>-51397.68</v>
      </c>
      <c r="F253" s="38">
        <f>SUM(F255:F255)</f>
        <v>-1079.73</v>
      </c>
      <c r="G253" s="38">
        <f>F253-E253</f>
        <v>50317.95</v>
      </c>
    </row>
    <row r="254" spans="1:7" s="35" customFormat="1" x14ac:dyDescent="0.35">
      <c r="A254" s="37"/>
      <c r="B254" s="37"/>
      <c r="C254" s="3" t="s">
        <v>155</v>
      </c>
      <c r="D254" s="5">
        <v>0</v>
      </c>
      <c r="E254" s="5">
        <v>-51397.68</v>
      </c>
      <c r="F254" s="5">
        <v>0</v>
      </c>
      <c r="G254" s="5">
        <f>F254-E254</f>
        <v>51397.68</v>
      </c>
    </row>
    <row r="255" spans="1:7" x14ac:dyDescent="0.35">
      <c r="A255" s="37"/>
      <c r="B255" s="37"/>
      <c r="C255" s="3" t="s">
        <v>55</v>
      </c>
      <c r="D255" s="5">
        <v>-2618</v>
      </c>
      <c r="E255" s="5">
        <v>0</v>
      </c>
      <c r="F255" s="38">
        <v>-1079.73</v>
      </c>
      <c r="G255" s="5">
        <f t="shared" ref="G255" si="105">F255-E255</f>
        <v>-1079.73</v>
      </c>
    </row>
    <row r="256" spans="1:7" s="35" customFormat="1" x14ac:dyDescent="0.35">
      <c r="A256" s="37"/>
      <c r="B256" s="37"/>
      <c r="C256" s="37" t="s">
        <v>108</v>
      </c>
      <c r="D256" s="38">
        <f>SUM(D258:D259)</f>
        <v>-471</v>
      </c>
      <c r="E256" s="38">
        <f>SUM(E257:E259)</f>
        <v>-10650.97</v>
      </c>
      <c r="F256" s="38">
        <f t="shared" ref="F256" si="106">SUM(F258:F259)</f>
        <v>-27964.799999999999</v>
      </c>
      <c r="G256" s="38">
        <f>F256-E256</f>
        <v>-17313.830000000002</v>
      </c>
    </row>
    <row r="257" spans="1:7" x14ac:dyDescent="0.35">
      <c r="A257" s="37"/>
      <c r="B257" s="37"/>
      <c r="C257" s="3" t="s">
        <v>155</v>
      </c>
      <c r="D257" s="5">
        <v>0</v>
      </c>
      <c r="E257" s="5">
        <v>-10650.97</v>
      </c>
      <c r="F257" s="5">
        <v>0</v>
      </c>
      <c r="G257" s="5">
        <f>F257-E257</f>
        <v>10650.97</v>
      </c>
    </row>
    <row r="258" spans="1:7" x14ac:dyDescent="0.35">
      <c r="A258" s="3"/>
      <c r="B258" s="3"/>
      <c r="C258" s="3" t="s">
        <v>54</v>
      </c>
      <c r="D258" s="5">
        <v>-288</v>
      </c>
      <c r="E258" s="5">
        <v>0</v>
      </c>
      <c r="F258" s="5">
        <v>0</v>
      </c>
      <c r="G258" s="5">
        <f t="shared" ref="G258:G260" si="107">F258-E258</f>
        <v>0</v>
      </c>
    </row>
    <row r="259" spans="1:7" x14ac:dyDescent="0.35">
      <c r="A259" s="3"/>
      <c r="B259" s="3"/>
      <c r="C259" s="3" t="s">
        <v>55</v>
      </c>
      <c r="D259" s="5">
        <v>-183</v>
      </c>
      <c r="E259" s="5">
        <v>0</v>
      </c>
      <c r="F259" s="5">
        <v>-27964.799999999999</v>
      </c>
      <c r="G259" s="5">
        <f t="shared" si="107"/>
        <v>-27964.799999999999</v>
      </c>
    </row>
    <row r="260" spans="1:7" x14ac:dyDescent="0.35">
      <c r="A260" s="37"/>
      <c r="B260" s="37"/>
      <c r="C260" s="37" t="s">
        <v>109</v>
      </c>
      <c r="D260" s="38">
        <v>-115047</v>
      </c>
      <c r="E260" s="38">
        <v>-115046.59</v>
      </c>
      <c r="F260" s="38">
        <v>-17151.22</v>
      </c>
      <c r="G260" s="38">
        <f t="shared" si="107"/>
        <v>97895.37</v>
      </c>
    </row>
    <row r="261" spans="1:7" x14ac:dyDescent="0.35">
      <c r="A261" s="37"/>
      <c r="B261" s="37" t="s">
        <v>116</v>
      </c>
      <c r="C261" s="37"/>
      <c r="D261" s="38">
        <f>SUM(D263:D265)</f>
        <v>-2382796</v>
      </c>
      <c r="E261" s="38">
        <f>SUM(E262:E265)</f>
        <v>-2778059.49</v>
      </c>
      <c r="F261" s="38">
        <f>SUM(F263:F265)</f>
        <v>-2648254.71</v>
      </c>
      <c r="G261" s="38">
        <f>F261-E261</f>
        <v>129804.78000000026</v>
      </c>
    </row>
    <row r="262" spans="1:7" x14ac:dyDescent="0.35">
      <c r="A262" s="37"/>
      <c r="B262" s="37"/>
      <c r="C262" s="3" t="s">
        <v>155</v>
      </c>
      <c r="D262" s="5">
        <v>0</v>
      </c>
      <c r="E262" s="5">
        <f>+E273+E277</f>
        <v>-310369.27</v>
      </c>
      <c r="F262" s="5">
        <v>0</v>
      </c>
      <c r="G262" s="5">
        <f>F262-E262</f>
        <v>310369.27</v>
      </c>
    </row>
    <row r="263" spans="1:7" x14ac:dyDescent="0.35">
      <c r="A263" s="3"/>
      <c r="B263" s="3"/>
      <c r="C263" s="3" t="s">
        <v>54</v>
      </c>
      <c r="D263" s="5">
        <f>D267+D274+D278</f>
        <v>-1085023</v>
      </c>
      <c r="E263" s="5">
        <f t="shared" ref="E263:F264" si="108">E267+E274+E278</f>
        <v>-1126570.07</v>
      </c>
      <c r="F263" s="5">
        <f t="shared" si="108"/>
        <v>-1309359.6800000002</v>
      </c>
      <c r="G263" s="5">
        <f t="shared" ref="G263:G265" si="109">F263-E263</f>
        <v>-182789.6100000001</v>
      </c>
    </row>
    <row r="264" spans="1:7" x14ac:dyDescent="0.35">
      <c r="A264" s="3"/>
      <c r="B264" s="3"/>
      <c r="C264" s="3" t="s">
        <v>55</v>
      </c>
      <c r="D264" s="5">
        <f>D268+D275+D279</f>
        <v>-882853</v>
      </c>
      <c r="E264" s="5">
        <f t="shared" si="108"/>
        <v>-925939.3</v>
      </c>
      <c r="F264" s="5">
        <f t="shared" si="108"/>
        <v>-895252.1100000001</v>
      </c>
      <c r="G264" s="5">
        <f t="shared" si="109"/>
        <v>30687.189999999944</v>
      </c>
    </row>
    <row r="265" spans="1:7" s="35" customFormat="1" x14ac:dyDescent="0.35">
      <c r="A265" s="3"/>
      <c r="B265" s="3"/>
      <c r="C265" s="3" t="s">
        <v>103</v>
      </c>
      <c r="D265" s="5">
        <f>D280</f>
        <v>-414920</v>
      </c>
      <c r="E265" s="5">
        <f>E280+E269+E271</f>
        <v>-415180.85000000003</v>
      </c>
      <c r="F265" s="5">
        <f>F280+F269+F271</f>
        <v>-443642.92</v>
      </c>
      <c r="G265" s="5">
        <f t="shared" si="109"/>
        <v>-28462.069999999949</v>
      </c>
    </row>
    <row r="266" spans="1:7" x14ac:dyDescent="0.35">
      <c r="A266" s="37"/>
      <c r="B266" s="37"/>
      <c r="C266" s="37" t="s">
        <v>105</v>
      </c>
      <c r="D266" s="38">
        <f>SUM(D267:D268)</f>
        <v>-1946811</v>
      </c>
      <c r="E266" s="38">
        <f>SUM(E267:E269)</f>
        <v>-2052770.33</v>
      </c>
      <c r="F266" s="38">
        <f>SUM(F267:F269)</f>
        <v>-2136276.4000000004</v>
      </c>
      <c r="G266" s="38">
        <f>F266-E266</f>
        <v>-83506.070000000298</v>
      </c>
    </row>
    <row r="267" spans="1:7" s="35" customFormat="1" x14ac:dyDescent="0.35">
      <c r="A267" s="3"/>
      <c r="B267" s="3"/>
      <c r="C267" s="3" t="s">
        <v>54</v>
      </c>
      <c r="D267" s="5">
        <v>-1069021</v>
      </c>
      <c r="E267" s="5">
        <v>-1126570.07</v>
      </c>
      <c r="F267" s="5">
        <v>-1244426.3700000001</v>
      </c>
      <c r="G267" s="5">
        <f t="shared" ref="G267:G271" si="110">F267-E267</f>
        <v>-117856.30000000005</v>
      </c>
    </row>
    <row r="268" spans="1:7" s="35" customFormat="1" x14ac:dyDescent="0.35">
      <c r="A268" s="3"/>
      <c r="B268" s="3"/>
      <c r="C268" s="3" t="s">
        <v>55</v>
      </c>
      <c r="D268" s="5">
        <v>-877790</v>
      </c>
      <c r="E268" s="5">
        <v>-925939.3</v>
      </c>
      <c r="F268" s="5">
        <v>-891603.03</v>
      </c>
      <c r="G268" s="5">
        <f t="shared" si="110"/>
        <v>34336.270000000019</v>
      </c>
    </row>
    <row r="269" spans="1:7" x14ac:dyDescent="0.35">
      <c r="A269" s="3"/>
      <c r="B269" s="3"/>
      <c r="C269" s="3" t="s">
        <v>56</v>
      </c>
      <c r="D269" s="5">
        <v>0</v>
      </c>
      <c r="E269" s="5">
        <v>-260.95999999999998</v>
      </c>
      <c r="F269" s="5">
        <v>-247</v>
      </c>
      <c r="G269" s="5">
        <f t="shared" si="110"/>
        <v>13.95999999999998</v>
      </c>
    </row>
    <row r="270" spans="1:7" x14ac:dyDescent="0.35">
      <c r="A270" s="3"/>
      <c r="B270" s="3"/>
      <c r="C270" s="37" t="s">
        <v>106</v>
      </c>
      <c r="D270" s="38">
        <v>0</v>
      </c>
      <c r="E270" s="38">
        <v>0</v>
      </c>
      <c r="F270" s="38">
        <f>+F271</f>
        <v>-88.63</v>
      </c>
      <c r="G270" s="38">
        <f t="shared" si="110"/>
        <v>-88.63</v>
      </c>
    </row>
    <row r="271" spans="1:7" x14ac:dyDescent="0.35">
      <c r="A271" s="3"/>
      <c r="B271" s="3"/>
      <c r="C271" s="3" t="s">
        <v>56</v>
      </c>
      <c r="D271" s="5">
        <v>0</v>
      </c>
      <c r="E271" s="5">
        <v>0</v>
      </c>
      <c r="F271" s="5">
        <v>-88.63</v>
      </c>
      <c r="G271" s="5">
        <f t="shared" si="110"/>
        <v>-88.63</v>
      </c>
    </row>
    <row r="272" spans="1:7" x14ac:dyDescent="0.35">
      <c r="A272" s="37"/>
      <c r="B272" s="37"/>
      <c r="C272" s="37" t="s">
        <v>107</v>
      </c>
      <c r="D272" s="38">
        <f>SUM(D274:D275)</f>
        <v>-21029</v>
      </c>
      <c r="E272" s="38">
        <f>SUM(E273:E275)</f>
        <v>-66460.27</v>
      </c>
      <c r="F272" s="38">
        <f>SUM(F273:F275)</f>
        <v>-66213.14</v>
      </c>
      <c r="G272" s="38">
        <f>F272-E272</f>
        <v>247.13000000000466</v>
      </c>
    </row>
    <row r="273" spans="1:7" x14ac:dyDescent="0.35">
      <c r="A273" s="37"/>
      <c r="B273" s="37"/>
      <c r="C273" s="3" t="s">
        <v>155</v>
      </c>
      <c r="D273" s="5">
        <v>0</v>
      </c>
      <c r="E273" s="5">
        <v>-66460.27</v>
      </c>
      <c r="F273" s="5">
        <v>0</v>
      </c>
      <c r="G273" s="5">
        <f>F273-E273</f>
        <v>66460.27</v>
      </c>
    </row>
    <row r="274" spans="1:7" x14ac:dyDescent="0.35">
      <c r="A274" s="3"/>
      <c r="B274" s="3"/>
      <c r="C274" s="3" t="s">
        <v>54</v>
      </c>
      <c r="D274" s="5">
        <v>-15982</v>
      </c>
      <c r="E274" s="5">
        <v>0</v>
      </c>
      <c r="F274" s="5">
        <v>-62569.33</v>
      </c>
      <c r="G274" s="5">
        <f t="shared" ref="G274:G275" si="111">F274-E274</f>
        <v>-62569.33</v>
      </c>
    </row>
    <row r="275" spans="1:7" s="35" customFormat="1" x14ac:dyDescent="0.35">
      <c r="A275" s="37"/>
      <c r="B275" s="37"/>
      <c r="C275" s="3" t="s">
        <v>55</v>
      </c>
      <c r="D275" s="5">
        <v>-5047</v>
      </c>
      <c r="E275" s="5">
        <v>0</v>
      </c>
      <c r="F275" s="5">
        <v>-3643.81</v>
      </c>
      <c r="G275" s="5">
        <f t="shared" si="111"/>
        <v>-3643.81</v>
      </c>
    </row>
    <row r="276" spans="1:7" x14ac:dyDescent="0.35">
      <c r="A276" s="37"/>
      <c r="B276" s="37"/>
      <c r="C276" s="37" t="s">
        <v>108</v>
      </c>
      <c r="D276" s="38">
        <f>SUM(D278:D279)</f>
        <v>-36</v>
      </c>
      <c r="E276" s="38">
        <f>SUM(E277:E279)</f>
        <v>-243909</v>
      </c>
      <c r="F276" s="38">
        <f>SUM(F277:F279)</f>
        <v>-2369.25</v>
      </c>
      <c r="G276" s="38">
        <f>F276-E276</f>
        <v>241539.75</v>
      </c>
    </row>
    <row r="277" spans="1:7" x14ac:dyDescent="0.35">
      <c r="A277" s="37"/>
      <c r="B277" s="37"/>
      <c r="C277" s="3" t="s">
        <v>155</v>
      </c>
      <c r="D277" s="5">
        <v>0</v>
      </c>
      <c r="E277" s="5">
        <v>-243909</v>
      </c>
      <c r="F277" s="5">
        <v>0</v>
      </c>
      <c r="G277" s="5">
        <f>F277-E277</f>
        <v>243909</v>
      </c>
    </row>
    <row r="278" spans="1:7" x14ac:dyDescent="0.35">
      <c r="A278" s="3"/>
      <c r="B278" s="3"/>
      <c r="C278" s="3" t="s">
        <v>54</v>
      </c>
      <c r="D278" s="5">
        <v>-20</v>
      </c>
      <c r="E278" s="5">
        <v>0</v>
      </c>
      <c r="F278" s="5">
        <v>-2363.98</v>
      </c>
      <c r="G278" s="5">
        <f t="shared" ref="G278:G280" si="112">F278-E278</f>
        <v>-2363.98</v>
      </c>
    </row>
    <row r="279" spans="1:7" x14ac:dyDescent="0.35">
      <c r="A279" s="3"/>
      <c r="B279" s="3"/>
      <c r="C279" s="3" t="s">
        <v>55</v>
      </c>
      <c r="D279" s="5">
        <v>-16</v>
      </c>
      <c r="E279" s="5">
        <v>0</v>
      </c>
      <c r="F279" s="5">
        <v>-5.27</v>
      </c>
      <c r="G279" s="5">
        <f t="shared" si="112"/>
        <v>-5.27</v>
      </c>
    </row>
    <row r="280" spans="1:7" x14ac:dyDescent="0.35">
      <c r="A280" s="37"/>
      <c r="B280" s="37"/>
      <c r="C280" s="37" t="s">
        <v>109</v>
      </c>
      <c r="D280" s="38">
        <v>-414920</v>
      </c>
      <c r="E280" s="38">
        <v>-414919.89</v>
      </c>
      <c r="F280" s="38">
        <v>-443307.29</v>
      </c>
      <c r="G280" s="38">
        <f t="shared" si="112"/>
        <v>-28387.399999999965</v>
      </c>
    </row>
    <row r="281" spans="1:7" x14ac:dyDescent="0.35">
      <c r="A281" s="37"/>
      <c r="B281" s="37" t="s">
        <v>117</v>
      </c>
      <c r="C281" s="37"/>
      <c r="D281" s="38">
        <f>SUM(D283:D287)</f>
        <v>-15117179</v>
      </c>
      <c r="E281" s="38">
        <f>SUM(E282:E287)</f>
        <v>-15625096.140000001</v>
      </c>
      <c r="F281" s="38">
        <f t="shared" ref="F281" si="113">SUM(F283:F287)</f>
        <v>-15438748.270000001</v>
      </c>
      <c r="G281" s="38">
        <f>F281-E281</f>
        <v>186347.86999999918</v>
      </c>
    </row>
    <row r="282" spans="1:7" x14ac:dyDescent="0.35">
      <c r="A282" s="37"/>
      <c r="B282" s="37"/>
      <c r="C282" s="3" t="s">
        <v>155</v>
      </c>
      <c r="D282" s="5">
        <v>0</v>
      </c>
      <c r="E282" s="5">
        <f>+E298+E302</f>
        <v>-98193.91</v>
      </c>
      <c r="F282" s="5">
        <v>0</v>
      </c>
      <c r="G282" s="5">
        <f>F282-E282</f>
        <v>98193.91</v>
      </c>
    </row>
    <row r="283" spans="1:7" x14ac:dyDescent="0.35">
      <c r="A283" s="3"/>
      <c r="B283" s="3"/>
      <c r="C283" s="3" t="s">
        <v>54</v>
      </c>
      <c r="D283" s="5">
        <f>D289+D295+D299</f>
        <v>-11814713</v>
      </c>
      <c r="E283" s="5">
        <f>E289+E295+E299</f>
        <v>-12001679.870000001</v>
      </c>
      <c r="F283" s="5">
        <f>F289+F295+F299+F303</f>
        <v>-12083540.160000002</v>
      </c>
      <c r="G283" s="5">
        <f t="shared" ref="G283:G287" si="114">F283-E283</f>
        <v>-81860.290000000969</v>
      </c>
    </row>
    <row r="284" spans="1:7" x14ac:dyDescent="0.35">
      <c r="A284" s="3"/>
      <c r="B284" s="3"/>
      <c r="C284" s="3" t="s">
        <v>55</v>
      </c>
      <c r="D284" s="5">
        <f>D290+D300+D304</f>
        <v>-3095638</v>
      </c>
      <c r="E284" s="5">
        <f t="shared" ref="E284" si="115">E290+E300+E304</f>
        <v>-3313979.58</v>
      </c>
      <c r="F284" s="5">
        <f>F290+F300+F304</f>
        <v>-3083939.24</v>
      </c>
      <c r="G284" s="5">
        <f t="shared" si="114"/>
        <v>230040.33999999985</v>
      </c>
    </row>
    <row r="285" spans="1:7" x14ac:dyDescent="0.35">
      <c r="A285" s="3"/>
      <c r="B285" s="3"/>
      <c r="C285" s="3" t="s">
        <v>101</v>
      </c>
      <c r="D285" s="5">
        <f>D291</f>
        <v>-212</v>
      </c>
      <c r="E285" s="5">
        <f t="shared" ref="E285:F286" si="116">E291</f>
        <v>-211.75</v>
      </c>
      <c r="F285" s="5">
        <f t="shared" si="116"/>
        <v>-211.75</v>
      </c>
      <c r="G285" s="5">
        <f t="shared" si="114"/>
        <v>0</v>
      </c>
    </row>
    <row r="286" spans="1:7" x14ac:dyDescent="0.35">
      <c r="A286" s="3"/>
      <c r="B286" s="3"/>
      <c r="C286" s="3" t="s">
        <v>102</v>
      </c>
      <c r="D286" s="5">
        <f>D292</f>
        <v>-1084</v>
      </c>
      <c r="E286" s="5">
        <f t="shared" si="116"/>
        <v>-1561.04</v>
      </c>
      <c r="F286" s="5">
        <f t="shared" si="116"/>
        <v>-1561.04</v>
      </c>
      <c r="G286" s="5">
        <f t="shared" si="114"/>
        <v>0</v>
      </c>
    </row>
    <row r="287" spans="1:7" x14ac:dyDescent="0.35">
      <c r="A287" s="3"/>
      <c r="B287" s="3"/>
      <c r="C287" s="3" t="s">
        <v>103</v>
      </c>
      <c r="D287" s="5">
        <f>D293+D305</f>
        <v>-205532</v>
      </c>
      <c r="E287" s="5">
        <f t="shared" ref="E287" si="117">E293+E305</f>
        <v>-209469.99000000002</v>
      </c>
      <c r="F287" s="5">
        <f>F293+F305+F296</f>
        <v>-269496.07999999996</v>
      </c>
      <c r="G287" s="5">
        <f t="shared" si="114"/>
        <v>-60026.089999999938</v>
      </c>
    </row>
    <row r="288" spans="1:7" x14ac:dyDescent="0.35">
      <c r="A288" s="37"/>
      <c r="B288" s="37"/>
      <c r="C288" s="37" t="s">
        <v>105</v>
      </c>
      <c r="D288" s="38">
        <f>SUM(D289:D293)</f>
        <v>-14841499</v>
      </c>
      <c r="E288" s="38">
        <f t="shared" ref="E288:F288" si="118">SUM(E289:E293)</f>
        <v>-15311317.01</v>
      </c>
      <c r="F288" s="38">
        <f t="shared" si="118"/>
        <v>-15074157.26</v>
      </c>
      <c r="G288" s="38">
        <f>F288-E288</f>
        <v>237159.75</v>
      </c>
    </row>
    <row r="289" spans="1:7" x14ac:dyDescent="0.35">
      <c r="A289" s="3"/>
      <c r="B289" s="3"/>
      <c r="C289" s="3" t="s">
        <v>54</v>
      </c>
      <c r="D289" s="5">
        <v>-11747810</v>
      </c>
      <c r="E289" s="5">
        <v>-11985247.880000001</v>
      </c>
      <c r="F289" s="5">
        <v>-12000037.720000001</v>
      </c>
      <c r="G289" s="5">
        <f t="shared" ref="G289:G293" si="119">F289-E289</f>
        <v>-14789.839999999851</v>
      </c>
    </row>
    <row r="290" spans="1:7" x14ac:dyDescent="0.35">
      <c r="A290" s="3"/>
      <c r="B290" s="3"/>
      <c r="C290" s="3" t="s">
        <v>55</v>
      </c>
      <c r="D290" s="5">
        <v>-3086014</v>
      </c>
      <c r="E290" s="5">
        <v>-3313979.58</v>
      </c>
      <c r="F290" s="5">
        <v>-3062705.32</v>
      </c>
      <c r="G290" s="5">
        <f t="shared" si="119"/>
        <v>251274.26000000024</v>
      </c>
    </row>
    <row r="291" spans="1:7" s="35" customFormat="1" x14ac:dyDescent="0.35">
      <c r="A291" s="3"/>
      <c r="B291" s="3"/>
      <c r="C291" s="3" t="s">
        <v>101</v>
      </c>
      <c r="D291" s="5">
        <v>-212</v>
      </c>
      <c r="E291" s="5">
        <v>-211.75</v>
      </c>
      <c r="F291" s="5">
        <v>-211.75</v>
      </c>
      <c r="G291" s="5">
        <f t="shared" si="119"/>
        <v>0</v>
      </c>
    </row>
    <row r="292" spans="1:7" x14ac:dyDescent="0.35">
      <c r="A292" s="3"/>
      <c r="B292" s="3"/>
      <c r="C292" s="3" t="s">
        <v>102</v>
      </c>
      <c r="D292" s="5">
        <v>-1084</v>
      </c>
      <c r="E292" s="5">
        <v>-1561.04</v>
      </c>
      <c r="F292" s="5">
        <v>-1561.04</v>
      </c>
      <c r="G292" s="5">
        <f t="shared" si="119"/>
        <v>0</v>
      </c>
    </row>
    <row r="293" spans="1:7" x14ac:dyDescent="0.35">
      <c r="A293" s="3"/>
      <c r="B293" s="3"/>
      <c r="C293" s="3" t="s">
        <v>56</v>
      </c>
      <c r="D293" s="5">
        <v>-6379</v>
      </c>
      <c r="E293" s="5">
        <v>-10316.76</v>
      </c>
      <c r="F293" s="5">
        <v>-9641.43</v>
      </c>
      <c r="G293" s="5">
        <f t="shared" si="119"/>
        <v>675.32999999999993</v>
      </c>
    </row>
    <row r="294" spans="1:7" x14ac:dyDescent="0.35">
      <c r="A294" s="37"/>
      <c r="B294" s="37"/>
      <c r="C294" s="37" t="s">
        <v>106</v>
      </c>
      <c r="D294" s="38">
        <f>D295</f>
        <v>-16432</v>
      </c>
      <c r="E294" s="38">
        <f t="shared" ref="E294" si="120">E295</f>
        <v>-16431.990000000002</v>
      </c>
      <c r="F294" s="38">
        <f>F295+F296</f>
        <v>-9583.4600000000009</v>
      </c>
      <c r="G294" s="38">
        <f>F294-E294</f>
        <v>6848.5300000000007</v>
      </c>
    </row>
    <row r="295" spans="1:7" x14ac:dyDescent="0.35">
      <c r="A295" s="3"/>
      <c r="B295" s="3"/>
      <c r="C295" s="3" t="s">
        <v>54</v>
      </c>
      <c r="D295" s="5">
        <v>-16432</v>
      </c>
      <c r="E295" s="5">
        <v>-16431.990000000002</v>
      </c>
      <c r="F295" s="5">
        <v>-9581.17</v>
      </c>
      <c r="G295" s="5">
        <f t="shared" ref="G295:G296" si="121">F295-E295</f>
        <v>6850.8200000000015</v>
      </c>
    </row>
    <row r="296" spans="1:7" x14ac:dyDescent="0.35">
      <c r="A296" s="3"/>
      <c r="B296" s="3"/>
      <c r="C296" s="3" t="s">
        <v>56</v>
      </c>
      <c r="D296" s="5">
        <v>0</v>
      </c>
      <c r="E296" s="5">
        <v>0</v>
      </c>
      <c r="F296" s="5">
        <v>-2.29</v>
      </c>
      <c r="G296" s="5">
        <f t="shared" si="121"/>
        <v>-2.29</v>
      </c>
    </row>
    <row r="297" spans="1:7" x14ac:dyDescent="0.35">
      <c r="A297" s="37"/>
      <c r="B297" s="37"/>
      <c r="C297" s="37" t="s">
        <v>107</v>
      </c>
      <c r="D297" s="38">
        <f>SUM(D299:D300)</f>
        <v>-59602</v>
      </c>
      <c r="E297" s="38">
        <f>SUM(E298:E300)</f>
        <v>-89861.42</v>
      </c>
      <c r="F297" s="38">
        <f>SUM(F299:F300)</f>
        <v>-89302</v>
      </c>
      <c r="G297" s="38">
        <f>F297-E297</f>
        <v>559.41999999999825</v>
      </c>
    </row>
    <row r="298" spans="1:7" x14ac:dyDescent="0.35">
      <c r="A298" s="37"/>
      <c r="B298" s="37"/>
      <c r="C298" s="3" t="s">
        <v>155</v>
      </c>
      <c r="D298" s="5">
        <v>0</v>
      </c>
      <c r="E298" s="5">
        <v>-89861.42</v>
      </c>
      <c r="F298" s="5">
        <v>0</v>
      </c>
      <c r="G298" s="5">
        <f t="shared" ref="G298:G300" si="122">F298-E298</f>
        <v>89861.42</v>
      </c>
    </row>
    <row r="299" spans="1:7" x14ac:dyDescent="0.35">
      <c r="A299" s="3"/>
      <c r="B299" s="3"/>
      <c r="C299" s="3" t="s">
        <v>54</v>
      </c>
      <c r="D299" s="5">
        <v>-50471</v>
      </c>
      <c r="E299" s="5">
        <v>0</v>
      </c>
      <c r="F299" s="5">
        <v>-69552.800000000003</v>
      </c>
      <c r="G299" s="5">
        <f t="shared" si="122"/>
        <v>-69552.800000000003</v>
      </c>
    </row>
    <row r="300" spans="1:7" x14ac:dyDescent="0.35">
      <c r="A300" s="37"/>
      <c r="B300" s="37"/>
      <c r="C300" s="3" t="s">
        <v>55</v>
      </c>
      <c r="D300" s="5">
        <v>-9131</v>
      </c>
      <c r="E300" s="5">
        <v>0</v>
      </c>
      <c r="F300" s="5">
        <v>-19749.2</v>
      </c>
      <c r="G300" s="5">
        <f t="shared" si="122"/>
        <v>-19749.2</v>
      </c>
    </row>
    <row r="301" spans="1:7" x14ac:dyDescent="0.35">
      <c r="A301" s="37"/>
      <c r="B301" s="37"/>
      <c r="C301" s="37" t="s">
        <v>108</v>
      </c>
      <c r="D301" s="38">
        <f>SUM(D304:D304)</f>
        <v>-493</v>
      </c>
      <c r="E301" s="38">
        <f>SUM(E302:E304)</f>
        <v>-8332.49</v>
      </c>
      <c r="F301" s="38">
        <f>SUM(F302:F304)</f>
        <v>-5853.1900000000005</v>
      </c>
      <c r="G301" s="38">
        <f>F301-E301</f>
        <v>2479.2999999999993</v>
      </c>
    </row>
    <row r="302" spans="1:7" x14ac:dyDescent="0.35">
      <c r="A302" s="37"/>
      <c r="B302" s="37"/>
      <c r="C302" s="3" t="s">
        <v>155</v>
      </c>
      <c r="D302" s="5">
        <v>0</v>
      </c>
      <c r="E302" s="5">
        <v>-8332.49</v>
      </c>
      <c r="F302" s="5">
        <v>0</v>
      </c>
      <c r="G302" s="5">
        <f t="shared" ref="G302:G305" si="123">F302-E302</f>
        <v>8332.49</v>
      </c>
    </row>
    <row r="303" spans="1:7" x14ac:dyDescent="0.35">
      <c r="A303" s="37"/>
      <c r="B303" s="37"/>
      <c r="C303" s="3" t="s">
        <v>54</v>
      </c>
      <c r="D303" s="5">
        <v>0</v>
      </c>
      <c r="E303" s="5">
        <v>0</v>
      </c>
      <c r="F303" s="5">
        <v>-4368.47</v>
      </c>
      <c r="G303" s="5">
        <f t="shared" si="123"/>
        <v>-4368.47</v>
      </c>
    </row>
    <row r="304" spans="1:7" s="35" customFormat="1" x14ac:dyDescent="0.35">
      <c r="A304" s="3"/>
      <c r="B304" s="3"/>
      <c r="C304" s="3" t="s">
        <v>55</v>
      </c>
      <c r="D304" s="5">
        <v>-493</v>
      </c>
      <c r="E304" s="5">
        <v>0</v>
      </c>
      <c r="F304" s="5">
        <v>-1484.72</v>
      </c>
      <c r="G304" s="5">
        <f t="shared" si="123"/>
        <v>-1484.72</v>
      </c>
    </row>
    <row r="305" spans="1:7" x14ac:dyDescent="0.35">
      <c r="A305" s="37"/>
      <c r="B305" s="37"/>
      <c r="C305" s="37" t="s">
        <v>109</v>
      </c>
      <c r="D305" s="38">
        <v>-199153</v>
      </c>
      <c r="E305" s="38">
        <v>-199153.23</v>
      </c>
      <c r="F305" s="38">
        <v>-259852.36</v>
      </c>
      <c r="G305" s="38">
        <f t="shared" si="123"/>
        <v>-60699.129999999976</v>
      </c>
    </row>
    <row r="306" spans="1:7" x14ac:dyDescent="0.35">
      <c r="A306" s="37"/>
      <c r="B306" s="37" t="s">
        <v>120</v>
      </c>
      <c r="C306" s="37"/>
      <c r="D306" s="38">
        <f>SUM(D308:D311)</f>
        <v>-1962798</v>
      </c>
      <c r="E306" s="38">
        <f>SUM(E307:E311)</f>
        <v>-2052576.99</v>
      </c>
      <c r="F306" s="38">
        <f>SUM(F307:F311)</f>
        <v>-1973384.25</v>
      </c>
      <c r="G306" s="38">
        <f>F306-E306</f>
        <v>79192.739999999991</v>
      </c>
    </row>
    <row r="307" spans="1:7" s="35" customFormat="1" x14ac:dyDescent="0.35">
      <c r="A307" s="37"/>
      <c r="B307" s="37"/>
      <c r="C307" s="3" t="s">
        <v>155</v>
      </c>
      <c r="D307" s="5">
        <v>0</v>
      </c>
      <c r="E307" s="5">
        <f>+E319+E323</f>
        <v>-53824.71</v>
      </c>
      <c r="F307" s="5">
        <v>0</v>
      </c>
      <c r="G307" s="5">
        <f>F307-E307</f>
        <v>53824.71</v>
      </c>
    </row>
    <row r="308" spans="1:7" x14ac:dyDescent="0.35">
      <c r="A308" s="3"/>
      <c r="B308" s="3"/>
      <c r="C308" s="3" t="s">
        <v>54</v>
      </c>
      <c r="D308" s="5">
        <f>D313+D324</f>
        <v>-1708453</v>
      </c>
      <c r="E308" s="5">
        <f>E313+E324</f>
        <v>-1760450</v>
      </c>
      <c r="F308" s="5">
        <f>F313+F324+F317+F320</f>
        <v>-1784561.79</v>
      </c>
      <c r="G308" s="5">
        <f t="shared" ref="G308:G311" si="124">F308-E308</f>
        <v>-24111.790000000037</v>
      </c>
    </row>
    <row r="309" spans="1:7" x14ac:dyDescent="0.35">
      <c r="A309" s="3"/>
      <c r="B309" s="3"/>
      <c r="C309" s="3" t="s">
        <v>55</v>
      </c>
      <c r="D309" s="5">
        <f>D314</f>
        <v>-250373</v>
      </c>
      <c r="E309" s="5">
        <f>E314</f>
        <v>-235833.45</v>
      </c>
      <c r="F309" s="5">
        <f>F314+F321</f>
        <v>-186196.36</v>
      </c>
      <c r="G309" s="5">
        <f>F309-E309</f>
        <v>49637.090000000026</v>
      </c>
    </row>
    <row r="310" spans="1:7" x14ac:dyDescent="0.35">
      <c r="A310" s="3"/>
      <c r="B310" s="3"/>
      <c r="C310" s="3" t="s">
        <v>101</v>
      </c>
      <c r="D310" s="5">
        <v>0</v>
      </c>
      <c r="E310" s="5">
        <f>+E325</f>
        <v>0</v>
      </c>
      <c r="F310" s="5">
        <f>+F325</f>
        <v>-141</v>
      </c>
      <c r="G310" s="5">
        <f t="shared" si="124"/>
        <v>-141</v>
      </c>
    </row>
    <row r="311" spans="1:7" x14ac:dyDescent="0.35">
      <c r="A311" s="3"/>
      <c r="B311" s="3"/>
      <c r="C311" s="3" t="s">
        <v>103</v>
      </c>
      <c r="D311" s="5">
        <f>D315+D326</f>
        <v>-3972</v>
      </c>
      <c r="E311" s="5">
        <f t="shared" ref="E311" si="125">E315+E326</f>
        <v>-2468.83</v>
      </c>
      <c r="F311" s="5">
        <f>F315+F326</f>
        <v>-2485.1</v>
      </c>
      <c r="G311" s="5">
        <f t="shared" si="124"/>
        <v>-16.269999999999982</v>
      </c>
    </row>
    <row r="312" spans="1:7" x14ac:dyDescent="0.35">
      <c r="A312" s="37"/>
      <c r="B312" s="37"/>
      <c r="C312" s="37" t="s">
        <v>105</v>
      </c>
      <c r="D312" s="38">
        <f>SUM(D313:D315)</f>
        <v>-1859124</v>
      </c>
      <c r="E312" s="38">
        <f>SUM(E313:E315)</f>
        <v>-1996320.28</v>
      </c>
      <c r="F312" s="38">
        <f>SUM(F313:F315)</f>
        <v>-1955084.07</v>
      </c>
      <c r="G312" s="38">
        <f>F312-E312</f>
        <v>41236.209999999963</v>
      </c>
    </row>
    <row r="313" spans="1:7" x14ac:dyDescent="0.35">
      <c r="A313" s="3"/>
      <c r="B313" s="3"/>
      <c r="C313" s="3" t="s">
        <v>54</v>
      </c>
      <c r="D313" s="5">
        <v>-1607211</v>
      </c>
      <c r="E313" s="5">
        <v>-1760450</v>
      </c>
      <c r="F313" s="5">
        <v>-1769113.8</v>
      </c>
      <c r="G313" s="5">
        <f t="shared" ref="G313:G321" si="126">F313-E313</f>
        <v>-8663.8000000000466</v>
      </c>
    </row>
    <row r="314" spans="1:7" x14ac:dyDescent="0.35">
      <c r="A314" s="3"/>
      <c r="B314" s="3"/>
      <c r="C314" s="3" t="s">
        <v>55</v>
      </c>
      <c r="D314" s="5">
        <v>-250373</v>
      </c>
      <c r="E314" s="5">
        <v>-235833.45</v>
      </c>
      <c r="F314" s="5">
        <v>-185970.27</v>
      </c>
      <c r="G314" s="5">
        <f t="shared" si="126"/>
        <v>49863.180000000022</v>
      </c>
    </row>
    <row r="315" spans="1:7" x14ac:dyDescent="0.35">
      <c r="A315" s="3"/>
      <c r="B315" s="3"/>
      <c r="C315" s="3" t="s">
        <v>56</v>
      </c>
      <c r="D315" s="5">
        <v>-1540</v>
      </c>
      <c r="E315" s="5">
        <v>-36.83</v>
      </c>
      <c r="F315" s="5">
        <v>0</v>
      </c>
      <c r="G315" s="5">
        <f t="shared" si="126"/>
        <v>36.83</v>
      </c>
    </row>
    <row r="316" spans="1:7" x14ac:dyDescent="0.35">
      <c r="A316" s="3"/>
      <c r="B316" s="3"/>
      <c r="C316" s="37" t="s">
        <v>106</v>
      </c>
      <c r="D316" s="38">
        <v>0</v>
      </c>
      <c r="E316" s="38">
        <f>+E317</f>
        <v>0</v>
      </c>
      <c r="F316" s="38">
        <f>+F317</f>
        <v>-262.07</v>
      </c>
      <c r="G316" s="38">
        <f t="shared" si="126"/>
        <v>-262.07</v>
      </c>
    </row>
    <row r="317" spans="1:7" s="35" customFormat="1" x14ac:dyDescent="0.35">
      <c r="A317" s="3"/>
      <c r="B317" s="3"/>
      <c r="C317" s="3" t="s">
        <v>54</v>
      </c>
      <c r="D317" s="5">
        <v>0</v>
      </c>
      <c r="E317" s="5">
        <v>0</v>
      </c>
      <c r="F317" s="5">
        <v>-262.07</v>
      </c>
      <c r="G317" s="5">
        <f t="shared" si="126"/>
        <v>-262.07</v>
      </c>
    </row>
    <row r="318" spans="1:7" s="35" customFormat="1" x14ac:dyDescent="0.35">
      <c r="A318" s="3"/>
      <c r="B318" s="3"/>
      <c r="C318" s="37" t="s">
        <v>107</v>
      </c>
      <c r="D318" s="38">
        <v>0</v>
      </c>
      <c r="E318" s="38">
        <f>+E319+E320+E321</f>
        <v>-325.64999999999998</v>
      </c>
      <c r="F318" s="38">
        <f>+F319+F320+F321</f>
        <v>-500.58000000000004</v>
      </c>
      <c r="G318" s="38">
        <f t="shared" si="126"/>
        <v>-174.93000000000006</v>
      </c>
    </row>
    <row r="319" spans="1:7" x14ac:dyDescent="0.35">
      <c r="A319" s="3"/>
      <c r="B319" s="3"/>
      <c r="C319" s="3" t="s">
        <v>155</v>
      </c>
      <c r="D319" s="5">
        <v>0</v>
      </c>
      <c r="E319" s="5">
        <v>-325.64999999999998</v>
      </c>
      <c r="F319" s="5">
        <v>0</v>
      </c>
      <c r="G319" s="5">
        <f t="shared" si="126"/>
        <v>325.64999999999998</v>
      </c>
    </row>
    <row r="320" spans="1:7" x14ac:dyDescent="0.35">
      <c r="A320" s="3"/>
      <c r="B320" s="3"/>
      <c r="C320" s="3" t="s">
        <v>54</v>
      </c>
      <c r="D320" s="5">
        <v>0</v>
      </c>
      <c r="E320" s="5">
        <v>0</v>
      </c>
      <c r="F320" s="2">
        <v>-274.49</v>
      </c>
      <c r="G320" s="5">
        <f t="shared" si="126"/>
        <v>-274.49</v>
      </c>
    </row>
    <row r="321" spans="1:7" x14ac:dyDescent="0.35">
      <c r="A321" s="3"/>
      <c r="B321" s="3"/>
      <c r="C321" s="3" t="s">
        <v>55</v>
      </c>
      <c r="D321" s="5">
        <v>0</v>
      </c>
      <c r="E321" s="5">
        <v>0</v>
      </c>
      <c r="F321" s="5">
        <v>-226.09</v>
      </c>
      <c r="G321" s="5">
        <f t="shared" si="126"/>
        <v>-226.09</v>
      </c>
    </row>
    <row r="322" spans="1:7" x14ac:dyDescent="0.35">
      <c r="A322" s="37"/>
      <c r="B322" s="37"/>
      <c r="C322" s="37" t="s">
        <v>108</v>
      </c>
      <c r="D322" s="38">
        <f>SUM(D324:D324)</f>
        <v>-101242</v>
      </c>
      <c r="E322" s="38">
        <f>SUM(E323:E325)</f>
        <v>-53499.06</v>
      </c>
      <c r="F322" s="38">
        <f>SUM(F323:F325)</f>
        <v>-15052.43</v>
      </c>
      <c r="G322" s="38">
        <f>F322-E322</f>
        <v>38446.629999999997</v>
      </c>
    </row>
    <row r="323" spans="1:7" x14ac:dyDescent="0.35">
      <c r="A323" s="37"/>
      <c r="B323" s="37"/>
      <c r="C323" s="3" t="s">
        <v>155</v>
      </c>
      <c r="D323" s="5">
        <v>0</v>
      </c>
      <c r="E323" s="5">
        <v>-53499.06</v>
      </c>
      <c r="F323" s="5">
        <v>0</v>
      </c>
      <c r="G323" s="5">
        <f t="shared" ref="G323:G339" si="127">F323-E323</f>
        <v>53499.06</v>
      </c>
    </row>
    <row r="324" spans="1:7" x14ac:dyDescent="0.35">
      <c r="A324" s="3"/>
      <c r="B324" s="3"/>
      <c r="C324" s="3" t="s">
        <v>54</v>
      </c>
      <c r="D324" s="5">
        <v>-101242</v>
      </c>
      <c r="E324" s="5">
        <v>0</v>
      </c>
      <c r="F324" s="5">
        <v>-14911.43</v>
      </c>
      <c r="G324" s="5">
        <f t="shared" si="127"/>
        <v>-14911.43</v>
      </c>
    </row>
    <row r="325" spans="1:7" x14ac:dyDescent="0.35">
      <c r="A325" s="3"/>
      <c r="B325" s="3"/>
      <c r="C325" s="3" t="s">
        <v>101</v>
      </c>
      <c r="D325" s="5">
        <v>0</v>
      </c>
      <c r="E325" s="5">
        <v>0</v>
      </c>
      <c r="F325" s="5">
        <v>-141</v>
      </c>
      <c r="G325" s="5">
        <f t="shared" si="127"/>
        <v>-141</v>
      </c>
    </row>
    <row r="326" spans="1:7" x14ac:dyDescent="0.35">
      <c r="A326" s="37"/>
      <c r="B326" s="37"/>
      <c r="C326" s="37" t="s">
        <v>109</v>
      </c>
      <c r="D326" s="38">
        <v>-2432</v>
      </c>
      <c r="E326" s="67">
        <v>-2432</v>
      </c>
      <c r="F326" s="38">
        <v>-2485.1</v>
      </c>
      <c r="G326" s="38">
        <f t="shared" si="127"/>
        <v>-53.099999999999909</v>
      </c>
    </row>
    <row r="327" spans="1:7" x14ac:dyDescent="0.35">
      <c r="A327" s="73" t="s">
        <v>121</v>
      </c>
      <c r="B327" s="75"/>
      <c r="C327" s="75"/>
      <c r="D327" s="73">
        <f>SUM(D328:D333)</f>
        <v>-225280333</v>
      </c>
      <c r="E327" s="73">
        <f>SUM(E328:E333)</f>
        <v>-253318939.36089766</v>
      </c>
      <c r="F327" s="73">
        <f>SUM(F328:F333)</f>
        <v>-245110637.18000001</v>
      </c>
      <c r="G327" s="73">
        <f t="shared" si="127"/>
        <v>8208302.1808976531</v>
      </c>
    </row>
    <row r="328" spans="1:7" x14ac:dyDescent="0.35">
      <c r="A328" s="36"/>
      <c r="B328" s="3" t="s">
        <v>105</v>
      </c>
      <c r="C328" s="3"/>
      <c r="D328" s="5">
        <f t="shared" ref="D328:F331" si="128">D335+D403+D478+D546+D617+D690</f>
        <v>-210590272</v>
      </c>
      <c r="E328" s="5">
        <f t="shared" si="128"/>
        <v>-232589470.90000001</v>
      </c>
      <c r="F328" s="5">
        <f t="shared" si="128"/>
        <v>-224940031.27000001</v>
      </c>
      <c r="G328" s="5">
        <f t="shared" si="127"/>
        <v>7649439.6299999952</v>
      </c>
    </row>
    <row r="329" spans="1:7" x14ac:dyDescent="0.35">
      <c r="A329" s="36"/>
      <c r="B329" s="3" t="s">
        <v>106</v>
      </c>
      <c r="C329" s="3"/>
      <c r="D329" s="5">
        <f t="shared" si="128"/>
        <v>-666330</v>
      </c>
      <c r="E329" s="5">
        <f t="shared" si="128"/>
        <v>-666329.55000000005</v>
      </c>
      <c r="F329" s="5">
        <f t="shared" si="128"/>
        <v>-1718664.5499999998</v>
      </c>
      <c r="G329" s="5">
        <f t="shared" si="127"/>
        <v>-1052334.9999999998</v>
      </c>
    </row>
    <row r="330" spans="1:7" x14ac:dyDescent="0.35">
      <c r="A330" s="3"/>
      <c r="B330" s="3" t="s">
        <v>107</v>
      </c>
      <c r="C330" s="3"/>
      <c r="D330" s="5">
        <f t="shared" si="128"/>
        <v>-2363842</v>
      </c>
      <c r="E330" s="5">
        <f t="shared" si="128"/>
        <v>-4065187.8899999997</v>
      </c>
      <c r="F330" s="5">
        <f t="shared" si="128"/>
        <v>-3748002.6899999995</v>
      </c>
      <c r="G330" s="5">
        <f t="shared" si="127"/>
        <v>317185.20000000019</v>
      </c>
    </row>
    <row r="331" spans="1:7" x14ac:dyDescent="0.35">
      <c r="A331" s="3"/>
      <c r="B331" s="3" t="s">
        <v>108</v>
      </c>
      <c r="C331" s="3"/>
      <c r="D331" s="5">
        <f t="shared" si="128"/>
        <v>-303341</v>
      </c>
      <c r="E331" s="5">
        <f t="shared" si="128"/>
        <v>-4641403.5700000012</v>
      </c>
      <c r="F331" s="5">
        <f t="shared" si="128"/>
        <v>-1410968.0999999999</v>
      </c>
      <c r="G331" s="5">
        <f t="shared" si="127"/>
        <v>3230435.4700000016</v>
      </c>
    </row>
    <row r="332" spans="1:7" x14ac:dyDescent="0.35">
      <c r="A332" s="3"/>
      <c r="B332" s="3" t="s">
        <v>111</v>
      </c>
      <c r="C332" s="3"/>
      <c r="D332" s="5">
        <f>D694</f>
        <v>-115000</v>
      </c>
      <c r="E332" s="5">
        <f t="shared" ref="E332:F332" si="129">E694</f>
        <v>-115000</v>
      </c>
      <c r="F332" s="5">
        <f t="shared" si="129"/>
        <v>0</v>
      </c>
      <c r="G332" s="5">
        <f t="shared" si="127"/>
        <v>115000</v>
      </c>
    </row>
    <row r="333" spans="1:7" x14ac:dyDescent="0.35">
      <c r="A333" s="3"/>
      <c r="B333" s="3" t="s">
        <v>109</v>
      </c>
      <c r="C333" s="3"/>
      <c r="D333" s="5">
        <f>D339+D407+D482+D550+D621+D695</f>
        <v>-11241548</v>
      </c>
      <c r="E333" s="5">
        <f>E339+E407+E482+E550+E621+E695</f>
        <v>-11241547.450897673</v>
      </c>
      <c r="F333" s="5">
        <f>F339+F407+F482+F550+F621+F695</f>
        <v>-13292970.57</v>
      </c>
      <c r="G333" s="5">
        <f t="shared" si="127"/>
        <v>-2051423.1191023272</v>
      </c>
    </row>
    <row r="334" spans="1:7" s="35" customFormat="1" x14ac:dyDescent="0.35">
      <c r="A334" s="75" t="s">
        <v>124</v>
      </c>
      <c r="B334" s="75"/>
      <c r="C334" s="75"/>
      <c r="D334" s="73">
        <f>SUM(D335:D339)</f>
        <v>-8702612</v>
      </c>
      <c r="E334" s="73">
        <f t="shared" ref="E334:F334" si="130">SUM(E335:E339)</f>
        <v>-9988132.3600000013</v>
      </c>
      <c r="F334" s="73">
        <f t="shared" si="130"/>
        <v>-8832116.6799999997</v>
      </c>
      <c r="G334" s="73">
        <f t="shared" si="127"/>
        <v>1156015.6800000016</v>
      </c>
    </row>
    <row r="335" spans="1:7" x14ac:dyDescent="0.35">
      <c r="A335" s="3"/>
      <c r="B335" s="3" t="s">
        <v>105</v>
      </c>
      <c r="C335" s="3"/>
      <c r="D335" s="5">
        <f>D347+D365+D387</f>
        <v>-8350852</v>
      </c>
      <c r="E335" s="5">
        <f>E347+E365+E387</f>
        <v>-8596581.2100000009</v>
      </c>
      <c r="F335" s="5">
        <f>F347+F365+F387</f>
        <v>-8243669.4400000004</v>
      </c>
      <c r="G335" s="5">
        <f t="shared" si="127"/>
        <v>352911.77000000048</v>
      </c>
    </row>
    <row r="336" spans="1:7" x14ac:dyDescent="0.35">
      <c r="A336" s="3"/>
      <c r="B336" s="3" t="s">
        <v>106</v>
      </c>
      <c r="C336" s="3"/>
      <c r="D336" s="5">
        <f>D391</f>
        <v>-19781</v>
      </c>
      <c r="E336" s="5">
        <f t="shared" ref="E336" si="131">E391</f>
        <v>-19781</v>
      </c>
      <c r="F336" s="5">
        <f>F391+F352+F370</f>
        <v>-12743.08</v>
      </c>
      <c r="G336" s="5">
        <f t="shared" si="127"/>
        <v>7037.92</v>
      </c>
    </row>
    <row r="337" spans="1:7" x14ac:dyDescent="0.35">
      <c r="A337" s="3"/>
      <c r="B337" s="3" t="s">
        <v>107</v>
      </c>
      <c r="C337" s="3"/>
      <c r="D337" s="5">
        <f>D372</f>
        <v>-7427</v>
      </c>
      <c r="E337" s="5">
        <f>E372+E354+E393</f>
        <v>-151897.59</v>
      </c>
      <c r="F337" s="5">
        <f>F372+F354+F393</f>
        <v>-151135.85999999999</v>
      </c>
      <c r="G337" s="5">
        <f t="shared" si="127"/>
        <v>761.73000000001048</v>
      </c>
    </row>
    <row r="338" spans="1:7" x14ac:dyDescent="0.35">
      <c r="A338" s="3"/>
      <c r="B338" s="3" t="s">
        <v>108</v>
      </c>
      <c r="C338" s="3"/>
      <c r="D338" s="5">
        <f>D376</f>
        <v>-1959</v>
      </c>
      <c r="E338" s="5">
        <f>E376+E397</f>
        <v>-897279.09000000008</v>
      </c>
      <c r="F338" s="5">
        <f>F376+F397</f>
        <v>-31043.040000000001</v>
      </c>
      <c r="G338" s="5">
        <f t="shared" si="127"/>
        <v>866236.05</v>
      </c>
    </row>
    <row r="339" spans="1:7" x14ac:dyDescent="0.35">
      <c r="A339" s="3"/>
      <c r="B339" s="3" t="s">
        <v>109</v>
      </c>
      <c r="C339" s="3"/>
      <c r="D339" s="5">
        <f>D358+D380+D401</f>
        <v>-322593</v>
      </c>
      <c r="E339" s="5">
        <f t="shared" ref="E339:F339" si="132">E358+E380+E401</f>
        <v>-322593.47000000003</v>
      </c>
      <c r="F339" s="5">
        <f t="shared" si="132"/>
        <v>-393525.26</v>
      </c>
      <c r="G339" s="5">
        <f t="shared" si="127"/>
        <v>-70931.789999999979</v>
      </c>
    </row>
    <row r="340" spans="1:7" x14ac:dyDescent="0.35">
      <c r="A340" s="37"/>
      <c r="B340" s="37" t="s">
        <v>31</v>
      </c>
      <c r="C340" s="37"/>
      <c r="D340" s="38">
        <f>SUM(D342:D346)</f>
        <v>-327059</v>
      </c>
      <c r="E340" s="38">
        <f>SUM(E341:E346)</f>
        <v>-337188.36</v>
      </c>
      <c r="F340" s="38">
        <f>SUM(F341:F346)</f>
        <v>-307266.88</v>
      </c>
      <c r="G340" s="38">
        <f>F340-E340</f>
        <v>29921.479999999981</v>
      </c>
    </row>
    <row r="341" spans="1:7" x14ac:dyDescent="0.35">
      <c r="A341" s="37"/>
      <c r="B341" s="37"/>
      <c r="C341" s="3" t="s">
        <v>155</v>
      </c>
      <c r="D341" s="5">
        <f>D355</f>
        <v>0</v>
      </c>
      <c r="E341" s="5">
        <f t="shared" ref="E341:F341" si="133">E355</f>
        <v>-4159.5600000000004</v>
      </c>
      <c r="F341" s="5">
        <f t="shared" si="133"/>
        <v>0</v>
      </c>
      <c r="G341" s="5">
        <f>F341-E341</f>
        <v>4159.5600000000004</v>
      </c>
    </row>
    <row r="342" spans="1:7" x14ac:dyDescent="0.35">
      <c r="A342" s="3"/>
      <c r="B342" s="3"/>
      <c r="C342" s="3" t="s">
        <v>54</v>
      </c>
      <c r="D342" s="5">
        <f>D348</f>
        <v>-195636</v>
      </c>
      <c r="E342" s="5">
        <f>E348+E356</f>
        <v>-267606.18</v>
      </c>
      <c r="F342" s="5">
        <f>F348+F356</f>
        <v>-241104.27</v>
      </c>
      <c r="G342" s="5">
        <f t="shared" ref="G342:G346" si="134">F342-E342</f>
        <v>26501.910000000003</v>
      </c>
    </row>
    <row r="343" spans="1:7" x14ac:dyDescent="0.35">
      <c r="A343" s="3"/>
      <c r="B343" s="3"/>
      <c r="C343" s="3" t="s">
        <v>55</v>
      </c>
      <c r="D343" s="5">
        <f>D349</f>
        <v>-130277</v>
      </c>
      <c r="E343" s="5">
        <f t="shared" ref="E343:F344" si="135">E349</f>
        <v>-64263.380000000005</v>
      </c>
      <c r="F343" s="5">
        <f t="shared" si="135"/>
        <v>-62229.41</v>
      </c>
      <c r="G343" s="5">
        <f t="shared" si="134"/>
        <v>2033.9700000000012</v>
      </c>
    </row>
    <row r="344" spans="1:7" x14ac:dyDescent="0.35">
      <c r="A344" s="3"/>
      <c r="B344" s="3"/>
      <c r="C344" s="3" t="s">
        <v>101</v>
      </c>
      <c r="D344" s="5">
        <f>D350</f>
        <v>-129</v>
      </c>
      <c r="E344" s="5">
        <f t="shared" si="135"/>
        <v>-128.66999999999999</v>
      </c>
      <c r="F344" s="5">
        <f t="shared" si="135"/>
        <v>-105.58</v>
      </c>
      <c r="G344" s="5">
        <f t="shared" si="134"/>
        <v>23.089999999999989</v>
      </c>
    </row>
    <row r="345" spans="1:7" x14ac:dyDescent="0.35">
      <c r="A345" s="3"/>
      <c r="B345" s="3"/>
      <c r="C345" s="3" t="s">
        <v>110</v>
      </c>
      <c r="D345" s="5">
        <v>0</v>
      </c>
      <c r="E345" s="5">
        <v>0</v>
      </c>
      <c r="F345" s="5">
        <f>+F357</f>
        <v>-2503.9</v>
      </c>
      <c r="G345" s="5">
        <f t="shared" si="134"/>
        <v>-2503.9</v>
      </c>
    </row>
    <row r="346" spans="1:7" x14ac:dyDescent="0.35">
      <c r="A346" s="3"/>
      <c r="B346" s="3"/>
      <c r="C346" s="3" t="s">
        <v>103</v>
      </c>
      <c r="D346" s="5">
        <f>D351+D358</f>
        <v>-1017</v>
      </c>
      <c r="E346" s="5">
        <f>E351+E358</f>
        <v>-1030.5700000000002</v>
      </c>
      <c r="F346" s="5">
        <f>F351+F358+F353</f>
        <v>-1323.72</v>
      </c>
      <c r="G346" s="5">
        <f t="shared" si="134"/>
        <v>-293.14999999999986</v>
      </c>
    </row>
    <row r="347" spans="1:7" s="35" customFormat="1" x14ac:dyDescent="0.35">
      <c r="A347" s="37"/>
      <c r="B347" s="37"/>
      <c r="C347" s="37" t="s">
        <v>105</v>
      </c>
      <c r="D347" s="38">
        <f>SUM(D348:D351)</f>
        <v>-326233</v>
      </c>
      <c r="E347" s="38">
        <f>SUM(E348:E351)</f>
        <v>-332202.73</v>
      </c>
      <c r="F347" s="38">
        <f t="shared" ref="F347" si="136">SUM(F348:F351)</f>
        <v>-302010.86</v>
      </c>
      <c r="G347" s="38">
        <f>F347-E347</f>
        <v>30191.869999999995</v>
      </c>
    </row>
    <row r="348" spans="1:7" x14ac:dyDescent="0.35">
      <c r="A348" s="3"/>
      <c r="B348" s="3"/>
      <c r="C348" s="3" t="s">
        <v>54</v>
      </c>
      <c r="D348" s="5">
        <v>-195636</v>
      </c>
      <c r="E348" s="5">
        <v>-267606.18</v>
      </c>
      <c r="F348" s="5">
        <v>-239497.65</v>
      </c>
      <c r="G348" s="5">
        <f t="shared" ref="G348:G351" si="137">F348-E348</f>
        <v>28108.53</v>
      </c>
    </row>
    <row r="349" spans="1:7" s="35" customFormat="1" x14ac:dyDescent="0.35">
      <c r="A349" s="3"/>
      <c r="B349" s="3"/>
      <c r="C349" s="3" t="s">
        <v>55</v>
      </c>
      <c r="D349" s="5">
        <v>-130277</v>
      </c>
      <c r="E349" s="5">
        <f>-62575.72-1687.66</f>
        <v>-64263.380000000005</v>
      </c>
      <c r="F349" s="5">
        <v>-62229.41</v>
      </c>
      <c r="G349" s="5">
        <f t="shared" si="137"/>
        <v>2033.9700000000012</v>
      </c>
    </row>
    <row r="350" spans="1:7" x14ac:dyDescent="0.35">
      <c r="A350" s="3"/>
      <c r="B350" s="3"/>
      <c r="C350" s="3" t="s">
        <v>101</v>
      </c>
      <c r="D350" s="5">
        <v>-129</v>
      </c>
      <c r="E350" s="5">
        <v>-128.66999999999999</v>
      </c>
      <c r="F350" s="5">
        <v>-105.58</v>
      </c>
      <c r="G350" s="5">
        <f t="shared" si="137"/>
        <v>23.089999999999989</v>
      </c>
    </row>
    <row r="351" spans="1:7" x14ac:dyDescent="0.35">
      <c r="A351" s="3"/>
      <c r="B351" s="3"/>
      <c r="C351" s="3" t="s">
        <v>56</v>
      </c>
      <c r="D351" s="5">
        <v>-191</v>
      </c>
      <c r="E351" s="5">
        <v>-204.5</v>
      </c>
      <c r="F351" s="5">
        <v>-178.22</v>
      </c>
      <c r="G351" s="5">
        <f t="shared" si="137"/>
        <v>26.28</v>
      </c>
    </row>
    <row r="352" spans="1:7" x14ac:dyDescent="0.35">
      <c r="A352" s="3"/>
      <c r="B352" s="3"/>
      <c r="C352" s="37" t="s">
        <v>106</v>
      </c>
      <c r="D352" s="5">
        <v>0</v>
      </c>
      <c r="E352" s="38">
        <f>+E353</f>
        <v>0</v>
      </c>
      <c r="F352" s="38">
        <f>+F353</f>
        <v>34</v>
      </c>
      <c r="G352" s="38">
        <f>F352-E352</f>
        <v>34</v>
      </c>
    </row>
    <row r="353" spans="1:7" x14ac:dyDescent="0.35">
      <c r="A353" s="3"/>
      <c r="B353" s="3"/>
      <c r="C353" s="3" t="s">
        <v>56</v>
      </c>
      <c r="D353" s="5">
        <v>0</v>
      </c>
      <c r="E353" s="5">
        <v>0</v>
      </c>
      <c r="F353" s="5">
        <v>34</v>
      </c>
      <c r="G353" s="5">
        <f>F353-E353</f>
        <v>34</v>
      </c>
    </row>
    <row r="354" spans="1:7" x14ac:dyDescent="0.35">
      <c r="A354" s="3"/>
      <c r="B354" s="3"/>
      <c r="C354" s="37" t="s">
        <v>107</v>
      </c>
      <c r="D354" s="5">
        <v>0</v>
      </c>
      <c r="E354" s="38">
        <f>+E355+E356+E357</f>
        <v>-4159.5600000000004</v>
      </c>
      <c r="F354" s="38">
        <f>+F355+F356+F357</f>
        <v>-4110.5200000000004</v>
      </c>
      <c r="G354" s="38">
        <f t="shared" ref="G354:G358" si="138">F354-E354</f>
        <v>49.039999999999964</v>
      </c>
    </row>
    <row r="355" spans="1:7" x14ac:dyDescent="0.35">
      <c r="A355" s="3"/>
      <c r="B355" s="3"/>
      <c r="C355" s="3" t="s">
        <v>155</v>
      </c>
      <c r="D355" s="5">
        <v>0</v>
      </c>
      <c r="E355" s="5">
        <v>-4159.5600000000004</v>
      </c>
      <c r="F355" s="5">
        <v>0</v>
      </c>
      <c r="G355" s="5">
        <f t="shared" si="138"/>
        <v>4159.5600000000004</v>
      </c>
    </row>
    <row r="356" spans="1:7" x14ac:dyDescent="0.35">
      <c r="A356" s="3"/>
      <c r="B356" s="3"/>
      <c r="C356" s="3" t="s">
        <v>54</v>
      </c>
      <c r="D356" s="5">
        <v>0</v>
      </c>
      <c r="E356" s="5">
        <v>0</v>
      </c>
      <c r="F356" s="2">
        <v>-1606.62</v>
      </c>
      <c r="G356" s="5">
        <f t="shared" si="138"/>
        <v>-1606.62</v>
      </c>
    </row>
    <row r="357" spans="1:7" x14ac:dyDescent="0.35">
      <c r="A357" s="3"/>
      <c r="B357" s="3"/>
      <c r="C357" s="3" t="s">
        <v>110</v>
      </c>
      <c r="D357" s="5">
        <v>0</v>
      </c>
      <c r="E357" s="5">
        <v>0</v>
      </c>
      <c r="F357" s="5">
        <v>-2503.9</v>
      </c>
      <c r="G357" s="5">
        <f t="shared" si="138"/>
        <v>-2503.9</v>
      </c>
    </row>
    <row r="358" spans="1:7" x14ac:dyDescent="0.35">
      <c r="A358" s="37"/>
      <c r="B358" s="37"/>
      <c r="C358" s="37" t="s">
        <v>109</v>
      </c>
      <c r="D358" s="38">
        <v>-826</v>
      </c>
      <c r="E358" s="38">
        <v>-826.07</v>
      </c>
      <c r="F358" s="38">
        <v>-1179.5</v>
      </c>
      <c r="G358" s="38">
        <f t="shared" si="138"/>
        <v>-353.42999999999995</v>
      </c>
    </row>
    <row r="359" spans="1:7" x14ac:dyDescent="0.35">
      <c r="A359" s="37"/>
      <c r="B359" s="37" t="s">
        <v>116</v>
      </c>
      <c r="C359" s="37"/>
      <c r="D359" s="38">
        <f>SUM(D361:D364)</f>
        <v>-1939468</v>
      </c>
      <c r="E359" s="38">
        <f>SUM(E360:E364)</f>
        <v>-2978036.23</v>
      </c>
      <c r="F359" s="38">
        <f>SUM(F361:F364)</f>
        <v>-2255855.04</v>
      </c>
      <c r="G359" s="38">
        <f>F359-E359</f>
        <v>722181.19</v>
      </c>
    </row>
    <row r="360" spans="1:7" x14ac:dyDescent="0.35">
      <c r="A360" s="37"/>
      <c r="B360" s="37"/>
      <c r="C360" s="3" t="s">
        <v>155</v>
      </c>
      <c r="D360" s="5">
        <v>0</v>
      </c>
      <c r="E360" s="5">
        <f>+E373+E377</f>
        <v>-847122.13</v>
      </c>
      <c r="F360" s="5">
        <v>0</v>
      </c>
      <c r="G360" s="5">
        <f>F360-E360</f>
        <v>847122.13</v>
      </c>
    </row>
    <row r="361" spans="1:7" x14ac:dyDescent="0.35">
      <c r="A361" s="3"/>
      <c r="B361" s="3"/>
      <c r="C361" s="3" t="s">
        <v>54</v>
      </c>
      <c r="D361" s="5">
        <f t="shared" ref="D361:F362" si="139">D366+D374+D378</f>
        <v>-871898</v>
      </c>
      <c r="E361" s="5">
        <f t="shared" si="139"/>
        <v>-1052718.51</v>
      </c>
      <c r="F361" s="5">
        <f t="shared" si="139"/>
        <v>-1155825.3899999999</v>
      </c>
      <c r="G361" s="5">
        <f t="shared" ref="G361:G364" si="140">F361-E361</f>
        <v>-103106.87999999989</v>
      </c>
    </row>
    <row r="362" spans="1:7" x14ac:dyDescent="0.35">
      <c r="A362" s="3"/>
      <c r="B362" s="3"/>
      <c r="C362" s="3" t="s">
        <v>55</v>
      </c>
      <c r="D362" s="5">
        <f t="shared" si="139"/>
        <v>-749636</v>
      </c>
      <c r="E362" s="5">
        <f t="shared" si="139"/>
        <v>-760116.63</v>
      </c>
      <c r="F362" s="5">
        <f t="shared" si="139"/>
        <v>-711194.47000000009</v>
      </c>
      <c r="G362" s="5">
        <f t="shared" si="140"/>
        <v>48922.159999999916</v>
      </c>
    </row>
    <row r="363" spans="1:7" x14ac:dyDescent="0.35">
      <c r="A363" s="3"/>
      <c r="B363" s="3"/>
      <c r="C363" s="3" t="s">
        <v>102</v>
      </c>
      <c r="D363" s="5">
        <f>D368</f>
        <v>-7</v>
      </c>
      <c r="E363" s="5">
        <f t="shared" ref="E363" si="141">E368</f>
        <v>-7.04</v>
      </c>
      <c r="F363" s="5">
        <f>F368</f>
        <v>-7.03</v>
      </c>
      <c r="G363" s="5">
        <f t="shared" si="140"/>
        <v>9.9999999999997868E-3</v>
      </c>
    </row>
    <row r="364" spans="1:7" x14ac:dyDescent="0.35">
      <c r="A364" s="3"/>
      <c r="B364" s="3"/>
      <c r="C364" s="3" t="s">
        <v>103</v>
      </c>
      <c r="D364" s="5">
        <f>D380</f>
        <v>-317927</v>
      </c>
      <c r="E364" s="5">
        <f>E380+E369</f>
        <v>-318071.92000000004</v>
      </c>
      <c r="F364" s="5">
        <f>F380+F369+F371</f>
        <v>-388828.15</v>
      </c>
      <c r="G364" s="5">
        <f t="shared" si="140"/>
        <v>-70756.229999999981</v>
      </c>
    </row>
    <row r="365" spans="1:7" x14ac:dyDescent="0.35">
      <c r="A365" s="37"/>
      <c r="B365" s="37"/>
      <c r="C365" s="37" t="s">
        <v>105</v>
      </c>
      <c r="D365" s="38">
        <f>SUM(D366:D368)</f>
        <v>-1612155</v>
      </c>
      <c r="E365" s="38">
        <f>SUM(E366:E369)</f>
        <v>-1812986.7000000002</v>
      </c>
      <c r="F365" s="38">
        <f>SUM(F366:F369)</f>
        <v>-1717161.97</v>
      </c>
      <c r="G365" s="38">
        <f>F365-E365</f>
        <v>95824.730000000214</v>
      </c>
    </row>
    <row r="366" spans="1:7" x14ac:dyDescent="0.35">
      <c r="A366" s="3"/>
      <c r="B366" s="3"/>
      <c r="C366" s="3" t="s">
        <v>54</v>
      </c>
      <c r="D366" s="5">
        <v>-867858</v>
      </c>
      <c r="E366" s="5">
        <v>-1052718.51</v>
      </c>
      <c r="F366" s="5">
        <v>-1009416.18</v>
      </c>
      <c r="G366" s="5">
        <f t="shared" ref="G366:G371" si="142">F366-E366</f>
        <v>43302.329999999958</v>
      </c>
    </row>
    <row r="367" spans="1:7" s="35" customFormat="1" x14ac:dyDescent="0.35">
      <c r="A367" s="3"/>
      <c r="B367" s="3"/>
      <c r="C367" s="3" t="s">
        <v>55</v>
      </c>
      <c r="D367" s="5">
        <v>-744290</v>
      </c>
      <c r="E367" s="5">
        <v>-760116.63</v>
      </c>
      <c r="F367" s="5">
        <v>-707606.38</v>
      </c>
      <c r="G367" s="5">
        <f t="shared" si="142"/>
        <v>52510.25</v>
      </c>
    </row>
    <row r="368" spans="1:7" x14ac:dyDescent="0.35">
      <c r="A368" s="3"/>
      <c r="B368" s="3"/>
      <c r="C368" s="3" t="s">
        <v>102</v>
      </c>
      <c r="D368" s="5">
        <v>-7</v>
      </c>
      <c r="E368" s="5">
        <v>-7.04</v>
      </c>
      <c r="F368" s="5">
        <v>-7.03</v>
      </c>
      <c r="G368" s="5">
        <f t="shared" si="142"/>
        <v>9.9999999999997868E-3</v>
      </c>
    </row>
    <row r="369" spans="1:7" s="35" customFormat="1" x14ac:dyDescent="0.35">
      <c r="A369" s="3"/>
      <c r="B369" s="3"/>
      <c r="C369" s="3" t="s">
        <v>56</v>
      </c>
      <c r="D369" s="5">
        <v>0</v>
      </c>
      <c r="E369" s="5">
        <v>-144.52000000000001</v>
      </c>
      <c r="F369" s="5">
        <v>-132.38</v>
      </c>
      <c r="G369" s="5">
        <f t="shared" si="142"/>
        <v>12.140000000000015</v>
      </c>
    </row>
    <row r="370" spans="1:7" s="35" customFormat="1" x14ac:dyDescent="0.35">
      <c r="A370" s="3"/>
      <c r="B370" s="3"/>
      <c r="C370" s="37" t="s">
        <v>106</v>
      </c>
      <c r="D370" s="38">
        <v>0</v>
      </c>
      <c r="E370" s="38">
        <f>+E371</f>
        <v>0</v>
      </c>
      <c r="F370" s="38">
        <f>+F371</f>
        <v>-73.900000000000006</v>
      </c>
      <c r="G370" s="38">
        <f t="shared" si="142"/>
        <v>-73.900000000000006</v>
      </c>
    </row>
    <row r="371" spans="1:7" x14ac:dyDescent="0.35">
      <c r="A371" s="3"/>
      <c r="B371" s="3"/>
      <c r="C371" s="3" t="s">
        <v>56</v>
      </c>
      <c r="D371" s="5">
        <v>0</v>
      </c>
      <c r="E371" s="5">
        <v>0</v>
      </c>
      <c r="F371" s="5">
        <v>-73.900000000000006</v>
      </c>
      <c r="G371" s="5">
        <f t="shared" si="142"/>
        <v>-73.900000000000006</v>
      </c>
    </row>
    <row r="372" spans="1:7" x14ac:dyDescent="0.35">
      <c r="A372" s="37"/>
      <c r="B372" s="37"/>
      <c r="C372" s="37" t="s">
        <v>107</v>
      </c>
      <c r="D372" s="38">
        <f>SUM(D374:D375)</f>
        <v>-7427</v>
      </c>
      <c r="E372" s="38">
        <f>SUM(E373:E375)</f>
        <v>-146540.74</v>
      </c>
      <c r="F372" s="38">
        <f>SUM(F373:F375)</f>
        <v>-146514.79999999999</v>
      </c>
      <c r="G372" s="38">
        <f>F372-E372</f>
        <v>25.940000000002328</v>
      </c>
    </row>
    <row r="373" spans="1:7" x14ac:dyDescent="0.35">
      <c r="A373" s="37"/>
      <c r="B373" s="37"/>
      <c r="C373" s="3" t="s">
        <v>155</v>
      </c>
      <c r="D373" s="5">
        <v>0</v>
      </c>
      <c r="E373" s="5">
        <v>-146540.74</v>
      </c>
      <c r="F373" s="5">
        <v>0</v>
      </c>
      <c r="G373" s="5">
        <f>F373-E373</f>
        <v>146540.74</v>
      </c>
    </row>
    <row r="374" spans="1:7" x14ac:dyDescent="0.35">
      <c r="A374" s="3"/>
      <c r="B374" s="3"/>
      <c r="C374" s="3" t="s">
        <v>54</v>
      </c>
      <c r="D374" s="5">
        <v>-2977</v>
      </c>
      <c r="E374" s="5">
        <v>0</v>
      </c>
      <c r="F374" s="5">
        <v>-143213.01999999999</v>
      </c>
      <c r="G374" s="5">
        <f t="shared" ref="G374:G375" si="143">F374-E374</f>
        <v>-143213.01999999999</v>
      </c>
    </row>
    <row r="375" spans="1:7" x14ac:dyDescent="0.35">
      <c r="A375" s="37"/>
      <c r="B375" s="37"/>
      <c r="C375" s="3" t="s">
        <v>55</v>
      </c>
      <c r="D375" s="5">
        <v>-4450</v>
      </c>
      <c r="E375" s="5">
        <v>0</v>
      </c>
      <c r="F375" s="5">
        <v>-3301.78</v>
      </c>
      <c r="G375" s="5">
        <f t="shared" si="143"/>
        <v>-3301.78</v>
      </c>
    </row>
    <row r="376" spans="1:7" x14ac:dyDescent="0.35">
      <c r="A376" s="37"/>
      <c r="B376" s="37"/>
      <c r="C376" s="37" t="s">
        <v>108</v>
      </c>
      <c r="D376" s="38">
        <f>SUM(D378:D379)</f>
        <v>-1959</v>
      </c>
      <c r="E376" s="38">
        <f>SUM(E377:E379)</f>
        <v>-700581.39</v>
      </c>
      <c r="F376" s="38">
        <f>SUM(F377:F379)</f>
        <v>-3482.5</v>
      </c>
      <c r="G376" s="38">
        <f>F376-E376</f>
        <v>697098.89</v>
      </c>
    </row>
    <row r="377" spans="1:7" x14ac:dyDescent="0.35">
      <c r="A377" s="37"/>
      <c r="B377" s="37"/>
      <c r="C377" s="3" t="s">
        <v>155</v>
      </c>
      <c r="D377" s="5">
        <v>0</v>
      </c>
      <c r="E377" s="5">
        <v>-700581.39</v>
      </c>
      <c r="F377" s="5">
        <v>0</v>
      </c>
      <c r="G377" s="5">
        <f>F377-E377</f>
        <v>700581.39</v>
      </c>
    </row>
    <row r="378" spans="1:7" x14ac:dyDescent="0.35">
      <c r="A378" s="3"/>
      <c r="B378" s="3"/>
      <c r="C378" s="3" t="s">
        <v>54</v>
      </c>
      <c r="D378" s="5">
        <v>-1063</v>
      </c>
      <c r="E378" s="5">
        <v>0</v>
      </c>
      <c r="F378" s="5">
        <v>-3196.19</v>
      </c>
      <c r="G378" s="5">
        <f t="shared" ref="G378:G380" si="144">F378-E378</f>
        <v>-3196.19</v>
      </c>
    </row>
    <row r="379" spans="1:7" x14ac:dyDescent="0.35">
      <c r="A379" s="3"/>
      <c r="B379" s="3"/>
      <c r="C379" s="3" t="s">
        <v>55</v>
      </c>
      <c r="D379" s="5">
        <v>-896</v>
      </c>
      <c r="E379" s="5">
        <v>0</v>
      </c>
      <c r="F379" s="5">
        <v>-286.31</v>
      </c>
      <c r="G379" s="5">
        <f t="shared" si="144"/>
        <v>-286.31</v>
      </c>
    </row>
    <row r="380" spans="1:7" x14ac:dyDescent="0.35">
      <c r="A380" s="37"/>
      <c r="B380" s="37"/>
      <c r="C380" s="37" t="s">
        <v>109</v>
      </c>
      <c r="D380" s="38">
        <v>-317927</v>
      </c>
      <c r="E380" s="38">
        <v>-317927.40000000002</v>
      </c>
      <c r="F380" s="38">
        <v>-388621.87</v>
      </c>
      <c r="G380" s="38">
        <f t="shared" si="144"/>
        <v>-70694.469999999972</v>
      </c>
    </row>
    <row r="381" spans="1:7" x14ac:dyDescent="0.35">
      <c r="A381" s="37"/>
      <c r="B381" s="37" t="s">
        <v>120</v>
      </c>
      <c r="C381" s="37"/>
      <c r="D381" s="38">
        <f>SUM(D383:D386)</f>
        <v>-6436085</v>
      </c>
      <c r="E381" s="38">
        <f>SUM(E382:E386)</f>
        <v>-6672907.7700000005</v>
      </c>
      <c r="F381" s="38">
        <f>SUM(F382:F386)</f>
        <v>-6268994.7599999988</v>
      </c>
      <c r="G381" s="38">
        <f>F381-E381</f>
        <v>403913.01000000164</v>
      </c>
    </row>
    <row r="382" spans="1:7" x14ac:dyDescent="0.35">
      <c r="A382" s="37"/>
      <c r="B382" s="37"/>
      <c r="C382" s="3" t="s">
        <v>155</v>
      </c>
      <c r="D382" s="5">
        <v>0</v>
      </c>
      <c r="E382" s="5">
        <f>+E394+E398</f>
        <v>-197894.99000000002</v>
      </c>
      <c r="F382" s="5">
        <v>0</v>
      </c>
      <c r="G382" s="5">
        <f>F382-E382</f>
        <v>197894.99000000002</v>
      </c>
    </row>
    <row r="383" spans="1:7" x14ac:dyDescent="0.35">
      <c r="A383" s="3"/>
      <c r="B383" s="3"/>
      <c r="C383" s="3" t="s">
        <v>54</v>
      </c>
      <c r="D383" s="5">
        <f>D388+D392</f>
        <v>-5655284</v>
      </c>
      <c r="E383" s="5">
        <f t="shared" ref="E383" si="145">E388+E392</f>
        <v>-5663786.0999999996</v>
      </c>
      <c r="F383" s="5">
        <f>F388+F392+F395+F399</f>
        <v>-5447963.4999999991</v>
      </c>
      <c r="G383" s="5">
        <f t="shared" ref="G383:G386" si="146">F383-E383</f>
        <v>215822.60000000056</v>
      </c>
    </row>
    <row r="384" spans="1:7" x14ac:dyDescent="0.35">
      <c r="A384" s="3"/>
      <c r="B384" s="3"/>
      <c r="C384" s="3" t="s">
        <v>55</v>
      </c>
      <c r="D384" s="5">
        <f>D389</f>
        <v>-776961</v>
      </c>
      <c r="E384" s="5">
        <f t="shared" ref="E384" si="147">E389</f>
        <v>-797038.53</v>
      </c>
      <c r="F384" s="5">
        <f>F389+F396</f>
        <v>-806189.26</v>
      </c>
      <c r="G384" s="5">
        <f t="shared" si="146"/>
        <v>-9150.7299999999814</v>
      </c>
    </row>
    <row r="385" spans="1:7" x14ac:dyDescent="0.35">
      <c r="A385" s="3"/>
      <c r="B385" s="3"/>
      <c r="C385" s="3" t="s">
        <v>101</v>
      </c>
      <c r="D385" s="5">
        <v>0</v>
      </c>
      <c r="E385" s="5">
        <f>+E400</f>
        <v>0</v>
      </c>
      <c r="F385" s="5">
        <f>+F400</f>
        <v>-828</v>
      </c>
      <c r="G385" s="5">
        <f t="shared" si="146"/>
        <v>-828</v>
      </c>
    </row>
    <row r="386" spans="1:7" s="35" customFormat="1" x14ac:dyDescent="0.35">
      <c r="A386" s="3"/>
      <c r="B386" s="3"/>
      <c r="C386" s="3" t="s">
        <v>103</v>
      </c>
      <c r="D386" s="5">
        <f>D401</f>
        <v>-3840</v>
      </c>
      <c r="E386" s="5">
        <f>E401+E390</f>
        <v>-14188.15</v>
      </c>
      <c r="F386" s="5">
        <f>F401+F390</f>
        <v>-14014</v>
      </c>
      <c r="G386" s="5">
        <f t="shared" si="146"/>
        <v>174.14999999999964</v>
      </c>
    </row>
    <row r="387" spans="1:7" x14ac:dyDescent="0.35">
      <c r="A387" s="37"/>
      <c r="B387" s="37"/>
      <c r="C387" s="37" t="s">
        <v>105</v>
      </c>
      <c r="D387" s="38">
        <f>SUM(D388:D389)</f>
        <v>-6412464</v>
      </c>
      <c r="E387" s="38">
        <f>SUM(E388:E390)</f>
        <v>-6451391.7800000003</v>
      </c>
      <c r="F387" s="38">
        <f>SUM(F388:F390)</f>
        <v>-6224496.6100000003</v>
      </c>
      <c r="G387" s="38">
        <f>F387-E387</f>
        <v>226895.16999999993</v>
      </c>
    </row>
    <row r="388" spans="1:7" x14ac:dyDescent="0.35">
      <c r="A388" s="3"/>
      <c r="B388" s="3"/>
      <c r="C388" s="3" t="s">
        <v>54</v>
      </c>
      <c r="D388" s="5">
        <v>-5635503</v>
      </c>
      <c r="E388" s="5">
        <v>-5644005.0999999996</v>
      </c>
      <c r="F388" s="5">
        <v>-5408264.5099999998</v>
      </c>
      <c r="G388" s="5">
        <f t="shared" ref="G388" si="148">F388-E388</f>
        <v>235740.58999999985</v>
      </c>
    </row>
    <row r="389" spans="1:7" x14ac:dyDescent="0.35">
      <c r="A389" s="3"/>
      <c r="B389" s="3"/>
      <c r="C389" s="3" t="s">
        <v>55</v>
      </c>
      <c r="D389" s="5">
        <v>-776961</v>
      </c>
      <c r="E389" s="5">
        <v>-797038.53</v>
      </c>
      <c r="F389" s="5">
        <v>-805941.99</v>
      </c>
      <c r="G389" s="5">
        <f>F389-E389</f>
        <v>-8903.4599999999627</v>
      </c>
    </row>
    <row r="390" spans="1:7" x14ac:dyDescent="0.35">
      <c r="A390" s="3"/>
      <c r="B390" s="3"/>
      <c r="C390" s="3" t="s">
        <v>56</v>
      </c>
      <c r="D390" s="5">
        <v>0</v>
      </c>
      <c r="E390" s="5">
        <v>-10348.15</v>
      </c>
      <c r="F390" s="5">
        <v>-10290.11</v>
      </c>
      <c r="G390" s="5">
        <f>F390-E390</f>
        <v>58.039999999999054</v>
      </c>
    </row>
    <row r="391" spans="1:7" x14ac:dyDescent="0.35">
      <c r="A391" s="37"/>
      <c r="B391" s="37"/>
      <c r="C391" s="37" t="s">
        <v>106</v>
      </c>
      <c r="D391" s="38">
        <f>SUM(D392:D392)</f>
        <v>-19781</v>
      </c>
      <c r="E391" s="38">
        <f>SUM(E392:E392)</f>
        <v>-19781</v>
      </c>
      <c r="F391" s="38">
        <f>SUM(F392:F392)</f>
        <v>-12703.18</v>
      </c>
      <c r="G391" s="38">
        <f>F391-E391</f>
        <v>7077.82</v>
      </c>
    </row>
    <row r="392" spans="1:7" x14ac:dyDescent="0.35">
      <c r="A392" s="3"/>
      <c r="B392" s="3"/>
      <c r="C392" s="3" t="s">
        <v>54</v>
      </c>
      <c r="D392" s="5">
        <v>-19781</v>
      </c>
      <c r="E392" s="5">
        <v>-19781</v>
      </c>
      <c r="F392" s="5">
        <v>-12703.18</v>
      </c>
      <c r="G392" s="5">
        <f t="shared" ref="G392:G407" si="149">F392-E392</f>
        <v>7077.82</v>
      </c>
    </row>
    <row r="393" spans="1:7" x14ac:dyDescent="0.35">
      <c r="A393" s="3"/>
      <c r="B393" s="3"/>
      <c r="C393" s="37" t="s">
        <v>107</v>
      </c>
      <c r="D393" s="38">
        <f>SUM(D395:D396)</f>
        <v>0</v>
      </c>
      <c r="E393" s="38">
        <f>SUM(E394:E396)</f>
        <v>-1197.29</v>
      </c>
      <c r="F393" s="38">
        <f>SUM(F394:F396)</f>
        <v>-510.53999999999996</v>
      </c>
      <c r="G393" s="38">
        <f>F393-E393</f>
        <v>686.75</v>
      </c>
    </row>
    <row r="394" spans="1:7" x14ac:dyDescent="0.35">
      <c r="A394" s="3"/>
      <c r="B394" s="3"/>
      <c r="C394" s="3" t="s">
        <v>155</v>
      </c>
      <c r="D394" s="5">
        <v>0</v>
      </c>
      <c r="E394" s="5">
        <v>-1197.29</v>
      </c>
      <c r="F394" s="5">
        <v>0</v>
      </c>
      <c r="G394" s="5">
        <f>F394-E394</f>
        <v>1197.29</v>
      </c>
    </row>
    <row r="395" spans="1:7" x14ac:dyDescent="0.35">
      <c r="A395" s="3"/>
      <c r="B395" s="3"/>
      <c r="C395" s="3" t="s">
        <v>54</v>
      </c>
      <c r="D395" s="5">
        <v>0</v>
      </c>
      <c r="E395" s="5">
        <v>0</v>
      </c>
      <c r="F395" s="5">
        <v>-263.27</v>
      </c>
      <c r="G395" s="5">
        <f t="shared" ref="G395:G396" si="150">F395-E395</f>
        <v>-263.27</v>
      </c>
    </row>
    <row r="396" spans="1:7" x14ac:dyDescent="0.35">
      <c r="A396" s="3"/>
      <c r="B396" s="3"/>
      <c r="C396" s="3" t="s">
        <v>55</v>
      </c>
      <c r="D396" s="5">
        <v>0</v>
      </c>
      <c r="E396" s="5">
        <v>0</v>
      </c>
      <c r="F396" s="5">
        <v>-247.27</v>
      </c>
      <c r="G396" s="5">
        <f t="shared" si="150"/>
        <v>-247.27</v>
      </c>
    </row>
    <row r="397" spans="1:7" x14ac:dyDescent="0.35">
      <c r="A397" s="3"/>
      <c r="B397" s="3"/>
      <c r="C397" s="37" t="s">
        <v>108</v>
      </c>
      <c r="D397" s="5">
        <v>0</v>
      </c>
      <c r="E397" s="38">
        <f>+E398+E399+E400</f>
        <v>-196697.7</v>
      </c>
      <c r="F397" s="38">
        <f>+F398+F399+F400</f>
        <v>-27560.54</v>
      </c>
      <c r="G397" s="38">
        <f t="shared" si="149"/>
        <v>169137.16</v>
      </c>
    </row>
    <row r="398" spans="1:7" x14ac:dyDescent="0.35">
      <c r="A398" s="3"/>
      <c r="B398" s="3"/>
      <c r="C398" s="3" t="s">
        <v>155</v>
      </c>
      <c r="D398" s="5">
        <v>0</v>
      </c>
      <c r="E398" s="5">
        <v>-196697.7</v>
      </c>
      <c r="F398" s="5">
        <v>0</v>
      </c>
      <c r="G398" s="5">
        <f t="shared" si="149"/>
        <v>196697.7</v>
      </c>
    </row>
    <row r="399" spans="1:7" x14ac:dyDescent="0.35">
      <c r="A399" s="3"/>
      <c r="B399" s="3"/>
      <c r="C399" s="3" t="s">
        <v>54</v>
      </c>
      <c r="D399" s="5">
        <v>0</v>
      </c>
      <c r="E399" s="5">
        <v>0</v>
      </c>
      <c r="F399" s="5">
        <v>-26732.54</v>
      </c>
      <c r="G399" s="5">
        <f t="shared" si="149"/>
        <v>-26732.54</v>
      </c>
    </row>
    <row r="400" spans="1:7" s="35" customFormat="1" x14ac:dyDescent="0.35">
      <c r="A400" s="3"/>
      <c r="B400" s="3"/>
      <c r="C400" s="3" t="s">
        <v>101</v>
      </c>
      <c r="D400" s="5">
        <v>0</v>
      </c>
      <c r="E400" s="5">
        <v>0</v>
      </c>
      <c r="F400" s="5">
        <v>-828</v>
      </c>
      <c r="G400" s="5">
        <f t="shared" si="149"/>
        <v>-828</v>
      </c>
    </row>
    <row r="401" spans="1:7" x14ac:dyDescent="0.35">
      <c r="A401" s="37"/>
      <c r="B401" s="37"/>
      <c r="C401" s="37" t="s">
        <v>109</v>
      </c>
      <c r="D401" s="38">
        <v>-3840</v>
      </c>
      <c r="E401" s="38">
        <f t="shared" ref="E401" si="151">D401</f>
        <v>-3840</v>
      </c>
      <c r="F401" s="38">
        <v>-3723.89</v>
      </c>
      <c r="G401" s="38">
        <f t="shared" si="149"/>
        <v>116.11000000000013</v>
      </c>
    </row>
    <row r="402" spans="1:7" x14ac:dyDescent="0.35">
      <c r="A402" s="75" t="s">
        <v>125</v>
      </c>
      <c r="B402" s="75"/>
      <c r="C402" s="75"/>
      <c r="D402" s="73">
        <f>SUM(D403:D407)</f>
        <v>-76996878</v>
      </c>
      <c r="E402" s="73">
        <f t="shared" ref="E402:F402" si="152">SUM(E403:E407)</f>
        <v>-84399767.950112984</v>
      </c>
      <c r="F402" s="73">
        <f t="shared" si="152"/>
        <v>-81108706</v>
      </c>
      <c r="G402" s="73">
        <f t="shared" si="149"/>
        <v>3291061.9501129836</v>
      </c>
    </row>
    <row r="403" spans="1:7" s="35" customFormat="1" x14ac:dyDescent="0.35">
      <c r="A403" s="3"/>
      <c r="B403" s="3" t="s">
        <v>105</v>
      </c>
      <c r="C403" s="3"/>
      <c r="D403" s="5">
        <f>D415+D433+D457</f>
        <v>-73428842</v>
      </c>
      <c r="E403" s="5">
        <f>E415+E433+E457</f>
        <v>-79411569.709999993</v>
      </c>
      <c r="F403" s="5">
        <f>F415+F433+F457</f>
        <v>-76838256.75</v>
      </c>
      <c r="G403" s="5">
        <f t="shared" si="149"/>
        <v>2573312.9599999934</v>
      </c>
    </row>
    <row r="404" spans="1:7" x14ac:dyDescent="0.35">
      <c r="A404" s="3"/>
      <c r="B404" s="3" t="s">
        <v>106</v>
      </c>
      <c r="C404" s="3"/>
      <c r="D404" s="5">
        <f>D463</f>
        <v>-59779</v>
      </c>
      <c r="E404" s="5">
        <f>E463+E420+E438</f>
        <v>-59778.77</v>
      </c>
      <c r="F404" s="5">
        <f>F463+F420+F438</f>
        <v>-74854.280000000013</v>
      </c>
      <c r="G404" s="5">
        <f t="shared" si="149"/>
        <v>-15075.510000000017</v>
      </c>
    </row>
    <row r="405" spans="1:7" x14ac:dyDescent="0.35">
      <c r="A405" s="3"/>
      <c r="B405" s="3" t="s">
        <v>107</v>
      </c>
      <c r="C405" s="3"/>
      <c r="D405" s="5">
        <f>D440+D467</f>
        <v>-717045</v>
      </c>
      <c r="E405" s="5">
        <f>E440+E467+E422</f>
        <v>-841577.84</v>
      </c>
      <c r="F405" s="5">
        <f>F440+F467+F422</f>
        <v>-815404.37000000011</v>
      </c>
      <c r="G405" s="5">
        <f t="shared" si="149"/>
        <v>26173.469999999856</v>
      </c>
    </row>
    <row r="406" spans="1:7" x14ac:dyDescent="0.35">
      <c r="A406" s="3"/>
      <c r="B406" s="3" t="s">
        <v>108</v>
      </c>
      <c r="C406" s="3"/>
      <c r="D406" s="5">
        <f>D444+D471</f>
        <v>-223886</v>
      </c>
      <c r="E406" s="5">
        <f>E444+E471</f>
        <v>-1519515.28</v>
      </c>
      <c r="F406" s="5">
        <f>F444+F471</f>
        <v>-476525.52</v>
      </c>
      <c r="G406" s="5">
        <f t="shared" si="149"/>
        <v>1042989.76</v>
      </c>
    </row>
    <row r="407" spans="1:7" x14ac:dyDescent="0.35">
      <c r="A407" s="3"/>
      <c r="B407" s="3" t="s">
        <v>109</v>
      </c>
      <c r="C407" s="3"/>
      <c r="D407" s="5">
        <f>D426+D448+D476</f>
        <v>-2567326</v>
      </c>
      <c r="E407" s="5">
        <f>E426+E448+E476</f>
        <v>-2567326.3501129854</v>
      </c>
      <c r="F407" s="5">
        <f>F426+F448+F476</f>
        <v>-2903665.08</v>
      </c>
      <c r="G407" s="5">
        <f t="shared" si="149"/>
        <v>-336338.72988701472</v>
      </c>
    </row>
    <row r="408" spans="1:7" x14ac:dyDescent="0.35">
      <c r="A408" s="37"/>
      <c r="B408" s="37" t="s">
        <v>31</v>
      </c>
      <c r="C408" s="37"/>
      <c r="D408" s="38">
        <f>SUM(D410:D414)</f>
        <v>-648219</v>
      </c>
      <c r="E408" s="38">
        <f>SUM(E409:E414)</f>
        <v>-824129.89999999991</v>
      </c>
      <c r="F408" s="38">
        <f>SUM(F409:F414)</f>
        <v>-759039.6399999999</v>
      </c>
      <c r="G408" s="38">
        <f>F408-E408</f>
        <v>65090.260000000009</v>
      </c>
    </row>
    <row r="409" spans="1:7" x14ac:dyDescent="0.35">
      <c r="A409" s="37"/>
      <c r="B409" s="37"/>
      <c r="C409" s="3" t="s">
        <v>155</v>
      </c>
      <c r="D409" s="5">
        <f>D423</f>
        <v>0</v>
      </c>
      <c r="E409" s="5">
        <f t="shared" ref="E409:F409" si="153">E423</f>
        <v>-50037.96</v>
      </c>
      <c r="F409" s="5">
        <f t="shared" si="153"/>
        <v>0</v>
      </c>
      <c r="G409" s="5">
        <f>F409-E409</f>
        <v>50037.96</v>
      </c>
    </row>
    <row r="410" spans="1:7" x14ac:dyDescent="0.35">
      <c r="A410" s="3"/>
      <c r="B410" s="3"/>
      <c r="C410" s="3" t="s">
        <v>54</v>
      </c>
      <c r="D410" s="5">
        <f>D416</f>
        <v>-531222</v>
      </c>
      <c r="E410" s="5">
        <f>E416</f>
        <v>-642742.44999999995</v>
      </c>
      <c r="F410" s="5">
        <f>F416+F424</f>
        <v>-604085.07999999996</v>
      </c>
      <c r="G410" s="5">
        <f t="shared" ref="G410:G414" si="154">F410-E410</f>
        <v>38657.369999999995</v>
      </c>
    </row>
    <row r="411" spans="1:7" x14ac:dyDescent="0.35">
      <c r="A411" s="3"/>
      <c r="B411" s="3"/>
      <c r="C411" s="3" t="s">
        <v>55</v>
      </c>
      <c r="D411" s="5">
        <f>D417</f>
        <v>-112259</v>
      </c>
      <c r="E411" s="5">
        <f t="shared" ref="E411:F412" si="155">E417</f>
        <v>-126573.75</v>
      </c>
      <c r="F411" s="5">
        <f t="shared" si="155"/>
        <v>-119617.34</v>
      </c>
      <c r="G411" s="5">
        <f t="shared" si="154"/>
        <v>6956.4100000000035</v>
      </c>
    </row>
    <row r="412" spans="1:7" x14ac:dyDescent="0.35">
      <c r="A412" s="3"/>
      <c r="B412" s="3"/>
      <c r="C412" s="3" t="s">
        <v>101</v>
      </c>
      <c r="D412" s="5">
        <f>D418</f>
        <v>-1977</v>
      </c>
      <c r="E412" s="5">
        <f t="shared" si="155"/>
        <v>-1977.2</v>
      </c>
      <c r="F412" s="5">
        <f t="shared" si="155"/>
        <v>-1622.32</v>
      </c>
      <c r="G412" s="5">
        <f t="shared" si="154"/>
        <v>354.88000000000011</v>
      </c>
    </row>
    <row r="413" spans="1:7" x14ac:dyDescent="0.35">
      <c r="A413" s="3"/>
      <c r="B413" s="3"/>
      <c r="C413" s="3" t="str">
        <f>+C425</f>
        <v>Investeeringutoetused</v>
      </c>
      <c r="D413" s="5">
        <v>0</v>
      </c>
      <c r="E413" s="5">
        <v>0</v>
      </c>
      <c r="F413" s="5">
        <f>+F425</f>
        <v>-30121.05</v>
      </c>
      <c r="G413" s="5">
        <f t="shared" si="154"/>
        <v>-30121.05</v>
      </c>
    </row>
    <row r="414" spans="1:7" s="35" customFormat="1" x14ac:dyDescent="0.35">
      <c r="A414" s="3"/>
      <c r="B414" s="3"/>
      <c r="C414" s="3" t="s">
        <v>103</v>
      </c>
      <c r="D414" s="5">
        <f>D419+D426</f>
        <v>-2761</v>
      </c>
      <c r="E414" s="5">
        <f t="shared" ref="E414" si="156">E419+E426</f>
        <v>-2798.54</v>
      </c>
      <c r="F414" s="5">
        <f>F419+F426+F421</f>
        <v>-3593.8499999999995</v>
      </c>
      <c r="G414" s="5">
        <f t="shared" si="154"/>
        <v>-795.30999999999949</v>
      </c>
    </row>
    <row r="415" spans="1:7" s="35" customFormat="1" x14ac:dyDescent="0.35">
      <c r="A415" s="37"/>
      <c r="B415" s="37"/>
      <c r="C415" s="37" t="s">
        <v>105</v>
      </c>
      <c r="D415" s="38">
        <f>SUM(D416:D419)</f>
        <v>-645976</v>
      </c>
      <c r="E415" s="38">
        <f>SUM(E416:E419)</f>
        <v>-771848.71999999986</v>
      </c>
      <c r="F415" s="38">
        <f>SUM(F416:F419)</f>
        <v>-706481.68999999983</v>
      </c>
      <c r="G415" s="38">
        <f>F415-E415</f>
        <v>65367.030000000028</v>
      </c>
    </row>
    <row r="416" spans="1:7" x14ac:dyDescent="0.35">
      <c r="A416" s="3"/>
      <c r="B416" s="3"/>
      <c r="C416" s="3" t="s">
        <v>54</v>
      </c>
      <c r="D416" s="5">
        <v>-531222</v>
      </c>
      <c r="E416" s="5">
        <v>-642742.44999999995</v>
      </c>
      <c r="F416" s="5">
        <v>-584758.07999999996</v>
      </c>
      <c r="G416" s="5">
        <f t="shared" ref="G416:G426" si="157">F416-E416</f>
        <v>57984.369999999995</v>
      </c>
    </row>
    <row r="417" spans="1:7" x14ac:dyDescent="0.35">
      <c r="A417" s="3"/>
      <c r="B417" s="3"/>
      <c r="C417" s="3" t="s">
        <v>55</v>
      </c>
      <c r="D417" s="5">
        <v>-112259</v>
      </c>
      <c r="E417" s="5">
        <f>-121990.84-4582.91</f>
        <v>-126573.75</v>
      </c>
      <c r="F417" s="5">
        <v>-119617.34</v>
      </c>
      <c r="G417" s="5">
        <f t="shared" si="157"/>
        <v>6956.4100000000035</v>
      </c>
    </row>
    <row r="418" spans="1:7" x14ac:dyDescent="0.35">
      <c r="A418" s="3"/>
      <c r="B418" s="3"/>
      <c r="C418" s="3" t="s">
        <v>101</v>
      </c>
      <c r="D418" s="5">
        <v>-1977</v>
      </c>
      <c r="E418" s="5">
        <v>-1977.2</v>
      </c>
      <c r="F418" s="5">
        <v>-1622.32</v>
      </c>
      <c r="G418" s="5">
        <f t="shared" si="157"/>
        <v>354.88000000000011</v>
      </c>
    </row>
    <row r="419" spans="1:7" x14ac:dyDescent="0.35">
      <c r="A419" s="3"/>
      <c r="B419" s="3"/>
      <c r="C419" s="3" t="s">
        <v>56</v>
      </c>
      <c r="D419" s="5">
        <v>-518</v>
      </c>
      <c r="E419" s="5">
        <v>-555.32000000000005</v>
      </c>
      <c r="F419" s="5">
        <v>-483.95</v>
      </c>
      <c r="G419" s="5">
        <f t="shared" si="157"/>
        <v>71.370000000000061</v>
      </c>
    </row>
    <row r="420" spans="1:7" x14ac:dyDescent="0.35">
      <c r="A420" s="3"/>
      <c r="B420" s="3"/>
      <c r="C420" s="37" t="s">
        <v>106</v>
      </c>
      <c r="D420" s="38">
        <f>SUM(D421:D421)</f>
        <v>0</v>
      </c>
      <c r="E420" s="38">
        <f>SUM(E421:E421)</f>
        <v>0</v>
      </c>
      <c r="F420" s="38">
        <f>SUM(F421:F421)</f>
        <v>93.09</v>
      </c>
      <c r="G420" s="38">
        <f>F420-E420</f>
        <v>93.09</v>
      </c>
    </row>
    <row r="421" spans="1:7" x14ac:dyDescent="0.35">
      <c r="A421" s="3"/>
      <c r="B421" s="3"/>
      <c r="C421" s="3" t="s">
        <v>56</v>
      </c>
      <c r="D421" s="5">
        <v>0</v>
      </c>
      <c r="E421" s="5">
        <v>0</v>
      </c>
      <c r="F421" s="5">
        <v>93.09</v>
      </c>
      <c r="G421" s="5">
        <f t="shared" ref="G421" si="158">F421-E421</f>
        <v>93.09</v>
      </c>
    </row>
    <row r="422" spans="1:7" x14ac:dyDescent="0.35">
      <c r="A422" s="3"/>
      <c r="B422" s="3"/>
      <c r="C422" s="37" t="s">
        <v>107</v>
      </c>
      <c r="D422" s="38">
        <f>SUM(D424:D425)</f>
        <v>0</v>
      </c>
      <c r="E422" s="38">
        <f>SUM(E423:E425)</f>
        <v>-50037.96</v>
      </c>
      <c r="F422" s="38">
        <f>SUM(F423:F425)</f>
        <v>-49448.05</v>
      </c>
      <c r="G422" s="38">
        <f>F422-E422</f>
        <v>589.90999999999622</v>
      </c>
    </row>
    <row r="423" spans="1:7" x14ac:dyDescent="0.35">
      <c r="A423" s="3"/>
      <c r="B423" s="3"/>
      <c r="C423" s="3" t="s">
        <v>155</v>
      </c>
      <c r="D423" s="38">
        <v>0</v>
      </c>
      <c r="E423" s="5">
        <v>-50037.96</v>
      </c>
      <c r="F423" s="5">
        <v>0</v>
      </c>
      <c r="G423" s="5">
        <f>F423-E423</f>
        <v>50037.96</v>
      </c>
    </row>
    <row r="424" spans="1:7" x14ac:dyDescent="0.35">
      <c r="A424" s="3"/>
      <c r="B424" s="3"/>
      <c r="C424" s="3" t="s">
        <v>54</v>
      </c>
      <c r="D424" s="5">
        <v>0</v>
      </c>
      <c r="E424" s="5">
        <v>0</v>
      </c>
      <c r="F424" s="5">
        <v>-19327</v>
      </c>
      <c r="G424" s="5">
        <f t="shared" ref="G424:G425" si="159">F424-E424</f>
        <v>-19327</v>
      </c>
    </row>
    <row r="425" spans="1:7" x14ac:dyDescent="0.35">
      <c r="A425" s="3"/>
      <c r="B425" s="3"/>
      <c r="C425" s="3" t="s">
        <v>110</v>
      </c>
      <c r="D425" s="5">
        <v>0</v>
      </c>
      <c r="E425" s="5">
        <v>0</v>
      </c>
      <c r="F425" s="5">
        <v>-30121.05</v>
      </c>
      <c r="G425" s="5">
        <f t="shared" si="159"/>
        <v>-30121.05</v>
      </c>
    </row>
    <row r="426" spans="1:7" x14ac:dyDescent="0.35">
      <c r="A426" s="37"/>
      <c r="B426" s="37"/>
      <c r="C426" s="37" t="s">
        <v>109</v>
      </c>
      <c r="D426" s="38">
        <v>-2243</v>
      </c>
      <c r="E426" s="38">
        <v>-2243.2199999999998</v>
      </c>
      <c r="F426" s="38">
        <v>-3202.99</v>
      </c>
      <c r="G426" s="38">
        <f t="shared" si="157"/>
        <v>-959.77</v>
      </c>
    </row>
    <row r="427" spans="1:7" x14ac:dyDescent="0.35">
      <c r="A427" s="37"/>
      <c r="B427" s="37" t="s">
        <v>116</v>
      </c>
      <c r="C427" s="37"/>
      <c r="D427" s="38">
        <f>SUM(D429:D432)</f>
        <v>-6958745</v>
      </c>
      <c r="E427" s="38">
        <f>SUM(E428:E432)</f>
        <v>-9069405.1300000008</v>
      </c>
      <c r="F427" s="38">
        <f>SUM(F429:F432)</f>
        <v>-8480773.0999999996</v>
      </c>
      <c r="G427" s="38">
        <f>F427-E427</f>
        <v>588632.03000000119</v>
      </c>
    </row>
    <row r="428" spans="1:7" x14ac:dyDescent="0.35">
      <c r="A428" s="37"/>
      <c r="B428" s="37"/>
      <c r="C428" s="3" t="s">
        <v>155</v>
      </c>
      <c r="D428" s="5">
        <v>0</v>
      </c>
      <c r="E428" s="5">
        <f>+E441+E445</f>
        <v>-1018077.78</v>
      </c>
      <c r="F428" s="5">
        <v>0</v>
      </c>
      <c r="G428" s="5">
        <f>F428-E428</f>
        <v>1018077.78</v>
      </c>
    </row>
    <row r="429" spans="1:7" x14ac:dyDescent="0.35">
      <c r="A429" s="3"/>
      <c r="B429" s="3"/>
      <c r="C429" s="3" t="s">
        <v>54</v>
      </c>
      <c r="D429" s="5">
        <f>D434+D442+D446</f>
        <v>-3012347</v>
      </c>
      <c r="E429" s="5">
        <f>E434+E442+E446</f>
        <v>-3267458.39</v>
      </c>
      <c r="F429" s="5">
        <f>F434+F442+F446</f>
        <v>-3550645.6199999996</v>
      </c>
      <c r="G429" s="5">
        <f t="shared" ref="G429:G432" si="160">F429-E429</f>
        <v>-283187.22999999952</v>
      </c>
    </row>
    <row r="430" spans="1:7" s="35" customFormat="1" x14ac:dyDescent="0.35">
      <c r="A430" s="3"/>
      <c r="B430" s="3"/>
      <c r="C430" s="3" t="s">
        <v>55</v>
      </c>
      <c r="D430" s="5">
        <f>D435+D443+D447</f>
        <v>-3025366</v>
      </c>
      <c r="E430" s="5">
        <f>E435+E443+E447</f>
        <v>-3861104.05</v>
      </c>
      <c r="F430" s="5">
        <f t="shared" ref="F430" si="161">F435+F443+F447</f>
        <v>-3936992.9</v>
      </c>
      <c r="G430" s="5">
        <f t="shared" si="160"/>
        <v>-75888.850000000093</v>
      </c>
    </row>
    <row r="431" spans="1:7" x14ac:dyDescent="0.35">
      <c r="A431" s="3"/>
      <c r="B431" s="3"/>
      <c r="C431" s="3" t="s">
        <v>102</v>
      </c>
      <c r="D431" s="5">
        <f>D436</f>
        <v>-382</v>
      </c>
      <c r="E431" s="5">
        <f>E436</f>
        <v>-382.24</v>
      </c>
      <c r="F431" s="5">
        <f t="shared" ref="F431" si="162">F436</f>
        <v>-381.44</v>
      </c>
      <c r="G431" s="5">
        <f t="shared" si="160"/>
        <v>0.80000000000001137</v>
      </c>
    </row>
    <row r="432" spans="1:7" x14ac:dyDescent="0.35">
      <c r="A432" s="3"/>
      <c r="B432" s="3"/>
      <c r="C432" s="3" t="s">
        <v>103</v>
      </c>
      <c r="D432" s="5">
        <f>D448</f>
        <v>-920650</v>
      </c>
      <c r="E432" s="5">
        <f>E448+E437</f>
        <v>-922382.67</v>
      </c>
      <c r="F432" s="5">
        <f>F448+F439+F437</f>
        <v>-992753.1399999999</v>
      </c>
      <c r="G432" s="5">
        <f t="shared" si="160"/>
        <v>-70370.469999999856</v>
      </c>
    </row>
    <row r="433" spans="1:7" x14ac:dyDescent="0.35">
      <c r="A433" s="37"/>
      <c r="B433" s="37"/>
      <c r="C433" s="37" t="s">
        <v>105</v>
      </c>
      <c r="D433" s="38">
        <f>SUM(D434:D436)</f>
        <v>-5766139</v>
      </c>
      <c r="E433" s="38">
        <f>SUM(E434:E437)</f>
        <v>-7130677.2199999997</v>
      </c>
      <c r="F433" s="38">
        <f>SUM(F434:F437)</f>
        <v>-7153351.7300000004</v>
      </c>
      <c r="G433" s="38">
        <f>F433-E433</f>
        <v>-22674.510000000708</v>
      </c>
    </row>
    <row r="434" spans="1:7" x14ac:dyDescent="0.35">
      <c r="A434" s="3"/>
      <c r="B434" s="3"/>
      <c r="C434" s="3" t="s">
        <v>54</v>
      </c>
      <c r="D434" s="5">
        <v>-2816119</v>
      </c>
      <c r="E434" s="5">
        <v>-3267458.39</v>
      </c>
      <c r="F434" s="5">
        <v>-3241268.4</v>
      </c>
      <c r="G434" s="5">
        <f t="shared" ref="G434:G437" si="163">F434-E434</f>
        <v>26189.990000000224</v>
      </c>
    </row>
    <row r="435" spans="1:7" x14ac:dyDescent="0.35">
      <c r="A435" s="3"/>
      <c r="B435" s="3"/>
      <c r="C435" s="3" t="s">
        <v>55</v>
      </c>
      <c r="D435" s="5">
        <v>-2949638</v>
      </c>
      <c r="E435" s="5">
        <v>-3861104.05</v>
      </c>
      <c r="F435" s="5">
        <v>-3909869.57</v>
      </c>
      <c r="G435" s="5">
        <f t="shared" si="163"/>
        <v>-48765.520000000019</v>
      </c>
    </row>
    <row r="436" spans="1:7" x14ac:dyDescent="0.35">
      <c r="A436" s="3"/>
      <c r="B436" s="3"/>
      <c r="C436" s="3" t="s">
        <v>102</v>
      </c>
      <c r="D436" s="5">
        <v>-382</v>
      </c>
      <c r="E436" s="5">
        <v>-382.24</v>
      </c>
      <c r="F436" s="5">
        <v>-381.44</v>
      </c>
      <c r="G436" s="5">
        <f t="shared" si="163"/>
        <v>0.80000000000001137</v>
      </c>
    </row>
    <row r="437" spans="1:7" x14ac:dyDescent="0.35">
      <c r="A437" s="3"/>
      <c r="B437" s="3"/>
      <c r="C437" s="3" t="s">
        <v>56</v>
      </c>
      <c r="D437" s="5">
        <v>0</v>
      </c>
      <c r="E437" s="5">
        <v>-1732.54</v>
      </c>
      <c r="F437" s="5">
        <v>-1832.32</v>
      </c>
      <c r="G437" s="5">
        <f t="shared" si="163"/>
        <v>-99.779999999999973</v>
      </c>
    </row>
    <row r="438" spans="1:7" x14ac:dyDescent="0.35">
      <c r="A438" s="3"/>
      <c r="B438" s="3"/>
      <c r="C438" s="37" t="s">
        <v>106</v>
      </c>
      <c r="D438" s="38">
        <f>SUM(D439:D439)</f>
        <v>0</v>
      </c>
      <c r="E438" s="38">
        <f>SUM(E439:E439)</f>
        <v>0</v>
      </c>
      <c r="F438" s="38">
        <f>SUM(F439:F439)</f>
        <v>-325.38</v>
      </c>
      <c r="G438" s="38">
        <f>F438-E438</f>
        <v>-325.38</v>
      </c>
    </row>
    <row r="439" spans="1:7" x14ac:dyDescent="0.35">
      <c r="A439" s="3"/>
      <c r="B439" s="3"/>
      <c r="C439" s="3" t="s">
        <v>56</v>
      </c>
      <c r="D439" s="5">
        <v>0</v>
      </c>
      <c r="E439" s="5">
        <v>0</v>
      </c>
      <c r="F439" s="5">
        <v>-325.38</v>
      </c>
      <c r="G439" s="5">
        <f t="shared" ref="G439" si="164">F439-E439</f>
        <v>-325.38</v>
      </c>
    </row>
    <row r="440" spans="1:7" x14ac:dyDescent="0.35">
      <c r="A440" s="37"/>
      <c r="B440" s="37"/>
      <c r="C440" s="37" t="s">
        <v>107</v>
      </c>
      <c r="D440" s="38">
        <f>SUM(D442:D443)</f>
        <v>-165693</v>
      </c>
      <c r="E440" s="38">
        <f>SUM(E441:E443)</f>
        <v>-254548.14</v>
      </c>
      <c r="F440" s="38">
        <f>SUM(F441:F443)</f>
        <v>-254144.04</v>
      </c>
      <c r="G440" s="38">
        <f>F440-E440</f>
        <v>404.10000000000582</v>
      </c>
    </row>
    <row r="441" spans="1:7" x14ac:dyDescent="0.35">
      <c r="A441" s="37"/>
      <c r="B441" s="37"/>
      <c r="C441" s="3" t="s">
        <v>155</v>
      </c>
      <c r="D441" s="5">
        <v>0</v>
      </c>
      <c r="E441" s="5">
        <v>-254548.14</v>
      </c>
      <c r="F441" s="5">
        <v>0</v>
      </c>
      <c r="G441" s="5">
        <f>F441-E441</f>
        <v>254548.14</v>
      </c>
    </row>
    <row r="442" spans="1:7" x14ac:dyDescent="0.35">
      <c r="A442" s="3"/>
      <c r="B442" s="3"/>
      <c r="C442" s="3" t="s">
        <v>54</v>
      </c>
      <c r="D442" s="5">
        <v>-138563</v>
      </c>
      <c r="E442" s="5">
        <v>0</v>
      </c>
      <c r="F442" s="5">
        <v>-242555.88</v>
      </c>
      <c r="G442" s="5">
        <f t="shared" ref="G442:G443" si="165">F442-E442</f>
        <v>-242555.88</v>
      </c>
    </row>
    <row r="443" spans="1:7" x14ac:dyDescent="0.35">
      <c r="A443" s="37"/>
      <c r="B443" s="37"/>
      <c r="C443" s="3" t="s">
        <v>55</v>
      </c>
      <c r="D443" s="5">
        <v>-27130</v>
      </c>
      <c r="E443" s="5">
        <v>0</v>
      </c>
      <c r="F443" s="5">
        <v>-11588.16</v>
      </c>
      <c r="G443" s="5">
        <f t="shared" si="165"/>
        <v>-11588.16</v>
      </c>
    </row>
    <row r="444" spans="1:7" s="35" customFormat="1" x14ac:dyDescent="0.35">
      <c r="A444" s="37"/>
      <c r="B444" s="37"/>
      <c r="C444" s="37" t="s">
        <v>108</v>
      </c>
      <c r="D444" s="38">
        <f>SUM(D446:D447)</f>
        <v>-106263</v>
      </c>
      <c r="E444" s="38">
        <f>SUM(E445:E447)</f>
        <v>-763529.64</v>
      </c>
      <c r="F444" s="38">
        <f>SUM(F445:F447)</f>
        <v>-82356.509999999995</v>
      </c>
      <c r="G444" s="38">
        <f>F444-E444</f>
        <v>681173.13</v>
      </c>
    </row>
    <row r="445" spans="1:7" x14ac:dyDescent="0.35">
      <c r="A445" s="37"/>
      <c r="B445" s="37"/>
      <c r="C445" s="3" t="s">
        <v>155</v>
      </c>
      <c r="D445" s="5">
        <v>0</v>
      </c>
      <c r="E445" s="5">
        <v>-763529.64</v>
      </c>
      <c r="F445" s="5">
        <v>0</v>
      </c>
      <c r="G445" s="5">
        <f>F445-E445</f>
        <v>763529.64</v>
      </c>
    </row>
    <row r="446" spans="1:7" x14ac:dyDescent="0.35">
      <c r="A446" s="3"/>
      <c r="B446" s="3"/>
      <c r="C446" s="3" t="s">
        <v>54</v>
      </c>
      <c r="D446" s="5">
        <v>-57665</v>
      </c>
      <c r="E446" s="5">
        <v>0</v>
      </c>
      <c r="F446" s="5">
        <v>-66821.34</v>
      </c>
      <c r="G446" s="5">
        <f t="shared" ref="G446:G448" si="166">F446-E446</f>
        <v>-66821.34</v>
      </c>
    </row>
    <row r="447" spans="1:7" s="35" customFormat="1" x14ac:dyDescent="0.35">
      <c r="A447" s="3"/>
      <c r="B447" s="3"/>
      <c r="C447" s="3" t="s">
        <v>55</v>
      </c>
      <c r="D447" s="5">
        <v>-48598</v>
      </c>
      <c r="E447" s="5">
        <v>0</v>
      </c>
      <c r="F447" s="5">
        <v>-15535.17</v>
      </c>
      <c r="G447" s="5">
        <f t="shared" si="166"/>
        <v>-15535.17</v>
      </c>
    </row>
    <row r="448" spans="1:7" x14ac:dyDescent="0.35">
      <c r="A448" s="37"/>
      <c r="B448" s="37"/>
      <c r="C448" s="37" t="s">
        <v>109</v>
      </c>
      <c r="D448" s="38">
        <v>-920650</v>
      </c>
      <c r="E448" s="38">
        <v>-920650.13</v>
      </c>
      <c r="F448" s="38">
        <v>-990595.44</v>
      </c>
      <c r="G448" s="38">
        <f t="shared" si="166"/>
        <v>-69945.309999999939</v>
      </c>
    </row>
    <row r="449" spans="1:7" x14ac:dyDescent="0.35">
      <c r="A449" s="37"/>
      <c r="B449" s="37" t="s">
        <v>117</v>
      </c>
      <c r="C449" s="37"/>
      <c r="D449" s="38">
        <f>SUM(D451:D456)</f>
        <v>-69389914</v>
      </c>
      <c r="E449" s="38">
        <f>SUM(E450:E456)</f>
        <v>-74506232.920112982</v>
      </c>
      <c r="F449" s="38">
        <f>SUM(F450:F456)</f>
        <v>-71868893.25999999</v>
      </c>
      <c r="G449" s="38">
        <f>F449-E449</f>
        <v>2637339.6601129919</v>
      </c>
    </row>
    <row r="450" spans="1:7" x14ac:dyDescent="0.35">
      <c r="A450" s="37"/>
      <c r="B450" s="37"/>
      <c r="C450" s="3" t="s">
        <v>155</v>
      </c>
      <c r="D450" s="5">
        <f>D468+D472</f>
        <v>0</v>
      </c>
      <c r="E450" s="5">
        <f t="shared" ref="E450:F450" si="167">E468+E472</f>
        <v>-1292977.3799999999</v>
      </c>
      <c r="F450" s="5">
        <f t="shared" si="167"/>
        <v>0</v>
      </c>
      <c r="G450" s="5">
        <f>F450-E450</f>
        <v>1292977.3799999999</v>
      </c>
    </row>
    <row r="451" spans="1:7" x14ac:dyDescent="0.35">
      <c r="A451" s="3"/>
      <c r="B451" s="3"/>
      <c r="C451" s="3" t="s">
        <v>54</v>
      </c>
      <c r="D451" s="5">
        <f>D458+D464+D469</f>
        <v>-48301568</v>
      </c>
      <c r="E451" s="5">
        <f>E458+E464+E469</f>
        <v>-50257436.550000004</v>
      </c>
      <c r="F451" s="5">
        <f>F458+F464+F469+F474</f>
        <v>-49893596.859999999</v>
      </c>
      <c r="G451" s="5">
        <f t="shared" ref="G451:G456" si="168">F451-E451</f>
        <v>363839.69000000507</v>
      </c>
    </row>
    <row r="452" spans="1:7" x14ac:dyDescent="0.35">
      <c r="A452" s="3"/>
      <c r="B452" s="3"/>
      <c r="C452" s="3" t="s">
        <v>55</v>
      </c>
      <c r="D452" s="5">
        <f>D459+D470+D473</f>
        <v>-17840962</v>
      </c>
      <c r="E452" s="5">
        <f>E459+E470+E473</f>
        <v>-19232456.440000001</v>
      </c>
      <c r="F452" s="5">
        <f>F459+F470+F473</f>
        <v>-18090798.149999999</v>
      </c>
      <c r="G452" s="5">
        <f t="shared" si="168"/>
        <v>1141658.2900000028</v>
      </c>
    </row>
    <row r="453" spans="1:7" x14ac:dyDescent="0.35">
      <c r="A453" s="3"/>
      <c r="B453" s="3"/>
      <c r="C453" s="3" t="s">
        <v>101</v>
      </c>
      <c r="D453" s="5">
        <f t="shared" ref="D453:F454" si="169">D460</f>
        <v>-770</v>
      </c>
      <c r="E453" s="5">
        <f t="shared" si="169"/>
        <v>-770.35</v>
      </c>
      <c r="F453" s="5">
        <f t="shared" si="169"/>
        <v>-770.35</v>
      </c>
      <c r="G453" s="5">
        <f t="shared" si="168"/>
        <v>0</v>
      </c>
    </row>
    <row r="454" spans="1:7" x14ac:dyDescent="0.35">
      <c r="A454" s="3"/>
      <c r="B454" s="3"/>
      <c r="C454" s="3" t="s">
        <v>102</v>
      </c>
      <c r="D454" s="5">
        <f t="shared" si="169"/>
        <v>-3944</v>
      </c>
      <c r="E454" s="5">
        <f t="shared" si="169"/>
        <v>-5678.98</v>
      </c>
      <c r="F454" s="5">
        <f t="shared" si="169"/>
        <v>-5678.98</v>
      </c>
      <c r="G454" s="5">
        <f t="shared" si="168"/>
        <v>0</v>
      </c>
    </row>
    <row r="455" spans="1:7" x14ac:dyDescent="0.35">
      <c r="A455" s="3"/>
      <c r="B455" s="3"/>
      <c r="C455" s="3" t="s">
        <v>25</v>
      </c>
      <c r="D455" s="5">
        <v>0</v>
      </c>
      <c r="E455" s="5">
        <v>0</v>
      </c>
      <c r="F455" s="5">
        <f>+F465</f>
        <v>-40401</v>
      </c>
      <c r="G455" s="5">
        <f t="shared" si="168"/>
        <v>-40401</v>
      </c>
    </row>
    <row r="456" spans="1:7" x14ac:dyDescent="0.35">
      <c r="A456" s="3"/>
      <c r="B456" s="3"/>
      <c r="C456" s="3" t="s">
        <v>103</v>
      </c>
      <c r="D456" s="5">
        <f>D462+D476</f>
        <v>-3242670</v>
      </c>
      <c r="E456" s="5">
        <f>E462+E476</f>
        <v>-3716913.220112985</v>
      </c>
      <c r="F456" s="5">
        <f>F462+F476+F466+F475</f>
        <v>-3837647.92</v>
      </c>
      <c r="G456" s="5">
        <f t="shared" si="168"/>
        <v>-120734.69988701493</v>
      </c>
    </row>
    <row r="457" spans="1:7" x14ac:dyDescent="0.35">
      <c r="A457" s="37"/>
      <c r="B457" s="37"/>
      <c r="C457" s="37" t="s">
        <v>105</v>
      </c>
      <c r="D457" s="38">
        <f>SUM(D458:D462)</f>
        <v>-67016727</v>
      </c>
      <c r="E457" s="38">
        <f>SUM(E458:E462)</f>
        <v>-71509043.769999996</v>
      </c>
      <c r="F457" s="38">
        <f>SUM(F458:F462)</f>
        <v>-68978423.329999998</v>
      </c>
      <c r="G457" s="38">
        <f>F457-E457</f>
        <v>2530620.4399999976</v>
      </c>
    </row>
    <row r="458" spans="1:7" x14ac:dyDescent="0.35">
      <c r="A458" s="3"/>
      <c r="B458" s="3"/>
      <c r="C458" s="3" t="s">
        <v>54</v>
      </c>
      <c r="D458" s="5">
        <v>-47998935</v>
      </c>
      <c r="E458" s="5">
        <v>-50197657.780000001</v>
      </c>
      <c r="F458" s="5">
        <v>-49507517.799999997</v>
      </c>
      <c r="G458" s="5">
        <f t="shared" ref="G458:G462" si="170">F458-E458</f>
        <v>690139.98000000417</v>
      </c>
    </row>
    <row r="459" spans="1:7" s="35" customFormat="1" x14ac:dyDescent="0.35">
      <c r="A459" s="3"/>
      <c r="B459" s="3"/>
      <c r="C459" s="3" t="s">
        <v>55</v>
      </c>
      <c r="D459" s="5">
        <v>-17414841</v>
      </c>
      <c r="E459" s="5">
        <f>-19228562.87-3893.57</f>
        <v>-19232456.440000001</v>
      </c>
      <c r="F459" s="5">
        <v>-17536193.09</v>
      </c>
      <c r="G459" s="5">
        <f t="shared" si="170"/>
        <v>1696263.3500000015</v>
      </c>
    </row>
    <row r="460" spans="1:7" x14ac:dyDescent="0.35">
      <c r="A460" s="3"/>
      <c r="B460" s="3"/>
      <c r="C460" s="3" t="s">
        <v>101</v>
      </c>
      <c r="D460" s="5">
        <v>-770</v>
      </c>
      <c r="E460" s="5">
        <v>-770.35</v>
      </c>
      <c r="F460" s="5">
        <v>-770.35</v>
      </c>
      <c r="G460" s="5">
        <f t="shared" si="170"/>
        <v>0</v>
      </c>
    </row>
    <row r="461" spans="1:7" x14ac:dyDescent="0.35">
      <c r="A461" s="3"/>
      <c r="B461" s="3"/>
      <c r="C461" s="3" t="s">
        <v>102</v>
      </c>
      <c r="D461" s="5">
        <v>-3944</v>
      </c>
      <c r="E461" s="5">
        <v>-5678.98</v>
      </c>
      <c r="F461" s="5">
        <v>-5678.98</v>
      </c>
      <c r="G461" s="5">
        <f t="shared" si="170"/>
        <v>0</v>
      </c>
    </row>
    <row r="462" spans="1:7" s="35" customFormat="1" x14ac:dyDescent="0.35">
      <c r="A462" s="3"/>
      <c r="B462" s="3"/>
      <c r="C462" s="3" t="s">
        <v>56</v>
      </c>
      <c r="D462" s="5">
        <v>-1598237</v>
      </c>
      <c r="E462" s="5">
        <v>-2072480.22</v>
      </c>
      <c r="F462" s="5">
        <v>-1928263.11</v>
      </c>
      <c r="G462" s="5">
        <f t="shared" si="170"/>
        <v>144217.10999999987</v>
      </c>
    </row>
    <row r="463" spans="1:7" s="35" customFormat="1" x14ac:dyDescent="0.35">
      <c r="A463" s="37"/>
      <c r="B463" s="37"/>
      <c r="C463" s="37" t="s">
        <v>106</v>
      </c>
      <c r="D463" s="38">
        <f>D464</f>
        <v>-59779</v>
      </c>
      <c r="E463" s="38">
        <f>E464+E465+E466</f>
        <v>-59778.77</v>
      </c>
      <c r="F463" s="38">
        <f>F464+F465+F466</f>
        <v>-74621.990000000005</v>
      </c>
      <c r="G463" s="38">
        <f>F463-E463</f>
        <v>-14843.220000000008</v>
      </c>
    </row>
    <row r="464" spans="1:7" x14ac:dyDescent="0.35">
      <c r="A464" s="3"/>
      <c r="B464" s="3"/>
      <c r="C464" s="3" t="s">
        <v>54</v>
      </c>
      <c r="D464" s="5">
        <v>-59779</v>
      </c>
      <c r="E464" s="5">
        <v>-59778.77</v>
      </c>
      <c r="F464" s="5">
        <v>-34855.83</v>
      </c>
      <c r="G464" s="5">
        <f t="shared" ref="G464:G466" si="171">F464-E464</f>
        <v>24922.939999999995</v>
      </c>
    </row>
    <row r="465" spans="1:7" x14ac:dyDescent="0.35">
      <c r="A465" s="3"/>
      <c r="B465" s="3"/>
      <c r="C465" s="3" t="s">
        <v>25</v>
      </c>
      <c r="D465" s="5">
        <v>0</v>
      </c>
      <c r="E465" s="5">
        <v>0</v>
      </c>
      <c r="F465" s="5">
        <v>-40401</v>
      </c>
      <c r="G465" s="5">
        <f t="shared" si="171"/>
        <v>-40401</v>
      </c>
    </row>
    <row r="466" spans="1:7" x14ac:dyDescent="0.35">
      <c r="A466" s="65"/>
      <c r="B466" s="65"/>
      <c r="C466" s="65" t="s">
        <v>56</v>
      </c>
      <c r="D466" s="48">
        <v>0</v>
      </c>
      <c r="E466" s="48">
        <v>0</v>
      </c>
      <c r="F466" s="48">
        <f>634.84</f>
        <v>634.84</v>
      </c>
      <c r="G466" s="48">
        <f t="shared" si="171"/>
        <v>634.84</v>
      </c>
    </row>
    <row r="467" spans="1:7" x14ac:dyDescent="0.35">
      <c r="A467" s="37"/>
      <c r="B467" s="37"/>
      <c r="C467" s="37" t="s">
        <v>107</v>
      </c>
      <c r="D467" s="38">
        <f>SUM(D469:D470)</f>
        <v>-551352</v>
      </c>
      <c r="E467" s="38">
        <f>SUM(E468:E470)</f>
        <v>-536991.74</v>
      </c>
      <c r="F467" s="38">
        <f>SUM(F468:F470)</f>
        <v>-511812.28</v>
      </c>
      <c r="G467" s="38">
        <f>F467-E467</f>
        <v>25179.459999999963</v>
      </c>
    </row>
    <row r="468" spans="1:7" x14ac:dyDescent="0.35">
      <c r="A468" s="37"/>
      <c r="B468" s="37"/>
      <c r="C468" s="3" t="s">
        <v>155</v>
      </c>
      <c r="D468" s="5">
        <v>0</v>
      </c>
      <c r="E468" s="5">
        <v>-536991.74</v>
      </c>
      <c r="F468" s="5">
        <v>0</v>
      </c>
      <c r="G468" s="5">
        <f>F468-E468</f>
        <v>536991.74</v>
      </c>
    </row>
    <row r="469" spans="1:7" x14ac:dyDescent="0.35">
      <c r="A469" s="3"/>
      <c r="B469" s="3"/>
      <c r="C469" s="3" t="s">
        <v>54</v>
      </c>
      <c r="D469" s="5">
        <v>-242854</v>
      </c>
      <c r="E469" s="5">
        <v>0</v>
      </c>
      <c r="F469" s="5">
        <v>-254884.7</v>
      </c>
      <c r="G469" s="5">
        <f t="shared" ref="G469:G470" si="172">F469-E469</f>
        <v>-254884.7</v>
      </c>
    </row>
    <row r="470" spans="1:7" x14ac:dyDescent="0.35">
      <c r="A470" s="37"/>
      <c r="B470" s="37"/>
      <c r="C470" s="3" t="s">
        <v>55</v>
      </c>
      <c r="D470" s="5">
        <v>-308498</v>
      </c>
      <c r="E470" s="5">
        <v>0</v>
      </c>
      <c r="F470" s="5">
        <v>-256927.58</v>
      </c>
      <c r="G470" s="5">
        <f t="shared" si="172"/>
        <v>-256927.58</v>
      </c>
    </row>
    <row r="471" spans="1:7" x14ac:dyDescent="0.35">
      <c r="A471" s="37"/>
      <c r="B471" s="37"/>
      <c r="C471" s="37" t="s">
        <v>108</v>
      </c>
      <c r="D471" s="38">
        <f>SUM(D473:D473)</f>
        <v>-117623</v>
      </c>
      <c r="E471" s="38">
        <f>SUM(E472:E473)</f>
        <v>-755985.64</v>
      </c>
      <c r="F471" s="38">
        <f>SUM(F473:F475)</f>
        <v>-394169.01</v>
      </c>
      <c r="G471" s="38">
        <f>F471-E471</f>
        <v>361816.63</v>
      </c>
    </row>
    <row r="472" spans="1:7" x14ac:dyDescent="0.35">
      <c r="A472" s="37"/>
      <c r="B472" s="37"/>
      <c r="C472" s="3" t="s">
        <v>155</v>
      </c>
      <c r="D472" s="5">
        <v>0</v>
      </c>
      <c r="E472" s="5">
        <v>-755985.64</v>
      </c>
      <c r="F472" s="5">
        <v>0</v>
      </c>
      <c r="G472" s="5">
        <f>F472-E472</f>
        <v>755985.64</v>
      </c>
    </row>
    <row r="473" spans="1:7" x14ac:dyDescent="0.35">
      <c r="A473" s="37"/>
      <c r="B473" s="37"/>
      <c r="C473" s="3" t="s">
        <v>55</v>
      </c>
      <c r="D473" s="5">
        <v>-117623</v>
      </c>
      <c r="E473" s="5">
        <v>0</v>
      </c>
      <c r="F473" s="5">
        <v>-297677.48</v>
      </c>
      <c r="G473" s="5">
        <f>F473-E473</f>
        <v>-297677.48</v>
      </c>
    </row>
    <row r="474" spans="1:7" x14ac:dyDescent="0.35">
      <c r="A474" s="37"/>
      <c r="B474" s="37"/>
      <c r="C474" s="3" t="s">
        <v>54</v>
      </c>
      <c r="D474" s="5">
        <v>0</v>
      </c>
      <c r="E474" s="5">
        <v>0</v>
      </c>
      <c r="F474" s="5">
        <v>-96338.53</v>
      </c>
      <c r="G474" s="5">
        <f>F474-E474</f>
        <v>-96338.53</v>
      </c>
    </row>
    <row r="475" spans="1:7" x14ac:dyDescent="0.35">
      <c r="A475" s="37"/>
      <c r="B475" s="37"/>
      <c r="C475" s="3" t="s">
        <v>56</v>
      </c>
      <c r="D475" s="5">
        <v>0</v>
      </c>
      <c r="E475" s="5">
        <v>0</v>
      </c>
      <c r="F475" s="5">
        <v>-153</v>
      </c>
      <c r="G475" s="5">
        <f>F475-E475</f>
        <v>-153</v>
      </c>
    </row>
    <row r="476" spans="1:7" x14ac:dyDescent="0.35">
      <c r="A476" s="37"/>
      <c r="B476" s="37"/>
      <c r="C476" s="37" t="s">
        <v>109</v>
      </c>
      <c r="D476" s="38">
        <v>-1644433</v>
      </c>
      <c r="E476" s="67">
        <v>-1644433.0001129853</v>
      </c>
      <c r="F476" s="38">
        <v>-1909866.65</v>
      </c>
      <c r="G476" s="38">
        <f t="shared" ref="G476:G482" si="173">F476-E476</f>
        <v>-265433.64988701465</v>
      </c>
    </row>
    <row r="477" spans="1:7" x14ac:dyDescent="0.35">
      <c r="A477" s="37" t="s">
        <v>126</v>
      </c>
      <c r="B477" s="37"/>
      <c r="C477" s="37"/>
      <c r="D477" s="38">
        <f>SUM(D478:D482)</f>
        <v>-6031543</v>
      </c>
      <c r="E477" s="38">
        <f t="shared" ref="E477:F477" si="174">SUM(E478:E482)</f>
        <v>-7625153.5557461642</v>
      </c>
      <c r="F477" s="38">
        <f t="shared" si="174"/>
        <v>-6819198.0600000005</v>
      </c>
      <c r="G477" s="38">
        <f t="shared" si="173"/>
        <v>805955.49574616365</v>
      </c>
    </row>
    <row r="478" spans="1:7" x14ac:dyDescent="0.35">
      <c r="A478" s="3"/>
      <c r="B478" s="3" t="s">
        <v>105</v>
      </c>
      <c r="C478" s="3"/>
      <c r="D478" s="5">
        <f>D490+D508+D531</f>
        <v>-5587796</v>
      </c>
      <c r="E478" s="5">
        <f>E490+E508+E531</f>
        <v>-7129292.6299999999</v>
      </c>
      <c r="F478" s="5">
        <f>F490+F508+F531</f>
        <v>-5796763.2300000004</v>
      </c>
      <c r="G478" s="5">
        <f t="shared" si="173"/>
        <v>1332529.3999999994</v>
      </c>
    </row>
    <row r="479" spans="1:7" x14ac:dyDescent="0.35">
      <c r="A479" s="3"/>
      <c r="B479" s="3" t="s">
        <v>106</v>
      </c>
      <c r="C479" s="3"/>
      <c r="D479" s="5">
        <f>D513</f>
        <v>-15569</v>
      </c>
      <c r="E479" s="5">
        <f>E513</f>
        <v>-15568.72</v>
      </c>
      <c r="F479" s="5">
        <f>F513+F495+F535</f>
        <v>-37509.83</v>
      </c>
      <c r="G479" s="5">
        <f t="shared" si="173"/>
        <v>-21941.11</v>
      </c>
    </row>
    <row r="480" spans="1:7" x14ac:dyDescent="0.35">
      <c r="A480" s="3"/>
      <c r="B480" s="3" t="s">
        <v>107</v>
      </c>
      <c r="C480" s="3"/>
      <c r="D480" s="5">
        <f>D516+D537</f>
        <v>-79125</v>
      </c>
      <c r="E480" s="5">
        <f>E516+E537+E497</f>
        <v>-101101.92</v>
      </c>
      <c r="F480" s="5">
        <f>F516+F537+F497</f>
        <v>-108525.61</v>
      </c>
      <c r="G480" s="5">
        <f t="shared" si="173"/>
        <v>-7423.6900000000023</v>
      </c>
    </row>
    <row r="481" spans="1:7" x14ac:dyDescent="0.35">
      <c r="A481" s="3"/>
      <c r="B481" s="3" t="s">
        <v>108</v>
      </c>
      <c r="C481" s="3"/>
      <c r="D481" s="5">
        <f>D520</f>
        <v>-920</v>
      </c>
      <c r="E481" s="5">
        <f>E520++E541</f>
        <v>-31057.199999999997</v>
      </c>
      <c r="F481" s="5">
        <f>F520+F541</f>
        <v>-155403.1</v>
      </c>
      <c r="G481" s="5">
        <f t="shared" si="173"/>
        <v>-124345.90000000001</v>
      </c>
    </row>
    <row r="482" spans="1:7" s="35" customFormat="1" x14ac:dyDescent="0.35">
      <c r="A482" s="3"/>
      <c r="B482" s="3" t="s">
        <v>109</v>
      </c>
      <c r="C482" s="3"/>
      <c r="D482" s="5">
        <f>D501+D525+D544</f>
        <v>-348133</v>
      </c>
      <c r="E482" s="5">
        <f>E501+E525+E544</f>
        <v>-348133.08574616408</v>
      </c>
      <c r="F482" s="5">
        <f>F501+F525+F544</f>
        <v>-720996.29</v>
      </c>
      <c r="G482" s="5">
        <f t="shared" si="173"/>
        <v>-372863.20425383595</v>
      </c>
    </row>
    <row r="483" spans="1:7" x14ac:dyDescent="0.35">
      <c r="A483" s="37"/>
      <c r="B483" s="37" t="s">
        <v>31</v>
      </c>
      <c r="C483" s="37"/>
      <c r="D483" s="38">
        <f>SUM(D485:D489)</f>
        <v>-53494</v>
      </c>
      <c r="E483" s="38">
        <f>SUM(E484:E489)</f>
        <v>-73322.58</v>
      </c>
      <c r="F483" s="38">
        <f>SUM(F484:F489)</f>
        <v>-68670.36</v>
      </c>
      <c r="G483" s="38">
        <f>F483-E483</f>
        <v>4652.2200000000012</v>
      </c>
    </row>
    <row r="484" spans="1:7" x14ac:dyDescent="0.35">
      <c r="A484" s="37"/>
      <c r="B484" s="37"/>
      <c r="C484" s="3" t="s">
        <v>155</v>
      </c>
      <c r="D484" s="5">
        <f>D498</f>
        <v>0</v>
      </c>
      <c r="E484" s="5">
        <f t="shared" ref="E484:F484" si="175">E498</f>
        <v>-9421.0499999999993</v>
      </c>
      <c r="F484" s="5">
        <f t="shared" si="175"/>
        <v>0</v>
      </c>
      <c r="G484" s="5">
        <f>F484-E484</f>
        <v>9421.0499999999993</v>
      </c>
    </row>
    <row r="485" spans="1:7" x14ac:dyDescent="0.35">
      <c r="A485" s="3"/>
      <c r="B485" s="3"/>
      <c r="C485" s="3" t="s">
        <v>54</v>
      </c>
      <c r="D485" s="5">
        <f>D491</f>
        <v>-43217</v>
      </c>
      <c r="E485" s="5">
        <f>E491</f>
        <v>-48969.49</v>
      </c>
      <c r="F485" s="5">
        <f>F491+F499</f>
        <v>-49971.7</v>
      </c>
      <c r="G485" s="5">
        <f t="shared" ref="G485:G489" si="176">F485-E485</f>
        <v>-1002.2099999999991</v>
      </c>
    </row>
    <row r="486" spans="1:7" x14ac:dyDescent="0.35">
      <c r="A486" s="3"/>
      <c r="B486" s="3"/>
      <c r="C486" s="3" t="s">
        <v>55</v>
      </c>
      <c r="D486" s="5">
        <f>D492</f>
        <v>-9898</v>
      </c>
      <c r="E486" s="5">
        <f t="shared" ref="E486:F487" si="177">E492</f>
        <v>-14550.300000000001</v>
      </c>
      <c r="F486" s="5">
        <f t="shared" si="177"/>
        <v>-12609.36</v>
      </c>
      <c r="G486" s="5">
        <f t="shared" si="176"/>
        <v>1940.9400000000005</v>
      </c>
    </row>
    <row r="487" spans="1:7" x14ac:dyDescent="0.35">
      <c r="A487" s="3"/>
      <c r="B487" s="3"/>
      <c r="C487" s="3" t="s">
        <v>101</v>
      </c>
      <c r="D487" s="5">
        <f>D493</f>
        <v>-154</v>
      </c>
      <c r="E487" s="5">
        <f t="shared" si="177"/>
        <v>-154</v>
      </c>
      <c r="F487" s="5">
        <f t="shared" si="177"/>
        <v>-126.13</v>
      </c>
      <c r="G487" s="5">
        <f t="shared" si="176"/>
        <v>27.870000000000005</v>
      </c>
    </row>
    <row r="488" spans="1:7" x14ac:dyDescent="0.35">
      <c r="A488" s="3"/>
      <c r="B488" s="3"/>
      <c r="C488" s="3" t="s">
        <v>110</v>
      </c>
      <c r="D488" s="5">
        <v>0</v>
      </c>
      <c r="E488" s="5">
        <v>0</v>
      </c>
      <c r="F488" s="5">
        <f>+F500</f>
        <v>-5671.14</v>
      </c>
      <c r="G488" s="5">
        <f t="shared" si="176"/>
        <v>-5671.14</v>
      </c>
    </row>
    <row r="489" spans="1:7" x14ac:dyDescent="0.35">
      <c r="A489" s="3"/>
      <c r="B489" s="3"/>
      <c r="C489" s="3" t="s">
        <v>103</v>
      </c>
      <c r="D489" s="5">
        <f>D494+D501</f>
        <v>-225</v>
      </c>
      <c r="E489" s="5">
        <f>E494+E501</f>
        <v>-227.74</v>
      </c>
      <c r="F489" s="5">
        <f>F494+F501+F496</f>
        <v>-292.02999999999997</v>
      </c>
      <c r="G489" s="5">
        <f t="shared" si="176"/>
        <v>-64.289999999999964</v>
      </c>
    </row>
    <row r="490" spans="1:7" x14ac:dyDescent="0.35">
      <c r="A490" s="37"/>
      <c r="B490" s="37"/>
      <c r="C490" s="37" t="s">
        <v>105</v>
      </c>
      <c r="D490" s="38">
        <f>SUM(D491:D494)</f>
        <v>-53311</v>
      </c>
      <c r="E490" s="38">
        <f>SUM(E491:E494)</f>
        <v>-63718.98</v>
      </c>
      <c r="F490" s="38">
        <f>SUM(F491:F494)</f>
        <v>-59107.719999999994</v>
      </c>
      <c r="G490" s="38">
        <f>F490-E490</f>
        <v>4611.2600000000093</v>
      </c>
    </row>
    <row r="491" spans="1:7" x14ac:dyDescent="0.35">
      <c r="A491" s="3"/>
      <c r="B491" s="3"/>
      <c r="C491" s="3" t="s">
        <v>54</v>
      </c>
      <c r="D491" s="5">
        <v>-43217</v>
      </c>
      <c r="E491" s="5">
        <v>-48969.49</v>
      </c>
      <c r="F491" s="5">
        <v>-46332.85</v>
      </c>
      <c r="G491" s="5">
        <f t="shared" ref="G491:G501" si="178">F491-E491</f>
        <v>2636.6399999999994</v>
      </c>
    </row>
    <row r="492" spans="1:7" x14ac:dyDescent="0.35">
      <c r="A492" s="3"/>
      <c r="B492" s="3"/>
      <c r="C492" s="3" t="s">
        <v>55</v>
      </c>
      <c r="D492" s="5">
        <v>-9898</v>
      </c>
      <c r="E492" s="5">
        <f>-14177.35-372.95</f>
        <v>-14550.300000000001</v>
      </c>
      <c r="F492" s="5">
        <v>-12609.36</v>
      </c>
      <c r="G492" s="5">
        <f t="shared" si="178"/>
        <v>1940.9400000000005</v>
      </c>
    </row>
    <row r="493" spans="1:7" x14ac:dyDescent="0.35">
      <c r="A493" s="3"/>
      <c r="B493" s="3"/>
      <c r="C493" s="3" t="s">
        <v>101</v>
      </c>
      <c r="D493" s="5">
        <v>-154</v>
      </c>
      <c r="E493" s="5">
        <f t="shared" ref="E493" si="179">D493</f>
        <v>-154</v>
      </c>
      <c r="F493" s="5">
        <v>-126.13</v>
      </c>
      <c r="G493" s="5">
        <f t="shared" si="178"/>
        <v>27.870000000000005</v>
      </c>
    </row>
    <row r="494" spans="1:7" s="35" customFormat="1" x14ac:dyDescent="0.35">
      <c r="A494" s="3"/>
      <c r="B494" s="3"/>
      <c r="C494" s="3" t="s">
        <v>56</v>
      </c>
      <c r="D494" s="5">
        <v>-42</v>
      </c>
      <c r="E494" s="5">
        <v>-45.19</v>
      </c>
      <c r="F494" s="5">
        <v>-39.380000000000003</v>
      </c>
      <c r="G494" s="5">
        <f t="shared" si="178"/>
        <v>5.8099999999999952</v>
      </c>
    </row>
    <row r="495" spans="1:7" x14ac:dyDescent="0.35">
      <c r="A495" s="3"/>
      <c r="B495" s="3"/>
      <c r="C495" s="37" t="s">
        <v>106</v>
      </c>
      <c r="D495" s="38">
        <f>D496</f>
        <v>0</v>
      </c>
      <c r="E495" s="38">
        <f>E496</f>
        <v>0</v>
      </c>
      <c r="F495" s="73">
        <f>F496</f>
        <v>8</v>
      </c>
      <c r="G495" s="73">
        <f>F495-E495</f>
        <v>8</v>
      </c>
    </row>
    <row r="496" spans="1:7" x14ac:dyDescent="0.35">
      <c r="A496" s="3"/>
      <c r="B496" s="3"/>
      <c r="C496" s="3" t="s">
        <v>56</v>
      </c>
      <c r="D496" s="5">
        <v>0</v>
      </c>
      <c r="E496" s="5">
        <v>0</v>
      </c>
      <c r="F496" s="48">
        <v>8</v>
      </c>
      <c r="G496" s="48">
        <f t="shared" ref="G496" si="180">F496-E496</f>
        <v>8</v>
      </c>
    </row>
    <row r="497" spans="1:7" s="35" customFormat="1" x14ac:dyDescent="0.35">
      <c r="A497" s="3"/>
      <c r="B497" s="3"/>
      <c r="C497" s="37" t="s">
        <v>107</v>
      </c>
      <c r="D497" s="38">
        <f>SUM(D499:D500)</f>
        <v>0</v>
      </c>
      <c r="E497" s="38">
        <f>SUM(E498:E500)</f>
        <v>-9421.0499999999993</v>
      </c>
      <c r="F497" s="38">
        <f>SUM(F498:F500)</f>
        <v>-9309.99</v>
      </c>
      <c r="G497" s="38">
        <f>F497-E497</f>
        <v>111.05999999999949</v>
      </c>
    </row>
    <row r="498" spans="1:7" x14ac:dyDescent="0.35">
      <c r="A498" s="3"/>
      <c r="B498" s="3"/>
      <c r="C498" s="3" t="s">
        <v>155</v>
      </c>
      <c r="D498" s="5">
        <v>0</v>
      </c>
      <c r="E498" s="5">
        <v>-9421.0499999999993</v>
      </c>
      <c r="F498" s="5">
        <v>0</v>
      </c>
      <c r="G498" s="5">
        <f>F498-E498</f>
        <v>9421.0499999999993</v>
      </c>
    </row>
    <row r="499" spans="1:7" x14ac:dyDescent="0.35">
      <c r="A499" s="3"/>
      <c r="B499" s="3"/>
      <c r="C499" s="3" t="s">
        <v>54</v>
      </c>
      <c r="D499" s="5">
        <v>0</v>
      </c>
      <c r="E499" s="5">
        <v>0</v>
      </c>
      <c r="F499" s="5">
        <v>-3638.85</v>
      </c>
      <c r="G499" s="5">
        <f t="shared" ref="G499:G500" si="181">F499-E499</f>
        <v>-3638.85</v>
      </c>
    </row>
    <row r="500" spans="1:7" x14ac:dyDescent="0.35">
      <c r="A500" s="3"/>
      <c r="B500" s="3"/>
      <c r="C500" s="3" t="s">
        <v>110</v>
      </c>
      <c r="D500" s="5">
        <v>0</v>
      </c>
      <c r="E500" s="5">
        <v>0</v>
      </c>
      <c r="F500" s="5">
        <v>-5671.14</v>
      </c>
      <c r="G500" s="5">
        <f t="shared" si="181"/>
        <v>-5671.14</v>
      </c>
    </row>
    <row r="501" spans="1:7" x14ac:dyDescent="0.35">
      <c r="A501" s="37"/>
      <c r="B501" s="37"/>
      <c r="C501" s="37" t="s">
        <v>109</v>
      </c>
      <c r="D501" s="38">
        <v>-183</v>
      </c>
      <c r="E501" s="38">
        <v>-182.55</v>
      </c>
      <c r="F501" s="38">
        <v>-260.64999999999998</v>
      </c>
      <c r="G501" s="38">
        <f t="shared" si="178"/>
        <v>-78.099999999999966</v>
      </c>
    </row>
    <row r="502" spans="1:7" x14ac:dyDescent="0.35">
      <c r="A502" s="37"/>
      <c r="B502" s="37" t="s">
        <v>115</v>
      </c>
      <c r="C502" s="37"/>
      <c r="D502" s="38">
        <f>SUM(D504:D507)</f>
        <v>-5401563</v>
      </c>
      <c r="E502" s="38">
        <f>SUM(E503:E507)</f>
        <v>-6891604.9923513373</v>
      </c>
      <c r="F502" s="38">
        <f>SUM(F503:F507)</f>
        <v>-6131186.5500000007</v>
      </c>
      <c r="G502" s="38">
        <f>F502-E502</f>
        <v>760418.44235133659</v>
      </c>
    </row>
    <row r="503" spans="1:7" x14ac:dyDescent="0.35">
      <c r="A503" s="37"/>
      <c r="B503" s="37"/>
      <c r="C503" s="3" t="s">
        <v>155</v>
      </c>
      <c r="D503" s="5">
        <f>D517+D521</f>
        <v>0</v>
      </c>
      <c r="E503" s="5">
        <f t="shared" ref="E503:F503" si="182">E517+E521</f>
        <v>-102801.56999999999</v>
      </c>
      <c r="F503" s="5">
        <f t="shared" si="182"/>
        <v>0</v>
      </c>
      <c r="G503" s="5">
        <f>F503-E503</f>
        <v>102801.56999999999</v>
      </c>
    </row>
    <row r="504" spans="1:7" x14ac:dyDescent="0.35">
      <c r="A504" s="3"/>
      <c r="B504" s="3"/>
      <c r="C504" s="3" t="s">
        <v>54</v>
      </c>
      <c r="D504" s="5">
        <f>D509+D514+D522</f>
        <v>-3632809</v>
      </c>
      <c r="E504" s="5">
        <f>E509+E514+E522</f>
        <v>-3665906.85</v>
      </c>
      <c r="F504" s="5">
        <f>F509+F514+F522+F518</f>
        <v>-3746430.5300000003</v>
      </c>
      <c r="G504" s="5">
        <f t="shared" ref="G504:G507" si="183">F504-E504</f>
        <v>-80523.680000000168</v>
      </c>
    </row>
    <row r="505" spans="1:7" x14ac:dyDescent="0.35">
      <c r="A505" s="3"/>
      <c r="B505" s="3"/>
      <c r="C505" s="3" t="s">
        <v>55</v>
      </c>
      <c r="D505" s="5">
        <f>D510+D519+D523</f>
        <v>-1530339</v>
      </c>
      <c r="E505" s="5">
        <f>E510+E519+E523</f>
        <v>-2885328.42</v>
      </c>
      <c r="F505" s="5">
        <f>F510+F519+F523</f>
        <v>-1795993.2300000002</v>
      </c>
      <c r="G505" s="5">
        <f t="shared" si="183"/>
        <v>1089335.1899999997</v>
      </c>
    </row>
    <row r="506" spans="1:7" x14ac:dyDescent="0.35">
      <c r="A506" s="3"/>
      <c r="B506" s="3"/>
      <c r="C506" s="3" t="s">
        <v>102</v>
      </c>
      <c r="D506" s="5">
        <f>D511</f>
        <v>-13788</v>
      </c>
      <c r="E506" s="5">
        <f>E511</f>
        <v>-9964.02</v>
      </c>
      <c r="F506" s="5">
        <f t="shared" ref="F506" si="184">F511</f>
        <v>-2090.8200000000002</v>
      </c>
      <c r="G506" s="5">
        <f t="shared" si="183"/>
        <v>7873.2000000000007</v>
      </c>
    </row>
    <row r="507" spans="1:7" x14ac:dyDescent="0.35">
      <c r="A507" s="3"/>
      <c r="B507" s="3"/>
      <c r="C507" s="3" t="s">
        <v>103</v>
      </c>
      <c r="D507" s="5">
        <f>D525</f>
        <v>-224627</v>
      </c>
      <c r="E507" s="5">
        <f>E525+E515+E524+E512</f>
        <v>-227604.13235133755</v>
      </c>
      <c r="F507" s="5">
        <f>F525+F512+F524+F515</f>
        <v>-586671.97000000009</v>
      </c>
      <c r="G507" s="5">
        <f t="shared" si="183"/>
        <v>-359067.83764866251</v>
      </c>
    </row>
    <row r="508" spans="1:7" x14ac:dyDescent="0.35">
      <c r="A508" s="37"/>
      <c r="B508" s="37"/>
      <c r="C508" s="37" t="s">
        <v>105</v>
      </c>
      <c r="D508" s="38">
        <f>SUM(D509:D511)</f>
        <v>-5089762</v>
      </c>
      <c r="E508" s="38">
        <f>SUM(E509:E512)</f>
        <v>-6548607.5499999998</v>
      </c>
      <c r="F508" s="38">
        <f>SUM(F509:F512)</f>
        <v>-5262936.4400000004</v>
      </c>
      <c r="G508" s="38">
        <f>F508-E508</f>
        <v>1285671.1099999994</v>
      </c>
    </row>
    <row r="509" spans="1:7" x14ac:dyDescent="0.35">
      <c r="A509" s="3"/>
      <c r="B509" s="3"/>
      <c r="C509" s="3" t="s">
        <v>54</v>
      </c>
      <c r="D509" s="5">
        <v>-3616678</v>
      </c>
      <c r="E509" s="5">
        <v>-3650338.13</v>
      </c>
      <c r="F509" s="5">
        <v>-3645427.2</v>
      </c>
      <c r="G509" s="5">
        <f t="shared" ref="G509:G512" si="185">F509-E509</f>
        <v>4910.929999999702</v>
      </c>
    </row>
    <row r="510" spans="1:7" x14ac:dyDescent="0.35">
      <c r="A510" s="3"/>
      <c r="B510" s="3"/>
      <c r="C510" s="3" t="s">
        <v>55</v>
      </c>
      <c r="D510" s="5">
        <v>-1459296</v>
      </c>
      <c r="E510" s="5">
        <f>-2885203.16-125.26</f>
        <v>-2885328.42</v>
      </c>
      <c r="F510" s="5">
        <v>-1611993.61</v>
      </c>
      <c r="G510" s="5">
        <f t="shared" si="185"/>
        <v>1273334.8099999998</v>
      </c>
    </row>
    <row r="511" spans="1:7" x14ac:dyDescent="0.35">
      <c r="A511" s="3"/>
      <c r="B511" s="3"/>
      <c r="C511" s="3" t="s">
        <v>102</v>
      </c>
      <c r="D511" s="5">
        <v>-13788</v>
      </c>
      <c r="E511" s="5">
        <v>-9964.02</v>
      </c>
      <c r="F511" s="5">
        <v>-2090.8200000000002</v>
      </c>
      <c r="G511" s="5">
        <f t="shared" si="185"/>
        <v>7873.2000000000007</v>
      </c>
    </row>
    <row r="512" spans="1:7" x14ac:dyDescent="0.35">
      <c r="A512" s="3"/>
      <c r="B512" s="3"/>
      <c r="C512" s="3" t="s">
        <v>56</v>
      </c>
      <c r="D512" s="5">
        <v>0</v>
      </c>
      <c r="E512" s="5">
        <v>-2976.98</v>
      </c>
      <c r="F512" s="5">
        <v>-3424.81</v>
      </c>
      <c r="G512" s="5">
        <f t="shared" si="185"/>
        <v>-447.82999999999993</v>
      </c>
    </row>
    <row r="513" spans="1:7" x14ac:dyDescent="0.35">
      <c r="A513" s="37"/>
      <c r="B513" s="37"/>
      <c r="C513" s="37" t="s">
        <v>106</v>
      </c>
      <c r="D513" s="38">
        <f>SUM(D514:D514)</f>
        <v>-15569</v>
      </c>
      <c r="E513" s="38">
        <f>SUM(E514:E515)</f>
        <v>-15568.72</v>
      </c>
      <c r="F513" s="38">
        <f>SUM(F514:F515)</f>
        <v>-37496.76</v>
      </c>
      <c r="G513" s="38">
        <f>F513-E513</f>
        <v>-21928.04</v>
      </c>
    </row>
    <row r="514" spans="1:7" s="35" customFormat="1" x14ac:dyDescent="0.35">
      <c r="A514" s="3"/>
      <c r="B514" s="3"/>
      <c r="C514" s="3" t="s">
        <v>54</v>
      </c>
      <c r="D514" s="5">
        <v>-15569</v>
      </c>
      <c r="E514" s="5">
        <v>-15568.72</v>
      </c>
      <c r="F514" s="5">
        <v>-37349.25</v>
      </c>
      <c r="G514" s="5">
        <f t="shared" ref="G514:G515" si="186">F514-E514</f>
        <v>-21780.53</v>
      </c>
    </row>
    <row r="515" spans="1:7" x14ac:dyDescent="0.35">
      <c r="A515" s="3"/>
      <c r="B515" s="3"/>
      <c r="C515" s="3" t="s">
        <v>56</v>
      </c>
      <c r="D515" s="5">
        <v>0</v>
      </c>
      <c r="E515" s="5">
        <v>0</v>
      </c>
      <c r="F515" s="5">
        <v>-147.51</v>
      </c>
      <c r="G515" s="5">
        <f t="shared" si="186"/>
        <v>-147.51</v>
      </c>
    </row>
    <row r="516" spans="1:7" x14ac:dyDescent="0.35">
      <c r="A516" s="37"/>
      <c r="B516" s="37"/>
      <c r="C516" s="37" t="s">
        <v>107</v>
      </c>
      <c r="D516" s="38">
        <f>SUM(D519:D519)</f>
        <v>-70685</v>
      </c>
      <c r="E516" s="38">
        <f>SUM(E517:E519)</f>
        <v>-85155.15</v>
      </c>
      <c r="F516" s="38">
        <f>SUM(F517:F519)</f>
        <v>-92696.95</v>
      </c>
      <c r="G516" s="38">
        <f>F516-E516</f>
        <v>-7541.8000000000029</v>
      </c>
    </row>
    <row r="517" spans="1:7" s="35" customFormat="1" x14ac:dyDescent="0.35">
      <c r="A517" s="37"/>
      <c r="B517" s="37"/>
      <c r="C517" s="3" t="s">
        <v>155</v>
      </c>
      <c r="D517" s="5">
        <v>0</v>
      </c>
      <c r="E517" s="5">
        <v>-85155.15</v>
      </c>
      <c r="F517" s="5">
        <v>0</v>
      </c>
      <c r="G517" s="5">
        <f t="shared" ref="G517:G519" si="187">F517-E517</f>
        <v>85155.15</v>
      </c>
    </row>
    <row r="518" spans="1:7" s="35" customFormat="1" x14ac:dyDescent="0.35">
      <c r="A518" s="37"/>
      <c r="B518" s="37"/>
      <c r="C518" s="3" t="s">
        <v>54</v>
      </c>
      <c r="D518" s="5">
        <v>0</v>
      </c>
      <c r="E518" s="5">
        <v>0</v>
      </c>
      <c r="F518" s="5">
        <v>-45.34</v>
      </c>
      <c r="G518" s="5">
        <f t="shared" si="187"/>
        <v>-45.34</v>
      </c>
    </row>
    <row r="519" spans="1:7" x14ac:dyDescent="0.35">
      <c r="A519" s="37"/>
      <c r="B519" s="37"/>
      <c r="C519" s="3" t="s">
        <v>55</v>
      </c>
      <c r="D519" s="5">
        <v>-70685</v>
      </c>
      <c r="E519" s="5">
        <v>0</v>
      </c>
      <c r="F519" s="5">
        <v>-92651.61</v>
      </c>
      <c r="G519" s="5">
        <f t="shared" si="187"/>
        <v>-92651.61</v>
      </c>
    </row>
    <row r="520" spans="1:7" x14ac:dyDescent="0.35">
      <c r="A520" s="37"/>
      <c r="B520" s="37"/>
      <c r="C520" s="37" t="s">
        <v>108</v>
      </c>
      <c r="D520" s="38">
        <f>SUM(D522:D523)</f>
        <v>-920</v>
      </c>
      <c r="E520" s="38">
        <f>SUM(E521:E523)</f>
        <v>-17646.419999999998</v>
      </c>
      <c r="F520" s="38">
        <f>SUM(F522:F524)</f>
        <v>-154982.75</v>
      </c>
      <c r="G520" s="38">
        <f>F520-E520</f>
        <v>-137336.33000000002</v>
      </c>
    </row>
    <row r="521" spans="1:7" x14ac:dyDescent="0.35">
      <c r="A521" s="37"/>
      <c r="B521" s="37"/>
      <c r="C521" s="3" t="s">
        <v>155</v>
      </c>
      <c r="D521" s="5">
        <v>0</v>
      </c>
      <c r="E521" s="5">
        <v>-17646.419999999998</v>
      </c>
      <c r="F521" s="5">
        <v>0</v>
      </c>
      <c r="G521" s="5">
        <f>F521-E521</f>
        <v>17646.419999999998</v>
      </c>
    </row>
    <row r="522" spans="1:7" x14ac:dyDescent="0.35">
      <c r="A522" s="3"/>
      <c r="B522" s="3"/>
      <c r="C522" s="3" t="s">
        <v>54</v>
      </c>
      <c r="D522" s="5">
        <v>-562</v>
      </c>
      <c r="E522" s="5">
        <v>0</v>
      </c>
      <c r="F522" s="5">
        <v>-63608.74</v>
      </c>
      <c r="G522" s="5">
        <f t="shared" ref="G522:G525" si="188">F522-E522</f>
        <v>-63608.74</v>
      </c>
    </row>
    <row r="523" spans="1:7" x14ac:dyDescent="0.35">
      <c r="A523" s="3"/>
      <c r="B523" s="3"/>
      <c r="C523" s="3" t="s">
        <v>55</v>
      </c>
      <c r="D523" s="5">
        <v>-358</v>
      </c>
      <c r="E523" s="5">
        <v>0</v>
      </c>
      <c r="F523" s="5">
        <v>-91348.01</v>
      </c>
      <c r="G523" s="5">
        <f t="shared" si="188"/>
        <v>-91348.01</v>
      </c>
    </row>
    <row r="524" spans="1:7" x14ac:dyDescent="0.35">
      <c r="A524" s="3"/>
      <c r="B524" s="3"/>
      <c r="C524" s="3" t="s">
        <v>56</v>
      </c>
      <c r="D524" s="5">
        <v>0</v>
      </c>
      <c r="E524" s="5">
        <v>0</v>
      </c>
      <c r="F524" s="5">
        <v>-26</v>
      </c>
      <c r="G524" s="5">
        <f t="shared" si="188"/>
        <v>-26</v>
      </c>
    </row>
    <row r="525" spans="1:7" x14ac:dyDescent="0.35">
      <c r="A525" s="37"/>
      <c r="B525" s="37"/>
      <c r="C525" s="37" t="s">
        <v>109</v>
      </c>
      <c r="D525" s="38">
        <v>-224627</v>
      </c>
      <c r="E525" s="67">
        <v>-224627.15235133754</v>
      </c>
      <c r="F525" s="38">
        <v>-583073.65</v>
      </c>
      <c r="G525" s="38">
        <f t="shared" si="188"/>
        <v>-358446.49764866248</v>
      </c>
    </row>
    <row r="526" spans="1:7" x14ac:dyDescent="0.35">
      <c r="A526" s="37"/>
      <c r="B526" s="37" t="s">
        <v>116</v>
      </c>
      <c r="C526" s="37"/>
      <c r="D526" s="38">
        <f>SUM(D528:D530)</f>
        <v>-576486</v>
      </c>
      <c r="E526" s="38">
        <f>SUM(E527:E530)</f>
        <v>-660225.98339482665</v>
      </c>
      <c r="F526" s="38">
        <f>SUM(F527:F530)</f>
        <v>-619341.14999999991</v>
      </c>
      <c r="G526" s="38">
        <f>F526-E526</f>
        <v>40884.833394826739</v>
      </c>
    </row>
    <row r="527" spans="1:7" x14ac:dyDescent="0.35">
      <c r="A527" s="37"/>
      <c r="B527" s="37"/>
      <c r="C527" s="3" t="s">
        <v>155</v>
      </c>
      <c r="D527" s="5">
        <v>0</v>
      </c>
      <c r="E527" s="5">
        <f>+E538+E542</f>
        <v>-19936.5</v>
      </c>
      <c r="F527" s="5">
        <v>0</v>
      </c>
      <c r="G527" s="5">
        <f>F527-E527</f>
        <v>19936.5</v>
      </c>
    </row>
    <row r="528" spans="1:7" x14ac:dyDescent="0.35">
      <c r="A528" s="3"/>
      <c r="B528" s="3"/>
      <c r="C528" s="3" t="s">
        <v>54</v>
      </c>
      <c r="D528" s="5">
        <f>D532+D539</f>
        <v>-234757</v>
      </c>
      <c r="E528" s="5">
        <f>E532+E539+E543</f>
        <v>-273165.39</v>
      </c>
      <c r="F528" s="5">
        <f>F532+F539+F543</f>
        <v>-277478.53999999992</v>
      </c>
      <c r="G528" s="5">
        <f t="shared" ref="G528:G530" si="189">F528-E528</f>
        <v>-4313.1499999999069</v>
      </c>
    </row>
    <row r="529" spans="1:7" x14ac:dyDescent="0.35">
      <c r="A529" s="3"/>
      <c r="B529" s="3"/>
      <c r="C529" s="3" t="s">
        <v>55</v>
      </c>
      <c r="D529" s="5">
        <f>D533+D540</f>
        <v>-218406</v>
      </c>
      <c r="E529" s="5">
        <f t="shared" ref="E529" si="190">E533+E540</f>
        <v>-243736.78</v>
      </c>
      <c r="F529" s="5">
        <f>F533+F540</f>
        <v>-204119.06</v>
      </c>
      <c r="G529" s="5">
        <f t="shared" si="189"/>
        <v>39617.72</v>
      </c>
    </row>
    <row r="530" spans="1:7" x14ac:dyDescent="0.35">
      <c r="A530" s="3"/>
      <c r="B530" s="3"/>
      <c r="C530" s="3" t="s">
        <v>103</v>
      </c>
      <c r="D530" s="5">
        <f>D544</f>
        <v>-123323</v>
      </c>
      <c r="E530" s="5">
        <f>E544+E534</f>
        <v>-123387.31339482657</v>
      </c>
      <c r="F530" s="5">
        <f>F544+F534+F536</f>
        <v>-137743.54999999999</v>
      </c>
      <c r="G530" s="5">
        <f t="shared" si="189"/>
        <v>-14356.236605173413</v>
      </c>
    </row>
    <row r="531" spans="1:7" x14ac:dyDescent="0.35">
      <c r="A531" s="37"/>
      <c r="B531" s="37"/>
      <c r="C531" s="37" t="s">
        <v>105</v>
      </c>
      <c r="D531" s="38">
        <f>SUM(D532:D533)</f>
        <v>-444723</v>
      </c>
      <c r="E531" s="38">
        <f>SUM(E532:E534)</f>
        <v>-516966.10000000003</v>
      </c>
      <c r="F531" s="38">
        <f>SUM(F532:F534)</f>
        <v>-474719.06999999995</v>
      </c>
      <c r="G531" s="38">
        <f>F531-E531</f>
        <v>42247.030000000086</v>
      </c>
    </row>
    <row r="532" spans="1:7" x14ac:dyDescent="0.35">
      <c r="A532" s="3"/>
      <c r="B532" s="3"/>
      <c r="C532" s="3" t="s">
        <v>54</v>
      </c>
      <c r="D532" s="5">
        <v>-228014</v>
      </c>
      <c r="E532" s="5">
        <v>-273165.39</v>
      </c>
      <c r="F532" s="5">
        <v>-271753.21999999997</v>
      </c>
      <c r="G532" s="5">
        <f t="shared" ref="G532:G534" si="191">F532-E532</f>
        <v>1412.1700000000419</v>
      </c>
    </row>
    <row r="533" spans="1:7" x14ac:dyDescent="0.35">
      <c r="A533" s="3"/>
      <c r="B533" s="3"/>
      <c r="C533" s="3" t="s">
        <v>55</v>
      </c>
      <c r="D533" s="5">
        <v>-216709</v>
      </c>
      <c r="E533" s="5">
        <v>-243736.78</v>
      </c>
      <c r="F533" s="5">
        <v>-202905.36</v>
      </c>
      <c r="G533" s="5">
        <f t="shared" si="191"/>
        <v>40831.420000000013</v>
      </c>
    </row>
    <row r="534" spans="1:7" x14ac:dyDescent="0.35">
      <c r="A534" s="3"/>
      <c r="B534" s="3"/>
      <c r="C534" s="3" t="s">
        <v>56</v>
      </c>
      <c r="D534" s="5">
        <v>0</v>
      </c>
      <c r="E534" s="5">
        <v>-63.93</v>
      </c>
      <c r="F534" s="5">
        <v>-60.49</v>
      </c>
      <c r="G534" s="5">
        <f t="shared" si="191"/>
        <v>3.4399999999999977</v>
      </c>
    </row>
    <row r="535" spans="1:7" s="35" customFormat="1" x14ac:dyDescent="0.35">
      <c r="A535" s="3"/>
      <c r="B535" s="3"/>
      <c r="C535" s="37" t="s">
        <v>106</v>
      </c>
      <c r="D535" s="38">
        <f>SUM(D536:D536)</f>
        <v>0</v>
      </c>
      <c r="E535" s="38">
        <f>+E536</f>
        <v>0</v>
      </c>
      <c r="F535" s="38">
        <f>SUM(F536)</f>
        <v>-21.07</v>
      </c>
      <c r="G535" s="38">
        <f>F535-E535</f>
        <v>-21.07</v>
      </c>
    </row>
    <row r="536" spans="1:7" x14ac:dyDescent="0.35">
      <c r="A536" s="3"/>
      <c r="B536" s="3"/>
      <c r="C536" s="3" t="s">
        <v>56</v>
      </c>
      <c r="D536" s="5">
        <v>0</v>
      </c>
      <c r="E536" s="5">
        <v>0</v>
      </c>
      <c r="F536" s="5">
        <v>-21.07</v>
      </c>
      <c r="G536" s="5">
        <f t="shared" ref="G536" si="192">F536-E536</f>
        <v>-21.07</v>
      </c>
    </row>
    <row r="537" spans="1:7" x14ac:dyDescent="0.35">
      <c r="A537" s="37"/>
      <c r="B537" s="37"/>
      <c r="C537" s="37" t="s">
        <v>107</v>
      </c>
      <c r="D537" s="38">
        <f>SUM(D539:D540)</f>
        <v>-8440</v>
      </c>
      <c r="E537" s="38">
        <f>SUM(E538:E540)</f>
        <v>-6525.72</v>
      </c>
      <c r="F537" s="38">
        <f>SUM(F539:F540)</f>
        <v>-6518.67</v>
      </c>
      <c r="G537" s="38">
        <f>F537-E537</f>
        <v>7.0500000000001819</v>
      </c>
    </row>
    <row r="538" spans="1:7" x14ac:dyDescent="0.35">
      <c r="A538" s="37"/>
      <c r="B538" s="37"/>
      <c r="C538" s="3" t="s">
        <v>155</v>
      </c>
      <c r="D538" s="5">
        <v>0</v>
      </c>
      <c r="E538" s="5">
        <v>-6525.72</v>
      </c>
      <c r="F538" s="5">
        <v>0</v>
      </c>
      <c r="G538" s="5">
        <f>F538-E538</f>
        <v>6525.72</v>
      </c>
    </row>
    <row r="539" spans="1:7" x14ac:dyDescent="0.35">
      <c r="A539" s="3"/>
      <c r="B539" s="3"/>
      <c r="C539" s="3" t="s">
        <v>54</v>
      </c>
      <c r="D539" s="5">
        <v>-6743</v>
      </c>
      <c r="E539" s="5">
        <v>0</v>
      </c>
      <c r="F539" s="5">
        <v>-5304.97</v>
      </c>
      <c r="G539" s="5">
        <f t="shared" ref="G539:G540" si="193">F539-E539</f>
        <v>-5304.97</v>
      </c>
    </row>
    <row r="540" spans="1:7" x14ac:dyDescent="0.35">
      <c r="A540" s="37"/>
      <c r="B540" s="37"/>
      <c r="C540" s="3" t="s">
        <v>55</v>
      </c>
      <c r="D540" s="5">
        <v>-1697</v>
      </c>
      <c r="E540" s="5">
        <v>0</v>
      </c>
      <c r="F540" s="38">
        <v>-1213.7</v>
      </c>
      <c r="G540" s="5">
        <f t="shared" si="193"/>
        <v>-1213.7</v>
      </c>
    </row>
    <row r="541" spans="1:7" x14ac:dyDescent="0.35">
      <c r="A541" s="37"/>
      <c r="B541" s="37"/>
      <c r="C541" s="37" t="s">
        <v>108</v>
      </c>
      <c r="D541" s="38">
        <f>SUM(D542:D543)</f>
        <v>0</v>
      </c>
      <c r="E541" s="38">
        <f t="shared" ref="E541:F541" si="194">SUM(E542:E543)</f>
        <v>-13410.78</v>
      </c>
      <c r="F541" s="38">
        <f t="shared" si="194"/>
        <v>-420.35</v>
      </c>
      <c r="G541" s="38">
        <f>F541-E541</f>
        <v>12990.43</v>
      </c>
    </row>
    <row r="542" spans="1:7" x14ac:dyDescent="0.35">
      <c r="A542" s="37"/>
      <c r="B542" s="37"/>
      <c r="C542" s="3" t="s">
        <v>155</v>
      </c>
      <c r="D542" s="5">
        <v>0</v>
      </c>
      <c r="E542" s="5">
        <v>-13410.78</v>
      </c>
      <c r="F542" s="5">
        <v>0</v>
      </c>
      <c r="G542" s="5">
        <f t="shared" ref="G542:G550" si="195">F542-E542</f>
        <v>13410.78</v>
      </c>
    </row>
    <row r="543" spans="1:7" x14ac:dyDescent="0.35">
      <c r="A543" s="37"/>
      <c r="B543" s="37"/>
      <c r="C543" s="3" t="s">
        <v>54</v>
      </c>
      <c r="D543" s="5">
        <v>0</v>
      </c>
      <c r="E543" s="5">
        <v>0</v>
      </c>
      <c r="F543" s="5">
        <v>-420.35</v>
      </c>
      <c r="G543" s="5">
        <f t="shared" si="195"/>
        <v>-420.35</v>
      </c>
    </row>
    <row r="544" spans="1:7" x14ac:dyDescent="0.35">
      <c r="A544" s="37"/>
      <c r="B544" s="37"/>
      <c r="C544" s="37" t="s">
        <v>109</v>
      </c>
      <c r="D544" s="38">
        <v>-123323</v>
      </c>
      <c r="E544" s="67">
        <v>-123323.38339482658</v>
      </c>
      <c r="F544" s="38">
        <v>-137661.99</v>
      </c>
      <c r="G544" s="38">
        <f t="shared" si="195"/>
        <v>-14338.606605173409</v>
      </c>
    </row>
    <row r="545" spans="1:7" x14ac:dyDescent="0.35">
      <c r="A545" s="37" t="s">
        <v>127</v>
      </c>
      <c r="B545" s="37"/>
      <c r="C545" s="37"/>
      <c r="D545" s="38">
        <f>SUM(D546:D550)</f>
        <v>-78399125</v>
      </c>
      <c r="E545" s="38">
        <f t="shared" ref="E545:F545" si="196">SUM(E546:E550)</f>
        <v>-91738519.878388792</v>
      </c>
      <c r="F545" s="38">
        <f t="shared" si="196"/>
        <v>-91731106.080000013</v>
      </c>
      <c r="G545" s="38">
        <f t="shared" si="195"/>
        <v>7413.7983887791634</v>
      </c>
    </row>
    <row r="546" spans="1:7" x14ac:dyDescent="0.35">
      <c r="A546" s="3"/>
      <c r="B546" s="3" t="s">
        <v>105</v>
      </c>
      <c r="C546" s="3"/>
      <c r="D546" s="5">
        <f>D558+D577+D600</f>
        <v>-74177372</v>
      </c>
      <c r="E546" s="5">
        <f>E558+E577+E600</f>
        <v>-85359050.010000005</v>
      </c>
      <c r="F546" s="5">
        <f>F558+F577+F600</f>
        <v>-83873616.910000011</v>
      </c>
      <c r="G546" s="5">
        <f t="shared" si="195"/>
        <v>1485433.099999994</v>
      </c>
    </row>
    <row r="547" spans="1:7" x14ac:dyDescent="0.35">
      <c r="A547" s="3"/>
      <c r="B547" s="3" t="s">
        <v>106</v>
      </c>
      <c r="C547" s="3"/>
      <c r="D547" s="5">
        <f>D582</f>
        <v>-236463</v>
      </c>
      <c r="E547" s="5">
        <f>E582</f>
        <v>-236463.3</v>
      </c>
      <c r="F547" s="5">
        <f>+F563+F582+F605</f>
        <v>-1256139.1499999999</v>
      </c>
      <c r="G547" s="5">
        <f t="shared" si="195"/>
        <v>-1019675.8499999999</v>
      </c>
    </row>
    <row r="548" spans="1:7" x14ac:dyDescent="0.35">
      <c r="A548" s="3"/>
      <c r="B548" s="3" t="s">
        <v>107</v>
      </c>
      <c r="C548" s="3"/>
      <c r="D548" s="5">
        <f>D586+D607</f>
        <v>-96056</v>
      </c>
      <c r="E548" s="5">
        <f>E586+E607+E565</f>
        <v>-1795498.28</v>
      </c>
      <c r="F548" s="5">
        <f>+F565+F586+F607</f>
        <v>-1554308</v>
      </c>
      <c r="G548" s="5">
        <f t="shared" si="195"/>
        <v>241190.28000000003</v>
      </c>
    </row>
    <row r="549" spans="1:7" s="35" customFormat="1" x14ac:dyDescent="0.35">
      <c r="A549" s="3"/>
      <c r="B549" s="3" t="s">
        <v>108</v>
      </c>
      <c r="C549" s="3"/>
      <c r="D549" s="5">
        <f>D589+D611</f>
        <v>-54690</v>
      </c>
      <c r="E549" s="5">
        <f>E589+E611</f>
        <v>-512964.92000000004</v>
      </c>
      <c r="F549" s="5">
        <f>F589+F611</f>
        <v>-81428.240000000005</v>
      </c>
      <c r="G549" s="5">
        <f t="shared" si="195"/>
        <v>431536.68000000005</v>
      </c>
    </row>
    <row r="550" spans="1:7" x14ac:dyDescent="0.35">
      <c r="A550" s="3"/>
      <c r="B550" s="3" t="s">
        <v>109</v>
      </c>
      <c r="C550" s="3"/>
      <c r="D550" s="5">
        <f>D569+D593+D615</f>
        <v>-3834544</v>
      </c>
      <c r="E550" s="5">
        <f>E569+E593+E615</f>
        <v>-3834543.3683887795</v>
      </c>
      <c r="F550" s="5">
        <f>F569+F593+F615</f>
        <v>-4965613.78</v>
      </c>
      <c r="G550" s="5">
        <f t="shared" si="195"/>
        <v>-1131070.4116112208</v>
      </c>
    </row>
    <row r="551" spans="1:7" x14ac:dyDescent="0.35">
      <c r="A551" s="37"/>
      <c r="B551" s="37" t="s">
        <v>31</v>
      </c>
      <c r="C551" s="37"/>
      <c r="D551" s="38">
        <f>SUM(D553:D557)</f>
        <v>-404429</v>
      </c>
      <c r="E551" s="38">
        <f>SUM(E552:E557)</f>
        <v>-494173.19999999995</v>
      </c>
      <c r="F551" s="38">
        <f>SUM(F553:F557)</f>
        <v>-451232.6</v>
      </c>
      <c r="G551" s="38">
        <f>F551-E551</f>
        <v>42940.599999999977</v>
      </c>
    </row>
    <row r="552" spans="1:7" s="35" customFormat="1" x14ac:dyDescent="0.35">
      <c r="A552" s="37"/>
      <c r="B552" s="37"/>
      <c r="C552" s="3" t="s">
        <v>155</v>
      </c>
      <c r="D552" s="5">
        <f>D566</f>
        <v>0</v>
      </c>
      <c r="E552" s="5">
        <f t="shared" ref="E552:F552" si="197">E566</f>
        <v>-17955.41</v>
      </c>
      <c r="F552" s="5">
        <f t="shared" si="197"/>
        <v>0</v>
      </c>
      <c r="G552" s="5">
        <f>F552-E552</f>
        <v>17955.41</v>
      </c>
    </row>
    <row r="553" spans="1:7" x14ac:dyDescent="0.35">
      <c r="A553" s="3"/>
      <c r="B553" s="3"/>
      <c r="C553" s="3" t="s">
        <v>54</v>
      </c>
      <c r="D553" s="5">
        <f>D559</f>
        <v>-331394</v>
      </c>
      <c r="E553" s="5">
        <f>E559</f>
        <v>-398181.98</v>
      </c>
      <c r="F553" s="5">
        <f>F559+F567</f>
        <v>-365960.18999999994</v>
      </c>
      <c r="G553" s="5">
        <f t="shared" ref="G553:G557" si="198">F553-E553</f>
        <v>32221.790000000037</v>
      </c>
    </row>
    <row r="554" spans="1:7" x14ac:dyDescent="0.35">
      <c r="A554" s="3"/>
      <c r="B554" s="3"/>
      <c r="C554" s="3" t="s">
        <v>55</v>
      </c>
      <c r="D554" s="5">
        <f>D560</f>
        <v>-69512</v>
      </c>
      <c r="E554" s="5">
        <f t="shared" ref="E554:F555" si="199">E560</f>
        <v>-74489.069999999992</v>
      </c>
      <c r="F554" s="5">
        <f t="shared" si="199"/>
        <v>-70744.05</v>
      </c>
      <c r="G554" s="5">
        <f t="shared" si="198"/>
        <v>3745.0199999999895</v>
      </c>
    </row>
    <row r="555" spans="1:7" x14ac:dyDescent="0.35">
      <c r="A555" s="3"/>
      <c r="B555" s="3"/>
      <c r="C555" s="3" t="s">
        <v>101</v>
      </c>
      <c r="D555" s="5">
        <f>D561</f>
        <v>-1800</v>
      </c>
      <c r="E555" s="5">
        <f t="shared" si="199"/>
        <v>-1800.47</v>
      </c>
      <c r="F555" s="5">
        <f t="shared" si="199"/>
        <v>-1477.31</v>
      </c>
      <c r="G555" s="5">
        <f t="shared" si="198"/>
        <v>323.16000000000008</v>
      </c>
    </row>
    <row r="556" spans="1:7" x14ac:dyDescent="0.35">
      <c r="A556" s="3"/>
      <c r="B556" s="3"/>
      <c r="C556" s="3" t="s">
        <v>110</v>
      </c>
      <c r="D556" s="5">
        <v>0</v>
      </c>
      <c r="E556" s="5">
        <v>0</v>
      </c>
      <c r="F556" s="5">
        <f>+F568</f>
        <v>-10808.52</v>
      </c>
      <c r="G556" s="5">
        <f t="shared" si="198"/>
        <v>-10808.52</v>
      </c>
    </row>
    <row r="557" spans="1:7" x14ac:dyDescent="0.35">
      <c r="A557" s="3"/>
      <c r="B557" s="3"/>
      <c r="C557" s="3" t="s">
        <v>103</v>
      </c>
      <c r="D557" s="5">
        <f>D562+D569</f>
        <v>-1723</v>
      </c>
      <c r="E557" s="5">
        <f t="shared" ref="E557" si="200">E562+E569</f>
        <v>-1746.27</v>
      </c>
      <c r="F557" s="5">
        <f>F562+F569+F564</f>
        <v>-2242.5300000000002</v>
      </c>
      <c r="G557" s="5">
        <f t="shared" si="198"/>
        <v>-496.26000000000022</v>
      </c>
    </row>
    <row r="558" spans="1:7" x14ac:dyDescent="0.35">
      <c r="A558" s="37"/>
      <c r="B558" s="37"/>
      <c r="C558" s="37" t="s">
        <v>105</v>
      </c>
      <c r="D558" s="38">
        <f>SUM(D559:D562)</f>
        <v>-403029</v>
      </c>
      <c r="E558" s="38">
        <f>SUM(E559:E562)</f>
        <v>-474818.04</v>
      </c>
      <c r="F558" s="38">
        <f t="shared" ref="F558" si="201">SUM(F559:F562)</f>
        <v>-431548.30999999994</v>
      </c>
      <c r="G558" s="38">
        <f>F558-E558</f>
        <v>43269.73000000004</v>
      </c>
    </row>
    <row r="559" spans="1:7" x14ac:dyDescent="0.35">
      <c r="A559" s="3"/>
      <c r="B559" s="3"/>
      <c r="C559" s="3" t="s">
        <v>54</v>
      </c>
      <c r="D559" s="5">
        <v>-331394</v>
      </c>
      <c r="E559" s="5">
        <v>-398181.98</v>
      </c>
      <c r="F559" s="5">
        <v>-359024.97</v>
      </c>
      <c r="G559" s="5">
        <f t="shared" ref="G559:G569" si="202">F559-E559</f>
        <v>39157.010000000009</v>
      </c>
    </row>
    <row r="560" spans="1:7" x14ac:dyDescent="0.35">
      <c r="A560" s="3"/>
      <c r="B560" s="3"/>
      <c r="C560" s="3" t="s">
        <v>55</v>
      </c>
      <c r="D560" s="5">
        <v>-69512</v>
      </c>
      <c r="E560" s="5">
        <f>-71629.39-2859.68</f>
        <v>-74489.069999999992</v>
      </c>
      <c r="F560" s="5">
        <v>-70744.05</v>
      </c>
      <c r="G560" s="5">
        <f t="shared" si="202"/>
        <v>3745.0199999999895</v>
      </c>
    </row>
    <row r="561" spans="1:7" x14ac:dyDescent="0.35">
      <c r="A561" s="3"/>
      <c r="B561" s="3"/>
      <c r="C561" s="3" t="s">
        <v>101</v>
      </c>
      <c r="D561" s="5">
        <v>-1800</v>
      </c>
      <c r="E561" s="5">
        <v>-1800.47</v>
      </c>
      <c r="F561" s="5">
        <v>-1477.31</v>
      </c>
      <c r="G561" s="5">
        <f t="shared" si="202"/>
        <v>323.16000000000008</v>
      </c>
    </row>
    <row r="562" spans="1:7" s="35" customFormat="1" x14ac:dyDescent="0.35">
      <c r="A562" s="3"/>
      <c r="B562" s="3"/>
      <c r="C562" s="3" t="s">
        <v>56</v>
      </c>
      <c r="D562" s="5">
        <v>-323</v>
      </c>
      <c r="E562" s="5">
        <v>-346.52</v>
      </c>
      <c r="F562" s="5">
        <v>-301.98</v>
      </c>
      <c r="G562" s="5">
        <f t="shared" si="202"/>
        <v>44.539999999999964</v>
      </c>
    </row>
    <row r="563" spans="1:7" x14ac:dyDescent="0.35">
      <c r="A563" s="3"/>
      <c r="B563" s="3"/>
      <c r="C563" s="37" t="s">
        <v>106</v>
      </c>
      <c r="D563" s="38">
        <f>SUM(D564:D564)</f>
        <v>0</v>
      </c>
      <c r="E563" s="38">
        <f>+E564</f>
        <v>0</v>
      </c>
      <c r="F563" s="38">
        <f>SUM(F564)</f>
        <v>58.08</v>
      </c>
      <c r="G563" s="38">
        <f>F563-E563</f>
        <v>58.08</v>
      </c>
    </row>
    <row r="564" spans="1:7" x14ac:dyDescent="0.35">
      <c r="A564" s="3"/>
      <c r="B564" s="3"/>
      <c r="C564" s="3" t="s">
        <v>56</v>
      </c>
      <c r="D564" s="5">
        <v>0</v>
      </c>
      <c r="E564" s="5">
        <v>0</v>
      </c>
      <c r="F564" s="5">
        <v>58.08</v>
      </c>
      <c r="G564" s="5">
        <f t="shared" ref="G564" si="203">F564-E564</f>
        <v>58.08</v>
      </c>
    </row>
    <row r="565" spans="1:7" x14ac:dyDescent="0.35">
      <c r="A565" s="3"/>
      <c r="B565" s="3"/>
      <c r="C565" s="37" t="s">
        <v>107</v>
      </c>
      <c r="D565" s="38">
        <f>SUM(D567:D568)</f>
        <v>0</v>
      </c>
      <c r="E565" s="38">
        <f>SUM(E566:E568)</f>
        <v>-17955.41</v>
      </c>
      <c r="F565" s="38">
        <f>SUM(F567:F568)</f>
        <v>-17743.740000000002</v>
      </c>
      <c r="G565" s="38">
        <f>F565-E565</f>
        <v>211.66999999999825</v>
      </c>
    </row>
    <row r="566" spans="1:7" x14ac:dyDescent="0.35">
      <c r="A566" s="3"/>
      <c r="B566" s="3"/>
      <c r="C566" s="3" t="s">
        <v>155</v>
      </c>
      <c r="D566" s="5">
        <v>0</v>
      </c>
      <c r="E566" s="5">
        <v>-17955.41</v>
      </c>
      <c r="F566" s="5">
        <v>0</v>
      </c>
      <c r="G566" s="5">
        <f>F566-E566</f>
        <v>17955.41</v>
      </c>
    </row>
    <row r="567" spans="1:7" x14ac:dyDescent="0.35">
      <c r="A567" s="3"/>
      <c r="B567" s="3"/>
      <c r="C567" s="3" t="s">
        <v>54</v>
      </c>
      <c r="D567" s="5">
        <v>0</v>
      </c>
      <c r="E567" s="5">
        <v>0</v>
      </c>
      <c r="F567" s="5">
        <v>-6935.22</v>
      </c>
      <c r="G567" s="5">
        <f t="shared" ref="G567:G568" si="204">F567-E567</f>
        <v>-6935.22</v>
      </c>
    </row>
    <row r="568" spans="1:7" x14ac:dyDescent="0.35">
      <c r="A568" s="3"/>
      <c r="B568" s="3"/>
      <c r="C568" s="3" t="s">
        <v>110</v>
      </c>
      <c r="D568" s="5">
        <v>0</v>
      </c>
      <c r="E568" s="5">
        <v>0</v>
      </c>
      <c r="F568" s="5">
        <v>-10808.52</v>
      </c>
      <c r="G568" s="5">
        <f t="shared" si="204"/>
        <v>-10808.52</v>
      </c>
    </row>
    <row r="569" spans="1:7" x14ac:dyDescent="0.35">
      <c r="A569" s="37"/>
      <c r="B569" s="37"/>
      <c r="C569" s="37" t="s">
        <v>109</v>
      </c>
      <c r="D569" s="38">
        <v>-1400</v>
      </c>
      <c r="E569" s="38">
        <v>-1399.75</v>
      </c>
      <c r="F569" s="38">
        <v>-1998.63</v>
      </c>
      <c r="G569" s="38">
        <f t="shared" si="202"/>
        <v>-598.88000000000011</v>
      </c>
    </row>
    <row r="570" spans="1:7" x14ac:dyDescent="0.35">
      <c r="A570" s="37"/>
      <c r="B570" s="37" t="s">
        <v>115</v>
      </c>
      <c r="C570" s="37"/>
      <c r="D570" s="38">
        <f>SUM(D572:D576)</f>
        <v>-75460810</v>
      </c>
      <c r="E570" s="38">
        <f>SUM(E571:E576)</f>
        <v>-88242761.522722125</v>
      </c>
      <c r="F570" s="38">
        <f>SUM(F572:F576)</f>
        <v>-88213008.180000007</v>
      </c>
      <c r="G570" s="38">
        <f>F570-E570</f>
        <v>29753.342722117901</v>
      </c>
    </row>
    <row r="571" spans="1:7" x14ac:dyDescent="0.35">
      <c r="A571" s="37"/>
      <c r="B571" s="37"/>
      <c r="C571" s="3" t="s">
        <v>155</v>
      </c>
      <c r="D571" s="5">
        <f>D587+D590</f>
        <v>0</v>
      </c>
      <c r="E571" s="5">
        <f t="shared" ref="E571:F571" si="205">E587+E590</f>
        <v>-2128746.8000000003</v>
      </c>
      <c r="F571" s="5">
        <f t="shared" si="205"/>
        <v>0</v>
      </c>
      <c r="G571" s="5">
        <f>F571-E571</f>
        <v>2128746.8000000003</v>
      </c>
    </row>
    <row r="572" spans="1:7" x14ac:dyDescent="0.35">
      <c r="A572" s="3"/>
      <c r="B572" s="3"/>
      <c r="C572" s="3" t="s">
        <v>54</v>
      </c>
      <c r="D572" s="5">
        <f>D578+D583+D591</f>
        <v>-55176383</v>
      </c>
      <c r="E572" s="5">
        <f>E578+E583</f>
        <v>-57652821.719999999</v>
      </c>
      <c r="F572" s="5">
        <f>F578+F583</f>
        <v>-59021309.489999995</v>
      </c>
      <c r="G572" s="5">
        <f t="shared" ref="G572:G576" si="206">F572-E572</f>
        <v>-1368487.7699999958</v>
      </c>
    </row>
    <row r="573" spans="1:7" x14ac:dyDescent="0.35">
      <c r="A573" s="3"/>
      <c r="B573" s="3"/>
      <c r="C573" s="3" t="s">
        <v>55</v>
      </c>
      <c r="D573" s="5">
        <f>D579+D588+D592</f>
        <v>-16663295</v>
      </c>
      <c r="E573" s="5">
        <f>E579+E588+E592</f>
        <v>-24782434.420000002</v>
      </c>
      <c r="F573" s="5">
        <f>F579+F588+F592</f>
        <v>-24614071.039999999</v>
      </c>
      <c r="G573" s="5">
        <f t="shared" si="206"/>
        <v>168363.38000000268</v>
      </c>
    </row>
    <row r="574" spans="1:7" x14ac:dyDescent="0.35">
      <c r="A574" s="3"/>
      <c r="B574" s="3"/>
      <c r="C574" s="3" t="s">
        <v>24</v>
      </c>
      <c r="D574" s="5">
        <v>0</v>
      </c>
      <c r="E574" s="5">
        <v>0</v>
      </c>
      <c r="F574" s="5">
        <f>+F584</f>
        <v>-41100</v>
      </c>
      <c r="G574" s="5">
        <f t="shared" si="206"/>
        <v>-41100</v>
      </c>
    </row>
    <row r="575" spans="1:7" x14ac:dyDescent="0.35">
      <c r="A575" s="3"/>
      <c r="B575" s="3"/>
      <c r="C575" s="3" t="s">
        <v>102</v>
      </c>
      <c r="D575" s="5">
        <f>D580</f>
        <v>-209415</v>
      </c>
      <c r="E575" s="5">
        <f>E580</f>
        <v>-249061.22</v>
      </c>
      <c r="F575" s="5">
        <f t="shared" ref="F575" si="207">F580</f>
        <v>-23366</v>
      </c>
      <c r="G575" s="5">
        <f t="shared" si="206"/>
        <v>225695.22</v>
      </c>
    </row>
    <row r="576" spans="1:7" x14ac:dyDescent="0.35">
      <c r="A576" s="3"/>
      <c r="B576" s="3"/>
      <c r="C576" s="3" t="s">
        <v>103</v>
      </c>
      <c r="D576" s="5">
        <f>D593</f>
        <v>-3411717</v>
      </c>
      <c r="E576" s="5">
        <f>E593+E581</f>
        <v>-3429697.3627221286</v>
      </c>
      <c r="F576" s="5">
        <f>F593+F585+F581</f>
        <v>-4513161.6499999994</v>
      </c>
      <c r="G576" s="5">
        <f t="shared" si="206"/>
        <v>-1083464.2872778708</v>
      </c>
    </row>
    <row r="577" spans="1:7" x14ac:dyDescent="0.35">
      <c r="A577" s="37"/>
      <c r="B577" s="37"/>
      <c r="C577" s="37" t="s">
        <v>105</v>
      </c>
      <c r="D577" s="38">
        <f>SUM(D578:D580)</f>
        <v>-71721031</v>
      </c>
      <c r="E577" s="38">
        <f>SUM(E578:E581)</f>
        <v>-82465834.719999999</v>
      </c>
      <c r="F577" s="38">
        <f>SUM(F578:F581)</f>
        <v>-80900544.38000001</v>
      </c>
      <c r="G577" s="38">
        <f>F577-E577</f>
        <v>1565290.3399999887</v>
      </c>
    </row>
    <row r="578" spans="1:7" x14ac:dyDescent="0.35">
      <c r="A578" s="3"/>
      <c r="B578" s="3"/>
      <c r="C578" s="3" t="s">
        <v>54</v>
      </c>
      <c r="D578" s="5">
        <v>-54931381</v>
      </c>
      <c r="E578" s="5">
        <v>-57416358.420000002</v>
      </c>
      <c r="F578" s="5">
        <v>-57807487.939999998</v>
      </c>
      <c r="G578" s="5">
        <f t="shared" ref="G578:G581" si="208">F578-E578</f>
        <v>-391129.51999999583</v>
      </c>
    </row>
    <row r="579" spans="1:7" x14ac:dyDescent="0.35">
      <c r="A579" s="3"/>
      <c r="B579" s="3"/>
      <c r="C579" s="3" t="s">
        <v>55</v>
      </c>
      <c r="D579" s="5">
        <v>-16580235</v>
      </c>
      <c r="E579" s="5">
        <f>-24779840.69-2593.73</f>
        <v>-24782434.420000002</v>
      </c>
      <c r="F579" s="5">
        <v>-23041356.93</v>
      </c>
      <c r="G579" s="5">
        <f t="shared" si="208"/>
        <v>1741077.4900000021</v>
      </c>
    </row>
    <row r="580" spans="1:7" s="35" customFormat="1" x14ac:dyDescent="0.35">
      <c r="A580" s="3"/>
      <c r="B580" s="3"/>
      <c r="C580" s="3" t="s">
        <v>102</v>
      </c>
      <c r="D580" s="5">
        <v>-209415</v>
      </c>
      <c r="E580" s="5">
        <v>-249061.22</v>
      </c>
      <c r="F580" s="5">
        <v>-23366</v>
      </c>
      <c r="G580" s="5">
        <f t="shared" si="208"/>
        <v>225695.22</v>
      </c>
    </row>
    <row r="581" spans="1:7" x14ac:dyDescent="0.35">
      <c r="A581" s="3"/>
      <c r="B581" s="3"/>
      <c r="C581" s="3" t="s">
        <v>56</v>
      </c>
      <c r="D581" s="5">
        <v>0</v>
      </c>
      <c r="E581" s="5">
        <v>-17980.66</v>
      </c>
      <c r="F581" s="5">
        <v>-28333.51</v>
      </c>
      <c r="G581" s="5">
        <f t="shared" si="208"/>
        <v>-10352.849999999999</v>
      </c>
    </row>
    <row r="582" spans="1:7" s="35" customFormat="1" x14ac:dyDescent="0.35">
      <c r="A582" s="37"/>
      <c r="B582" s="37"/>
      <c r="C582" s="37" t="s">
        <v>106</v>
      </c>
      <c r="D582" s="38">
        <f>SUM(D583:D583)</f>
        <v>-236463</v>
      </c>
      <c r="E582" s="38">
        <f>SUM(E583:E585)</f>
        <v>-236463.3</v>
      </c>
      <c r="F582" s="38">
        <f>SUM(F583:F585)</f>
        <v>-1256082.98</v>
      </c>
      <c r="G582" s="38">
        <f>F582-E582</f>
        <v>-1019619.6799999999</v>
      </c>
    </row>
    <row r="583" spans="1:7" x14ac:dyDescent="0.35">
      <c r="A583" s="3"/>
      <c r="B583" s="3"/>
      <c r="C583" s="3" t="s">
        <v>54</v>
      </c>
      <c r="D583" s="5">
        <v>-236463</v>
      </c>
      <c r="E583" s="5">
        <v>-236463.3</v>
      </c>
      <c r="F583" s="5">
        <v>-1213821.55</v>
      </c>
      <c r="G583" s="5">
        <f t="shared" ref="G583:G585" si="209">F583-E583</f>
        <v>-977358.25</v>
      </c>
    </row>
    <row r="584" spans="1:7" s="35" customFormat="1" x14ac:dyDescent="0.35">
      <c r="A584" s="3"/>
      <c r="B584" s="3"/>
      <c r="C584" s="3" t="s">
        <v>25</v>
      </c>
      <c r="D584" s="5">
        <v>0</v>
      </c>
      <c r="E584" s="5">
        <v>0</v>
      </c>
      <c r="F584" s="5">
        <v>-41100</v>
      </c>
      <c r="G584" s="5">
        <f t="shared" si="209"/>
        <v>-41100</v>
      </c>
    </row>
    <row r="585" spans="1:7" s="35" customFormat="1" x14ac:dyDescent="0.35">
      <c r="A585" s="3"/>
      <c r="B585" s="3"/>
      <c r="C585" s="3" t="s">
        <v>56</v>
      </c>
      <c r="D585" s="5">
        <v>0</v>
      </c>
      <c r="E585" s="5">
        <v>0</v>
      </c>
      <c r="F585" s="5">
        <v>-1161.43</v>
      </c>
      <c r="G585" s="5">
        <f t="shared" si="209"/>
        <v>-1161.43</v>
      </c>
    </row>
    <row r="586" spans="1:7" x14ac:dyDescent="0.35">
      <c r="A586" s="37"/>
      <c r="B586" s="37"/>
      <c r="C586" s="37" t="s">
        <v>107</v>
      </c>
      <c r="D586" s="38">
        <f>SUM(D588:D588)</f>
        <v>-77626</v>
      </c>
      <c r="E586" s="38">
        <f>SUM(E587:E588)</f>
        <v>-1763336.36</v>
      </c>
      <c r="F586" s="38">
        <f>SUM(F588:F588)</f>
        <v>-1522377.47</v>
      </c>
      <c r="G586" s="38">
        <f>F586-E586</f>
        <v>240958.89000000013</v>
      </c>
    </row>
    <row r="587" spans="1:7" x14ac:dyDescent="0.35">
      <c r="A587" s="37"/>
      <c r="B587" s="37"/>
      <c r="C587" s="3" t="s">
        <v>155</v>
      </c>
      <c r="D587" s="5">
        <v>0</v>
      </c>
      <c r="E587" s="5">
        <v>-1763336.36</v>
      </c>
      <c r="F587" s="5">
        <v>0</v>
      </c>
      <c r="G587" s="5">
        <f>F587-E587</f>
        <v>1763336.36</v>
      </c>
    </row>
    <row r="588" spans="1:7" x14ac:dyDescent="0.35">
      <c r="A588" s="37"/>
      <c r="B588" s="37"/>
      <c r="C588" s="3" t="s">
        <v>55</v>
      </c>
      <c r="D588" s="5">
        <v>-77626</v>
      </c>
      <c r="E588" s="5">
        <v>0</v>
      </c>
      <c r="F588" s="5">
        <v>-1522377.47</v>
      </c>
      <c r="G588" s="5">
        <f t="shared" ref="G588" si="210">F588-E588</f>
        <v>-1522377.47</v>
      </c>
    </row>
    <row r="589" spans="1:7" x14ac:dyDescent="0.35">
      <c r="A589" s="37"/>
      <c r="B589" s="37"/>
      <c r="C589" s="37" t="s">
        <v>108</v>
      </c>
      <c r="D589" s="38">
        <f>SUM(D590:D592)</f>
        <v>-13973</v>
      </c>
      <c r="E589" s="38">
        <f>SUM(E590:E592)</f>
        <v>-365410.44</v>
      </c>
      <c r="F589" s="38">
        <f>SUM(F592:F592)</f>
        <v>-50336.639999999999</v>
      </c>
      <c r="G589" s="38">
        <f>F589-E589</f>
        <v>315073.8</v>
      </c>
    </row>
    <row r="590" spans="1:7" x14ac:dyDescent="0.35">
      <c r="A590" s="37"/>
      <c r="B590" s="37"/>
      <c r="C590" s="3" t="s">
        <v>155</v>
      </c>
      <c r="D590" s="5">
        <v>0</v>
      </c>
      <c r="E590" s="5">
        <v>-365410.44</v>
      </c>
      <c r="F590" s="5">
        <v>0</v>
      </c>
      <c r="G590" s="5">
        <f>F590-E590</f>
        <v>365410.44</v>
      </c>
    </row>
    <row r="591" spans="1:7" s="35" customFormat="1" x14ac:dyDescent="0.35">
      <c r="A591" s="37"/>
      <c r="B591" s="37"/>
      <c r="C591" s="3" t="s">
        <v>54</v>
      </c>
      <c r="D591" s="5">
        <v>-8539</v>
      </c>
      <c r="E591" s="5">
        <v>0</v>
      </c>
      <c r="F591" s="5">
        <v>0</v>
      </c>
      <c r="G591" s="5">
        <f>F591-E591</f>
        <v>0</v>
      </c>
    </row>
    <row r="592" spans="1:7" x14ac:dyDescent="0.35">
      <c r="A592" s="3"/>
      <c r="B592" s="3"/>
      <c r="C592" s="3" t="s">
        <v>55</v>
      </c>
      <c r="D592" s="5">
        <v>-5434</v>
      </c>
      <c r="E592" s="5">
        <v>0</v>
      </c>
      <c r="F592" s="5">
        <v>-50336.639999999999</v>
      </c>
      <c r="G592" s="5">
        <f t="shared" ref="G592:G593" si="211">F592-E592</f>
        <v>-50336.639999999999</v>
      </c>
    </row>
    <row r="593" spans="1:7" x14ac:dyDescent="0.35">
      <c r="A593" s="37"/>
      <c r="B593" s="37"/>
      <c r="C593" s="37" t="s">
        <v>109</v>
      </c>
      <c r="D593" s="38">
        <v>-3411717</v>
      </c>
      <c r="E593" s="67">
        <v>-3411716.7027221285</v>
      </c>
      <c r="F593" s="38">
        <v>-4483666.71</v>
      </c>
      <c r="G593" s="38">
        <f t="shared" si="211"/>
        <v>-1071950.0072778715</v>
      </c>
    </row>
    <row r="594" spans="1:7" x14ac:dyDescent="0.35">
      <c r="A594" s="37"/>
      <c r="B594" s="37" t="s">
        <v>116</v>
      </c>
      <c r="C594" s="37"/>
      <c r="D594" s="38">
        <f>SUM(D596:D599)</f>
        <v>-2533886</v>
      </c>
      <c r="E594" s="38">
        <f>SUM(E595:E599)</f>
        <v>-3001585.1556666512</v>
      </c>
      <c r="F594" s="38">
        <f>SUM(F596:F599)</f>
        <v>-3066865.3</v>
      </c>
      <c r="G594" s="38">
        <f>F594-E594</f>
        <v>-65280.14433334861</v>
      </c>
    </row>
    <row r="595" spans="1:7" x14ac:dyDescent="0.35">
      <c r="A595" s="37"/>
      <c r="B595" s="37"/>
      <c r="C595" s="3" t="s">
        <v>155</v>
      </c>
      <c r="D595" s="5">
        <v>0</v>
      </c>
      <c r="E595" s="5">
        <f>+E608+E612</f>
        <v>-161760.99000000002</v>
      </c>
      <c r="F595" s="5">
        <v>0</v>
      </c>
      <c r="G595" s="5">
        <f>F595-E595</f>
        <v>161760.99000000002</v>
      </c>
    </row>
    <row r="596" spans="1:7" x14ac:dyDescent="0.35">
      <c r="A596" s="3"/>
      <c r="B596" s="3"/>
      <c r="C596" s="3" t="s">
        <v>54</v>
      </c>
      <c r="D596" s="5">
        <f>D601+D609+D613</f>
        <v>-1044826</v>
      </c>
      <c r="E596" s="5">
        <f>E601+E609+E613</f>
        <v>-980689.49</v>
      </c>
      <c r="F596" s="5">
        <f>F601+F609+F613</f>
        <v>-1185888.8999999999</v>
      </c>
      <c r="G596" s="5">
        <f t="shared" ref="G596:G599" si="212">F596-E596</f>
        <v>-205199.40999999992</v>
      </c>
    </row>
    <row r="597" spans="1:7" x14ac:dyDescent="0.35">
      <c r="A597" s="3"/>
      <c r="B597" s="3"/>
      <c r="C597" s="3" t="s">
        <v>55</v>
      </c>
      <c r="D597" s="5">
        <f>D602+D610+D614</f>
        <v>-1067487</v>
      </c>
      <c r="E597" s="5">
        <f t="shared" ref="E597:F597" si="213">E602+E610+E614</f>
        <v>-1437122.23</v>
      </c>
      <c r="F597" s="5">
        <f t="shared" si="213"/>
        <v>-1400287.7299999997</v>
      </c>
      <c r="G597" s="5">
        <f t="shared" si="212"/>
        <v>36834.500000000233</v>
      </c>
    </row>
    <row r="598" spans="1:7" x14ac:dyDescent="0.35">
      <c r="A598" s="3"/>
      <c r="B598" s="3"/>
      <c r="C598" s="3" t="s">
        <v>102</v>
      </c>
      <c r="D598" s="5">
        <f>D603</f>
        <v>-146</v>
      </c>
      <c r="E598" s="5">
        <f t="shared" ref="E598:F598" si="214">E603</f>
        <v>-146</v>
      </c>
      <c r="F598" s="5">
        <f t="shared" si="214"/>
        <v>-146</v>
      </c>
      <c r="G598" s="5">
        <f t="shared" si="212"/>
        <v>0</v>
      </c>
    </row>
    <row r="599" spans="1:7" x14ac:dyDescent="0.35">
      <c r="A599" s="3"/>
      <c r="B599" s="3"/>
      <c r="C599" s="3" t="s">
        <v>103</v>
      </c>
      <c r="D599" s="5">
        <f>D615</f>
        <v>-421427</v>
      </c>
      <c r="E599" s="5">
        <f>E615+E604</f>
        <v>-421866.44566665124</v>
      </c>
      <c r="F599" s="5">
        <f>F615+F604+F606</f>
        <v>-480542.67</v>
      </c>
      <c r="G599" s="5">
        <f t="shared" si="212"/>
        <v>-58676.224333348742</v>
      </c>
    </row>
    <row r="600" spans="1:7" x14ac:dyDescent="0.35">
      <c r="A600" s="37"/>
      <c r="B600" s="37"/>
      <c r="C600" s="37" t="s">
        <v>105</v>
      </c>
      <c r="D600" s="38">
        <f>SUM(D601:D603)</f>
        <v>-2053312</v>
      </c>
      <c r="E600" s="38">
        <f>SUM(E601:E604)</f>
        <v>-2418397.2499999995</v>
      </c>
      <c r="F600" s="38">
        <f>SUM(F601:F604)</f>
        <v>-2541524.2200000002</v>
      </c>
      <c r="G600" s="38">
        <f>F600-E600</f>
        <v>-123126.97000000067</v>
      </c>
    </row>
    <row r="601" spans="1:7" x14ac:dyDescent="0.35">
      <c r="A601" s="3"/>
      <c r="B601" s="3"/>
      <c r="C601" s="3" t="s">
        <v>54</v>
      </c>
      <c r="D601" s="5">
        <v>-1009882</v>
      </c>
      <c r="E601" s="5">
        <v>-980689.49</v>
      </c>
      <c r="F601" s="5">
        <v>-1150639.28</v>
      </c>
      <c r="G601" s="5">
        <f t="shared" ref="G601:G604" si="215">F601-E601</f>
        <v>-169949.79000000004</v>
      </c>
    </row>
    <row r="602" spans="1:7" x14ac:dyDescent="0.35">
      <c r="A602" s="3"/>
      <c r="B602" s="3"/>
      <c r="C602" s="3" t="s">
        <v>55</v>
      </c>
      <c r="D602" s="5">
        <v>-1043284</v>
      </c>
      <c r="E602" s="5">
        <v>-1437122.23</v>
      </c>
      <c r="F602" s="5">
        <v>-1390258.96</v>
      </c>
      <c r="G602" s="5">
        <f t="shared" si="215"/>
        <v>46863.270000000019</v>
      </c>
    </row>
    <row r="603" spans="1:7" x14ac:dyDescent="0.35">
      <c r="A603" s="3"/>
      <c r="B603" s="3"/>
      <c r="C603" s="3" t="s">
        <v>102</v>
      </c>
      <c r="D603" s="5">
        <v>-146</v>
      </c>
      <c r="E603" s="5">
        <f t="shared" ref="E603" si="216">D603</f>
        <v>-146</v>
      </c>
      <c r="F603" s="5">
        <v>-146</v>
      </c>
      <c r="G603" s="5">
        <f t="shared" si="215"/>
        <v>0</v>
      </c>
    </row>
    <row r="604" spans="1:7" x14ac:dyDescent="0.35">
      <c r="A604" s="3"/>
      <c r="B604" s="3"/>
      <c r="C604" s="3" t="s">
        <v>56</v>
      </c>
      <c r="D604" s="5">
        <v>0</v>
      </c>
      <c r="E604" s="5">
        <v>-439.53</v>
      </c>
      <c r="F604" s="5">
        <v>-479.98</v>
      </c>
      <c r="G604" s="5">
        <f t="shared" si="215"/>
        <v>-40.450000000000045</v>
      </c>
    </row>
    <row r="605" spans="1:7" x14ac:dyDescent="0.35">
      <c r="A605" s="3"/>
      <c r="B605" s="3"/>
      <c r="C605" s="37" t="s">
        <v>106</v>
      </c>
      <c r="D605" s="38">
        <f>SUM(D606:D606)</f>
        <v>0</v>
      </c>
      <c r="E605" s="38">
        <f>SUM(E606)</f>
        <v>0</v>
      </c>
      <c r="F605" s="38">
        <f>SUM(F606)</f>
        <v>-114.25</v>
      </c>
      <c r="G605" s="38">
        <f>F605-E605</f>
        <v>-114.25</v>
      </c>
    </row>
    <row r="606" spans="1:7" x14ac:dyDescent="0.35">
      <c r="A606" s="3"/>
      <c r="B606" s="3"/>
      <c r="C606" s="3" t="s">
        <v>56</v>
      </c>
      <c r="D606" s="5">
        <v>0</v>
      </c>
      <c r="E606" s="5">
        <v>0</v>
      </c>
      <c r="F606" s="5">
        <v>-114.25</v>
      </c>
      <c r="G606" s="5">
        <f t="shared" ref="G606" si="217">F606-E606</f>
        <v>-114.25</v>
      </c>
    </row>
    <row r="607" spans="1:7" x14ac:dyDescent="0.35">
      <c r="A607" s="37"/>
      <c r="B607" s="37"/>
      <c r="C607" s="37" t="s">
        <v>107</v>
      </c>
      <c r="D607" s="38">
        <f>SUM(D609:D610)</f>
        <v>-18430</v>
      </c>
      <c r="E607" s="38">
        <f>SUM(E608:E610)</f>
        <v>-14206.51</v>
      </c>
      <c r="F607" s="38">
        <f>SUM(F609:F610)</f>
        <v>-14186.789999999999</v>
      </c>
      <c r="G607" s="38">
        <f>F607-E607</f>
        <v>19.720000000001164</v>
      </c>
    </row>
    <row r="608" spans="1:7" s="35" customFormat="1" x14ac:dyDescent="0.35">
      <c r="A608" s="37"/>
      <c r="B608" s="37"/>
      <c r="C608" s="3" t="s">
        <v>155</v>
      </c>
      <c r="D608" s="5">
        <v>0</v>
      </c>
      <c r="E608" s="5">
        <v>-14206.51</v>
      </c>
      <c r="F608" s="5">
        <v>0</v>
      </c>
      <c r="G608" s="5">
        <f>F608-E608</f>
        <v>14206.51</v>
      </c>
    </row>
    <row r="609" spans="1:7" x14ac:dyDescent="0.35">
      <c r="A609" s="3"/>
      <c r="B609" s="3"/>
      <c r="C609" s="3" t="s">
        <v>54</v>
      </c>
      <c r="D609" s="5">
        <v>-12849</v>
      </c>
      <c r="E609" s="5">
        <v>0</v>
      </c>
      <c r="F609" s="5">
        <v>-10110.65</v>
      </c>
      <c r="G609" s="5">
        <f t="shared" ref="G609:G621" si="218">F609-E609</f>
        <v>-10110.65</v>
      </c>
    </row>
    <row r="610" spans="1:7" s="70" customFormat="1" x14ac:dyDescent="0.35">
      <c r="A610" s="37"/>
      <c r="B610" s="37"/>
      <c r="C610" s="3" t="s">
        <v>55</v>
      </c>
      <c r="D610" s="5">
        <v>-5581</v>
      </c>
      <c r="E610" s="5">
        <v>0</v>
      </c>
      <c r="F610" s="5">
        <v>-4076.14</v>
      </c>
      <c r="G610" s="5">
        <f t="shared" si="218"/>
        <v>-4076.14</v>
      </c>
    </row>
    <row r="611" spans="1:7" s="35" customFormat="1" x14ac:dyDescent="0.35">
      <c r="A611" s="37"/>
      <c r="B611" s="37"/>
      <c r="C611" s="37" t="s">
        <v>108</v>
      </c>
      <c r="D611" s="38">
        <f>SUM(D613:D614)</f>
        <v>-40717</v>
      </c>
      <c r="E611" s="38">
        <f>SUM(E612:E614)</f>
        <v>-147554.48000000001</v>
      </c>
      <c r="F611" s="38">
        <f t="shared" ref="F611" si="219">SUM(F613:F614)</f>
        <v>-31091.600000000002</v>
      </c>
      <c r="G611" s="38">
        <f>F611-E611</f>
        <v>116462.88</v>
      </c>
    </row>
    <row r="612" spans="1:7" x14ac:dyDescent="0.35">
      <c r="A612" s="37"/>
      <c r="B612" s="37"/>
      <c r="C612" s="3" t="s">
        <v>155</v>
      </c>
      <c r="D612" s="5">
        <v>0</v>
      </c>
      <c r="E612" s="5">
        <v>-147554.48000000001</v>
      </c>
      <c r="F612" s="5">
        <v>0</v>
      </c>
      <c r="G612" s="5">
        <f>F612-E612</f>
        <v>147554.48000000001</v>
      </c>
    </row>
    <row r="613" spans="1:7" x14ac:dyDescent="0.35">
      <c r="A613" s="3"/>
      <c r="B613" s="3"/>
      <c r="C613" s="3" t="s">
        <v>54</v>
      </c>
      <c r="D613" s="5">
        <v>-22095</v>
      </c>
      <c r="E613" s="5">
        <v>0</v>
      </c>
      <c r="F613" s="5">
        <v>-25138.97</v>
      </c>
      <c r="G613" s="5">
        <f t="shared" ref="G613:G614" si="220">F613-E613</f>
        <v>-25138.97</v>
      </c>
    </row>
    <row r="614" spans="1:7" x14ac:dyDescent="0.35">
      <c r="A614" s="3"/>
      <c r="B614" s="3"/>
      <c r="C614" s="3" t="s">
        <v>55</v>
      </c>
      <c r="D614" s="5">
        <v>-18622</v>
      </c>
      <c r="E614" s="5">
        <v>0</v>
      </c>
      <c r="F614" s="5">
        <v>-5952.63</v>
      </c>
      <c r="G614" s="5">
        <f t="shared" si="220"/>
        <v>-5952.63</v>
      </c>
    </row>
    <row r="615" spans="1:7" x14ac:dyDescent="0.35">
      <c r="A615" s="37"/>
      <c r="B615" s="37"/>
      <c r="C615" s="37" t="s">
        <v>109</v>
      </c>
      <c r="D615" s="38">
        <v>-421427</v>
      </c>
      <c r="E615" s="67">
        <v>-421426.91566665121</v>
      </c>
      <c r="F615" s="38">
        <v>-479948.44</v>
      </c>
      <c r="G615" s="38">
        <f t="shared" si="218"/>
        <v>-58521.524333348789</v>
      </c>
    </row>
    <row r="616" spans="1:7" x14ac:dyDescent="0.35">
      <c r="A616" s="37" t="s">
        <v>128</v>
      </c>
      <c r="B616" s="37"/>
      <c r="C616" s="37"/>
      <c r="D616" s="38">
        <f>SUM(D617:D621)</f>
        <v>-16651577</v>
      </c>
      <c r="E616" s="38">
        <f t="shared" ref="E616:F616" si="221">SUM(E617:E621)</f>
        <v>-20612991.811687961</v>
      </c>
      <c r="F616" s="38">
        <f t="shared" si="221"/>
        <v>-18768360.75</v>
      </c>
      <c r="G616" s="38">
        <f t="shared" si="218"/>
        <v>1844631.0616879612</v>
      </c>
    </row>
    <row r="617" spans="1:7" x14ac:dyDescent="0.35">
      <c r="A617" s="3"/>
      <c r="B617" s="3" t="s">
        <v>105</v>
      </c>
      <c r="C617" s="3"/>
      <c r="D617" s="5">
        <f>D629+D648+D671</f>
        <v>-12301190</v>
      </c>
      <c r="E617" s="5">
        <f>E629+E648+E671</f>
        <v>-15167934.090000002</v>
      </c>
      <c r="F617" s="5">
        <f>F629+F648+F671</f>
        <v>-14145014.809999999</v>
      </c>
      <c r="G617" s="5">
        <f t="shared" si="218"/>
        <v>1022919.2800000031</v>
      </c>
    </row>
    <row r="618" spans="1:7" x14ac:dyDescent="0.35">
      <c r="A618" s="3"/>
      <c r="B618" s="3" t="s">
        <v>106</v>
      </c>
      <c r="C618" s="3"/>
      <c r="D618" s="5">
        <f>D677</f>
        <v>-5309</v>
      </c>
      <c r="E618" s="5">
        <f t="shared" ref="E618" si="222">E677</f>
        <v>-5308.81</v>
      </c>
      <c r="F618" s="5">
        <f>F677+F653+F634</f>
        <v>-786.53</v>
      </c>
      <c r="G618" s="5">
        <f t="shared" si="218"/>
        <v>4522.2800000000007</v>
      </c>
    </row>
    <row r="619" spans="1:7" x14ac:dyDescent="0.35">
      <c r="A619" s="3"/>
      <c r="B619" s="3" t="s">
        <v>107</v>
      </c>
      <c r="C619" s="3"/>
      <c r="D619" s="5">
        <f>D636+D655+D680</f>
        <v>-1017134</v>
      </c>
      <c r="E619" s="5">
        <f>E636+E655+E680</f>
        <v>-683944.02</v>
      </c>
      <c r="F619" s="5">
        <f>F636+F655+F680</f>
        <v>-652860.81999999995</v>
      </c>
      <c r="G619" s="5">
        <f t="shared" si="218"/>
        <v>31083.20000000007</v>
      </c>
    </row>
    <row r="620" spans="1:7" x14ac:dyDescent="0.35">
      <c r="A620" s="3"/>
      <c r="B620" s="3" t="s">
        <v>108</v>
      </c>
      <c r="C620" s="3"/>
      <c r="D620" s="5">
        <f>D659+D684</f>
        <v>-17311</v>
      </c>
      <c r="E620" s="5">
        <f>E659+E684</f>
        <v>-1445172.1400000001</v>
      </c>
      <c r="F620" s="5">
        <f>F659+F684</f>
        <v>-638836.5</v>
      </c>
      <c r="G620" s="5">
        <f t="shared" si="218"/>
        <v>806335.64000000013</v>
      </c>
    </row>
    <row r="621" spans="1:7" x14ac:dyDescent="0.35">
      <c r="A621" s="3"/>
      <c r="B621" s="3" t="s">
        <v>109</v>
      </c>
      <c r="C621" s="3"/>
      <c r="D621" s="5">
        <f>D641+D663+D688</f>
        <v>-3310633</v>
      </c>
      <c r="E621" s="5">
        <f>E641+E663+E688</f>
        <v>-3310632.751687957</v>
      </c>
      <c r="F621" s="5">
        <f>F641+F663+F688</f>
        <v>-3330862.09</v>
      </c>
      <c r="G621" s="5">
        <f t="shared" si="218"/>
        <v>-20229.338312042877</v>
      </c>
    </row>
    <row r="622" spans="1:7" x14ac:dyDescent="0.35">
      <c r="A622" s="37"/>
      <c r="B622" s="37" t="s">
        <v>31</v>
      </c>
      <c r="C622" s="37"/>
      <c r="D622" s="38">
        <f>SUM(D624:D628)</f>
        <v>-311224</v>
      </c>
      <c r="E622" s="38">
        <f>SUM(E623:E628)</f>
        <v>-386740.69365838415</v>
      </c>
      <c r="F622" s="38">
        <f>SUM(F624:F628)</f>
        <v>-336305.98000000004</v>
      </c>
      <c r="G622" s="38">
        <f>F622-E622</f>
        <v>50434.713658384106</v>
      </c>
    </row>
    <row r="623" spans="1:7" x14ac:dyDescent="0.35">
      <c r="A623" s="37"/>
      <c r="B623" s="37"/>
      <c r="C623" s="3" t="str">
        <f>+C637</f>
        <v>Tuludest sõltuvate kulude tegelik limiit</v>
      </c>
      <c r="D623" s="5">
        <f>D637</f>
        <v>0</v>
      </c>
      <c r="E623" s="5">
        <f t="shared" ref="E623:F623" si="223">E637</f>
        <v>-74057.08</v>
      </c>
      <c r="F623" s="5">
        <f t="shared" si="223"/>
        <v>0</v>
      </c>
      <c r="G623" s="5">
        <f>F623-E623</f>
        <v>74057.08</v>
      </c>
    </row>
    <row r="624" spans="1:7" x14ac:dyDescent="0.35">
      <c r="A624" s="3"/>
      <c r="B624" s="3"/>
      <c r="C624" s="3" t="s">
        <v>54</v>
      </c>
      <c r="D624" s="5">
        <f>D630+D638</f>
        <v>-256183</v>
      </c>
      <c r="E624" s="5">
        <f t="shared" ref="E624:F625" si="224">E630+E638</f>
        <v>-263110.07</v>
      </c>
      <c r="F624" s="5">
        <f>F630+F638</f>
        <v>-287762.64</v>
      </c>
      <c r="G624" s="5">
        <f t="shared" ref="G624:G628" si="225">F624-E624</f>
        <v>-24652.570000000007</v>
      </c>
    </row>
    <row r="625" spans="1:7" s="35" customFormat="1" x14ac:dyDescent="0.35">
      <c r="A625" s="3"/>
      <c r="B625" s="3"/>
      <c r="C625" s="3" t="s">
        <v>55</v>
      </c>
      <c r="D625" s="5">
        <f>D631+D639</f>
        <v>-53817</v>
      </c>
      <c r="E625" s="5">
        <f t="shared" si="224"/>
        <v>-48336.54</v>
      </c>
      <c r="F625" s="5">
        <f t="shared" si="224"/>
        <v>-44361.21</v>
      </c>
      <c r="G625" s="5">
        <f t="shared" si="225"/>
        <v>3975.3300000000017</v>
      </c>
    </row>
    <row r="626" spans="1:7" x14ac:dyDescent="0.35">
      <c r="A626" s="3"/>
      <c r="B626" s="3"/>
      <c r="C626" s="3" t="s">
        <v>101</v>
      </c>
      <c r="D626" s="5">
        <f>D632</f>
        <v>-176</v>
      </c>
      <c r="E626" s="5">
        <f t="shared" ref="E626:F626" si="226">E632</f>
        <v>-175.59</v>
      </c>
      <c r="F626" s="5">
        <f t="shared" si="226"/>
        <v>-144.07</v>
      </c>
      <c r="G626" s="5">
        <f t="shared" si="225"/>
        <v>31.52000000000001</v>
      </c>
    </row>
    <row r="627" spans="1:7" x14ac:dyDescent="0.35">
      <c r="A627" s="3"/>
      <c r="B627" s="3"/>
      <c r="C627" s="3" t="str">
        <f>+C640</f>
        <v>Investeeringutoetused</v>
      </c>
      <c r="D627" s="5">
        <v>0</v>
      </c>
      <c r="E627" s="5">
        <v>0</v>
      </c>
      <c r="F627" s="5">
        <f>+F640</f>
        <v>-2675.01</v>
      </c>
      <c r="G627" s="5">
        <f t="shared" si="225"/>
        <v>-2675.01</v>
      </c>
    </row>
    <row r="628" spans="1:7" s="35" customFormat="1" x14ac:dyDescent="0.35">
      <c r="A628" s="3"/>
      <c r="B628" s="3"/>
      <c r="C628" s="3" t="s">
        <v>103</v>
      </c>
      <c r="D628" s="5">
        <f>D633+D641</f>
        <v>-1048</v>
      </c>
      <c r="E628" s="5">
        <f t="shared" ref="E628" si="227">E633+E641</f>
        <v>-1061.4136583841109</v>
      </c>
      <c r="F628" s="5">
        <f>F633+F641+F635</f>
        <v>-1363.05</v>
      </c>
      <c r="G628" s="5">
        <f t="shared" si="225"/>
        <v>-301.63634161588902</v>
      </c>
    </row>
    <row r="629" spans="1:7" x14ac:dyDescent="0.35">
      <c r="A629" s="37"/>
      <c r="B629" s="37"/>
      <c r="C629" s="37" t="s">
        <v>105</v>
      </c>
      <c r="D629" s="38">
        <f>SUM(D630:D633)</f>
        <v>-243617</v>
      </c>
      <c r="E629" s="38">
        <f>SUM(E630:E633)</f>
        <v>-311832.82</v>
      </c>
      <c r="F629" s="38">
        <f t="shared" ref="F629" si="228">SUM(F630:F633)</f>
        <v>-280106.09999999998</v>
      </c>
      <c r="G629" s="38">
        <f>F629-E629</f>
        <v>31726.72000000003</v>
      </c>
    </row>
    <row r="630" spans="1:7" x14ac:dyDescent="0.35">
      <c r="A630" s="3"/>
      <c r="B630" s="3"/>
      <c r="C630" s="3" t="s">
        <v>54</v>
      </c>
      <c r="D630" s="5">
        <v>-201505</v>
      </c>
      <c r="E630" s="5">
        <v>-263110.07</v>
      </c>
      <c r="F630" s="5">
        <v>-235436.51</v>
      </c>
      <c r="G630" s="5">
        <f t="shared" ref="G630:G641" si="229">F630-E630</f>
        <v>27673.559999999998</v>
      </c>
    </row>
    <row r="631" spans="1:7" x14ac:dyDescent="0.35">
      <c r="A631" s="3"/>
      <c r="B631" s="3"/>
      <c r="C631" s="3" t="s">
        <v>55</v>
      </c>
      <c r="D631" s="5">
        <v>-41739</v>
      </c>
      <c r="E631" s="5">
        <f>-46598.37-1738.17</f>
        <v>-48336.54</v>
      </c>
      <c r="F631" s="5">
        <v>-44341.97</v>
      </c>
      <c r="G631" s="5">
        <f t="shared" si="229"/>
        <v>3994.5699999999997</v>
      </c>
    </row>
    <row r="632" spans="1:7" x14ac:dyDescent="0.35">
      <c r="A632" s="3"/>
      <c r="B632" s="3"/>
      <c r="C632" s="3" t="s">
        <v>101</v>
      </c>
      <c r="D632" s="5">
        <v>-176</v>
      </c>
      <c r="E632" s="5">
        <v>-175.59</v>
      </c>
      <c r="F632" s="5">
        <v>-144.07</v>
      </c>
      <c r="G632" s="5">
        <f t="shared" si="229"/>
        <v>31.52000000000001</v>
      </c>
    </row>
    <row r="633" spans="1:7" x14ac:dyDescent="0.35">
      <c r="A633" s="3"/>
      <c r="B633" s="3"/>
      <c r="C633" s="3" t="s">
        <v>56</v>
      </c>
      <c r="D633" s="5">
        <v>-197</v>
      </c>
      <c r="E633" s="5">
        <v>-210.62</v>
      </c>
      <c r="F633" s="5">
        <v>-183.55</v>
      </c>
      <c r="G633" s="5">
        <f t="shared" si="229"/>
        <v>27.069999999999993</v>
      </c>
    </row>
    <row r="634" spans="1:7" x14ac:dyDescent="0.35">
      <c r="A634" s="3"/>
      <c r="B634" s="3"/>
      <c r="C634" s="37" t="s">
        <v>106</v>
      </c>
      <c r="D634" s="38">
        <f>SUM(D635:D635)</f>
        <v>0</v>
      </c>
      <c r="E634" s="38">
        <f>SUM(E635)</f>
        <v>0</v>
      </c>
      <c r="F634" s="38">
        <f>SUM(F635)</f>
        <v>35.31</v>
      </c>
      <c r="G634" s="38">
        <f>F634-E634</f>
        <v>35.31</v>
      </c>
    </row>
    <row r="635" spans="1:7" x14ac:dyDescent="0.35">
      <c r="A635" s="3"/>
      <c r="B635" s="3"/>
      <c r="C635" s="3" t="s">
        <v>56</v>
      </c>
      <c r="D635" s="5">
        <v>0</v>
      </c>
      <c r="E635" s="5">
        <v>0</v>
      </c>
      <c r="F635" s="5">
        <v>35.31</v>
      </c>
      <c r="G635" s="5">
        <f t="shared" ref="G635" si="230">F635-E635</f>
        <v>35.31</v>
      </c>
    </row>
    <row r="636" spans="1:7" x14ac:dyDescent="0.35">
      <c r="A636" s="37"/>
      <c r="B636" s="37"/>
      <c r="C636" s="37" t="s">
        <v>107</v>
      </c>
      <c r="D636" s="38">
        <f>SUM(D638:D639)</f>
        <v>-66756</v>
      </c>
      <c r="E636" s="38">
        <f>SUM(E637:E640)</f>
        <v>-74057.08</v>
      </c>
      <c r="F636" s="38">
        <f>SUM(F637:F640)</f>
        <v>-55020.38</v>
      </c>
      <c r="G636" s="38">
        <f>F636-E636</f>
        <v>19036.700000000004</v>
      </c>
    </row>
    <row r="637" spans="1:7" x14ac:dyDescent="0.35">
      <c r="A637" s="37"/>
      <c r="B637" s="37"/>
      <c r="C637" s="3" t="s">
        <v>155</v>
      </c>
      <c r="D637" s="5">
        <v>0</v>
      </c>
      <c r="E637" s="5">
        <v>-74057.08</v>
      </c>
      <c r="F637" s="5">
        <v>0</v>
      </c>
      <c r="G637" s="5">
        <f>F637-E637</f>
        <v>74057.08</v>
      </c>
    </row>
    <row r="638" spans="1:7" x14ac:dyDescent="0.35">
      <c r="A638" s="3"/>
      <c r="B638" s="3"/>
      <c r="C638" s="3" t="s">
        <v>54</v>
      </c>
      <c r="D638" s="5">
        <v>-54678</v>
      </c>
      <c r="E638" s="5">
        <v>0</v>
      </c>
      <c r="F638" s="5">
        <v>-52326.13</v>
      </c>
      <c r="G638" s="5">
        <f t="shared" ref="G638:G640" si="231">F638-E638</f>
        <v>-52326.13</v>
      </c>
    </row>
    <row r="639" spans="1:7" x14ac:dyDescent="0.35">
      <c r="A639" s="37"/>
      <c r="B639" s="37"/>
      <c r="C639" s="3" t="s">
        <v>55</v>
      </c>
      <c r="D639" s="5">
        <v>-12078</v>
      </c>
      <c r="E639" s="5">
        <v>0</v>
      </c>
      <c r="F639" s="5">
        <v>-19.239999999999998</v>
      </c>
      <c r="G639" s="5">
        <f t="shared" si="231"/>
        <v>-19.239999999999998</v>
      </c>
    </row>
    <row r="640" spans="1:7" x14ac:dyDescent="0.35">
      <c r="A640" s="37"/>
      <c r="B640" s="37"/>
      <c r="C640" s="3" t="s">
        <v>110</v>
      </c>
      <c r="D640" s="5">
        <v>0</v>
      </c>
      <c r="E640" s="5">
        <v>0</v>
      </c>
      <c r="F640" s="5">
        <v>-2675.01</v>
      </c>
      <c r="G640" s="5">
        <f t="shared" si="231"/>
        <v>-2675.01</v>
      </c>
    </row>
    <row r="641" spans="1:7" s="35" customFormat="1" x14ac:dyDescent="0.35">
      <c r="A641" s="37"/>
      <c r="B641" s="37"/>
      <c r="C641" s="37" t="s">
        <v>109</v>
      </c>
      <c r="D641" s="38">
        <v>-851</v>
      </c>
      <c r="E641" s="67">
        <v>-850.79365838411081</v>
      </c>
      <c r="F641" s="38">
        <v>-1214.81</v>
      </c>
      <c r="G641" s="38">
        <f t="shared" si="229"/>
        <v>-364.01634161588913</v>
      </c>
    </row>
    <row r="642" spans="1:7" x14ac:dyDescent="0.35">
      <c r="A642" s="37"/>
      <c r="B642" s="37" t="s">
        <v>116</v>
      </c>
      <c r="C642" s="37"/>
      <c r="D642" s="38">
        <f>SUM(D644:D647)</f>
        <v>-736641</v>
      </c>
      <c r="E642" s="38">
        <f>SUM(E643:E647)</f>
        <v>-932756.54567555955</v>
      </c>
      <c r="F642" s="38">
        <f>SUM(F644:F647)</f>
        <v>-859418.24999999988</v>
      </c>
      <c r="G642" s="38">
        <f>F642-E642</f>
        <v>73338.295675559668</v>
      </c>
    </row>
    <row r="643" spans="1:7" x14ac:dyDescent="0.35">
      <c r="A643" s="37"/>
      <c r="B643" s="37"/>
      <c r="C643" s="3" t="s">
        <v>155</v>
      </c>
      <c r="D643" s="5">
        <v>0</v>
      </c>
      <c r="E643" s="5">
        <f>+E656+E660</f>
        <v>-160883.90000000002</v>
      </c>
      <c r="F643" s="5">
        <v>0</v>
      </c>
      <c r="G643" s="5">
        <f>F643-E643</f>
        <v>160883.90000000002</v>
      </c>
    </row>
    <row r="644" spans="1:7" x14ac:dyDescent="0.35">
      <c r="A644" s="3"/>
      <c r="B644" s="3"/>
      <c r="C644" s="3" t="s">
        <v>54</v>
      </c>
      <c r="D644" s="5">
        <f>D649+D657+D661</f>
        <v>-363659</v>
      </c>
      <c r="E644" s="5">
        <f t="shared" ref="E644:F645" si="232">E649+E657+E661</f>
        <v>-276976.90000000002</v>
      </c>
      <c r="F644" s="5">
        <f t="shared" si="232"/>
        <v>-402078.41</v>
      </c>
      <c r="G644" s="5">
        <f t="shared" ref="G644:G647" si="233">F644-E644</f>
        <v>-125101.50999999995</v>
      </c>
    </row>
    <row r="645" spans="1:7" x14ac:dyDescent="0.35">
      <c r="A645" s="3"/>
      <c r="B645" s="3"/>
      <c r="C645" s="3" t="s">
        <v>55</v>
      </c>
      <c r="D645" s="5">
        <f>D650+D658+D662</f>
        <v>-264469</v>
      </c>
      <c r="E645" s="5">
        <f t="shared" si="232"/>
        <v>-386307.35</v>
      </c>
      <c r="F645" s="5">
        <f t="shared" si="232"/>
        <v>-347441.95999999996</v>
      </c>
      <c r="G645" s="5">
        <f t="shared" si="233"/>
        <v>38865.390000000014</v>
      </c>
    </row>
    <row r="646" spans="1:7" x14ac:dyDescent="0.35">
      <c r="A646" s="3"/>
      <c r="B646" s="3"/>
      <c r="C646" s="3" t="s">
        <v>102</v>
      </c>
      <c r="D646" s="5">
        <f>D651</f>
        <v>-4</v>
      </c>
      <c r="E646" s="5">
        <f t="shared" ref="E646:F646" si="234">E651</f>
        <v>-4</v>
      </c>
      <c r="F646" s="5">
        <f t="shared" si="234"/>
        <v>-4</v>
      </c>
      <c r="G646" s="5">
        <f t="shared" si="233"/>
        <v>0</v>
      </c>
    </row>
    <row r="647" spans="1:7" x14ac:dyDescent="0.35">
      <c r="A647" s="3"/>
      <c r="B647" s="3"/>
      <c r="C647" s="3" t="s">
        <v>103</v>
      </c>
      <c r="D647" s="5">
        <f>D663</f>
        <v>-108509</v>
      </c>
      <c r="E647" s="5">
        <f>E663+E652</f>
        <v>-108584.39567555953</v>
      </c>
      <c r="F647" s="5">
        <f>F663+F652+F654</f>
        <v>-109893.87999999999</v>
      </c>
      <c r="G647" s="5">
        <f t="shared" si="233"/>
        <v>-1309.4843244404619</v>
      </c>
    </row>
    <row r="648" spans="1:7" x14ac:dyDescent="0.35">
      <c r="A648" s="37"/>
      <c r="B648" s="37"/>
      <c r="C648" s="37" t="s">
        <v>105</v>
      </c>
      <c r="D648" s="38">
        <f>SUM(D649:D651)</f>
        <v>-521616</v>
      </c>
      <c r="E648" s="38">
        <f>SUM(E649:E652)</f>
        <v>-663363.25</v>
      </c>
      <c r="F648" s="38">
        <f>SUM(F649:F652)</f>
        <v>-656345.59</v>
      </c>
      <c r="G648" s="38">
        <f>F648-E648</f>
        <v>7017.6600000000326</v>
      </c>
    </row>
    <row r="649" spans="1:7" x14ac:dyDescent="0.35">
      <c r="A649" s="3"/>
      <c r="B649" s="3"/>
      <c r="C649" s="3" t="s">
        <v>54</v>
      </c>
      <c r="D649" s="5">
        <v>-261305</v>
      </c>
      <c r="E649" s="5">
        <v>-276976.90000000002</v>
      </c>
      <c r="F649" s="5">
        <v>-310456.25</v>
      </c>
      <c r="G649" s="5">
        <f t="shared" ref="G649:G652" si="235">F649-E649</f>
        <v>-33479.349999999977</v>
      </c>
    </row>
    <row r="650" spans="1:7" x14ac:dyDescent="0.35">
      <c r="A650" s="3"/>
      <c r="B650" s="3"/>
      <c r="C650" s="3" t="s">
        <v>55</v>
      </c>
      <c r="D650" s="5">
        <v>-260307</v>
      </c>
      <c r="E650" s="5">
        <v>-386307.35</v>
      </c>
      <c r="F650" s="5">
        <v>-345812.22</v>
      </c>
      <c r="G650" s="5">
        <f t="shared" si="235"/>
        <v>40495.130000000005</v>
      </c>
    </row>
    <row r="651" spans="1:7" x14ac:dyDescent="0.35">
      <c r="A651" s="3"/>
      <c r="B651" s="3"/>
      <c r="C651" s="3" t="s">
        <v>102</v>
      </c>
      <c r="D651" s="5">
        <v>-4</v>
      </c>
      <c r="E651" s="5">
        <f t="shared" ref="E651" si="236">D651</f>
        <v>-4</v>
      </c>
      <c r="F651" s="5">
        <v>-4</v>
      </c>
      <c r="G651" s="5">
        <f t="shared" si="235"/>
        <v>0</v>
      </c>
    </row>
    <row r="652" spans="1:7" x14ac:dyDescent="0.35">
      <c r="A652" s="3"/>
      <c r="B652" s="3"/>
      <c r="C652" s="3" t="s">
        <v>56</v>
      </c>
      <c r="D652" s="5">
        <v>0</v>
      </c>
      <c r="E652" s="5">
        <v>-75</v>
      </c>
      <c r="F652" s="5">
        <v>-73.12</v>
      </c>
      <c r="G652" s="5">
        <f t="shared" si="235"/>
        <v>1.8799999999999955</v>
      </c>
    </row>
    <row r="653" spans="1:7" x14ac:dyDescent="0.35">
      <c r="A653" s="3"/>
      <c r="B653" s="3"/>
      <c r="C653" s="37" t="s">
        <v>106</v>
      </c>
      <c r="D653" s="5">
        <f>SUM(D654:D654)</f>
        <v>0</v>
      </c>
      <c r="E653" s="5">
        <f>SUM(E654)</f>
        <v>0</v>
      </c>
      <c r="F653" s="38">
        <f>SUM(F654)</f>
        <v>-24.26</v>
      </c>
      <c r="G653" s="38">
        <f>F653-E653</f>
        <v>-24.26</v>
      </c>
    </row>
    <row r="654" spans="1:7" x14ac:dyDescent="0.35">
      <c r="A654" s="3"/>
      <c r="B654" s="3"/>
      <c r="C654" s="3" t="s">
        <v>56</v>
      </c>
      <c r="D654" s="5">
        <v>0</v>
      </c>
      <c r="E654" s="5">
        <v>0</v>
      </c>
      <c r="F654" s="5">
        <v>-24.26</v>
      </c>
      <c r="G654" s="5">
        <f t="shared" ref="G654" si="237">F654-E654</f>
        <v>-24.26</v>
      </c>
    </row>
    <row r="655" spans="1:7" x14ac:dyDescent="0.35">
      <c r="A655" s="37"/>
      <c r="B655" s="37"/>
      <c r="C655" s="37" t="s">
        <v>107</v>
      </c>
      <c r="D655" s="38">
        <f>SUM(D657:D658)</f>
        <v>-105364</v>
      </c>
      <c r="E655" s="38">
        <f>SUM(E656:E658)</f>
        <v>-91299.8</v>
      </c>
      <c r="F655" s="38">
        <f t="shared" ref="F655" si="238">SUM(F657:F658)</f>
        <v>-91273.59</v>
      </c>
      <c r="G655" s="38">
        <f>F655-E655</f>
        <v>26.210000000006403</v>
      </c>
    </row>
    <row r="656" spans="1:7" x14ac:dyDescent="0.35">
      <c r="A656" s="37"/>
      <c r="B656" s="37"/>
      <c r="C656" s="3" t="s">
        <v>155</v>
      </c>
      <c r="D656" s="5">
        <v>0</v>
      </c>
      <c r="E656" s="5">
        <v>-91299.8</v>
      </c>
      <c r="F656" s="5">
        <v>0</v>
      </c>
      <c r="G656" s="5">
        <f>F656-E656</f>
        <v>91299.8</v>
      </c>
    </row>
    <row r="657" spans="1:7" x14ac:dyDescent="0.35">
      <c r="A657" s="3"/>
      <c r="B657" s="3"/>
      <c r="C657" s="3" t="s">
        <v>54</v>
      </c>
      <c r="D657" s="5">
        <v>-101729</v>
      </c>
      <c r="E657" s="5">
        <v>0</v>
      </c>
      <c r="F657" s="5">
        <v>-89812.29</v>
      </c>
      <c r="G657" s="5">
        <f t="shared" ref="G657:G658" si="239">F657-E657</f>
        <v>-89812.29</v>
      </c>
    </row>
    <row r="658" spans="1:7" x14ac:dyDescent="0.35">
      <c r="A658" s="37"/>
      <c r="B658" s="37"/>
      <c r="C658" s="3" t="s">
        <v>55</v>
      </c>
      <c r="D658" s="5">
        <v>-3635</v>
      </c>
      <c r="E658" s="5">
        <v>0</v>
      </c>
      <c r="F658" s="5">
        <v>-1461.3</v>
      </c>
      <c r="G658" s="5">
        <f t="shared" si="239"/>
        <v>-1461.3</v>
      </c>
    </row>
    <row r="659" spans="1:7" s="35" customFormat="1" x14ac:dyDescent="0.35">
      <c r="A659" s="37"/>
      <c r="B659" s="37"/>
      <c r="C659" s="37" t="s">
        <v>108</v>
      </c>
      <c r="D659" s="38">
        <f>SUM(D661:D662)</f>
        <v>-1152</v>
      </c>
      <c r="E659" s="38">
        <f>SUM(E660:E662)</f>
        <v>-69584.100000000006</v>
      </c>
      <c r="F659" s="38">
        <f t="shared" ref="F659" si="240">SUM(F661:F662)</f>
        <v>-1978.31</v>
      </c>
      <c r="G659" s="38">
        <f>F659-E659</f>
        <v>67605.790000000008</v>
      </c>
    </row>
    <row r="660" spans="1:7" x14ac:dyDescent="0.35">
      <c r="A660" s="37"/>
      <c r="B660" s="37"/>
      <c r="C660" s="3" t="s">
        <v>155</v>
      </c>
      <c r="D660" s="5">
        <v>0</v>
      </c>
      <c r="E660" s="5">
        <v>-69584.100000000006</v>
      </c>
      <c r="F660" s="5">
        <v>0</v>
      </c>
      <c r="G660" s="5">
        <f>F660-E660</f>
        <v>69584.100000000006</v>
      </c>
    </row>
    <row r="661" spans="1:7" s="35" customFormat="1" x14ac:dyDescent="0.35">
      <c r="A661" s="3"/>
      <c r="B661" s="3"/>
      <c r="C661" s="3" t="s">
        <v>54</v>
      </c>
      <c r="D661" s="5">
        <v>-625</v>
      </c>
      <c r="E661" s="5">
        <v>0</v>
      </c>
      <c r="F661" s="5">
        <v>-1809.87</v>
      </c>
      <c r="G661" s="5">
        <f t="shared" ref="G661:G663" si="241">F661-E661</f>
        <v>-1809.87</v>
      </c>
    </row>
    <row r="662" spans="1:7" x14ac:dyDescent="0.35">
      <c r="A662" s="3"/>
      <c r="B662" s="3"/>
      <c r="C662" s="3" t="s">
        <v>55</v>
      </c>
      <c r="D662" s="5">
        <v>-527</v>
      </c>
      <c r="E662" s="5">
        <v>0</v>
      </c>
      <c r="F662" s="5">
        <v>-168.44</v>
      </c>
      <c r="G662" s="5">
        <f t="shared" si="241"/>
        <v>-168.44</v>
      </c>
    </row>
    <row r="663" spans="1:7" x14ac:dyDescent="0.35">
      <c r="A663" s="37"/>
      <c r="B663" s="37"/>
      <c r="C663" s="37" t="s">
        <v>109</v>
      </c>
      <c r="D663" s="38">
        <v>-108509</v>
      </c>
      <c r="E663" s="67">
        <v>-108509.39567555953</v>
      </c>
      <c r="F663" s="38">
        <v>-109796.5</v>
      </c>
      <c r="G663" s="38">
        <f t="shared" si="241"/>
        <v>-1287.1043244404718</v>
      </c>
    </row>
    <row r="664" spans="1:7" x14ac:dyDescent="0.35">
      <c r="A664" s="37"/>
      <c r="B664" s="37" t="s">
        <v>117</v>
      </c>
      <c r="C664" s="37"/>
      <c r="D664" s="38">
        <f>SUM(D666:D670)</f>
        <v>-15603712</v>
      </c>
      <c r="E664" s="38">
        <f>SUM(E665:E670)</f>
        <v>-19293494.572354011</v>
      </c>
      <c r="F664" s="38">
        <f t="shared" ref="F664" si="242">SUM(F666:F670)</f>
        <v>-17572636.52</v>
      </c>
      <c r="G664" s="38">
        <f>F664-E664</f>
        <v>1720858.0523540117</v>
      </c>
    </row>
    <row r="665" spans="1:7" x14ac:dyDescent="0.35">
      <c r="A665" s="37"/>
      <c r="B665" s="37"/>
      <c r="C665" s="3" t="s">
        <v>155</v>
      </c>
      <c r="D665" s="5">
        <f>D681+D685</f>
        <v>0</v>
      </c>
      <c r="E665" s="5">
        <f t="shared" ref="E665:F665" si="243">E681+E685</f>
        <v>-1894175.1800000002</v>
      </c>
      <c r="F665" s="5">
        <f t="shared" si="243"/>
        <v>0</v>
      </c>
      <c r="G665" s="5">
        <f>F665-E665</f>
        <v>1894175.1800000002</v>
      </c>
    </row>
    <row r="666" spans="1:7" s="35" customFormat="1" x14ac:dyDescent="0.35">
      <c r="A666" s="3"/>
      <c r="B666" s="3"/>
      <c r="C666" s="3" t="s">
        <v>54</v>
      </c>
      <c r="D666" s="5">
        <f>D672+D678+D682+D686</f>
        <v>-7725975</v>
      </c>
      <c r="E666" s="5">
        <f>E672+E678+E682+E686</f>
        <v>-8517892.2400000002</v>
      </c>
      <c r="F666" s="5">
        <f>F672+F678+F682+F686</f>
        <v>-8665910.5600000005</v>
      </c>
      <c r="G666" s="5">
        <f t="shared" ref="G666:G670" si="244">F666-E666</f>
        <v>-148018.3200000003</v>
      </c>
    </row>
    <row r="667" spans="1:7" x14ac:dyDescent="0.35">
      <c r="A667" s="3"/>
      <c r="B667" s="3"/>
      <c r="C667" s="3" t="s">
        <v>55</v>
      </c>
      <c r="D667" s="5">
        <f>D673+D683+D687</f>
        <v>-4538752</v>
      </c>
      <c r="E667" s="5">
        <f>E673+E683+E687</f>
        <v>-5464860.1900000004</v>
      </c>
      <c r="F667" s="5">
        <f>F673+F683+F687</f>
        <v>-5474903.459999999</v>
      </c>
      <c r="G667" s="5">
        <f t="shared" si="244"/>
        <v>-10043.269999998622</v>
      </c>
    </row>
    <row r="668" spans="1:7" x14ac:dyDescent="0.35">
      <c r="A668" s="3"/>
      <c r="B668" s="3"/>
      <c r="C668" s="3" t="s">
        <v>101</v>
      </c>
      <c r="D668" s="5">
        <f>D674</f>
        <v>-68</v>
      </c>
      <c r="E668" s="5">
        <f t="shared" ref="E668:F669" si="245">E674</f>
        <v>-68</v>
      </c>
      <c r="F668" s="5">
        <f t="shared" si="245"/>
        <v>-68</v>
      </c>
      <c r="G668" s="5">
        <f t="shared" si="244"/>
        <v>0</v>
      </c>
    </row>
    <row r="669" spans="1:7" x14ac:dyDescent="0.35">
      <c r="A669" s="3"/>
      <c r="B669" s="3"/>
      <c r="C669" s="3" t="s">
        <v>102</v>
      </c>
      <c r="D669" s="5">
        <f>D675</f>
        <v>-133843</v>
      </c>
      <c r="E669" s="5">
        <f t="shared" si="245"/>
        <v>-89991.89</v>
      </c>
      <c r="F669" s="5">
        <f t="shared" si="245"/>
        <v>-89987.74</v>
      </c>
      <c r="G669" s="5">
        <f t="shared" si="244"/>
        <v>4.1499999999941792</v>
      </c>
    </row>
    <row r="670" spans="1:7" x14ac:dyDescent="0.35">
      <c r="A670" s="3"/>
      <c r="B670" s="3"/>
      <c r="C670" s="3" t="s">
        <v>103</v>
      </c>
      <c r="D670" s="5">
        <f>D676+D688</f>
        <v>-3205074</v>
      </c>
      <c r="E670" s="5">
        <f>E676+E688</f>
        <v>-3326507.0723540131</v>
      </c>
      <c r="F670" s="5">
        <f>F676+F688+F679</f>
        <v>-3341766.76</v>
      </c>
      <c r="G670" s="5">
        <f t="shared" si="244"/>
        <v>-15259.687645986676</v>
      </c>
    </row>
    <row r="671" spans="1:7" x14ac:dyDescent="0.35">
      <c r="A671" s="37"/>
      <c r="B671" s="37"/>
      <c r="C671" s="37" t="s">
        <v>105</v>
      </c>
      <c r="D671" s="38">
        <f>SUM(D672:D676)</f>
        <v>-11535957</v>
      </c>
      <c r="E671" s="38">
        <f>SUM(E672:E676)</f>
        <v>-14192738.020000001</v>
      </c>
      <c r="F671" s="38">
        <f t="shared" ref="F671" si="246">SUM(F672:F676)</f>
        <v>-13208563.119999999</v>
      </c>
      <c r="G671" s="38">
        <f>F671-E671</f>
        <v>984174.90000000224</v>
      </c>
    </row>
    <row r="672" spans="1:7" x14ac:dyDescent="0.35">
      <c r="A672" s="3"/>
      <c r="B672" s="3"/>
      <c r="C672" s="3" t="s">
        <v>54</v>
      </c>
      <c r="D672" s="5">
        <v>-7510093</v>
      </c>
      <c r="E672" s="5">
        <v>-8512583.4299999997</v>
      </c>
      <c r="F672" s="5">
        <v>-8348644.5899999999</v>
      </c>
      <c r="G672" s="5">
        <f t="shared" ref="G672:G676" si="247">F672-E672</f>
        <v>163938.83999999985</v>
      </c>
    </row>
    <row r="673" spans="1:7" x14ac:dyDescent="0.35">
      <c r="A673" s="3"/>
      <c r="B673" s="3"/>
      <c r="C673" s="3" t="s">
        <v>55</v>
      </c>
      <c r="D673" s="5">
        <v>-3888152</v>
      </c>
      <c r="E673" s="5">
        <f>-5451965-12895.19</f>
        <v>-5464860.1900000004</v>
      </c>
      <c r="F673" s="5">
        <v>-4645648.93</v>
      </c>
      <c r="G673" s="5">
        <f t="shared" si="247"/>
        <v>819211.26000000071</v>
      </c>
    </row>
    <row r="674" spans="1:7" x14ac:dyDescent="0.35">
      <c r="A674" s="3"/>
      <c r="B674" s="3"/>
      <c r="C674" s="3" t="s">
        <v>101</v>
      </c>
      <c r="D674" s="5">
        <v>-68</v>
      </c>
      <c r="E674" s="5">
        <f t="shared" ref="E674" si="248">D674</f>
        <v>-68</v>
      </c>
      <c r="F674" s="5">
        <v>-68</v>
      </c>
      <c r="G674" s="5">
        <f t="shared" si="247"/>
        <v>0</v>
      </c>
    </row>
    <row r="675" spans="1:7" x14ac:dyDescent="0.35">
      <c r="A675" s="3"/>
      <c r="B675" s="3"/>
      <c r="C675" s="3" t="s">
        <v>102</v>
      </c>
      <c r="D675" s="5">
        <v>-133843</v>
      </c>
      <c r="E675" s="5">
        <v>-89991.89</v>
      </c>
      <c r="F675" s="5">
        <v>-89987.74</v>
      </c>
      <c r="G675" s="5">
        <f t="shared" si="247"/>
        <v>4.1499999999941792</v>
      </c>
    </row>
    <row r="676" spans="1:7" x14ac:dyDescent="0.35">
      <c r="A676" s="3"/>
      <c r="B676" s="3"/>
      <c r="C676" s="3" t="s">
        <v>56</v>
      </c>
      <c r="D676" s="5">
        <v>-3801</v>
      </c>
      <c r="E676" s="5">
        <v>-125234.51</v>
      </c>
      <c r="F676" s="5">
        <v>-124213.86</v>
      </c>
      <c r="G676" s="5">
        <f t="shared" si="247"/>
        <v>1020.6499999999942</v>
      </c>
    </row>
    <row r="677" spans="1:7" x14ac:dyDescent="0.35">
      <c r="A677" s="37"/>
      <c r="B677" s="37"/>
      <c r="C677" s="37" t="s">
        <v>106</v>
      </c>
      <c r="D677" s="38">
        <f>D678</f>
        <v>-5309</v>
      </c>
      <c r="E677" s="38">
        <f>+E678+E679</f>
        <v>-5308.81</v>
      </c>
      <c r="F677" s="38">
        <f>F678+F679</f>
        <v>-797.57999999999993</v>
      </c>
      <c r="G677" s="38">
        <f>F677-E677</f>
        <v>4511.2300000000005</v>
      </c>
    </row>
    <row r="678" spans="1:7" x14ac:dyDescent="0.35">
      <c r="A678" s="3"/>
      <c r="B678" s="3"/>
      <c r="C678" s="3" t="s">
        <v>54</v>
      </c>
      <c r="D678" s="5">
        <v>-5309</v>
      </c>
      <c r="E678" s="5">
        <v>-5308.81</v>
      </c>
      <c r="F678" s="5">
        <v>-3095.46</v>
      </c>
      <c r="G678" s="5">
        <f t="shared" ref="G678:G679" si="249">F678-E678</f>
        <v>2213.3500000000004</v>
      </c>
    </row>
    <row r="679" spans="1:7" x14ac:dyDescent="0.35">
      <c r="A679" s="3"/>
      <c r="B679" s="3"/>
      <c r="C679" s="3" t="s">
        <v>56</v>
      </c>
      <c r="D679" s="5">
        <v>0</v>
      </c>
      <c r="E679" s="5">
        <v>0</v>
      </c>
      <c r="F679" s="5">
        <v>2297.88</v>
      </c>
      <c r="G679" s="5">
        <f t="shared" si="249"/>
        <v>2297.88</v>
      </c>
    </row>
    <row r="680" spans="1:7" x14ac:dyDescent="0.35">
      <c r="A680" s="37"/>
      <c r="B680" s="37"/>
      <c r="C680" s="37" t="s">
        <v>107</v>
      </c>
      <c r="D680" s="38">
        <f>SUM(D682:D683)</f>
        <v>-845014</v>
      </c>
      <c r="E680" s="38">
        <f>SUM(E681:E683)</f>
        <v>-518587.14</v>
      </c>
      <c r="F680" s="38">
        <f>SUM(F682:F683)</f>
        <v>-506566.85</v>
      </c>
      <c r="G680" s="38">
        <f>F680-E680</f>
        <v>12020.290000000037</v>
      </c>
    </row>
    <row r="681" spans="1:7" x14ac:dyDescent="0.35">
      <c r="A681" s="37"/>
      <c r="B681" s="37"/>
      <c r="C681" s="3" t="s">
        <v>155</v>
      </c>
      <c r="D681" s="5">
        <v>0</v>
      </c>
      <c r="E681" s="5">
        <v>-518587.14</v>
      </c>
      <c r="F681" s="5">
        <v>0</v>
      </c>
      <c r="G681" s="5">
        <f>F681-E681</f>
        <v>518587.14</v>
      </c>
    </row>
    <row r="682" spans="1:7" x14ac:dyDescent="0.35">
      <c r="A682" s="3"/>
      <c r="B682" s="3"/>
      <c r="C682" s="3" t="s">
        <v>54</v>
      </c>
      <c r="D682" s="5">
        <v>-203883</v>
      </c>
      <c r="E682" s="5">
        <v>0</v>
      </c>
      <c r="F682" s="5">
        <v>-110946.38</v>
      </c>
      <c r="G682" s="5">
        <f t="shared" ref="G682:G683" si="250">F682-E682</f>
        <v>-110946.38</v>
      </c>
    </row>
    <row r="683" spans="1:7" x14ac:dyDescent="0.35">
      <c r="A683" s="37"/>
      <c r="B683" s="37"/>
      <c r="C683" s="3" t="s">
        <v>55</v>
      </c>
      <c r="D683" s="5">
        <v>-641131</v>
      </c>
      <c r="E683" s="5">
        <v>0</v>
      </c>
      <c r="F683" s="38">
        <v>-395620.47</v>
      </c>
      <c r="G683" s="5">
        <f t="shared" si="250"/>
        <v>-395620.47</v>
      </c>
    </row>
    <row r="684" spans="1:7" x14ac:dyDescent="0.35">
      <c r="A684" s="37"/>
      <c r="B684" s="37"/>
      <c r="C684" s="37" t="s">
        <v>108</v>
      </c>
      <c r="D684" s="38">
        <f>SUM(D686:D687)</f>
        <v>-16159</v>
      </c>
      <c r="E684" s="38">
        <f>SUM(E685:E687)</f>
        <v>-1375588.04</v>
      </c>
      <c r="F684" s="38">
        <f t="shared" ref="F684" si="251">SUM(F686:F687)</f>
        <v>-636858.18999999994</v>
      </c>
      <c r="G684" s="38">
        <f>F684-E684</f>
        <v>738729.85000000009</v>
      </c>
    </row>
    <row r="685" spans="1:7" x14ac:dyDescent="0.35">
      <c r="A685" s="37"/>
      <c r="B685" s="37"/>
      <c r="C685" s="3" t="s">
        <v>155</v>
      </c>
      <c r="D685" s="5">
        <v>0</v>
      </c>
      <c r="E685" s="5">
        <v>-1375588.04</v>
      </c>
      <c r="F685" s="5">
        <v>0</v>
      </c>
      <c r="G685" s="5">
        <f>F685-E685</f>
        <v>1375588.04</v>
      </c>
    </row>
    <row r="686" spans="1:7" x14ac:dyDescent="0.35">
      <c r="A686" s="3"/>
      <c r="B686" s="3"/>
      <c r="C686" s="3" t="s">
        <v>54</v>
      </c>
      <c r="D686" s="5">
        <v>-6690</v>
      </c>
      <c r="E686" s="5">
        <v>0</v>
      </c>
      <c r="F686" s="5">
        <v>-203224.13</v>
      </c>
      <c r="G686" s="5">
        <f t="shared" ref="G686:G695" si="252">F686-E686</f>
        <v>-203224.13</v>
      </c>
    </row>
    <row r="687" spans="1:7" s="35" customFormat="1" x14ac:dyDescent="0.35">
      <c r="A687" s="3"/>
      <c r="B687" s="3"/>
      <c r="C687" s="3" t="s">
        <v>55</v>
      </c>
      <c r="D687" s="5">
        <v>-9469</v>
      </c>
      <c r="E687" s="5">
        <v>0</v>
      </c>
      <c r="F687" s="5">
        <v>-433634.06</v>
      </c>
      <c r="G687" s="5">
        <f t="shared" si="252"/>
        <v>-433634.06</v>
      </c>
    </row>
    <row r="688" spans="1:7" x14ac:dyDescent="0.35">
      <c r="A688" s="37"/>
      <c r="B688" s="37"/>
      <c r="C688" s="37" t="s">
        <v>109</v>
      </c>
      <c r="D688" s="38">
        <v>-3201273</v>
      </c>
      <c r="E688" s="67">
        <v>-3201272.5623540133</v>
      </c>
      <c r="F688" s="38">
        <v>-3219850.78</v>
      </c>
      <c r="G688" s="38">
        <f t="shared" si="252"/>
        <v>-18578.217645986471</v>
      </c>
    </row>
    <row r="689" spans="1:7" x14ac:dyDescent="0.35">
      <c r="A689" s="37" t="s">
        <v>129</v>
      </c>
      <c r="B689" s="37"/>
      <c r="C689" s="37"/>
      <c r="D689" s="38">
        <f>SUM(D690:D695)</f>
        <v>-38498598</v>
      </c>
      <c r="E689" s="38">
        <f t="shared" ref="E689:F689" si="253">SUM(E690:E695)</f>
        <v>-38954373.804961793</v>
      </c>
      <c r="F689" s="38">
        <f t="shared" si="253"/>
        <v>-37851149.610000007</v>
      </c>
      <c r="G689" s="38">
        <f t="shared" si="252"/>
        <v>1103224.1949617863</v>
      </c>
    </row>
    <row r="690" spans="1:7" x14ac:dyDescent="0.35">
      <c r="A690" s="3"/>
      <c r="B690" s="3" t="s">
        <v>105</v>
      </c>
      <c r="C690" s="3"/>
      <c r="D690" s="5">
        <f>D703+D721+D742+D763</f>
        <v>-36744220</v>
      </c>
      <c r="E690" s="5">
        <f>E703+E721+E742+E763</f>
        <v>-36925043.25</v>
      </c>
      <c r="F690" s="5">
        <f>F703+F721+F742+F763</f>
        <v>-36042710.130000003</v>
      </c>
      <c r="G690" s="5">
        <f t="shared" si="252"/>
        <v>882333.11999999732</v>
      </c>
    </row>
    <row r="691" spans="1:7" x14ac:dyDescent="0.35">
      <c r="A691" s="3"/>
      <c r="B691" s="3" t="s">
        <v>106</v>
      </c>
      <c r="C691" s="3"/>
      <c r="D691" s="5">
        <f>D726+D769</f>
        <v>-329429</v>
      </c>
      <c r="E691" s="5">
        <f>E726+E769</f>
        <v>-329428.95</v>
      </c>
      <c r="F691" s="5">
        <f>F726+F769+F708+F746</f>
        <v>-336631.67999999993</v>
      </c>
      <c r="G691" s="5">
        <f t="shared" si="252"/>
        <v>-7202.7299999999232</v>
      </c>
    </row>
    <row r="692" spans="1:7" x14ac:dyDescent="0.35">
      <c r="A692" s="3"/>
      <c r="B692" s="3" t="s">
        <v>107</v>
      </c>
      <c r="C692" s="3"/>
      <c r="D692" s="5">
        <f>D729+D748+D773</f>
        <v>-447055</v>
      </c>
      <c r="E692" s="5">
        <f>E729+E748+E773+E710</f>
        <v>-491168.24</v>
      </c>
      <c r="F692" s="5">
        <f>F729+F748+F773+F710</f>
        <v>-465768.02999999997</v>
      </c>
      <c r="G692" s="5">
        <f t="shared" si="252"/>
        <v>25400.210000000021</v>
      </c>
    </row>
    <row r="693" spans="1:7" x14ac:dyDescent="0.35">
      <c r="A693" s="3"/>
      <c r="B693" s="3" t="s">
        <v>108</v>
      </c>
      <c r="C693" s="3"/>
      <c r="D693" s="5">
        <f>D732+D777</f>
        <v>-4575</v>
      </c>
      <c r="E693" s="5">
        <f>E732+E777+E752</f>
        <v>-235414.94</v>
      </c>
      <c r="F693" s="5">
        <f>F732+F777+F752</f>
        <v>-27731.7</v>
      </c>
      <c r="G693" s="5">
        <f t="shared" si="252"/>
        <v>207683.24</v>
      </c>
    </row>
    <row r="694" spans="1:7" x14ac:dyDescent="0.35">
      <c r="A694" s="3"/>
      <c r="B694" s="3" t="s">
        <v>111</v>
      </c>
      <c r="C694" s="3"/>
      <c r="D694" s="5">
        <f>D781</f>
        <v>-115000</v>
      </c>
      <c r="E694" s="5">
        <f t="shared" ref="E694:F694" si="254">E781</f>
        <v>-115000</v>
      </c>
      <c r="F694" s="5">
        <f t="shared" si="254"/>
        <v>0</v>
      </c>
      <c r="G694" s="5">
        <f t="shared" si="252"/>
        <v>115000</v>
      </c>
    </row>
    <row r="695" spans="1:7" x14ac:dyDescent="0.35">
      <c r="A695" s="3"/>
      <c r="B695" s="3" t="s">
        <v>109</v>
      </c>
      <c r="C695" s="3"/>
      <c r="D695" s="5">
        <f>D714+D736+D755+D783</f>
        <v>-858319</v>
      </c>
      <c r="E695" s="5">
        <f>E714+E736+E755+E783</f>
        <v>-858318.42496178718</v>
      </c>
      <c r="F695" s="5">
        <f>F714+F736+F755+F783</f>
        <v>-978308.07000000007</v>
      </c>
      <c r="G695" s="5">
        <f t="shared" si="252"/>
        <v>-119989.64503821288</v>
      </c>
    </row>
    <row r="696" spans="1:7" x14ac:dyDescent="0.35">
      <c r="A696" s="37"/>
      <c r="B696" s="37" t="s">
        <v>31</v>
      </c>
      <c r="C696" s="37"/>
      <c r="D696" s="38">
        <f>SUM(D698:D702)</f>
        <v>-1337892</v>
      </c>
      <c r="E696" s="38">
        <f>SUM(E697:E702)</f>
        <v>-335306.05858815624</v>
      </c>
      <c r="F696" s="38">
        <f>SUM(F698:F702)</f>
        <v>-306974</v>
      </c>
      <c r="G696" s="38">
        <f>F696-E696</f>
        <v>28332.058588156244</v>
      </c>
    </row>
    <row r="697" spans="1:7" x14ac:dyDescent="0.35">
      <c r="A697" s="37"/>
      <c r="B697" s="37"/>
      <c r="C697" s="3" t="s">
        <v>155</v>
      </c>
      <c r="D697" s="5">
        <f>D711</f>
        <v>0</v>
      </c>
      <c r="E697" s="5">
        <f t="shared" ref="E697:F697" si="255">E711</f>
        <v>-28688.2</v>
      </c>
      <c r="F697" s="5">
        <f t="shared" si="255"/>
        <v>0</v>
      </c>
      <c r="G697" s="5">
        <f>F697-E697</f>
        <v>28688.2</v>
      </c>
    </row>
    <row r="698" spans="1:7" s="35" customFormat="1" x14ac:dyDescent="0.35">
      <c r="A698" s="3"/>
      <c r="B698" s="3"/>
      <c r="C698" s="3" t="s">
        <v>54</v>
      </c>
      <c r="D698" s="5">
        <f>D704</f>
        <v>-148820</v>
      </c>
      <c r="E698" s="5">
        <f t="shared" ref="E698:F700" si="256">E704</f>
        <v>-232102.12</v>
      </c>
      <c r="F698" s="5">
        <f>F704+F712</f>
        <v>-220345.29</v>
      </c>
      <c r="G698" s="5">
        <f t="shared" ref="G698:G702" si="257">F698-E698</f>
        <v>11756.829999999987</v>
      </c>
    </row>
    <row r="699" spans="1:7" x14ac:dyDescent="0.35">
      <c r="A699" s="3"/>
      <c r="B699" s="3"/>
      <c r="C699" s="3" t="s">
        <v>55</v>
      </c>
      <c r="D699" s="5">
        <f>D705</f>
        <v>-1187232</v>
      </c>
      <c r="E699" s="5">
        <f t="shared" si="256"/>
        <v>-72665.540000000008</v>
      </c>
      <c r="F699" s="5">
        <f t="shared" si="256"/>
        <v>-67477.789999999994</v>
      </c>
      <c r="G699" s="5">
        <f t="shared" si="257"/>
        <v>5187.7500000000146</v>
      </c>
    </row>
    <row r="700" spans="1:7" x14ac:dyDescent="0.35">
      <c r="A700" s="3"/>
      <c r="B700" s="3"/>
      <c r="C700" s="3" t="s">
        <v>101</v>
      </c>
      <c r="D700" s="5">
        <f>D706</f>
        <v>-1066</v>
      </c>
      <c r="E700" s="5">
        <f t="shared" si="256"/>
        <v>-1066</v>
      </c>
      <c r="F700" s="5">
        <f t="shared" si="256"/>
        <v>-874.61</v>
      </c>
      <c r="G700" s="5">
        <f t="shared" si="257"/>
        <v>191.39</v>
      </c>
    </row>
    <row r="701" spans="1:7" x14ac:dyDescent="0.35">
      <c r="A701" s="3"/>
      <c r="B701" s="3"/>
      <c r="C701" s="3" t="str">
        <f>+C713</f>
        <v>Investeeringutoetused</v>
      </c>
      <c r="D701" s="5">
        <v>0</v>
      </c>
      <c r="E701" s="5">
        <v>0</v>
      </c>
      <c r="F701" s="5">
        <f>+F713</f>
        <v>-17269.259999999998</v>
      </c>
      <c r="G701" s="5">
        <f t="shared" si="257"/>
        <v>-17269.259999999998</v>
      </c>
    </row>
    <row r="702" spans="1:7" x14ac:dyDescent="0.35">
      <c r="A702" s="3"/>
      <c r="B702" s="3"/>
      <c r="C702" s="3" t="s">
        <v>103</v>
      </c>
      <c r="D702" s="5">
        <f>D707+D714</f>
        <v>-774</v>
      </c>
      <c r="E702" s="5">
        <f>E707+E714</f>
        <v>-784.19858815627492</v>
      </c>
      <c r="F702" s="5">
        <f>F707+F714+F709</f>
        <v>-1007.0499999999998</v>
      </c>
      <c r="G702" s="5">
        <f t="shared" si="257"/>
        <v>-222.85141184372492</v>
      </c>
    </row>
    <row r="703" spans="1:7" x14ac:dyDescent="0.35">
      <c r="A703" s="37"/>
      <c r="B703" s="37"/>
      <c r="C703" s="37" t="s">
        <v>105</v>
      </c>
      <c r="D703" s="38">
        <f>SUM(D704:D707)</f>
        <v>-1337263</v>
      </c>
      <c r="E703" s="38">
        <f>SUM(E704:E707)</f>
        <v>-305989.27</v>
      </c>
      <c r="F703" s="38">
        <f t="shared" ref="F703" si="258">SUM(F704:F707)</f>
        <v>-277752.57999999996</v>
      </c>
      <c r="G703" s="38">
        <f>F703-E703</f>
        <v>28236.690000000061</v>
      </c>
    </row>
    <row r="704" spans="1:7" x14ac:dyDescent="0.35">
      <c r="A704" s="3"/>
      <c r="B704" s="3"/>
      <c r="C704" s="3" t="s">
        <v>54</v>
      </c>
      <c r="D704" s="5">
        <v>-148820</v>
      </c>
      <c r="E704" s="5">
        <v>-232102.12</v>
      </c>
      <c r="F704" s="5">
        <v>-209264.57</v>
      </c>
      <c r="G704" s="5">
        <f t="shared" ref="G704:G707" si="259">F704-E704</f>
        <v>22837.549999999988</v>
      </c>
    </row>
    <row r="705" spans="1:7" x14ac:dyDescent="0.35">
      <c r="A705" s="3"/>
      <c r="B705" s="3"/>
      <c r="C705" s="3" t="s">
        <v>55</v>
      </c>
      <c r="D705" s="5">
        <v>-1187232</v>
      </c>
      <c r="E705" s="5">
        <f>-71381.33-1284.21</f>
        <v>-72665.540000000008</v>
      </c>
      <c r="F705" s="5">
        <v>-67477.789999999994</v>
      </c>
      <c r="G705" s="5">
        <f t="shared" si="259"/>
        <v>5187.7500000000146</v>
      </c>
    </row>
    <row r="706" spans="1:7" x14ac:dyDescent="0.35">
      <c r="A706" s="3"/>
      <c r="B706" s="3"/>
      <c r="C706" s="3" t="s">
        <v>101</v>
      </c>
      <c r="D706" s="5">
        <v>-1066</v>
      </c>
      <c r="E706" s="5">
        <f t="shared" ref="E706" si="260">D706</f>
        <v>-1066</v>
      </c>
      <c r="F706" s="5">
        <v>-874.61</v>
      </c>
      <c r="G706" s="5">
        <f t="shared" si="259"/>
        <v>191.39</v>
      </c>
    </row>
    <row r="707" spans="1:7" x14ac:dyDescent="0.35">
      <c r="A707" s="3"/>
      <c r="B707" s="3"/>
      <c r="C707" s="3" t="s">
        <v>56</v>
      </c>
      <c r="D707" s="5">
        <v>-145</v>
      </c>
      <c r="E707" s="5">
        <v>-155.61000000000001</v>
      </c>
      <c r="F707" s="5">
        <v>-135.61000000000001</v>
      </c>
      <c r="G707" s="5">
        <f t="shared" si="259"/>
        <v>20</v>
      </c>
    </row>
    <row r="708" spans="1:7" x14ac:dyDescent="0.35">
      <c r="A708" s="3"/>
      <c r="B708" s="3"/>
      <c r="C708" s="37" t="s">
        <v>106</v>
      </c>
      <c r="D708" s="38">
        <f>D709</f>
        <v>0</v>
      </c>
      <c r="E708" s="38">
        <f>+E709</f>
        <v>0</v>
      </c>
      <c r="F708" s="38">
        <f>+F709</f>
        <v>26.09</v>
      </c>
      <c r="G708" s="38">
        <f>F708-E708</f>
        <v>26.09</v>
      </c>
    </row>
    <row r="709" spans="1:7" x14ac:dyDescent="0.35">
      <c r="A709" s="3"/>
      <c r="B709" s="3"/>
      <c r="C709" s="3" t="s">
        <v>56</v>
      </c>
      <c r="D709" s="5">
        <v>0</v>
      </c>
      <c r="E709" s="5">
        <v>0</v>
      </c>
      <c r="F709" s="5">
        <v>26.09</v>
      </c>
      <c r="G709" s="5">
        <f t="shared" ref="G709" si="261">F709-E709</f>
        <v>26.09</v>
      </c>
    </row>
    <row r="710" spans="1:7" x14ac:dyDescent="0.35">
      <c r="A710" s="3"/>
      <c r="B710" s="3"/>
      <c r="C710" s="37" t="s">
        <v>107</v>
      </c>
      <c r="D710" s="38">
        <f>SUM(D712:D713)</f>
        <v>0</v>
      </c>
      <c r="E710" s="38">
        <f>SUM(E711:E713)</f>
        <v>-28688.2</v>
      </c>
      <c r="F710" s="38">
        <f>SUM(F712:F713)</f>
        <v>-28349.979999999996</v>
      </c>
      <c r="G710" s="38">
        <f>F710-E710</f>
        <v>338.2200000000048</v>
      </c>
    </row>
    <row r="711" spans="1:7" x14ac:dyDescent="0.35">
      <c r="A711" s="3"/>
      <c r="B711" s="3"/>
      <c r="C711" s="3" t="s">
        <v>155</v>
      </c>
      <c r="D711" s="5">
        <v>0</v>
      </c>
      <c r="E711" s="5">
        <v>-28688.2</v>
      </c>
      <c r="F711" s="5">
        <v>0</v>
      </c>
      <c r="G711" s="5">
        <f>F711-E711</f>
        <v>28688.2</v>
      </c>
    </row>
    <row r="712" spans="1:7" x14ac:dyDescent="0.35">
      <c r="A712" s="3"/>
      <c r="B712" s="3"/>
      <c r="C712" s="3" t="s">
        <v>54</v>
      </c>
      <c r="D712" s="5">
        <v>0</v>
      </c>
      <c r="E712" s="5">
        <v>0</v>
      </c>
      <c r="F712" s="5">
        <v>-11080.72</v>
      </c>
      <c r="G712" s="5">
        <f t="shared" ref="G712:G714" si="262">F712-E712</f>
        <v>-11080.72</v>
      </c>
    </row>
    <row r="713" spans="1:7" x14ac:dyDescent="0.35">
      <c r="A713" s="3"/>
      <c r="B713" s="3"/>
      <c r="C713" s="3" t="s">
        <v>110</v>
      </c>
      <c r="D713" s="5">
        <v>0</v>
      </c>
      <c r="E713" s="5">
        <v>0</v>
      </c>
      <c r="F713" s="5">
        <v>-17269.259999999998</v>
      </c>
      <c r="G713" s="5">
        <f t="shared" si="262"/>
        <v>-17269.259999999998</v>
      </c>
    </row>
    <row r="714" spans="1:7" x14ac:dyDescent="0.35">
      <c r="A714" s="37"/>
      <c r="B714" s="37"/>
      <c r="C714" s="37" t="s">
        <v>109</v>
      </c>
      <c r="D714" s="38">
        <v>-629</v>
      </c>
      <c r="E714" s="67">
        <v>-628.58858815627491</v>
      </c>
      <c r="F714" s="38">
        <v>-897.53</v>
      </c>
      <c r="G714" s="38">
        <f t="shared" si="262"/>
        <v>-268.94141184372506</v>
      </c>
    </row>
    <row r="715" spans="1:7" s="35" customFormat="1" x14ac:dyDescent="0.35">
      <c r="A715" s="37"/>
      <c r="B715" s="37" t="s">
        <v>115</v>
      </c>
      <c r="C715" s="37"/>
      <c r="D715" s="38">
        <f>SUM(D717:D720)</f>
        <v>-781478</v>
      </c>
      <c r="E715" s="38">
        <f>SUM(E716:E720)</f>
        <v>-896563.42278903921</v>
      </c>
      <c r="F715" s="38">
        <f>SUM(F717:F720)</f>
        <v>-818760.17999999993</v>
      </c>
      <c r="G715" s="38">
        <f>F715-E715</f>
        <v>77803.242789039272</v>
      </c>
    </row>
    <row r="716" spans="1:7" x14ac:dyDescent="0.35">
      <c r="A716" s="37"/>
      <c r="B716" s="37"/>
      <c r="C716" s="3" t="s">
        <v>155</v>
      </c>
      <c r="D716" s="5">
        <f>D730+D733</f>
        <v>0</v>
      </c>
      <c r="E716" s="5">
        <f t="shared" ref="E716:F716" si="263">E730+E733</f>
        <v>-16318.449999999999</v>
      </c>
      <c r="F716" s="5">
        <f t="shared" si="263"/>
        <v>0</v>
      </c>
      <c r="G716" s="5">
        <f>F716-E716</f>
        <v>16318.449999999999</v>
      </c>
    </row>
    <row r="717" spans="1:7" s="35" customFormat="1" x14ac:dyDescent="0.35">
      <c r="A717" s="3"/>
      <c r="B717" s="3"/>
      <c r="C717" s="3" t="s">
        <v>54</v>
      </c>
      <c r="D717" s="5">
        <f>D722+D727++D734</f>
        <v>-540243</v>
      </c>
      <c r="E717" s="5">
        <f>E722+E727</f>
        <v>-652303.38</v>
      </c>
      <c r="F717" s="5">
        <f>F722+F727</f>
        <v>-615870.30999999994</v>
      </c>
      <c r="G717" s="5">
        <f t="shared" ref="G717:G720" si="264">F717-E717</f>
        <v>36433.070000000065</v>
      </c>
    </row>
    <row r="718" spans="1:7" s="35" customFormat="1" x14ac:dyDescent="0.35">
      <c r="A718" s="3"/>
      <c r="B718" s="3"/>
      <c r="C718" s="3" t="s">
        <v>55</v>
      </c>
      <c r="D718" s="5">
        <f>D723+D731+D735</f>
        <v>-205780</v>
      </c>
      <c r="E718" s="5">
        <f>E723+E731+E735</f>
        <v>-192722.06</v>
      </c>
      <c r="F718" s="5">
        <f>F723+F731+F735</f>
        <v>-192962.49</v>
      </c>
      <c r="G718" s="5">
        <f t="shared" si="264"/>
        <v>-240.42999999999302</v>
      </c>
    </row>
    <row r="719" spans="1:7" x14ac:dyDescent="0.35">
      <c r="A719" s="3"/>
      <c r="B719" s="3"/>
      <c r="C719" s="3" t="s">
        <v>102</v>
      </c>
      <c r="D719" s="5">
        <f>D724</f>
        <v>-2050</v>
      </c>
      <c r="E719" s="5">
        <f t="shared" ref="E719:F719" si="265">E724</f>
        <v>-1609.66</v>
      </c>
      <c r="F719" s="5">
        <f t="shared" si="265"/>
        <v>-453.96</v>
      </c>
      <c r="G719" s="5">
        <f t="shared" si="264"/>
        <v>1155.7</v>
      </c>
    </row>
    <row r="720" spans="1:7" x14ac:dyDescent="0.35">
      <c r="A720" s="3"/>
      <c r="B720" s="3"/>
      <c r="C720" s="3" t="s">
        <v>103</v>
      </c>
      <c r="D720" s="5">
        <f>D736</f>
        <v>-33405</v>
      </c>
      <c r="E720" s="5">
        <f>E736+E725</f>
        <v>-33609.872789039284</v>
      </c>
      <c r="F720" s="5">
        <f>F736+F725+F728</f>
        <v>-9473.42</v>
      </c>
      <c r="G720" s="5">
        <f t="shared" si="264"/>
        <v>24136.452789039286</v>
      </c>
    </row>
    <row r="721" spans="1:7" x14ac:dyDescent="0.35">
      <c r="A721" s="37"/>
      <c r="B721" s="37"/>
      <c r="C721" s="37" t="s">
        <v>105</v>
      </c>
      <c r="D721" s="38">
        <f>SUM(D722:D724)</f>
        <v>-744861</v>
      </c>
      <c r="E721" s="38">
        <f>SUM(E722:E725)</f>
        <v>-844525.17999999993</v>
      </c>
      <c r="F721" s="38">
        <f>SUM(F722:F725)</f>
        <v>-793932.05999999982</v>
      </c>
      <c r="G721" s="38">
        <f>F721-E721</f>
        <v>50593.120000000112</v>
      </c>
    </row>
    <row r="722" spans="1:7" x14ac:dyDescent="0.35">
      <c r="A722" s="3"/>
      <c r="B722" s="3"/>
      <c r="C722" s="3" t="s">
        <v>54</v>
      </c>
      <c r="D722" s="5">
        <v>-537844</v>
      </c>
      <c r="E722" s="5">
        <v>-649988.38</v>
      </c>
      <c r="F722" s="5">
        <v>-609936.84</v>
      </c>
      <c r="G722" s="5">
        <f t="shared" ref="G722:G725" si="266">F722-E722</f>
        <v>40051.540000000037</v>
      </c>
    </row>
    <row r="723" spans="1:7" x14ac:dyDescent="0.35">
      <c r="A723" s="3"/>
      <c r="B723" s="3"/>
      <c r="C723" s="3" t="s">
        <v>55</v>
      </c>
      <c r="D723" s="5">
        <v>-204967</v>
      </c>
      <c r="E723" s="5">
        <f>-192702.18-19.88</f>
        <v>-192722.06</v>
      </c>
      <c r="F723" s="5">
        <v>-183281.31</v>
      </c>
      <c r="G723" s="5">
        <f t="shared" si="266"/>
        <v>9440.75</v>
      </c>
    </row>
    <row r="724" spans="1:7" x14ac:dyDescent="0.35">
      <c r="A724" s="3"/>
      <c r="B724" s="3"/>
      <c r="C724" s="3" t="s">
        <v>102</v>
      </c>
      <c r="D724" s="5">
        <v>-2050</v>
      </c>
      <c r="E724" s="5">
        <v>-1609.66</v>
      </c>
      <c r="F724" s="5">
        <v>-453.96</v>
      </c>
      <c r="G724" s="5">
        <f t="shared" si="266"/>
        <v>1155.7</v>
      </c>
    </row>
    <row r="725" spans="1:7" x14ac:dyDescent="0.35">
      <c r="A725" s="3"/>
      <c r="B725" s="3"/>
      <c r="C725" s="3" t="s">
        <v>56</v>
      </c>
      <c r="D725" s="5">
        <v>0</v>
      </c>
      <c r="E725" s="5">
        <v>-205.08</v>
      </c>
      <c r="F725" s="5">
        <v>-259.95</v>
      </c>
      <c r="G725" s="5">
        <f t="shared" si="266"/>
        <v>-54.869999999999976</v>
      </c>
    </row>
    <row r="726" spans="1:7" x14ac:dyDescent="0.35">
      <c r="A726" s="37"/>
      <c r="B726" s="37"/>
      <c r="C726" s="37" t="s">
        <v>106</v>
      </c>
      <c r="D726" s="38">
        <f>SUM(D727:D727)</f>
        <v>-2315</v>
      </c>
      <c r="E726" s="38">
        <f>SUM(E727:E728)</f>
        <v>-2315</v>
      </c>
      <c r="F726" s="38">
        <f>SUM(F727:F728)</f>
        <v>-5945.8</v>
      </c>
      <c r="G726" s="38">
        <f>F726-E726</f>
        <v>-3630.8</v>
      </c>
    </row>
    <row r="727" spans="1:7" x14ac:dyDescent="0.35">
      <c r="A727" s="3"/>
      <c r="B727" s="3"/>
      <c r="C727" s="3" t="s">
        <v>54</v>
      </c>
      <c r="D727" s="5">
        <v>-2315</v>
      </c>
      <c r="E727" s="5">
        <f t="shared" ref="E727" si="267">D727</f>
        <v>-2315</v>
      </c>
      <c r="F727" s="5">
        <v>-5933.47</v>
      </c>
      <c r="G727" s="5">
        <f t="shared" ref="G727:G728" si="268">F727-E727</f>
        <v>-3618.4700000000003</v>
      </c>
    </row>
    <row r="728" spans="1:7" x14ac:dyDescent="0.35">
      <c r="A728" s="3"/>
      <c r="B728" s="3"/>
      <c r="C728" s="3" t="s">
        <v>56</v>
      </c>
      <c r="D728" s="5">
        <v>0</v>
      </c>
      <c r="E728" s="5">
        <v>0</v>
      </c>
      <c r="F728" s="5">
        <v>-12.33</v>
      </c>
      <c r="G728" s="5">
        <f t="shared" si="268"/>
        <v>-12.33</v>
      </c>
    </row>
    <row r="729" spans="1:7" x14ac:dyDescent="0.35">
      <c r="A729" s="37"/>
      <c r="B729" s="37"/>
      <c r="C729" s="37" t="s">
        <v>107</v>
      </c>
      <c r="D729" s="38">
        <f>SUM(D731:D731)</f>
        <v>-760</v>
      </c>
      <c r="E729" s="38">
        <f>SUM(E730:E731)</f>
        <v>-13517.3</v>
      </c>
      <c r="F729" s="38">
        <f>SUM(F731:F731)</f>
        <v>-359.58</v>
      </c>
      <c r="G729" s="38">
        <f>F729-E729</f>
        <v>13157.72</v>
      </c>
    </row>
    <row r="730" spans="1:7" x14ac:dyDescent="0.35">
      <c r="A730" s="37"/>
      <c r="B730" s="37"/>
      <c r="C730" s="3" t="s">
        <v>155</v>
      </c>
      <c r="D730" s="5">
        <v>0</v>
      </c>
      <c r="E730" s="5">
        <v>-13517.3</v>
      </c>
      <c r="F730" s="38">
        <v>0</v>
      </c>
      <c r="G730" s="38">
        <f>F730-E730</f>
        <v>13517.3</v>
      </c>
    </row>
    <row r="731" spans="1:7" x14ac:dyDescent="0.35">
      <c r="A731" s="37"/>
      <c r="B731" s="37"/>
      <c r="C731" s="3" t="s">
        <v>55</v>
      </c>
      <c r="D731" s="5">
        <v>-760</v>
      </c>
      <c r="E731" s="5">
        <v>0</v>
      </c>
      <c r="F731" s="5">
        <v>-359.58</v>
      </c>
      <c r="G731" s="5">
        <f t="shared" ref="G731" si="269">F731-E731</f>
        <v>-359.58</v>
      </c>
    </row>
    <row r="732" spans="1:7" x14ac:dyDescent="0.35">
      <c r="A732" s="37"/>
      <c r="B732" s="37"/>
      <c r="C732" s="37" t="s">
        <v>108</v>
      </c>
      <c r="D732" s="38">
        <f>SUM(D734:D735)</f>
        <v>-137</v>
      </c>
      <c r="E732" s="38">
        <f>SUM(E733:E735)</f>
        <v>-2801.15</v>
      </c>
      <c r="F732" s="38">
        <f>SUM(F735:F735)</f>
        <v>-9321.6</v>
      </c>
      <c r="G732" s="38">
        <f>F732-E732</f>
        <v>-6520.4500000000007</v>
      </c>
    </row>
    <row r="733" spans="1:7" s="35" customFormat="1" x14ac:dyDescent="0.35">
      <c r="A733" s="37"/>
      <c r="B733" s="37"/>
      <c r="C733" s="3" t="s">
        <v>155</v>
      </c>
      <c r="D733" s="5">
        <v>0</v>
      </c>
      <c r="E733" s="5">
        <v>-2801.15</v>
      </c>
      <c r="F733" s="5">
        <v>0</v>
      </c>
      <c r="G733" s="38">
        <f>F733-E733</f>
        <v>2801.15</v>
      </c>
    </row>
    <row r="734" spans="1:7" x14ac:dyDescent="0.35">
      <c r="A734" s="37"/>
      <c r="B734" s="37"/>
      <c r="C734" s="3" t="s">
        <v>54</v>
      </c>
      <c r="D734" s="5">
        <v>-84</v>
      </c>
      <c r="E734" s="5">
        <v>0</v>
      </c>
      <c r="F734" s="5">
        <v>0</v>
      </c>
      <c r="G734" s="38">
        <f>F734-E734</f>
        <v>0</v>
      </c>
    </row>
    <row r="735" spans="1:7" x14ac:dyDescent="0.35">
      <c r="A735" s="3"/>
      <c r="B735" s="3"/>
      <c r="C735" s="3" t="s">
        <v>55</v>
      </c>
      <c r="D735" s="5">
        <v>-53</v>
      </c>
      <c r="E735" s="5">
        <v>0</v>
      </c>
      <c r="F735" s="5">
        <v>-9321.6</v>
      </c>
      <c r="G735" s="5">
        <f t="shared" ref="G735:G736" si="270">F735-E735</f>
        <v>-9321.6</v>
      </c>
    </row>
    <row r="736" spans="1:7" x14ac:dyDescent="0.35">
      <c r="A736" s="37"/>
      <c r="B736" s="37"/>
      <c r="C736" s="37" t="s">
        <v>109</v>
      </c>
      <c r="D736" s="38">
        <v>-33405</v>
      </c>
      <c r="E736" s="67">
        <v>-33404.792789039282</v>
      </c>
      <c r="F736" s="38">
        <v>-9201.14</v>
      </c>
      <c r="G736" s="38">
        <f t="shared" si="270"/>
        <v>24203.652789039283</v>
      </c>
    </row>
    <row r="737" spans="1:7" x14ac:dyDescent="0.35">
      <c r="A737" s="37"/>
      <c r="B737" s="37" t="s">
        <v>116</v>
      </c>
      <c r="C737" s="37"/>
      <c r="D737" s="38">
        <f>SUM(D739:D741)</f>
        <v>-3427942</v>
      </c>
      <c r="E737" s="38">
        <f>SUM(E738:E741)</f>
        <v>-4147821.1705683842</v>
      </c>
      <c r="F737" s="38">
        <f>SUM(F739:F741)</f>
        <v>-3788667.91</v>
      </c>
      <c r="G737" s="38">
        <f>F737-E737</f>
        <v>359153.26056838408</v>
      </c>
    </row>
    <row r="738" spans="1:7" x14ac:dyDescent="0.35">
      <c r="A738" s="37"/>
      <c r="B738" s="37"/>
      <c r="C738" s="3" t="s">
        <v>155</v>
      </c>
      <c r="D738" s="5">
        <v>0</v>
      </c>
      <c r="E738" s="5">
        <f>+E749+E753</f>
        <v>-289414.55</v>
      </c>
      <c r="F738" s="5">
        <v>0</v>
      </c>
      <c r="G738" s="5">
        <f>F738-E738</f>
        <v>289414.55</v>
      </c>
    </row>
    <row r="739" spans="1:7" x14ac:dyDescent="0.35">
      <c r="A739" s="3"/>
      <c r="B739" s="3"/>
      <c r="C739" s="3" t="s">
        <v>54</v>
      </c>
      <c r="D739" s="5">
        <f>D743+D750</f>
        <v>-1572768</v>
      </c>
      <c r="E739" s="5">
        <f t="shared" ref="E739:E740" si="271">E743+E750</f>
        <v>-1752200.6</v>
      </c>
      <c r="F739" s="5">
        <f>F743+F750+F754</f>
        <v>-1805458.7</v>
      </c>
      <c r="G739" s="5">
        <f t="shared" ref="G739:G741" si="272">F739-E739</f>
        <v>-53258.09999999986</v>
      </c>
    </row>
    <row r="740" spans="1:7" x14ac:dyDescent="0.35">
      <c r="A740" s="3"/>
      <c r="B740" s="3"/>
      <c r="C740" s="3" t="s">
        <v>55</v>
      </c>
      <c r="D740" s="5">
        <f>D744+D751</f>
        <v>-1298253</v>
      </c>
      <c r="E740" s="5">
        <f t="shared" si="271"/>
        <v>-1548889.64</v>
      </c>
      <c r="F740" s="5">
        <f>F744+F751</f>
        <v>-1336564.45</v>
      </c>
      <c r="G740" s="5">
        <f t="shared" si="272"/>
        <v>212325.18999999994</v>
      </c>
    </row>
    <row r="741" spans="1:7" x14ac:dyDescent="0.35">
      <c r="A741" s="3"/>
      <c r="B741" s="3"/>
      <c r="C741" s="3" t="s">
        <v>103</v>
      </c>
      <c r="D741" s="5">
        <f>D755</f>
        <v>-556921</v>
      </c>
      <c r="E741" s="5">
        <f>E755+E745</f>
        <v>-557316.38056838396</v>
      </c>
      <c r="F741" s="5">
        <f>F755+F747+F745</f>
        <v>-646644.76</v>
      </c>
      <c r="G741" s="5">
        <f t="shared" si="272"/>
        <v>-89328.379431616049</v>
      </c>
    </row>
    <row r="742" spans="1:7" x14ac:dyDescent="0.35">
      <c r="A742" s="37"/>
      <c r="B742" s="37"/>
      <c r="C742" s="37" t="s">
        <v>105</v>
      </c>
      <c r="D742" s="38">
        <f>SUM(D743:D744)</f>
        <v>-2842900</v>
      </c>
      <c r="E742" s="38">
        <f>SUM(E743:E745)</f>
        <v>-3301485.6</v>
      </c>
      <c r="F742" s="38">
        <f>SUM(F743:F745)</f>
        <v>-3042432.28</v>
      </c>
      <c r="G742" s="38">
        <f>F742-E742</f>
        <v>259053.3200000003</v>
      </c>
    </row>
    <row r="743" spans="1:7" x14ac:dyDescent="0.35">
      <c r="A743" s="3"/>
      <c r="B743" s="3"/>
      <c r="C743" s="3" t="s">
        <v>54</v>
      </c>
      <c r="D743" s="5">
        <v>-1552237</v>
      </c>
      <c r="E743" s="5">
        <v>-1752200.6</v>
      </c>
      <c r="F743" s="5">
        <v>-1711002.97</v>
      </c>
      <c r="G743" s="5">
        <f t="shared" ref="G743:G745" si="273">F743-E743</f>
        <v>41197.630000000121</v>
      </c>
    </row>
    <row r="744" spans="1:7" x14ac:dyDescent="0.35">
      <c r="A744" s="3"/>
      <c r="B744" s="3"/>
      <c r="C744" s="3" t="s">
        <v>55</v>
      </c>
      <c r="D744" s="5">
        <v>-1290663</v>
      </c>
      <c r="E744" s="5">
        <v>-1548889.64</v>
      </c>
      <c r="F744" s="5">
        <v>-1331056.1299999999</v>
      </c>
      <c r="G744" s="5">
        <f t="shared" si="273"/>
        <v>217833.51</v>
      </c>
    </row>
    <row r="745" spans="1:7" x14ac:dyDescent="0.35">
      <c r="A745" s="3"/>
      <c r="B745" s="3"/>
      <c r="C745" s="3" t="s">
        <v>56</v>
      </c>
      <c r="D745" s="5">
        <v>0</v>
      </c>
      <c r="E745" s="5">
        <v>-395.36</v>
      </c>
      <c r="F745" s="5">
        <v>-373.18</v>
      </c>
      <c r="G745" s="5">
        <f t="shared" si="273"/>
        <v>22.180000000000007</v>
      </c>
    </row>
    <row r="746" spans="1:7" x14ac:dyDescent="0.35">
      <c r="A746" s="3"/>
      <c r="B746" s="3"/>
      <c r="C746" s="37" t="s">
        <v>106</v>
      </c>
      <c r="D746" s="38">
        <f>SUM(D747:D747)</f>
        <v>0</v>
      </c>
      <c r="E746" s="38">
        <v>0</v>
      </c>
      <c r="F746" s="38">
        <f>+F747</f>
        <v>-135.87</v>
      </c>
      <c r="G746" s="38">
        <f>F746-E746</f>
        <v>-135.87</v>
      </c>
    </row>
    <row r="747" spans="1:7" s="35" customFormat="1" x14ac:dyDescent="0.35">
      <c r="A747" s="3"/>
      <c r="B747" s="3"/>
      <c r="C747" s="3" t="s">
        <v>56</v>
      </c>
      <c r="D747" s="5">
        <v>0</v>
      </c>
      <c r="E747" s="5">
        <v>0</v>
      </c>
      <c r="F747" s="5">
        <v>-135.87</v>
      </c>
      <c r="G747" s="5">
        <f t="shared" ref="G747" si="274">F747-E747</f>
        <v>-135.87</v>
      </c>
    </row>
    <row r="748" spans="1:7" x14ac:dyDescent="0.35">
      <c r="A748" s="37"/>
      <c r="B748" s="37"/>
      <c r="C748" s="37" t="s">
        <v>107</v>
      </c>
      <c r="D748" s="38">
        <f>SUM(D750:D751)</f>
        <v>-28121</v>
      </c>
      <c r="E748" s="38">
        <f>SUM(E749:E751)</f>
        <v>-95288.68</v>
      </c>
      <c r="F748" s="38">
        <f t="shared" ref="F748" si="275">SUM(F750:F751)</f>
        <v>-95226.010000000009</v>
      </c>
      <c r="G748" s="38">
        <f>F748-E748</f>
        <v>62.669999999983702</v>
      </c>
    </row>
    <row r="749" spans="1:7" x14ac:dyDescent="0.35">
      <c r="A749" s="37"/>
      <c r="B749" s="37"/>
      <c r="C749" s="3" t="s">
        <v>155</v>
      </c>
      <c r="D749" s="5">
        <v>0</v>
      </c>
      <c r="E749" s="5">
        <v>-95288.68</v>
      </c>
      <c r="F749" s="5">
        <v>0</v>
      </c>
      <c r="G749" s="5">
        <f>F749-E749</f>
        <v>95288.68</v>
      </c>
    </row>
    <row r="750" spans="1:7" s="35" customFormat="1" x14ac:dyDescent="0.35">
      <c r="A750" s="3"/>
      <c r="B750" s="3"/>
      <c r="C750" s="3" t="s">
        <v>54</v>
      </c>
      <c r="D750" s="5">
        <v>-20531</v>
      </c>
      <c r="E750" s="5">
        <v>0</v>
      </c>
      <c r="F750" s="5">
        <v>-89717.69</v>
      </c>
      <c r="G750" s="5">
        <f t="shared" ref="G750:G751" si="276">F750-E750</f>
        <v>-89717.69</v>
      </c>
    </row>
    <row r="751" spans="1:7" x14ac:dyDescent="0.35">
      <c r="A751" s="37"/>
      <c r="B751" s="37"/>
      <c r="C751" s="3" t="s">
        <v>55</v>
      </c>
      <c r="D751" s="5">
        <v>-7590</v>
      </c>
      <c r="E751" s="5">
        <v>0</v>
      </c>
      <c r="F751" s="5">
        <v>-5508.32</v>
      </c>
      <c r="G751" s="5">
        <f t="shared" si="276"/>
        <v>-5508.32</v>
      </c>
    </row>
    <row r="752" spans="1:7" x14ac:dyDescent="0.35">
      <c r="A752" s="37"/>
      <c r="B752" s="37"/>
      <c r="C752" s="37" t="s">
        <v>108</v>
      </c>
      <c r="D752" s="38">
        <f>SUM(D754:D754)</f>
        <v>0</v>
      </c>
      <c r="E752" s="38">
        <f>SUM(E753:E754)</f>
        <v>-194125.87</v>
      </c>
      <c r="F752" s="38">
        <f>SUM(F754:F754)</f>
        <v>-4738.04</v>
      </c>
      <c r="G752" s="38">
        <f>F752-E752</f>
        <v>189387.83</v>
      </c>
    </row>
    <row r="753" spans="1:7" x14ac:dyDescent="0.35">
      <c r="A753" s="37"/>
      <c r="B753" s="37"/>
      <c r="C753" s="3" t="s">
        <v>155</v>
      </c>
      <c r="D753" s="5">
        <v>0</v>
      </c>
      <c r="E753" s="5">
        <v>-194125.87</v>
      </c>
      <c r="F753" s="38">
        <v>0</v>
      </c>
      <c r="G753" s="38">
        <f>F753-E753</f>
        <v>194125.87</v>
      </c>
    </row>
    <row r="754" spans="1:7" x14ac:dyDescent="0.35">
      <c r="A754" s="37"/>
      <c r="B754" s="37"/>
      <c r="C754" s="3" t="s">
        <v>54</v>
      </c>
      <c r="D754" s="5">
        <v>0</v>
      </c>
      <c r="E754" s="5">
        <v>0</v>
      </c>
      <c r="F754" s="5">
        <v>-4738.04</v>
      </c>
      <c r="G754" s="5">
        <f t="shared" ref="G754:G755" si="277">F754-E754</f>
        <v>-4738.04</v>
      </c>
    </row>
    <row r="755" spans="1:7" x14ac:dyDescent="0.35">
      <c r="A755" s="37"/>
      <c r="B755" s="37"/>
      <c r="C755" s="37" t="s">
        <v>109</v>
      </c>
      <c r="D755" s="38">
        <v>-556921</v>
      </c>
      <c r="E755" s="67">
        <v>-556921.02056838397</v>
      </c>
      <c r="F755" s="38">
        <v>-646135.71</v>
      </c>
      <c r="G755" s="38">
        <f t="shared" si="277"/>
        <v>-89214.689431615989</v>
      </c>
    </row>
    <row r="756" spans="1:7" x14ac:dyDescent="0.35">
      <c r="A756" s="37"/>
      <c r="B756" s="37" t="s">
        <v>117</v>
      </c>
      <c r="C756" s="37"/>
      <c r="D756" s="38">
        <f>SUM(D758:D762)</f>
        <v>-32951286</v>
      </c>
      <c r="E756" s="38">
        <f>SUM(E757:E762)</f>
        <v>-33574683.153016202</v>
      </c>
      <c r="F756" s="38">
        <f t="shared" ref="F756" si="278">SUM(F758:F762)</f>
        <v>-32936747.520000003</v>
      </c>
      <c r="G756" s="38">
        <f>F756-E756</f>
        <v>637935.63301619887</v>
      </c>
    </row>
    <row r="757" spans="1:7" x14ac:dyDescent="0.35">
      <c r="A757" s="37"/>
      <c r="B757" s="37"/>
      <c r="C757" s="3" t="s">
        <v>155</v>
      </c>
      <c r="D757" s="5">
        <f>D774+D778</f>
        <v>0</v>
      </c>
      <c r="E757" s="5">
        <f t="shared" ref="E757:F757" si="279">E774+E778</f>
        <v>-392161.98</v>
      </c>
      <c r="F757" s="5">
        <f t="shared" si="279"/>
        <v>0</v>
      </c>
      <c r="G757" s="5">
        <f>F757-E757</f>
        <v>392161.98</v>
      </c>
    </row>
    <row r="758" spans="1:7" x14ac:dyDescent="0.35">
      <c r="A758" s="3"/>
      <c r="B758" s="3"/>
      <c r="C758" s="3" t="s">
        <v>54</v>
      </c>
      <c r="D758" s="5">
        <f>D764+D770+D775</f>
        <v>-25740346</v>
      </c>
      <c r="E758" s="5">
        <f t="shared" ref="E758" si="280">E764+E770+E775</f>
        <v>-26226194.469999999</v>
      </c>
      <c r="F758" s="5">
        <f>F764+F770+F775+F779</f>
        <v>-26360387.310000002</v>
      </c>
      <c r="G758" s="5">
        <f t="shared" ref="G758:G762" si="281">F758-E758</f>
        <v>-134192.84000000358</v>
      </c>
    </row>
    <row r="759" spans="1:7" x14ac:dyDescent="0.35">
      <c r="A759" s="3"/>
      <c r="B759" s="3"/>
      <c r="C759" s="3" t="s">
        <v>55</v>
      </c>
      <c r="D759" s="5">
        <f>D765+D771+D776+D780</f>
        <v>-6805185</v>
      </c>
      <c r="E759" s="5">
        <f t="shared" ref="E759" si="282">E765+E771+E776+E780</f>
        <v>-6531276.0499999998</v>
      </c>
      <c r="F759" s="5">
        <f>F765+F771+F776+F780</f>
        <v>-6214240.3700000001</v>
      </c>
      <c r="G759" s="5">
        <f t="shared" si="281"/>
        <v>317035.6799999997</v>
      </c>
    </row>
    <row r="760" spans="1:7" x14ac:dyDescent="0.35">
      <c r="A760" s="3"/>
      <c r="B760" s="3"/>
      <c r="C760" s="3" t="s">
        <v>101</v>
      </c>
      <c r="D760" s="5">
        <f>D766</f>
        <v>-403</v>
      </c>
      <c r="E760" s="5">
        <f t="shared" ref="E760:F761" si="283">E766</f>
        <v>-403</v>
      </c>
      <c r="F760" s="5">
        <f t="shared" si="283"/>
        <v>-403</v>
      </c>
      <c r="G760" s="5">
        <f t="shared" si="281"/>
        <v>0</v>
      </c>
    </row>
    <row r="761" spans="1:7" x14ac:dyDescent="0.35">
      <c r="A761" s="3"/>
      <c r="B761" s="3"/>
      <c r="C761" s="3" t="s">
        <v>102</v>
      </c>
      <c r="D761" s="5">
        <f>D767</f>
        <v>-10824</v>
      </c>
      <c r="E761" s="5">
        <f t="shared" si="283"/>
        <v>-12877.33</v>
      </c>
      <c r="F761" s="5">
        <f t="shared" si="283"/>
        <v>-12860.19</v>
      </c>
      <c r="G761" s="5">
        <f t="shared" si="281"/>
        <v>17.139999999999418</v>
      </c>
    </row>
    <row r="762" spans="1:7" x14ac:dyDescent="0.35">
      <c r="A762" s="3"/>
      <c r="B762" s="3"/>
      <c r="C762" s="3" t="s">
        <v>103</v>
      </c>
      <c r="D762" s="5">
        <f>D768+D782+D783</f>
        <v>-394528</v>
      </c>
      <c r="E762" s="5">
        <f>E768+E782+E783</f>
        <v>-411770.32301620761</v>
      </c>
      <c r="F762" s="5">
        <f>F768+F782+F783+F772</f>
        <v>-348856.65</v>
      </c>
      <c r="G762" s="5">
        <f t="shared" si="281"/>
        <v>62913.673016207584</v>
      </c>
    </row>
    <row r="763" spans="1:7" s="35" customFormat="1" x14ac:dyDescent="0.35">
      <c r="A763" s="37"/>
      <c r="B763" s="37"/>
      <c r="C763" s="37" t="s">
        <v>105</v>
      </c>
      <c r="D763" s="38">
        <f>SUM(D764:D768)</f>
        <v>-31819196</v>
      </c>
      <c r="E763" s="38">
        <f>SUM(E764:E768)</f>
        <v>-32473043.199999999</v>
      </c>
      <c r="F763" s="38">
        <f t="shared" ref="F763" si="284">SUM(F764:F768)</f>
        <v>-31928593.210000005</v>
      </c>
      <c r="G763" s="38">
        <f>F763-E763</f>
        <v>544449.98999999464</v>
      </c>
    </row>
    <row r="764" spans="1:7" x14ac:dyDescent="0.35">
      <c r="A764" s="3"/>
      <c r="B764" s="3"/>
      <c r="C764" s="3" t="s">
        <v>54</v>
      </c>
      <c r="D764" s="5">
        <v>-25531740</v>
      </c>
      <c r="E764" s="5">
        <v>-26194913.52</v>
      </c>
      <c r="F764" s="5">
        <v>-26128950.120000001</v>
      </c>
      <c r="G764" s="5">
        <f t="shared" ref="G764:G768" si="285">F764-E764</f>
        <v>65963.39999999851</v>
      </c>
    </row>
    <row r="765" spans="1:7" s="35" customFormat="1" x14ac:dyDescent="0.35">
      <c r="A765" s="3"/>
      <c r="B765" s="3"/>
      <c r="C765" s="3" t="s">
        <v>55</v>
      </c>
      <c r="D765" s="5">
        <v>-6264065</v>
      </c>
      <c r="E765" s="5">
        <f>-6216034.71-19408.34</f>
        <v>-6235443.0499999998</v>
      </c>
      <c r="F765" s="5">
        <v>-5759680.7599999998</v>
      </c>
      <c r="G765" s="5">
        <f t="shared" si="285"/>
        <v>475762.29000000004</v>
      </c>
    </row>
    <row r="766" spans="1:7" x14ac:dyDescent="0.35">
      <c r="A766" s="3"/>
      <c r="B766" s="3"/>
      <c r="C766" s="3" t="s">
        <v>101</v>
      </c>
      <c r="D766" s="5">
        <v>-403</v>
      </c>
      <c r="E766" s="5">
        <f t="shared" ref="E766" si="286">D766</f>
        <v>-403</v>
      </c>
      <c r="F766" s="5">
        <v>-403</v>
      </c>
      <c r="G766" s="5">
        <f t="shared" si="285"/>
        <v>0</v>
      </c>
    </row>
    <row r="767" spans="1:7" x14ac:dyDescent="0.35">
      <c r="A767" s="3"/>
      <c r="B767" s="3"/>
      <c r="C767" s="3" t="s">
        <v>102</v>
      </c>
      <c r="D767" s="5">
        <v>-10824</v>
      </c>
      <c r="E767" s="5">
        <v>-12877.33</v>
      </c>
      <c r="F767" s="5">
        <v>-12860.19</v>
      </c>
      <c r="G767" s="5">
        <f t="shared" si="285"/>
        <v>17.139999999999418</v>
      </c>
    </row>
    <row r="768" spans="1:7" x14ac:dyDescent="0.35">
      <c r="A768" s="3"/>
      <c r="B768" s="3"/>
      <c r="C768" s="3" t="s">
        <v>56</v>
      </c>
      <c r="D768" s="5">
        <v>-12164</v>
      </c>
      <c r="E768" s="5">
        <v>-29406.3</v>
      </c>
      <c r="F768" s="5">
        <v>-26699.14</v>
      </c>
      <c r="G768" s="5">
        <f t="shared" si="285"/>
        <v>2707.16</v>
      </c>
    </row>
    <row r="769" spans="1:7" x14ac:dyDescent="0.35">
      <c r="A769" s="37"/>
      <c r="B769" s="37"/>
      <c r="C769" s="37" t="s">
        <v>106</v>
      </c>
      <c r="D769" s="38">
        <f>SUM(D770:D771)</f>
        <v>-327114</v>
      </c>
      <c r="E769" s="38">
        <f>SUM(E770:E772)</f>
        <v>-327113.95</v>
      </c>
      <c r="F769" s="38">
        <f>SUM(F770:F772)</f>
        <v>-330576.09999999998</v>
      </c>
      <c r="G769" s="38">
        <f>F769-E769</f>
        <v>-3462.1499999999651</v>
      </c>
    </row>
    <row r="770" spans="1:7" x14ac:dyDescent="0.35">
      <c r="A770" s="3"/>
      <c r="B770" s="3"/>
      <c r="C770" s="3" t="s">
        <v>54</v>
      </c>
      <c r="D770" s="5">
        <v>-31281</v>
      </c>
      <c r="E770" s="5">
        <v>-31280.95</v>
      </c>
      <c r="F770" s="5">
        <v>-18239.310000000001</v>
      </c>
      <c r="G770" s="5">
        <f t="shared" ref="G770:G772" si="287">F770-E770</f>
        <v>13041.64</v>
      </c>
    </row>
    <row r="771" spans="1:7" x14ac:dyDescent="0.35">
      <c r="A771" s="3"/>
      <c r="B771" s="3"/>
      <c r="C771" s="3" t="s">
        <v>55</v>
      </c>
      <c r="D771" s="5">
        <v>-295833</v>
      </c>
      <c r="E771" s="5">
        <f t="shared" ref="E771" si="288">D771</f>
        <v>-295833</v>
      </c>
      <c r="F771" s="5">
        <v>-312252.96999999997</v>
      </c>
      <c r="G771" s="5">
        <f t="shared" si="287"/>
        <v>-16419.969999999972</v>
      </c>
    </row>
    <row r="772" spans="1:7" x14ac:dyDescent="0.35">
      <c r="A772" s="3"/>
      <c r="B772" s="3"/>
      <c r="C772" s="3" t="s">
        <v>56</v>
      </c>
      <c r="D772" s="5">
        <v>0</v>
      </c>
      <c r="E772" s="5">
        <v>0</v>
      </c>
      <c r="F772" s="5">
        <v>-83.82</v>
      </c>
      <c r="G772" s="5">
        <f t="shared" si="287"/>
        <v>-83.82</v>
      </c>
    </row>
    <row r="773" spans="1:7" s="35" customFormat="1" x14ac:dyDescent="0.35">
      <c r="A773" s="37"/>
      <c r="B773" s="37"/>
      <c r="C773" s="37" t="s">
        <v>107</v>
      </c>
      <c r="D773" s="38">
        <f>SUM(D775:D776)</f>
        <v>-418174</v>
      </c>
      <c r="E773" s="38">
        <f>SUM(E774:E776)</f>
        <v>-353674.06</v>
      </c>
      <c r="F773" s="38">
        <f>SUM(F775:F776)</f>
        <v>-341832.45999999996</v>
      </c>
      <c r="G773" s="38">
        <f>F773-E773</f>
        <v>11841.600000000035</v>
      </c>
    </row>
    <row r="774" spans="1:7" s="35" customFormat="1" x14ac:dyDescent="0.35">
      <c r="A774" s="37"/>
      <c r="B774" s="37"/>
      <c r="C774" s="3" t="s">
        <v>155</v>
      </c>
      <c r="D774" s="5">
        <v>0</v>
      </c>
      <c r="E774" s="5">
        <v>-353674.06</v>
      </c>
      <c r="F774" s="5">
        <v>0</v>
      </c>
      <c r="G774" s="5">
        <f>F774-E774</f>
        <v>353674.06</v>
      </c>
    </row>
    <row r="775" spans="1:7" x14ac:dyDescent="0.35">
      <c r="A775" s="3"/>
      <c r="B775" s="3"/>
      <c r="C775" s="3" t="s">
        <v>54</v>
      </c>
      <c r="D775" s="5">
        <v>-177325</v>
      </c>
      <c r="E775" s="5">
        <v>0</v>
      </c>
      <c r="F775" s="5">
        <v>-205765.6</v>
      </c>
      <c r="G775" s="5">
        <f t="shared" ref="G775:G776" si="289">F775-E775</f>
        <v>-205765.6</v>
      </c>
    </row>
    <row r="776" spans="1:7" x14ac:dyDescent="0.35">
      <c r="A776" s="37"/>
      <c r="B776" s="37"/>
      <c r="C776" s="3" t="s">
        <v>55</v>
      </c>
      <c r="D776" s="5">
        <v>-240849</v>
      </c>
      <c r="E776" s="5">
        <v>0</v>
      </c>
      <c r="F776" s="38">
        <v>-136066.85999999999</v>
      </c>
      <c r="G776" s="5">
        <f t="shared" si="289"/>
        <v>-136066.85999999999</v>
      </c>
    </row>
    <row r="777" spans="1:7" x14ac:dyDescent="0.35">
      <c r="A777" s="37"/>
      <c r="B777" s="37"/>
      <c r="C777" s="37" t="s">
        <v>108</v>
      </c>
      <c r="D777" s="38">
        <f>SUM(D780:D780)</f>
        <v>-4438</v>
      </c>
      <c r="E777" s="38">
        <f>SUM(E778:E780)</f>
        <v>-38487.919999999998</v>
      </c>
      <c r="F777" s="38">
        <f>SUM(F778:F780)</f>
        <v>-13672.06</v>
      </c>
      <c r="G777" s="38">
        <f>F777-E777</f>
        <v>24815.86</v>
      </c>
    </row>
    <row r="778" spans="1:7" x14ac:dyDescent="0.35">
      <c r="A778" s="37"/>
      <c r="B778" s="37"/>
      <c r="C778" s="3" t="s">
        <v>155</v>
      </c>
      <c r="D778" s="5">
        <v>0</v>
      </c>
      <c r="E778" s="5">
        <v>-38487.919999999998</v>
      </c>
      <c r="F778" s="38">
        <v>0</v>
      </c>
      <c r="G778" s="38">
        <f t="shared" ref="G778:G780" si="290">F778-E778</f>
        <v>38487.919999999998</v>
      </c>
    </row>
    <row r="779" spans="1:7" x14ac:dyDescent="0.35">
      <c r="A779" s="37"/>
      <c r="B779" s="37"/>
      <c r="C779" s="3" t="s">
        <v>54</v>
      </c>
      <c r="D779" s="5">
        <v>0</v>
      </c>
      <c r="E779" s="5">
        <v>0</v>
      </c>
      <c r="F779" s="5">
        <v>-7432.28</v>
      </c>
      <c r="G779" s="5">
        <f t="shared" si="290"/>
        <v>-7432.28</v>
      </c>
    </row>
    <row r="780" spans="1:7" x14ac:dyDescent="0.35">
      <c r="A780" s="3"/>
      <c r="B780" s="3"/>
      <c r="C780" s="3" t="s">
        <v>55</v>
      </c>
      <c r="D780" s="5">
        <v>-4438</v>
      </c>
      <c r="E780" s="5">
        <v>0</v>
      </c>
      <c r="F780" s="5">
        <v>-6239.78</v>
      </c>
      <c r="G780" s="5">
        <f t="shared" si="290"/>
        <v>-6239.78</v>
      </c>
    </row>
    <row r="781" spans="1:7" x14ac:dyDescent="0.35">
      <c r="A781" s="37"/>
      <c r="B781" s="37"/>
      <c r="C781" s="37" t="s">
        <v>111</v>
      </c>
      <c r="D781" s="38">
        <f>SUM(D782:D782)</f>
        <v>-115000</v>
      </c>
      <c r="E781" s="38">
        <f>SUM(E782:E782)</f>
        <v>-115000</v>
      </c>
      <c r="F781" s="38">
        <f>SUM(F782:F782)</f>
        <v>0</v>
      </c>
      <c r="G781" s="38">
        <f>F781-E781</f>
        <v>115000</v>
      </c>
    </row>
    <row r="782" spans="1:7" x14ac:dyDescent="0.35">
      <c r="A782" s="3"/>
      <c r="B782" s="3"/>
      <c r="C782" s="3" t="s">
        <v>56</v>
      </c>
      <c r="D782" s="5">
        <v>-115000</v>
      </c>
      <c r="E782" s="5">
        <f t="shared" ref="E782" si="291">D782</f>
        <v>-115000</v>
      </c>
      <c r="F782" s="5">
        <v>0</v>
      </c>
      <c r="G782" s="5">
        <f t="shared" ref="G782:G795" si="292">F782-E782</f>
        <v>115000</v>
      </c>
    </row>
    <row r="783" spans="1:7" x14ac:dyDescent="0.35">
      <c r="A783" s="37"/>
      <c r="B783" s="37"/>
      <c r="C783" s="37" t="s">
        <v>109</v>
      </c>
      <c r="D783" s="38">
        <v>-267364</v>
      </c>
      <c r="E783" s="67">
        <v>-267364.02301620762</v>
      </c>
      <c r="F783" s="38">
        <v>-322073.69</v>
      </c>
      <c r="G783" s="38">
        <f t="shared" si="292"/>
        <v>-54709.666983792384</v>
      </c>
    </row>
    <row r="784" spans="1:7" x14ac:dyDescent="0.35">
      <c r="A784" s="38" t="s">
        <v>130</v>
      </c>
      <c r="B784" s="37"/>
      <c r="C784" s="37"/>
      <c r="D784" s="38">
        <f>SUM(D785:D789)</f>
        <v>-172653359</v>
      </c>
      <c r="E784" s="38">
        <f>SUM(E785:E789)</f>
        <v>-214775932.14260954</v>
      </c>
      <c r="F784" s="38">
        <f>SUM(F785:F789)</f>
        <v>-205755971.41000003</v>
      </c>
      <c r="G784" s="38">
        <f t="shared" si="292"/>
        <v>9019960.7326095104</v>
      </c>
    </row>
    <row r="785" spans="1:7" x14ac:dyDescent="0.35">
      <c r="A785" s="36"/>
      <c r="B785" s="3" t="s">
        <v>105</v>
      </c>
      <c r="C785" s="3"/>
      <c r="D785" s="5">
        <f t="shared" ref="D785:F789" si="293">D791+D891+D967+D1063</f>
        <v>-146055552</v>
      </c>
      <c r="E785" s="5">
        <f t="shared" si="293"/>
        <v>-193706179.58705807</v>
      </c>
      <c r="F785" s="5">
        <f t="shared" si="293"/>
        <v>-186036334.21000001</v>
      </c>
      <c r="G785" s="5">
        <f t="shared" si="292"/>
        <v>7669845.377058059</v>
      </c>
    </row>
    <row r="786" spans="1:7" x14ac:dyDescent="0.35">
      <c r="A786" s="36"/>
      <c r="B786" s="3" t="s">
        <v>106</v>
      </c>
      <c r="C786" s="3"/>
      <c r="D786" s="5">
        <f t="shared" si="293"/>
        <v>-136035</v>
      </c>
      <c r="E786" s="5">
        <f t="shared" si="293"/>
        <v>-136035</v>
      </c>
      <c r="F786" s="5">
        <f t="shared" si="293"/>
        <v>-116174.62000000001</v>
      </c>
      <c r="G786" s="5">
        <f t="shared" si="292"/>
        <v>19860.37999999999</v>
      </c>
    </row>
    <row r="787" spans="1:7" x14ac:dyDescent="0.35">
      <c r="A787" s="3"/>
      <c r="B787" s="3" t="s">
        <v>107</v>
      </c>
      <c r="C787" s="3"/>
      <c r="D787" s="5">
        <f t="shared" si="293"/>
        <v>-15688397</v>
      </c>
      <c r="E787" s="5">
        <f t="shared" si="293"/>
        <v>-8967065.5300000012</v>
      </c>
      <c r="F787" s="5">
        <f t="shared" si="293"/>
        <v>-8142506.7000000002</v>
      </c>
      <c r="G787" s="5">
        <f>F787-E787</f>
        <v>824558.83000000101</v>
      </c>
    </row>
    <row r="788" spans="1:7" x14ac:dyDescent="0.35">
      <c r="A788" s="3"/>
      <c r="B788" s="3" t="s">
        <v>108</v>
      </c>
      <c r="C788" s="3"/>
      <c r="D788" s="5">
        <f t="shared" si="293"/>
        <v>-185752</v>
      </c>
      <c r="E788" s="5">
        <f t="shared" si="293"/>
        <v>-1379027.25</v>
      </c>
      <c r="F788" s="5">
        <f t="shared" si="293"/>
        <v>-558049.8600000001</v>
      </c>
      <c r="G788" s="5">
        <f>F788-E788</f>
        <v>820977.3899999999</v>
      </c>
    </row>
    <row r="789" spans="1:7" x14ac:dyDescent="0.35">
      <c r="A789" s="3"/>
      <c r="B789" s="3" t="s">
        <v>109</v>
      </c>
      <c r="C789" s="3"/>
      <c r="D789" s="5">
        <f t="shared" si="293"/>
        <v>-10587623</v>
      </c>
      <c r="E789" s="5">
        <f t="shared" si="293"/>
        <v>-10587624.775551476</v>
      </c>
      <c r="F789" s="5">
        <f t="shared" si="293"/>
        <v>-10902906.02</v>
      </c>
      <c r="G789" s="5">
        <f t="shared" si="292"/>
        <v>-315281.24444852397</v>
      </c>
    </row>
    <row r="790" spans="1:7" x14ac:dyDescent="0.35">
      <c r="A790" s="37" t="s">
        <v>131</v>
      </c>
      <c r="B790" s="37"/>
      <c r="C790" s="37"/>
      <c r="D790" s="38">
        <f>SUM(D791:D795)</f>
        <v>-57540942</v>
      </c>
      <c r="E790" s="38">
        <f t="shared" ref="E790:F790" si="294">SUM(E791:E795)</f>
        <v>-94003591.048297107</v>
      </c>
      <c r="F790" s="38">
        <f t="shared" si="294"/>
        <v>-92604472.239999995</v>
      </c>
      <c r="G790" s="38">
        <f t="shared" si="292"/>
        <v>1399118.8082971126</v>
      </c>
    </row>
    <row r="791" spans="1:7" x14ac:dyDescent="0.35">
      <c r="A791" s="3"/>
      <c r="B791" s="3" t="s">
        <v>105</v>
      </c>
      <c r="C791" s="3"/>
      <c r="D791" s="5">
        <f>D804+D824+D846+D868+D888</f>
        <v>-57116713</v>
      </c>
      <c r="E791" s="5">
        <f>E804+E824+E846+E868+E888</f>
        <v>-93500098.289999992</v>
      </c>
      <c r="F791" s="5">
        <f>F804+F824+F846+F868+F888</f>
        <v>-92037298.25</v>
      </c>
      <c r="G791" s="5">
        <f t="shared" si="292"/>
        <v>1462800.0399999917</v>
      </c>
    </row>
    <row r="792" spans="1:7" x14ac:dyDescent="0.35">
      <c r="A792" s="3"/>
      <c r="B792" s="3" t="s">
        <v>106</v>
      </c>
      <c r="C792" s="3"/>
      <c r="D792" s="5">
        <f>D809+D829+D874</f>
        <v>-60726</v>
      </c>
      <c r="E792" s="5">
        <f>E809+E829+E874</f>
        <v>-60726</v>
      </c>
      <c r="F792" s="5">
        <f>F809+F829+F874+F850</f>
        <v>-35401.599999999999</v>
      </c>
      <c r="G792" s="5">
        <f t="shared" si="292"/>
        <v>25324.400000000001</v>
      </c>
    </row>
    <row r="793" spans="1:7" x14ac:dyDescent="0.35">
      <c r="A793" s="3"/>
      <c r="B793" s="3" t="s">
        <v>107</v>
      </c>
      <c r="C793" s="3"/>
      <c r="D793" s="5">
        <f>D832+D852+D877</f>
        <v>-41884</v>
      </c>
      <c r="E793" s="5">
        <f>E832+E852+E877+E813</f>
        <v>-45347.99</v>
      </c>
      <c r="F793" s="5">
        <f>F832+F852+F877+F813</f>
        <v>-58668.759999999995</v>
      </c>
      <c r="G793" s="5">
        <f t="shared" si="292"/>
        <v>-13320.769999999997</v>
      </c>
    </row>
    <row r="794" spans="1:7" x14ac:dyDescent="0.35">
      <c r="A794" s="3"/>
      <c r="B794" s="3" t="s">
        <v>108</v>
      </c>
      <c r="C794" s="3"/>
      <c r="D794" s="5">
        <f>D836+D856+D881</f>
        <v>-3434</v>
      </c>
      <c r="E794" s="5">
        <f t="shared" ref="E794:F794" si="295">E836+E856+E881</f>
        <v>-79232.72</v>
      </c>
      <c r="F794" s="5">
        <f t="shared" si="295"/>
        <v>-40410.03</v>
      </c>
      <c r="G794" s="5">
        <f t="shared" si="292"/>
        <v>38822.69</v>
      </c>
    </row>
    <row r="795" spans="1:7" x14ac:dyDescent="0.35">
      <c r="A795" s="3"/>
      <c r="B795" s="3" t="s">
        <v>109</v>
      </c>
      <c r="C795" s="3"/>
      <c r="D795" s="5">
        <f>D817+D840+D860+D885</f>
        <v>-318185</v>
      </c>
      <c r="E795" s="5">
        <f>E817+E840+E860+E885</f>
        <v>-318186.04829711758</v>
      </c>
      <c r="F795" s="5">
        <f>F817+F840+F860+F885</f>
        <v>-432693.6</v>
      </c>
      <c r="G795" s="5">
        <f t="shared" si="292"/>
        <v>-114507.5517028824</v>
      </c>
    </row>
    <row r="796" spans="1:7" s="35" customFormat="1" x14ac:dyDescent="0.35">
      <c r="A796" s="37"/>
      <c r="B796" s="37" t="s">
        <v>31</v>
      </c>
      <c r="C796" s="37"/>
      <c r="D796" s="38">
        <f>SUM(D798:D803)</f>
        <v>-557382</v>
      </c>
      <c r="E796" s="38">
        <f>SUM(E797:E803)</f>
        <v>-716135.49856026238</v>
      </c>
      <c r="F796" s="38">
        <f>SUM(F797:F803)</f>
        <v>-635379.6</v>
      </c>
      <c r="G796" s="38">
        <f>F796-E796</f>
        <v>80755.898560262402</v>
      </c>
    </row>
    <row r="797" spans="1:7" x14ac:dyDescent="0.35">
      <c r="A797" s="37"/>
      <c r="B797" s="37"/>
      <c r="C797" s="3" t="s">
        <v>155</v>
      </c>
      <c r="D797" s="5">
        <f>D814</f>
        <v>0</v>
      </c>
      <c r="E797" s="5">
        <f t="shared" ref="E797:F797" si="296">E814</f>
        <v>-10680.94</v>
      </c>
      <c r="F797" s="5">
        <f t="shared" si="296"/>
        <v>0</v>
      </c>
      <c r="G797" s="5">
        <f>F797-E797</f>
        <v>10680.94</v>
      </c>
    </row>
    <row r="798" spans="1:7" x14ac:dyDescent="0.35">
      <c r="A798" s="3"/>
      <c r="B798" s="3"/>
      <c r="C798" s="3" t="s">
        <v>54</v>
      </c>
      <c r="D798" s="5">
        <f>D805</f>
        <v>-416928</v>
      </c>
      <c r="E798" s="5">
        <f>E805</f>
        <v>-544135.43999999994</v>
      </c>
      <c r="F798" s="5">
        <f>F805+F815</f>
        <v>-498838.22</v>
      </c>
      <c r="G798" s="5">
        <f t="shared" ref="G798:G803" si="297">F798-E798</f>
        <v>45297.219999999972</v>
      </c>
    </row>
    <row r="799" spans="1:7" x14ac:dyDescent="0.35">
      <c r="A799" s="3"/>
      <c r="B799" s="3"/>
      <c r="C799" s="3" t="s">
        <v>55</v>
      </c>
      <c r="D799" s="5">
        <f>D806</f>
        <v>-87938</v>
      </c>
      <c r="E799" s="5">
        <f t="shared" ref="E799:F800" si="298">E806</f>
        <v>-108774.12</v>
      </c>
      <c r="F799" s="5">
        <f t="shared" si="298"/>
        <v>-103054.08</v>
      </c>
      <c r="G799" s="5">
        <f t="shared" si="297"/>
        <v>5720.0399999999936</v>
      </c>
    </row>
    <row r="800" spans="1:7" x14ac:dyDescent="0.35">
      <c r="A800" s="3"/>
      <c r="B800" s="3"/>
      <c r="C800" s="3" t="s">
        <v>101</v>
      </c>
      <c r="D800" s="5">
        <f>D807</f>
        <v>-349</v>
      </c>
      <c r="E800" s="5">
        <f t="shared" si="298"/>
        <v>-349</v>
      </c>
      <c r="F800" s="5">
        <f t="shared" si="298"/>
        <v>-286.49</v>
      </c>
      <c r="G800" s="5">
        <f t="shared" si="297"/>
        <v>62.509999999999991</v>
      </c>
    </row>
    <row r="801" spans="1:7" x14ac:dyDescent="0.35">
      <c r="A801" s="3"/>
      <c r="B801" s="3"/>
      <c r="C801" s="3" t="s">
        <v>110</v>
      </c>
      <c r="D801" s="5">
        <v>0</v>
      </c>
      <c r="E801" s="5">
        <f>+E816</f>
        <v>0</v>
      </c>
      <c r="F801" s="5">
        <f>+F816</f>
        <v>-6429.54</v>
      </c>
      <c r="G801" s="5">
        <f t="shared" si="297"/>
        <v>-6429.54</v>
      </c>
    </row>
    <row r="802" spans="1:7" x14ac:dyDescent="0.35">
      <c r="A802" s="3"/>
      <c r="B802" s="3"/>
      <c r="C802" s="3" t="s">
        <v>102</v>
      </c>
      <c r="D802" s="5">
        <f>D810</f>
        <v>-50000</v>
      </c>
      <c r="E802" s="5">
        <f t="shared" ref="E802:F802" si="299">E810</f>
        <v>-50000</v>
      </c>
      <c r="F802" s="5">
        <f t="shared" si="299"/>
        <v>-23951.21</v>
      </c>
      <c r="G802" s="5">
        <f t="shared" si="297"/>
        <v>26048.79</v>
      </c>
    </row>
    <row r="803" spans="1:7" x14ac:dyDescent="0.35">
      <c r="A803" s="3"/>
      <c r="B803" s="3"/>
      <c r="C803" s="3" t="s">
        <v>103</v>
      </c>
      <c r="D803" s="5">
        <f>D808+D817</f>
        <v>-2167</v>
      </c>
      <c r="E803" s="5">
        <f>E808+E817</f>
        <v>-2195.9985602624524</v>
      </c>
      <c r="F803" s="5">
        <f>F808+F817+F812</f>
        <v>-2820.06</v>
      </c>
      <c r="G803" s="5">
        <f t="shared" si="297"/>
        <v>-624.06143973754752</v>
      </c>
    </row>
    <row r="804" spans="1:7" x14ac:dyDescent="0.35">
      <c r="A804" s="37"/>
      <c r="B804" s="37"/>
      <c r="C804" s="37" t="s">
        <v>105</v>
      </c>
      <c r="D804" s="38">
        <f>SUM(D805:D808)</f>
        <v>-505622</v>
      </c>
      <c r="E804" s="38">
        <f>SUM(E805:E808)</f>
        <v>-653694.31999999995</v>
      </c>
      <c r="F804" s="38">
        <f>SUM(F805:F808)</f>
        <v>-598433.05999999994</v>
      </c>
      <c r="G804" s="38">
        <f>F804-E804</f>
        <v>55261.260000000009</v>
      </c>
    </row>
    <row r="805" spans="1:7" x14ac:dyDescent="0.35">
      <c r="A805" s="3"/>
      <c r="B805" s="3"/>
      <c r="C805" s="3" t="s">
        <v>54</v>
      </c>
      <c r="D805" s="5">
        <v>-416928</v>
      </c>
      <c r="E805" s="5">
        <v>-544135.43999999994</v>
      </c>
      <c r="F805" s="5">
        <v>-494712.74</v>
      </c>
      <c r="G805" s="5">
        <f t="shared" ref="G805:G817" si="300">F805-E805</f>
        <v>49422.699999999953</v>
      </c>
    </row>
    <row r="806" spans="1:7" s="35" customFormat="1" x14ac:dyDescent="0.35">
      <c r="A806" s="3"/>
      <c r="B806" s="3"/>
      <c r="C806" s="3" t="s">
        <v>55</v>
      </c>
      <c r="D806" s="5">
        <v>-87938</v>
      </c>
      <c r="E806" s="5">
        <f>-105177.95-3596.17</f>
        <v>-108774.12</v>
      </c>
      <c r="F806" s="5">
        <v>-103054.08</v>
      </c>
      <c r="G806" s="5">
        <f t="shared" si="300"/>
        <v>5720.0399999999936</v>
      </c>
    </row>
    <row r="807" spans="1:7" x14ac:dyDescent="0.35">
      <c r="A807" s="3"/>
      <c r="B807" s="3"/>
      <c r="C807" s="3" t="s">
        <v>101</v>
      </c>
      <c r="D807" s="5">
        <v>-349</v>
      </c>
      <c r="E807" s="5">
        <f t="shared" ref="E807:E811" si="301">D807</f>
        <v>-349</v>
      </c>
      <c r="F807" s="5">
        <v>-286.49</v>
      </c>
      <c r="G807" s="5">
        <f t="shared" si="300"/>
        <v>62.509999999999991</v>
      </c>
    </row>
    <row r="808" spans="1:7" x14ac:dyDescent="0.35">
      <c r="A808" s="3"/>
      <c r="B808" s="3"/>
      <c r="C808" s="3" t="s">
        <v>56</v>
      </c>
      <c r="D808" s="5">
        <v>-407</v>
      </c>
      <c r="E808" s="5">
        <v>-435.76</v>
      </c>
      <c r="F808" s="5">
        <v>-379.75</v>
      </c>
      <c r="G808" s="5">
        <f t="shared" si="300"/>
        <v>56.009999999999991</v>
      </c>
    </row>
    <row r="809" spans="1:7" s="35" customFormat="1" x14ac:dyDescent="0.35">
      <c r="A809" s="37"/>
      <c r="B809" s="37"/>
      <c r="C809" s="37" t="s">
        <v>106</v>
      </c>
      <c r="D809" s="38">
        <f>D810</f>
        <v>-50000</v>
      </c>
      <c r="E809" s="38">
        <f t="shared" ref="E809:F810" si="302">E810</f>
        <v>-50000</v>
      </c>
      <c r="F809" s="38">
        <f>F810+F812</f>
        <v>-23878.16</v>
      </c>
      <c r="G809" s="38">
        <f>F809-E809</f>
        <v>26121.84</v>
      </c>
    </row>
    <row r="810" spans="1:7" x14ac:dyDescent="0.35">
      <c r="A810" s="3"/>
      <c r="B810" s="3"/>
      <c r="C810" s="3" t="s">
        <v>102</v>
      </c>
      <c r="D810" s="5">
        <f>D811</f>
        <v>-50000</v>
      </c>
      <c r="E810" s="5">
        <f t="shared" si="302"/>
        <v>-50000</v>
      </c>
      <c r="F810" s="5">
        <f t="shared" si="302"/>
        <v>-23951.21</v>
      </c>
      <c r="G810" s="5">
        <f t="shared" si="300"/>
        <v>26048.79</v>
      </c>
    </row>
    <row r="811" spans="1:7" x14ac:dyDescent="0.35">
      <c r="A811" s="68"/>
      <c r="B811" s="68"/>
      <c r="C811" s="68" t="s">
        <v>169</v>
      </c>
      <c r="D811" s="69">
        <v>-50000</v>
      </c>
      <c r="E811" s="69">
        <f t="shared" si="301"/>
        <v>-50000</v>
      </c>
      <c r="F811" s="69">
        <v>-23951.21</v>
      </c>
      <c r="G811" s="69">
        <f t="shared" si="300"/>
        <v>26048.79</v>
      </c>
    </row>
    <row r="812" spans="1:7" x14ac:dyDescent="0.35">
      <c r="A812" s="68"/>
      <c r="B812" s="68"/>
      <c r="C812" s="3" t="s">
        <v>56</v>
      </c>
      <c r="D812" s="69">
        <v>0</v>
      </c>
      <c r="E812" s="5">
        <v>0</v>
      </c>
      <c r="F812" s="5">
        <v>73.05</v>
      </c>
      <c r="G812" s="5">
        <f t="shared" si="300"/>
        <v>73.05</v>
      </c>
    </row>
    <row r="813" spans="1:7" x14ac:dyDescent="0.35">
      <c r="A813" s="68"/>
      <c r="B813" s="68"/>
      <c r="C813" s="37" t="s">
        <v>107</v>
      </c>
      <c r="D813" s="38">
        <f>SUM(D815:D816)</f>
        <v>0</v>
      </c>
      <c r="E813" s="38">
        <f>SUM(E814:E816)</f>
        <v>-10680.94</v>
      </c>
      <c r="F813" s="38">
        <f>SUM(F815:F816)</f>
        <v>-10555.02</v>
      </c>
      <c r="G813" s="38">
        <f>F813-E813</f>
        <v>125.92000000000007</v>
      </c>
    </row>
    <row r="814" spans="1:7" x14ac:dyDescent="0.35">
      <c r="A814" s="68"/>
      <c r="B814" s="68"/>
      <c r="C814" s="3" t="s">
        <v>155</v>
      </c>
      <c r="D814" s="5">
        <v>0</v>
      </c>
      <c r="E814" s="5">
        <v>-10680.94</v>
      </c>
      <c r="F814" s="5">
        <v>0</v>
      </c>
      <c r="G814" s="5">
        <f>F814-E814</f>
        <v>10680.94</v>
      </c>
    </row>
    <row r="815" spans="1:7" x14ac:dyDescent="0.35">
      <c r="A815" s="68"/>
      <c r="B815" s="68"/>
      <c r="C815" s="3" t="s">
        <v>54</v>
      </c>
      <c r="D815" s="5">
        <v>0</v>
      </c>
      <c r="E815" s="5">
        <v>0</v>
      </c>
      <c r="F815" s="5">
        <v>-4125.4799999999996</v>
      </c>
      <c r="G815" s="5">
        <f t="shared" ref="G815:G816" si="303">F815-E815</f>
        <v>-4125.4799999999996</v>
      </c>
    </row>
    <row r="816" spans="1:7" x14ac:dyDescent="0.35">
      <c r="A816" s="68"/>
      <c r="B816" s="68"/>
      <c r="C816" s="3" t="s">
        <v>110</v>
      </c>
      <c r="D816" s="5">
        <v>0</v>
      </c>
      <c r="E816" s="5">
        <v>0</v>
      </c>
      <c r="F816" s="5">
        <v>-6429.54</v>
      </c>
      <c r="G816" s="5">
        <f t="shared" si="303"/>
        <v>-6429.54</v>
      </c>
    </row>
    <row r="817" spans="1:7" x14ac:dyDescent="0.35">
      <c r="A817" s="37"/>
      <c r="B817" s="37"/>
      <c r="C817" s="37" t="s">
        <v>109</v>
      </c>
      <c r="D817" s="38">
        <v>-1760</v>
      </c>
      <c r="E817" s="67">
        <v>-1760.2385602624524</v>
      </c>
      <c r="F817" s="38">
        <v>-2513.36</v>
      </c>
      <c r="G817" s="38">
        <f t="shared" si="300"/>
        <v>-753.12143973754769</v>
      </c>
    </row>
    <row r="818" spans="1:7" x14ac:dyDescent="0.35">
      <c r="A818" s="37"/>
      <c r="B818" s="37" t="s">
        <v>115</v>
      </c>
      <c r="C818" s="37"/>
      <c r="D818" s="38">
        <f>SUM(D820:D823)</f>
        <v>-621959</v>
      </c>
      <c r="E818" s="38">
        <f>SUM(E819:E823)</f>
        <v>-1041867.0250568708</v>
      </c>
      <c r="F818" s="38">
        <f>SUM(F820:F823)</f>
        <v>-880302.17999999993</v>
      </c>
      <c r="G818" s="38">
        <f>F818-E818</f>
        <v>161564.84505687084</v>
      </c>
    </row>
    <row r="819" spans="1:7" x14ac:dyDescent="0.35">
      <c r="A819" s="37"/>
      <c r="B819" s="37"/>
      <c r="C819" s="3" t="s">
        <v>155</v>
      </c>
      <c r="D819" s="5">
        <f>D833+D837</f>
        <v>0</v>
      </c>
      <c r="E819" s="5">
        <f t="shared" ref="E819:F819" si="304">E833+E837</f>
        <v>-10784.529999999999</v>
      </c>
      <c r="F819" s="5">
        <f t="shared" si="304"/>
        <v>0</v>
      </c>
      <c r="G819" s="5">
        <f>F819-E819</f>
        <v>10784.529999999999</v>
      </c>
    </row>
    <row r="820" spans="1:7" x14ac:dyDescent="0.35">
      <c r="A820" s="3"/>
      <c r="B820" s="3"/>
      <c r="C820" s="3" t="s">
        <v>54</v>
      </c>
      <c r="D820" s="5">
        <f>D825+D830+D838</f>
        <v>-400970</v>
      </c>
      <c r="E820" s="5">
        <f>E825+E830+E838</f>
        <v>-554776.84</v>
      </c>
      <c r="F820" s="5">
        <f>F825+F830+F838+F834</f>
        <v>-473875.77</v>
      </c>
      <c r="G820" s="5">
        <f t="shared" ref="G820:G823" si="305">F820-E820</f>
        <v>80901.069999999949</v>
      </c>
    </row>
    <row r="821" spans="1:7" x14ac:dyDescent="0.35">
      <c r="A821" s="3"/>
      <c r="B821" s="3"/>
      <c r="C821" s="3" t="s">
        <v>55</v>
      </c>
      <c r="D821" s="5">
        <f>D826+D835+D839</f>
        <v>-194674</v>
      </c>
      <c r="E821" s="5">
        <f>E826+E835+E839</f>
        <v>-450125.74</v>
      </c>
      <c r="F821" s="5">
        <f>F826+F835+F839</f>
        <v>-268301.8</v>
      </c>
      <c r="G821" s="5">
        <f t="shared" si="305"/>
        <v>181823.94</v>
      </c>
    </row>
    <row r="822" spans="1:7" x14ac:dyDescent="0.35">
      <c r="A822" s="3"/>
      <c r="B822" s="3"/>
      <c r="C822" s="3" t="s">
        <v>102</v>
      </c>
      <c r="D822" s="5">
        <f>D827</f>
        <v>-1522</v>
      </c>
      <c r="E822" s="5">
        <f>E827</f>
        <v>-1084.24</v>
      </c>
      <c r="F822" s="5">
        <f>F827</f>
        <v>-696.94</v>
      </c>
      <c r="G822" s="5">
        <f t="shared" si="305"/>
        <v>387.29999999999995</v>
      </c>
    </row>
    <row r="823" spans="1:7" x14ac:dyDescent="0.35">
      <c r="A823" s="3"/>
      <c r="B823" s="3"/>
      <c r="C823" s="3" t="s">
        <v>103</v>
      </c>
      <c r="D823" s="5">
        <f>D840</f>
        <v>-24793</v>
      </c>
      <c r="E823" s="5">
        <f>E840+E828</f>
        <v>-25095.675056870816</v>
      </c>
      <c r="F823" s="5">
        <f>F840+F828+F831</f>
        <v>-137427.66999999998</v>
      </c>
      <c r="G823" s="5">
        <f t="shared" si="305"/>
        <v>-112331.99494312916</v>
      </c>
    </row>
    <row r="824" spans="1:7" x14ac:dyDescent="0.35">
      <c r="A824" s="37"/>
      <c r="B824" s="37"/>
      <c r="C824" s="37" t="s">
        <v>105</v>
      </c>
      <c r="D824" s="38">
        <f>SUM(D825:D827)</f>
        <v>-578390</v>
      </c>
      <c r="E824" s="38">
        <f>SUM(E825:E828)</f>
        <v>-1004571.3099999999</v>
      </c>
      <c r="F824" s="38">
        <f>SUM(F825:F828)</f>
        <v>-682552.40999999992</v>
      </c>
      <c r="G824" s="38">
        <f>F824-E824</f>
        <v>322018.90000000002</v>
      </c>
    </row>
    <row r="825" spans="1:7" x14ac:dyDescent="0.35">
      <c r="A825" s="3"/>
      <c r="B825" s="3"/>
      <c r="C825" s="3" t="s">
        <v>54</v>
      </c>
      <c r="D825" s="5">
        <v>-399190</v>
      </c>
      <c r="E825" s="5">
        <v>-553058.84</v>
      </c>
      <c r="F825" s="5">
        <v>-451758.77</v>
      </c>
      <c r="G825" s="5">
        <f t="shared" ref="G825:G828" si="306">F825-E825</f>
        <v>101300.06999999995</v>
      </c>
    </row>
    <row r="826" spans="1:7" s="35" customFormat="1" x14ac:dyDescent="0.35">
      <c r="A826" s="3"/>
      <c r="B826" s="3"/>
      <c r="C826" s="3" t="s">
        <v>55</v>
      </c>
      <c r="D826" s="5">
        <v>-177678</v>
      </c>
      <c r="E826" s="5">
        <f>-450112.6-13.14</f>
        <v>-450125.74</v>
      </c>
      <c r="F826" s="5">
        <v>-229739.61</v>
      </c>
      <c r="G826" s="5">
        <f t="shared" si="306"/>
        <v>220386.13</v>
      </c>
    </row>
    <row r="827" spans="1:7" x14ac:dyDescent="0.35">
      <c r="A827" s="3"/>
      <c r="B827" s="3"/>
      <c r="C827" s="3" t="s">
        <v>102</v>
      </c>
      <c r="D827" s="5">
        <v>-1522</v>
      </c>
      <c r="E827" s="5">
        <v>-1084.24</v>
      </c>
      <c r="F827" s="5">
        <v>-696.94</v>
      </c>
      <c r="G827" s="5">
        <f t="shared" si="306"/>
        <v>387.29999999999995</v>
      </c>
    </row>
    <row r="828" spans="1:7" s="35" customFormat="1" x14ac:dyDescent="0.35">
      <c r="A828" s="3"/>
      <c r="B828" s="3"/>
      <c r="C828" s="3" t="s">
        <v>56</v>
      </c>
      <c r="D828" s="5">
        <v>0</v>
      </c>
      <c r="E828" s="5">
        <v>-302.49</v>
      </c>
      <c r="F828" s="5">
        <v>-357.09</v>
      </c>
      <c r="G828" s="5">
        <f t="shared" si="306"/>
        <v>-54.599999999999966</v>
      </c>
    </row>
    <row r="829" spans="1:7" x14ac:dyDescent="0.35">
      <c r="A829" s="37"/>
      <c r="B829" s="37"/>
      <c r="C829" s="37" t="s">
        <v>106</v>
      </c>
      <c r="D829" s="38">
        <f>SUM(D830:D830)</f>
        <v>-1718</v>
      </c>
      <c r="E829" s="38">
        <f>SUM(E830:E830)</f>
        <v>-1718</v>
      </c>
      <c r="F829" s="38">
        <f>SUM(F830:F831)</f>
        <v>-6242.9699999999993</v>
      </c>
      <c r="G829" s="38">
        <f>F829-E829</f>
        <v>-4524.9699999999993</v>
      </c>
    </row>
    <row r="830" spans="1:7" x14ac:dyDescent="0.35">
      <c r="A830" s="3"/>
      <c r="B830" s="3"/>
      <c r="C830" s="3" t="s">
        <v>54</v>
      </c>
      <c r="D830" s="5">
        <v>-1718</v>
      </c>
      <c r="E830" s="5">
        <f t="shared" ref="E830" si="307">D830</f>
        <v>-1718</v>
      </c>
      <c r="F830" s="5">
        <v>-6203.48</v>
      </c>
      <c r="G830" s="5">
        <f t="shared" ref="G830:G831" si="308">F830-E830</f>
        <v>-4485.4799999999996</v>
      </c>
    </row>
    <row r="831" spans="1:7" x14ac:dyDescent="0.35">
      <c r="A831" s="3"/>
      <c r="B831" s="3"/>
      <c r="C831" s="3" t="s">
        <v>56</v>
      </c>
      <c r="D831" s="5">
        <v>0</v>
      </c>
      <c r="E831" s="5">
        <v>0</v>
      </c>
      <c r="F831" s="5">
        <v>-39.49</v>
      </c>
      <c r="G831" s="5">
        <f t="shared" si="308"/>
        <v>-39.49</v>
      </c>
    </row>
    <row r="832" spans="1:7" x14ac:dyDescent="0.35">
      <c r="A832" s="37"/>
      <c r="B832" s="37"/>
      <c r="C832" s="37" t="s">
        <v>107</v>
      </c>
      <c r="D832" s="38">
        <f>SUM(D835:D835)</f>
        <v>-16957</v>
      </c>
      <c r="E832" s="38">
        <f>SUM(E833:E835)</f>
        <v>-8933.31</v>
      </c>
      <c r="F832" s="38">
        <f>SUM(F833:F835)</f>
        <v>-23264.14</v>
      </c>
      <c r="G832" s="38">
        <f>F832-E832</f>
        <v>-14330.83</v>
      </c>
    </row>
    <row r="833" spans="1:7" x14ac:dyDescent="0.35">
      <c r="A833" s="37"/>
      <c r="B833" s="37"/>
      <c r="C833" s="3" t="s">
        <v>155</v>
      </c>
      <c r="D833" s="5">
        <v>0</v>
      </c>
      <c r="E833" s="5">
        <v>-8933.31</v>
      </c>
      <c r="F833" s="5">
        <v>0</v>
      </c>
      <c r="G833" s="5">
        <f t="shared" ref="G833:G835" si="309">F833-E833</f>
        <v>8933.31</v>
      </c>
    </row>
    <row r="834" spans="1:7" x14ac:dyDescent="0.35">
      <c r="A834" s="37"/>
      <c r="B834" s="37"/>
      <c r="C834" s="3" t="s">
        <v>54</v>
      </c>
      <c r="D834" s="5">
        <v>0</v>
      </c>
      <c r="E834" s="5">
        <v>0</v>
      </c>
      <c r="F834" s="5">
        <v>-11.34</v>
      </c>
      <c r="G834" s="5">
        <f t="shared" si="309"/>
        <v>-11.34</v>
      </c>
    </row>
    <row r="835" spans="1:7" s="35" customFormat="1" x14ac:dyDescent="0.35">
      <c r="A835" s="37"/>
      <c r="B835" s="37"/>
      <c r="C835" s="3" t="s">
        <v>55</v>
      </c>
      <c r="D835" s="5">
        <v>-16957</v>
      </c>
      <c r="E835" s="5">
        <v>0</v>
      </c>
      <c r="F835" s="5">
        <v>-23252.799999999999</v>
      </c>
      <c r="G835" s="5">
        <f t="shared" si="309"/>
        <v>-23252.799999999999</v>
      </c>
    </row>
    <row r="836" spans="1:7" x14ac:dyDescent="0.35">
      <c r="A836" s="37"/>
      <c r="B836" s="37"/>
      <c r="C836" s="37" t="s">
        <v>108</v>
      </c>
      <c r="D836" s="38">
        <f>SUM(D838:D839)</f>
        <v>-101</v>
      </c>
      <c r="E836" s="38">
        <f>SUM(E837:E839)</f>
        <v>-1851.22</v>
      </c>
      <c r="F836" s="38">
        <f t="shared" ref="F836" si="310">SUM(F838:F839)</f>
        <v>-31211.57</v>
      </c>
      <c r="G836" s="38">
        <f>F836-E836</f>
        <v>-29360.35</v>
      </c>
    </row>
    <row r="837" spans="1:7" x14ac:dyDescent="0.35">
      <c r="A837" s="37"/>
      <c r="B837" s="37"/>
      <c r="C837" s="3" t="s">
        <v>155</v>
      </c>
      <c r="D837" s="5">
        <v>0</v>
      </c>
      <c r="E837" s="5">
        <v>-1851.22</v>
      </c>
      <c r="F837" s="5">
        <v>0</v>
      </c>
      <c r="G837" s="5">
        <f>F837-E837</f>
        <v>1851.22</v>
      </c>
    </row>
    <row r="838" spans="1:7" x14ac:dyDescent="0.35">
      <c r="A838" s="3"/>
      <c r="B838" s="3"/>
      <c r="C838" s="3" t="s">
        <v>54</v>
      </c>
      <c r="D838" s="5">
        <v>-62</v>
      </c>
      <c r="E838" s="5">
        <v>0</v>
      </c>
      <c r="F838" s="5">
        <v>-15902.18</v>
      </c>
      <c r="G838" s="5">
        <f t="shared" ref="G838:G840" si="311">F838-E838</f>
        <v>-15902.18</v>
      </c>
    </row>
    <row r="839" spans="1:7" x14ac:dyDescent="0.35">
      <c r="A839" s="3"/>
      <c r="B839" s="3"/>
      <c r="C839" s="3" t="s">
        <v>55</v>
      </c>
      <c r="D839" s="5">
        <v>-39</v>
      </c>
      <c r="E839" s="5">
        <v>0</v>
      </c>
      <c r="F839" s="5">
        <v>-15309.39</v>
      </c>
      <c r="G839" s="5">
        <f t="shared" si="311"/>
        <v>-15309.39</v>
      </c>
    </row>
    <row r="840" spans="1:7" x14ac:dyDescent="0.35">
      <c r="A840" s="37"/>
      <c r="B840" s="37"/>
      <c r="C840" s="37" t="s">
        <v>109</v>
      </c>
      <c r="D840" s="38">
        <v>-24793</v>
      </c>
      <c r="E840" s="67">
        <v>-24793.185056870814</v>
      </c>
      <c r="F840" s="38">
        <v>-137031.09</v>
      </c>
      <c r="G840" s="38">
        <f t="shared" si="311"/>
        <v>-112237.90494312918</v>
      </c>
    </row>
    <row r="841" spans="1:7" x14ac:dyDescent="0.35">
      <c r="A841" s="37"/>
      <c r="B841" s="37" t="s">
        <v>116</v>
      </c>
      <c r="C841" s="37"/>
      <c r="D841" s="38">
        <f>SUM(D843:D845)</f>
        <v>-687063</v>
      </c>
      <c r="E841" s="38">
        <f>SUM(E842:E845)</f>
        <v>-858854.93754599406</v>
      </c>
      <c r="F841" s="38">
        <f>SUM(F843:F845)</f>
        <v>-792754.22000000009</v>
      </c>
      <c r="G841" s="38">
        <f>F841-E841</f>
        <v>66100.717545993975</v>
      </c>
    </row>
    <row r="842" spans="1:7" x14ac:dyDescent="0.35">
      <c r="A842" s="37"/>
      <c r="B842" s="37"/>
      <c r="C842" s="3" t="s">
        <v>155</v>
      </c>
      <c r="D842" s="5">
        <v>0</v>
      </c>
      <c r="E842" s="5">
        <f>+E857+E853</f>
        <v>-69287.429999999993</v>
      </c>
      <c r="F842" s="5">
        <v>0</v>
      </c>
      <c r="G842" s="5">
        <f>F842-E842</f>
        <v>69287.429999999993</v>
      </c>
    </row>
    <row r="843" spans="1:7" x14ac:dyDescent="0.35">
      <c r="A843" s="3"/>
      <c r="B843" s="3"/>
      <c r="C843" s="3" t="s">
        <v>54</v>
      </c>
      <c r="D843" s="5">
        <f>D847+D854+D858</f>
        <v>-279647</v>
      </c>
      <c r="E843" s="5">
        <f t="shared" ref="E843:F843" si="312">E847+E854+E858</f>
        <v>-329095.62</v>
      </c>
      <c r="F843" s="5">
        <f t="shared" si="312"/>
        <v>-330928.34999999998</v>
      </c>
      <c r="G843" s="5">
        <f t="shared" ref="G843:G845" si="313">F843-E843</f>
        <v>-1832.7299999999814</v>
      </c>
    </row>
    <row r="844" spans="1:7" x14ac:dyDescent="0.35">
      <c r="A844" s="3"/>
      <c r="B844" s="3"/>
      <c r="C844" s="3" t="s">
        <v>55</v>
      </c>
      <c r="D844" s="5">
        <f>D848+D855+D859</f>
        <v>-327622</v>
      </c>
      <c r="E844" s="5">
        <f>E848+E855+E859</f>
        <v>-380567.37</v>
      </c>
      <c r="F844" s="5">
        <f>F848+F855+F859</f>
        <v>-374052.94</v>
      </c>
      <c r="G844" s="5">
        <f t="shared" si="313"/>
        <v>6514.429999999993</v>
      </c>
    </row>
    <row r="845" spans="1:7" x14ac:dyDescent="0.35">
      <c r="A845" s="3"/>
      <c r="B845" s="3"/>
      <c r="C845" s="3" t="s">
        <v>103</v>
      </c>
      <c r="D845" s="5">
        <f>D860</f>
        <v>-79794</v>
      </c>
      <c r="E845" s="5">
        <f>E860+E849</f>
        <v>-79904.517545994109</v>
      </c>
      <c r="F845" s="5">
        <f>F860+F849+F851</f>
        <v>-87772.930000000008</v>
      </c>
      <c r="G845" s="5">
        <f t="shared" si="313"/>
        <v>-7868.4124540058983</v>
      </c>
    </row>
    <row r="846" spans="1:7" x14ac:dyDescent="0.35">
      <c r="A846" s="37"/>
      <c r="B846" s="37"/>
      <c r="C846" s="37" t="s">
        <v>105</v>
      </c>
      <c r="D846" s="38">
        <f>SUM(D847:D848)</f>
        <v>-597624</v>
      </c>
      <c r="E846" s="38">
        <f>SUM(E847:E849)</f>
        <v>-709773.33</v>
      </c>
      <c r="F846" s="38">
        <f>SUM(F847:F849)</f>
        <v>-697083.51000000013</v>
      </c>
      <c r="G846" s="38">
        <f>F846-E846</f>
        <v>12689.819999999832</v>
      </c>
    </row>
    <row r="847" spans="1:7" x14ac:dyDescent="0.35">
      <c r="A847" s="3"/>
      <c r="B847" s="3"/>
      <c r="C847" s="3" t="s">
        <v>54</v>
      </c>
      <c r="D847" s="5">
        <v>-271970</v>
      </c>
      <c r="E847" s="5">
        <v>-329095.62</v>
      </c>
      <c r="F847" s="5">
        <v>-324319.07</v>
      </c>
      <c r="G847" s="5">
        <f t="shared" ref="G847:G849" si="314">F847-E847</f>
        <v>4776.5499999999884</v>
      </c>
    </row>
    <row r="848" spans="1:7" x14ac:dyDescent="0.35">
      <c r="A848" s="3"/>
      <c r="B848" s="3"/>
      <c r="C848" s="3" t="s">
        <v>55</v>
      </c>
      <c r="D848" s="5">
        <v>-325654</v>
      </c>
      <c r="E848" s="5">
        <v>-380567.37</v>
      </c>
      <c r="F848" s="5">
        <v>-372656.02</v>
      </c>
      <c r="G848" s="5">
        <f t="shared" si="314"/>
        <v>7911.3499999999767</v>
      </c>
    </row>
    <row r="849" spans="1:7" x14ac:dyDescent="0.35">
      <c r="A849" s="3"/>
      <c r="B849" s="3"/>
      <c r="C849" s="3" t="s">
        <v>56</v>
      </c>
      <c r="D849" s="5">
        <v>0</v>
      </c>
      <c r="E849" s="5">
        <v>-110.34</v>
      </c>
      <c r="F849" s="5">
        <v>-108.42</v>
      </c>
      <c r="G849" s="5">
        <f t="shared" si="314"/>
        <v>1.9200000000000017</v>
      </c>
    </row>
    <row r="850" spans="1:7" x14ac:dyDescent="0.35">
      <c r="A850" s="3"/>
      <c r="B850" s="3"/>
      <c r="C850" s="37" t="s">
        <v>106</v>
      </c>
      <c r="D850" s="38">
        <f>SUM(D851:D851)</f>
        <v>0</v>
      </c>
      <c r="E850" s="38">
        <f>SUM(E851:E851)</f>
        <v>0</v>
      </c>
      <c r="F850" s="38">
        <f>SUM(F851)</f>
        <v>-25.46</v>
      </c>
      <c r="G850" s="38">
        <f>F850-E850</f>
        <v>-25.46</v>
      </c>
    </row>
    <row r="851" spans="1:7" x14ac:dyDescent="0.35">
      <c r="A851" s="3"/>
      <c r="B851" s="3"/>
      <c r="C851" s="3" t="s">
        <v>56</v>
      </c>
      <c r="D851" s="5">
        <v>0</v>
      </c>
      <c r="E851" s="5">
        <v>0</v>
      </c>
      <c r="F851" s="5">
        <v>-25.46</v>
      </c>
      <c r="G851" s="5">
        <f t="shared" ref="G851" si="315">F851-E851</f>
        <v>-25.46</v>
      </c>
    </row>
    <row r="852" spans="1:7" x14ac:dyDescent="0.35">
      <c r="A852" s="37"/>
      <c r="B852" s="37"/>
      <c r="C852" s="37" t="s">
        <v>107</v>
      </c>
      <c r="D852" s="38">
        <f>SUM(D854:D855)</f>
        <v>-9582</v>
      </c>
      <c r="E852" s="38">
        <f>SUM(E853:E855)</f>
        <v>-7410.07</v>
      </c>
      <c r="F852" s="38">
        <f t="shared" ref="F852" si="316">SUM(F854:F855)</f>
        <v>-7402.11</v>
      </c>
      <c r="G852" s="38">
        <f>F852-E852</f>
        <v>7.9600000000000364</v>
      </c>
    </row>
    <row r="853" spans="1:7" s="35" customFormat="1" x14ac:dyDescent="0.35">
      <c r="A853" s="37"/>
      <c r="B853" s="37"/>
      <c r="C853" s="3" t="s">
        <v>155</v>
      </c>
      <c r="D853" s="5">
        <v>0</v>
      </c>
      <c r="E853" s="5">
        <v>-7410.07</v>
      </c>
      <c r="F853" s="5">
        <v>0</v>
      </c>
      <c r="G853" s="5">
        <f>F853-E853</f>
        <v>7410.07</v>
      </c>
    </row>
    <row r="854" spans="1:7" x14ac:dyDescent="0.35">
      <c r="A854" s="3"/>
      <c r="B854" s="3"/>
      <c r="C854" s="3" t="s">
        <v>54</v>
      </c>
      <c r="D854" s="5">
        <v>-7643</v>
      </c>
      <c r="E854" s="5">
        <v>0</v>
      </c>
      <c r="F854" s="5">
        <v>-6014.41</v>
      </c>
      <c r="G854" s="5">
        <f t="shared" ref="G854:G860" si="317">F854-E854</f>
        <v>-6014.41</v>
      </c>
    </row>
    <row r="855" spans="1:7" x14ac:dyDescent="0.35">
      <c r="A855" s="37"/>
      <c r="B855" s="37"/>
      <c r="C855" s="3" t="s">
        <v>55</v>
      </c>
      <c r="D855" s="5">
        <v>-1939</v>
      </c>
      <c r="E855" s="5">
        <v>0</v>
      </c>
      <c r="F855" s="38">
        <v>-1387.7</v>
      </c>
      <c r="G855" s="5">
        <f t="shared" si="317"/>
        <v>-1387.7</v>
      </c>
    </row>
    <row r="856" spans="1:7" x14ac:dyDescent="0.35">
      <c r="A856" s="37"/>
      <c r="B856" s="37"/>
      <c r="C856" s="37" t="s">
        <v>108</v>
      </c>
      <c r="D856" s="38">
        <f>SUM(D858:D859)</f>
        <v>-63</v>
      </c>
      <c r="E856" s="38">
        <f>SUM(E857:E859)</f>
        <v>-61877.36</v>
      </c>
      <c r="F856" s="38">
        <f t="shared" ref="F856" si="318">SUM(F858:F859)</f>
        <v>-604.09</v>
      </c>
      <c r="G856" s="38">
        <f>F856-E856</f>
        <v>61273.270000000004</v>
      </c>
    </row>
    <row r="857" spans="1:7" s="35" customFormat="1" x14ac:dyDescent="0.35">
      <c r="A857" s="37"/>
      <c r="B857" s="37"/>
      <c r="C857" s="3" t="s">
        <v>155</v>
      </c>
      <c r="D857" s="5">
        <v>0</v>
      </c>
      <c r="E857" s="5">
        <v>-61877.36</v>
      </c>
      <c r="F857" s="5">
        <v>0</v>
      </c>
      <c r="G857" s="5">
        <f>F857-E857</f>
        <v>61877.36</v>
      </c>
    </row>
    <row r="858" spans="1:7" x14ac:dyDescent="0.35">
      <c r="A858" s="3"/>
      <c r="B858" s="3"/>
      <c r="C858" s="3" t="s">
        <v>54</v>
      </c>
      <c r="D858" s="5">
        <v>-34</v>
      </c>
      <c r="E858" s="5">
        <v>0</v>
      </c>
      <c r="F858" s="5">
        <v>-594.87</v>
      </c>
      <c r="G858" s="5">
        <f t="shared" ref="G858:G859" si="319">F858-E858</f>
        <v>-594.87</v>
      </c>
    </row>
    <row r="859" spans="1:7" x14ac:dyDescent="0.35">
      <c r="A859" s="37"/>
      <c r="B859" s="37"/>
      <c r="C859" s="3" t="s">
        <v>55</v>
      </c>
      <c r="D859" s="5">
        <v>-29</v>
      </c>
      <c r="E859" s="5">
        <v>0</v>
      </c>
      <c r="F859" s="5">
        <v>-9.2200000000000006</v>
      </c>
      <c r="G859" s="5">
        <f t="shared" si="319"/>
        <v>-9.2200000000000006</v>
      </c>
    </row>
    <row r="860" spans="1:7" x14ac:dyDescent="0.35">
      <c r="A860" s="37"/>
      <c r="B860" s="37"/>
      <c r="C860" s="37" t="s">
        <v>109</v>
      </c>
      <c r="D860" s="38">
        <v>-79794</v>
      </c>
      <c r="E860" s="67">
        <v>-79794.177545994113</v>
      </c>
      <c r="F860" s="38">
        <v>-87639.05</v>
      </c>
      <c r="G860" s="38">
        <f t="shared" si="317"/>
        <v>-7844.8724540058902</v>
      </c>
    </row>
    <row r="861" spans="1:7" x14ac:dyDescent="0.35">
      <c r="A861" s="37"/>
      <c r="B861" s="37" t="s">
        <v>117</v>
      </c>
      <c r="C861" s="37"/>
      <c r="D861" s="38">
        <f>SUM(D863:D867)</f>
        <v>-9801973</v>
      </c>
      <c r="E861" s="38">
        <f>SUM(E862:E867)</f>
        <v>-11835848.587133991</v>
      </c>
      <c r="F861" s="38">
        <f t="shared" ref="F861" si="320">SUM(F863:F867)</f>
        <v>-10750486.24</v>
      </c>
      <c r="G861" s="38">
        <f>F861-E861</f>
        <v>1085362.3471339904</v>
      </c>
    </row>
    <row r="862" spans="1:7" x14ac:dyDescent="0.35">
      <c r="A862" s="37"/>
      <c r="B862" s="37"/>
      <c r="C862" s="3" t="s">
        <v>155</v>
      </c>
      <c r="D862" s="5">
        <v>0</v>
      </c>
      <c r="E862" s="38">
        <f>+E878+E882</f>
        <v>-33827.81</v>
      </c>
      <c r="F862" s="38">
        <v>0</v>
      </c>
      <c r="G862" s="38">
        <f>F862-E862</f>
        <v>33827.81</v>
      </c>
    </row>
    <row r="863" spans="1:7" x14ac:dyDescent="0.35">
      <c r="A863" s="3"/>
      <c r="B863" s="3"/>
      <c r="C863" s="3" t="s">
        <v>54</v>
      </c>
      <c r="D863" s="5">
        <f>D869+D875+D879</f>
        <v>-7467309</v>
      </c>
      <c r="E863" s="5">
        <f t="shared" ref="E863" si="321">E869+E875+E879</f>
        <v>-8543857.9100000001</v>
      </c>
      <c r="F863" s="5">
        <f>F869+F875+F879+F883</f>
        <v>-8213525.8799999999</v>
      </c>
      <c r="G863" s="5">
        <f t="shared" ref="G863:G867" si="322">F863-E863</f>
        <v>330332.03000000026</v>
      </c>
    </row>
    <row r="864" spans="1:7" x14ac:dyDescent="0.35">
      <c r="A864" s="3"/>
      <c r="B864" s="3"/>
      <c r="C864" s="3" t="s">
        <v>55</v>
      </c>
      <c r="D864" s="5">
        <f>D870+D880+D884</f>
        <v>-1957290</v>
      </c>
      <c r="E864" s="5">
        <f t="shared" ref="E864:F864" si="323">E870+E880+E884</f>
        <v>-2758971.02</v>
      </c>
      <c r="F864" s="5">
        <f t="shared" si="323"/>
        <v>-2070379.4100000001</v>
      </c>
      <c r="G864" s="5">
        <f t="shared" si="322"/>
        <v>688591.60999999987</v>
      </c>
    </row>
    <row r="865" spans="1:7" x14ac:dyDescent="0.35">
      <c r="A865" s="3"/>
      <c r="B865" s="3"/>
      <c r="C865" s="3" t="s">
        <v>101</v>
      </c>
      <c r="D865" s="5">
        <f>D871</f>
        <v>-116</v>
      </c>
      <c r="E865" s="5">
        <f t="shared" ref="E865:F866" si="324">E871</f>
        <v>-116</v>
      </c>
      <c r="F865" s="5">
        <f t="shared" si="324"/>
        <v>-116.08</v>
      </c>
      <c r="G865" s="5">
        <f t="shared" si="322"/>
        <v>-7.9999999999998295E-2</v>
      </c>
    </row>
    <row r="866" spans="1:7" x14ac:dyDescent="0.35">
      <c r="A866" s="3"/>
      <c r="B866" s="3"/>
      <c r="C866" s="3" t="s">
        <v>102</v>
      </c>
      <c r="D866" s="5">
        <f>D872</f>
        <v>-594</v>
      </c>
      <c r="E866" s="5">
        <f t="shared" si="324"/>
        <v>-855.72</v>
      </c>
      <c r="F866" s="5">
        <f t="shared" si="324"/>
        <v>-855.72</v>
      </c>
      <c r="G866" s="5">
        <f t="shared" si="322"/>
        <v>0</v>
      </c>
    </row>
    <row r="867" spans="1:7" x14ac:dyDescent="0.35">
      <c r="A867" s="3"/>
      <c r="B867" s="3"/>
      <c r="C867" s="3" t="s">
        <v>103</v>
      </c>
      <c r="D867" s="5">
        <f>D873+D885</f>
        <v>-376664</v>
      </c>
      <c r="E867" s="5">
        <f>E873+E885</f>
        <v>-498220.12713399017</v>
      </c>
      <c r="F867" s="5">
        <f>F873+F885+F876</f>
        <v>-465609.15</v>
      </c>
      <c r="G867" s="5">
        <f t="shared" si="322"/>
        <v>32610.977133990149</v>
      </c>
    </row>
    <row r="868" spans="1:7" x14ac:dyDescent="0.35">
      <c r="A868" s="37"/>
      <c r="B868" s="37"/>
      <c r="C868" s="37" t="s">
        <v>105</v>
      </c>
      <c r="D868" s="38">
        <f>SUM(D869:D873)</f>
        <v>-9562512</v>
      </c>
      <c r="E868" s="38">
        <f t="shared" ref="E868:F868" si="325">SUM(E869:E873)</f>
        <v>-11581174.33</v>
      </c>
      <c r="F868" s="38">
        <f t="shared" si="325"/>
        <v>-10513679.27</v>
      </c>
      <c r="G868" s="38">
        <f>F868-E868</f>
        <v>1067495.0600000005</v>
      </c>
    </row>
    <row r="869" spans="1:7" x14ac:dyDescent="0.35">
      <c r="A869" s="3"/>
      <c r="B869" s="3"/>
      <c r="C869" s="3" t="s">
        <v>54</v>
      </c>
      <c r="D869" s="5">
        <v>-7446858</v>
      </c>
      <c r="E869" s="5">
        <v>-8534849.9100000001</v>
      </c>
      <c r="F869" s="5">
        <v>-8190382.2599999998</v>
      </c>
      <c r="G869" s="5">
        <f t="shared" ref="G869:G873" si="326">F869-E869</f>
        <v>344467.65000000037</v>
      </c>
    </row>
    <row r="870" spans="1:7" x14ac:dyDescent="0.35">
      <c r="A870" s="3"/>
      <c r="B870" s="3"/>
      <c r="C870" s="3" t="s">
        <v>55</v>
      </c>
      <c r="D870" s="5">
        <v>-1950118</v>
      </c>
      <c r="E870" s="5">
        <v>-2758971.02</v>
      </c>
      <c r="F870" s="5">
        <v>-2062229.01</v>
      </c>
      <c r="G870" s="5">
        <f t="shared" si="326"/>
        <v>696742.01</v>
      </c>
    </row>
    <row r="871" spans="1:7" s="35" customFormat="1" x14ac:dyDescent="0.35">
      <c r="A871" s="3"/>
      <c r="B871" s="3"/>
      <c r="C871" s="3" t="s">
        <v>101</v>
      </c>
      <c r="D871" s="5">
        <v>-116</v>
      </c>
      <c r="E871" s="5">
        <f t="shared" ref="E871" si="327">D871</f>
        <v>-116</v>
      </c>
      <c r="F871" s="5">
        <v>-116.08</v>
      </c>
      <c r="G871" s="5">
        <f t="shared" si="326"/>
        <v>-7.9999999999998295E-2</v>
      </c>
    </row>
    <row r="872" spans="1:7" x14ac:dyDescent="0.35">
      <c r="A872" s="3"/>
      <c r="B872" s="3"/>
      <c r="C872" s="3" t="s">
        <v>102</v>
      </c>
      <c r="D872" s="5">
        <v>-594</v>
      </c>
      <c r="E872" s="5">
        <v>-855.72</v>
      </c>
      <c r="F872" s="5">
        <v>-855.72</v>
      </c>
      <c r="G872" s="5">
        <f t="shared" si="326"/>
        <v>0</v>
      </c>
    </row>
    <row r="873" spans="1:7" x14ac:dyDescent="0.35">
      <c r="A873" s="3"/>
      <c r="B873" s="3"/>
      <c r="C873" s="3" t="s">
        <v>56</v>
      </c>
      <c r="D873" s="5">
        <v>-164826</v>
      </c>
      <c r="E873" s="5">
        <v>-286381.68</v>
      </c>
      <c r="F873" s="5">
        <v>-260096.2</v>
      </c>
      <c r="G873" s="5">
        <f t="shared" si="326"/>
        <v>26285.479999999981</v>
      </c>
    </row>
    <row r="874" spans="1:7" x14ac:dyDescent="0.35">
      <c r="A874" s="37"/>
      <c r="B874" s="37"/>
      <c r="C874" s="37" t="s">
        <v>106</v>
      </c>
      <c r="D874" s="38">
        <f>SUM(D875:D875)</f>
        <v>-9008</v>
      </c>
      <c r="E874" s="38">
        <f>SUM(E875:E875)</f>
        <v>-9008</v>
      </c>
      <c r="F874" s="38">
        <f>SUM(F875:F876)</f>
        <v>-5255.01</v>
      </c>
      <c r="G874" s="38">
        <f>F874-E874</f>
        <v>3752.99</v>
      </c>
    </row>
    <row r="875" spans="1:7" x14ac:dyDescent="0.35">
      <c r="A875" s="3"/>
      <c r="B875" s="3"/>
      <c r="C875" s="3" t="s">
        <v>54</v>
      </c>
      <c r="D875" s="5">
        <v>-9008</v>
      </c>
      <c r="E875" s="5">
        <f t="shared" ref="E875" si="328">D875</f>
        <v>-9008</v>
      </c>
      <c r="F875" s="5">
        <v>-5252.16</v>
      </c>
      <c r="G875" s="5">
        <f t="shared" ref="G875:G876" si="329">F875-E875</f>
        <v>3755.84</v>
      </c>
    </row>
    <row r="876" spans="1:7" x14ac:dyDescent="0.35">
      <c r="A876" s="3"/>
      <c r="B876" s="3"/>
      <c r="C876" s="3" t="s">
        <v>56</v>
      </c>
      <c r="D876" s="5">
        <v>0</v>
      </c>
      <c r="E876" s="5">
        <v>0</v>
      </c>
      <c r="F876" s="5">
        <v>-2.85</v>
      </c>
      <c r="G876" s="5">
        <f t="shared" si="329"/>
        <v>-2.85</v>
      </c>
    </row>
    <row r="877" spans="1:7" x14ac:dyDescent="0.35">
      <c r="A877" s="37"/>
      <c r="B877" s="37"/>
      <c r="C877" s="37" t="s">
        <v>107</v>
      </c>
      <c r="D877" s="38">
        <f>SUM(D879:D880)</f>
        <v>-15345</v>
      </c>
      <c r="E877" s="38">
        <f>SUM(E878:E880)</f>
        <v>-18323.669999999998</v>
      </c>
      <c r="F877" s="38">
        <f>SUM(F879:F880)</f>
        <v>-17447.489999999998</v>
      </c>
      <c r="G877" s="38">
        <f>F877-E877</f>
        <v>876.18000000000029</v>
      </c>
    </row>
    <row r="878" spans="1:7" x14ac:dyDescent="0.35">
      <c r="A878" s="37"/>
      <c r="B878" s="37"/>
      <c r="C878" s="3" t="s">
        <v>155</v>
      </c>
      <c r="D878" s="5">
        <v>0</v>
      </c>
      <c r="E878" s="5">
        <v>-18323.669999999998</v>
      </c>
      <c r="F878" s="5">
        <v>0</v>
      </c>
      <c r="G878" s="5">
        <f>F878-E878</f>
        <v>18323.669999999998</v>
      </c>
    </row>
    <row r="879" spans="1:7" x14ac:dyDescent="0.35">
      <c r="A879" s="3"/>
      <c r="B879" s="3"/>
      <c r="C879" s="3" t="s">
        <v>54</v>
      </c>
      <c r="D879" s="5">
        <v>-11443</v>
      </c>
      <c r="E879" s="5">
        <v>0</v>
      </c>
      <c r="F879" s="5">
        <v>-13103.15</v>
      </c>
      <c r="G879" s="5">
        <f t="shared" ref="G879:G880" si="330">F879-E879</f>
        <v>-13103.15</v>
      </c>
    </row>
    <row r="880" spans="1:7" x14ac:dyDescent="0.35">
      <c r="A880" s="37"/>
      <c r="B880" s="37"/>
      <c r="C880" s="3" t="s">
        <v>55</v>
      </c>
      <c r="D880" s="5">
        <v>-3902</v>
      </c>
      <c r="E880" s="5">
        <v>0</v>
      </c>
      <c r="F880" s="5">
        <v>-4344.34</v>
      </c>
      <c r="G880" s="5">
        <f t="shared" si="330"/>
        <v>-4344.34</v>
      </c>
    </row>
    <row r="881" spans="1:7" x14ac:dyDescent="0.35">
      <c r="A881" s="37"/>
      <c r="B881" s="37"/>
      <c r="C881" s="37" t="s">
        <v>108</v>
      </c>
      <c r="D881" s="38">
        <f>SUM(D884:D884)</f>
        <v>-3270</v>
      </c>
      <c r="E881" s="38">
        <f>SUM(E882:E884)</f>
        <v>-15504.14</v>
      </c>
      <c r="F881" s="38">
        <f>SUM(F883:F884)</f>
        <v>-8594.3700000000008</v>
      </c>
      <c r="G881" s="38">
        <f>F881-E881</f>
        <v>6909.7699999999986</v>
      </c>
    </row>
    <row r="882" spans="1:7" x14ac:dyDescent="0.35">
      <c r="A882" s="37"/>
      <c r="B882" s="37"/>
      <c r="C882" s="3" t="s">
        <v>155</v>
      </c>
      <c r="D882" s="5">
        <v>0</v>
      </c>
      <c r="E882" s="5">
        <v>-15504.14</v>
      </c>
      <c r="F882" s="38">
        <v>0</v>
      </c>
      <c r="G882" s="38">
        <f>F882-E882</f>
        <v>15504.14</v>
      </c>
    </row>
    <row r="883" spans="1:7" x14ac:dyDescent="0.35">
      <c r="A883" s="37"/>
      <c r="B883" s="37"/>
      <c r="C883" s="3" t="s">
        <v>54</v>
      </c>
      <c r="D883" s="5">
        <v>0</v>
      </c>
      <c r="E883" s="5">
        <v>0</v>
      </c>
      <c r="F883" s="5">
        <v>-4788.3100000000004</v>
      </c>
      <c r="G883" s="38">
        <f>F883-E883</f>
        <v>-4788.3100000000004</v>
      </c>
    </row>
    <row r="884" spans="1:7" x14ac:dyDescent="0.35">
      <c r="A884" s="3"/>
      <c r="B884" s="3"/>
      <c r="C884" s="3" t="s">
        <v>55</v>
      </c>
      <c r="D884" s="5">
        <v>-3270</v>
      </c>
      <c r="E884" s="5">
        <v>0</v>
      </c>
      <c r="F884" s="5">
        <v>-3806.06</v>
      </c>
      <c r="G884" s="5">
        <f t="shared" ref="G884:G885" si="331">F884-E884</f>
        <v>-3806.06</v>
      </c>
    </row>
    <row r="885" spans="1:7" x14ac:dyDescent="0.35">
      <c r="A885" s="37"/>
      <c r="B885" s="37"/>
      <c r="C885" s="37" t="s">
        <v>109</v>
      </c>
      <c r="D885" s="38">
        <v>-211838</v>
      </c>
      <c r="E885" s="67">
        <v>-211838.44713399018</v>
      </c>
      <c r="F885" s="38">
        <v>-205510.1</v>
      </c>
      <c r="G885" s="38">
        <f t="shared" si="331"/>
        <v>6328.3471339901735</v>
      </c>
    </row>
    <row r="886" spans="1:7" x14ac:dyDescent="0.35">
      <c r="A886" s="37"/>
      <c r="B886" s="37" t="s">
        <v>132</v>
      </c>
      <c r="C886" s="37"/>
      <c r="D886" s="38">
        <f>SUM(D887:D887)</f>
        <v>-45872565</v>
      </c>
      <c r="E886" s="38">
        <f>SUM(E887:E887)</f>
        <v>-79550885</v>
      </c>
      <c r="F886" s="38">
        <f>SUM(F887:F887)</f>
        <v>-79545550</v>
      </c>
      <c r="G886" s="38">
        <f>F886-E886</f>
        <v>5335</v>
      </c>
    </row>
    <row r="887" spans="1:7" x14ac:dyDescent="0.35">
      <c r="A887" s="3"/>
      <c r="B887" s="3"/>
      <c r="C887" s="3" t="s">
        <v>103</v>
      </c>
      <c r="D887" s="5">
        <f>D889</f>
        <v>-45872565</v>
      </c>
      <c r="E887" s="5">
        <f t="shared" ref="E887:F887" si="332">E889</f>
        <v>-79550885</v>
      </c>
      <c r="F887" s="5">
        <f t="shared" si="332"/>
        <v>-79545550</v>
      </c>
      <c r="G887" s="5">
        <f t="shared" ref="G887" si="333">F887-E887</f>
        <v>5335</v>
      </c>
    </row>
    <row r="888" spans="1:7" x14ac:dyDescent="0.35">
      <c r="A888" s="37"/>
      <c r="B888" s="37"/>
      <c r="C888" s="37" t="s">
        <v>105</v>
      </c>
      <c r="D888" s="38">
        <f>D889</f>
        <v>-45872565</v>
      </c>
      <c r="E888" s="38">
        <f t="shared" ref="E888:F888" si="334">E889</f>
        <v>-79550885</v>
      </c>
      <c r="F888" s="38">
        <f t="shared" si="334"/>
        <v>-79545550</v>
      </c>
      <c r="G888" s="38">
        <f>F888-E888</f>
        <v>5335</v>
      </c>
    </row>
    <row r="889" spans="1:7" s="35" customFormat="1" x14ac:dyDescent="0.35">
      <c r="A889" s="3"/>
      <c r="B889" s="3"/>
      <c r="C889" s="3" t="s">
        <v>56</v>
      </c>
      <c r="D889" s="5">
        <v>-45872565</v>
      </c>
      <c r="E889" s="5">
        <v>-79550885</v>
      </c>
      <c r="F889" s="5">
        <v>-79545550</v>
      </c>
      <c r="G889" s="5">
        <f t="shared" ref="G889:G895" si="335">F889-E889</f>
        <v>5335</v>
      </c>
    </row>
    <row r="890" spans="1:7" x14ac:dyDescent="0.35">
      <c r="A890" s="37" t="s">
        <v>133</v>
      </c>
      <c r="B890" s="37"/>
      <c r="C890" s="37"/>
      <c r="D890" s="38">
        <f>SUM(D891:D895)</f>
        <v>-42779634</v>
      </c>
      <c r="E890" s="38">
        <f t="shared" ref="E890:F890" si="336">SUM(E891:E895)</f>
        <v>-41853133.073486239</v>
      </c>
      <c r="F890" s="38">
        <f t="shared" si="336"/>
        <v>-40800571.549999997</v>
      </c>
      <c r="G890" s="38">
        <f t="shared" si="335"/>
        <v>1052561.5234862417</v>
      </c>
    </row>
    <row r="891" spans="1:7" s="35" customFormat="1" x14ac:dyDescent="0.35">
      <c r="A891" s="3"/>
      <c r="B891" s="3" t="s">
        <v>105</v>
      </c>
      <c r="C891" s="3"/>
      <c r="D891" s="5">
        <f>D904+D926+D947</f>
        <v>-37164389</v>
      </c>
      <c r="E891" s="5">
        <f>E904+E926+E947</f>
        <v>-37980171.929999992</v>
      </c>
      <c r="F891" s="5">
        <f>F904+F926+F947</f>
        <v>-37325973.579999998</v>
      </c>
      <c r="G891" s="5">
        <f t="shared" si="335"/>
        <v>654198.34999999404</v>
      </c>
    </row>
    <row r="892" spans="1:7" s="35" customFormat="1" x14ac:dyDescent="0.35">
      <c r="A892" s="3"/>
      <c r="B892" s="3" t="s">
        <v>106</v>
      </c>
      <c r="C892" s="3"/>
      <c r="D892" s="5">
        <f>D953</f>
        <v>-24675</v>
      </c>
      <c r="E892" s="5">
        <f>E953+E910+E930</f>
        <v>-24675</v>
      </c>
      <c r="F892" s="5">
        <f>F953+F930+F910</f>
        <v>-12771.6</v>
      </c>
      <c r="G892" s="5">
        <f t="shared" si="335"/>
        <v>11903.4</v>
      </c>
    </row>
    <row r="893" spans="1:7" x14ac:dyDescent="0.35">
      <c r="A893" s="3"/>
      <c r="B893" s="3" t="s">
        <v>107</v>
      </c>
      <c r="C893" s="3"/>
      <c r="D893" s="5">
        <f>D912+D932+D956</f>
        <v>-4218042</v>
      </c>
      <c r="E893" s="5">
        <f>E912+E932+E956</f>
        <v>-2287486.85</v>
      </c>
      <c r="F893" s="5">
        <f>F912+F932+F956</f>
        <v>-2072420.0100000002</v>
      </c>
      <c r="G893" s="5">
        <f t="shared" si="335"/>
        <v>215066.83999999985</v>
      </c>
    </row>
    <row r="894" spans="1:7" x14ac:dyDescent="0.35">
      <c r="A894" s="3"/>
      <c r="B894" s="3" t="s">
        <v>108</v>
      </c>
      <c r="C894" s="3"/>
      <c r="D894" s="5">
        <f>D961</f>
        <v>-4740</v>
      </c>
      <c r="E894" s="5">
        <f>E961+E936</f>
        <v>-193010.55</v>
      </c>
      <c r="F894" s="5">
        <f>F961+F936+F918</f>
        <v>-16354.880000000001</v>
      </c>
      <c r="G894" s="5">
        <f t="shared" si="335"/>
        <v>176655.66999999998</v>
      </c>
    </row>
    <row r="895" spans="1:7" x14ac:dyDescent="0.35">
      <c r="A895" s="3"/>
      <c r="B895" s="3" t="s">
        <v>109</v>
      </c>
      <c r="C895" s="3"/>
      <c r="D895" s="5">
        <f>D920+D939+D965</f>
        <v>-1367788</v>
      </c>
      <c r="E895" s="5">
        <f>E920+E939+E965</f>
        <v>-1367788.7434862512</v>
      </c>
      <c r="F895" s="5">
        <f>F920+F939+F965</f>
        <v>-1373051.48</v>
      </c>
      <c r="G895" s="5">
        <f t="shared" si="335"/>
        <v>-5262.736513748765</v>
      </c>
    </row>
    <row r="896" spans="1:7" x14ac:dyDescent="0.35">
      <c r="A896" s="37"/>
      <c r="B896" s="37" t="s">
        <v>31</v>
      </c>
      <c r="C896" s="37"/>
      <c r="D896" s="38">
        <f>SUM(D898:D903)</f>
        <v>-3440021</v>
      </c>
      <c r="E896" s="38">
        <f>SUM(E897:E903)</f>
        <v>-1443433.5934067816</v>
      </c>
      <c r="F896" s="38">
        <f>SUM(F898:F903)</f>
        <v>-1332263.7100000002</v>
      </c>
      <c r="G896" s="38">
        <f>F896-E896</f>
        <v>111169.88340678136</v>
      </c>
    </row>
    <row r="897" spans="1:7" x14ac:dyDescent="0.35">
      <c r="A897" s="37"/>
      <c r="B897" s="37"/>
      <c r="C897" s="3" t="s">
        <v>155</v>
      </c>
      <c r="D897" s="5">
        <f>D913</f>
        <v>0</v>
      </c>
      <c r="E897" s="5">
        <f t="shared" ref="E897:F897" si="337">E913</f>
        <v>-625977.31999999995</v>
      </c>
      <c r="F897" s="5">
        <f t="shared" si="337"/>
        <v>0</v>
      </c>
      <c r="G897" s="38">
        <f>F897-E897</f>
        <v>625977.31999999995</v>
      </c>
    </row>
    <row r="898" spans="1:7" x14ac:dyDescent="0.35">
      <c r="A898" s="3"/>
      <c r="B898" s="3"/>
      <c r="C898" s="3" t="s">
        <v>54</v>
      </c>
      <c r="D898" s="5">
        <f>D905+D914</f>
        <v>-859071</v>
      </c>
      <c r="E898" s="5">
        <f t="shared" ref="E898:F899" si="338">E905+E914</f>
        <v>-662383.71</v>
      </c>
      <c r="F898" s="5">
        <f t="shared" si="338"/>
        <v>-848118.94</v>
      </c>
      <c r="G898" s="5">
        <f t="shared" ref="G898:G903" si="339">F898-E898</f>
        <v>-185735.22999999998</v>
      </c>
    </row>
    <row r="899" spans="1:7" x14ac:dyDescent="0.35">
      <c r="A899" s="3"/>
      <c r="B899" s="3"/>
      <c r="C899" s="3" t="s">
        <v>55</v>
      </c>
      <c r="D899" s="5">
        <f>D906+D915</f>
        <v>-177571</v>
      </c>
      <c r="E899" s="5">
        <f t="shared" si="338"/>
        <v>-150443.57</v>
      </c>
      <c r="F899" s="5">
        <f t="shared" si="338"/>
        <v>-161934.65000000002</v>
      </c>
      <c r="G899" s="5">
        <f t="shared" si="339"/>
        <v>-11491.080000000016</v>
      </c>
    </row>
    <row r="900" spans="1:7" x14ac:dyDescent="0.35">
      <c r="A900" s="3"/>
      <c r="B900" s="3"/>
      <c r="C900" s="3" t="s">
        <v>101</v>
      </c>
      <c r="D900" s="5">
        <f>D907</f>
        <v>-816</v>
      </c>
      <c r="E900" s="5">
        <f>E907</f>
        <v>-816</v>
      </c>
      <c r="F900" s="5">
        <f t="shared" ref="F900" si="340">F907</f>
        <v>-669.66</v>
      </c>
      <c r="G900" s="5">
        <f>F900-E900</f>
        <v>146.34000000000003</v>
      </c>
    </row>
    <row r="901" spans="1:7" x14ac:dyDescent="0.35">
      <c r="A901" s="3"/>
      <c r="B901" s="3"/>
      <c r="C901" s="3" t="s">
        <v>110</v>
      </c>
      <c r="D901" s="5">
        <v>0</v>
      </c>
      <c r="E901" s="5">
        <v>0</v>
      </c>
      <c r="F901" s="5">
        <f>+F917</f>
        <v>-240580.05</v>
      </c>
      <c r="G901" s="5">
        <f>F901-E901</f>
        <v>-240580.05</v>
      </c>
    </row>
    <row r="902" spans="1:7" x14ac:dyDescent="0.35">
      <c r="A902" s="3"/>
      <c r="B902" s="3"/>
      <c r="C902" s="3" t="s">
        <v>102</v>
      </c>
      <c r="D902" s="5">
        <f>D908+D916</f>
        <v>-2399149</v>
      </c>
      <c r="E902" s="5">
        <f t="shared" ref="E902:F902" si="341">E908+E916</f>
        <v>-352.98</v>
      </c>
      <c r="F902" s="5">
        <f t="shared" si="341"/>
        <v>-76401.8</v>
      </c>
      <c r="G902" s="5">
        <f t="shared" si="339"/>
        <v>-76048.820000000007</v>
      </c>
    </row>
    <row r="903" spans="1:7" x14ac:dyDescent="0.35">
      <c r="A903" s="3"/>
      <c r="B903" s="3"/>
      <c r="C903" s="3" t="s">
        <v>103</v>
      </c>
      <c r="D903" s="5">
        <f>D909+D920</f>
        <v>-3414</v>
      </c>
      <c r="E903" s="5">
        <f t="shared" ref="E903" si="342">E909+E920</f>
        <v>-3460.0134067816625</v>
      </c>
      <c r="F903" s="5">
        <f>F909+F920+F911+F919</f>
        <v>-4558.6099999999997</v>
      </c>
      <c r="G903" s="5">
        <f t="shared" si="339"/>
        <v>-1098.5965932183371</v>
      </c>
    </row>
    <row r="904" spans="1:7" x14ac:dyDescent="0.35">
      <c r="A904" s="37"/>
      <c r="B904" s="37"/>
      <c r="C904" s="37" t="s">
        <v>105</v>
      </c>
      <c r="D904" s="38">
        <f>SUM(D905:D909)</f>
        <v>-795684</v>
      </c>
      <c r="E904" s="38">
        <f>SUM(E905:E909)</f>
        <v>-814682.84</v>
      </c>
      <c r="F904" s="38">
        <f t="shared" ref="F904" si="343">SUM(F905:F909)</f>
        <v>-754181.66999999993</v>
      </c>
      <c r="G904" s="38">
        <f>F904-E904</f>
        <v>60501.170000000042</v>
      </c>
    </row>
    <row r="905" spans="1:7" x14ac:dyDescent="0.35">
      <c r="A905" s="3"/>
      <c r="B905" s="3"/>
      <c r="C905" s="3" t="s">
        <v>54</v>
      </c>
      <c r="D905" s="5">
        <v>-656747</v>
      </c>
      <c r="E905" s="5">
        <v>-662383.71</v>
      </c>
      <c r="F905" s="5">
        <v>-608587.39</v>
      </c>
      <c r="G905" s="5">
        <f t="shared" ref="G905:G911" si="344">F905-E905</f>
        <v>53796.319999999949</v>
      </c>
    </row>
    <row r="906" spans="1:7" x14ac:dyDescent="0.35">
      <c r="A906" s="3"/>
      <c r="B906" s="3"/>
      <c r="C906" s="3" t="s">
        <v>55</v>
      </c>
      <c r="D906" s="5">
        <v>-137151</v>
      </c>
      <c r="E906" s="5">
        <f>-144777.44-5666.13</f>
        <v>-150443.57</v>
      </c>
      <c r="F906" s="5">
        <v>-143973.32</v>
      </c>
      <c r="G906" s="5">
        <f t="shared" si="344"/>
        <v>6470.25</v>
      </c>
    </row>
    <row r="907" spans="1:7" s="35" customFormat="1" x14ac:dyDescent="0.35">
      <c r="A907" s="3"/>
      <c r="B907" s="3"/>
      <c r="C907" s="3" t="s">
        <v>101</v>
      </c>
      <c r="D907" s="5">
        <v>-816</v>
      </c>
      <c r="E907" s="5">
        <f t="shared" ref="E907" si="345">D907</f>
        <v>-816</v>
      </c>
      <c r="F907" s="5">
        <v>-669.66</v>
      </c>
      <c r="G907" s="5">
        <f t="shared" si="344"/>
        <v>146.34000000000003</v>
      </c>
    </row>
    <row r="908" spans="1:7" x14ac:dyDescent="0.35">
      <c r="A908" s="3"/>
      <c r="B908" s="3"/>
      <c r="C908" s="3" t="s">
        <v>102</v>
      </c>
      <c r="D908" s="5">
        <v>-329</v>
      </c>
      <c r="E908" s="5">
        <v>-352.98</v>
      </c>
      <c r="F908" s="5">
        <v>-352.96</v>
      </c>
      <c r="G908" s="5">
        <f t="shared" si="344"/>
        <v>2.0000000000038654E-2</v>
      </c>
    </row>
    <row r="909" spans="1:7" x14ac:dyDescent="0.35">
      <c r="A909" s="3"/>
      <c r="B909" s="3"/>
      <c r="C909" s="3" t="s">
        <v>56</v>
      </c>
      <c r="D909" s="5">
        <v>-641</v>
      </c>
      <c r="E909" s="5">
        <v>-686.58</v>
      </c>
      <c r="F909" s="5">
        <v>-598.34</v>
      </c>
      <c r="G909" s="5">
        <f t="shared" si="344"/>
        <v>88.240000000000009</v>
      </c>
    </row>
    <row r="910" spans="1:7" x14ac:dyDescent="0.35">
      <c r="A910" s="3"/>
      <c r="B910" s="3"/>
      <c r="C910" s="37" t="s">
        <v>106</v>
      </c>
      <c r="D910" s="38">
        <v>0</v>
      </c>
      <c r="E910" s="38">
        <f>+E911</f>
        <v>0</v>
      </c>
      <c r="F910" s="38">
        <f>+F911</f>
        <v>115.09</v>
      </c>
      <c r="G910" s="38">
        <f>F910-E910</f>
        <v>115.09</v>
      </c>
    </row>
    <row r="911" spans="1:7" x14ac:dyDescent="0.35">
      <c r="A911" s="3"/>
      <c r="B911" s="3"/>
      <c r="C911" s="3" t="s">
        <v>56</v>
      </c>
      <c r="D911" s="5">
        <v>0</v>
      </c>
      <c r="E911" s="5">
        <v>0</v>
      </c>
      <c r="F911" s="5">
        <v>115.09</v>
      </c>
      <c r="G911" s="5">
        <f t="shared" si="344"/>
        <v>115.09</v>
      </c>
    </row>
    <row r="912" spans="1:7" x14ac:dyDescent="0.35">
      <c r="A912" s="37"/>
      <c r="B912" s="37"/>
      <c r="C912" s="37" t="s">
        <v>107</v>
      </c>
      <c r="D912" s="38">
        <f>SUM(D914:D916)</f>
        <v>-2641564</v>
      </c>
      <c r="E912" s="38">
        <f>SUM(E913:E916)</f>
        <v>-625977.31999999995</v>
      </c>
      <c r="F912" s="38">
        <f>SUM(F914:F917)</f>
        <v>-574121.77</v>
      </c>
      <c r="G912" s="38">
        <f>F912-E912</f>
        <v>51855.54999999993</v>
      </c>
    </row>
    <row r="913" spans="1:7" x14ac:dyDescent="0.35">
      <c r="A913" s="37"/>
      <c r="B913" s="37"/>
      <c r="C913" s="3" t="s">
        <v>155</v>
      </c>
      <c r="D913" s="5">
        <v>0</v>
      </c>
      <c r="E913" s="5">
        <v>-625977.31999999995</v>
      </c>
      <c r="F913" s="5">
        <v>0</v>
      </c>
      <c r="G913" s="5">
        <f>F913-E913</f>
        <v>625977.31999999995</v>
      </c>
    </row>
    <row r="914" spans="1:7" x14ac:dyDescent="0.35">
      <c r="A914" s="3"/>
      <c r="B914" s="3"/>
      <c r="C914" s="3" t="s">
        <v>54</v>
      </c>
      <c r="D914" s="5">
        <v>-202324</v>
      </c>
      <c r="E914" s="5">
        <v>0</v>
      </c>
      <c r="F914" s="5">
        <v>-239531.55</v>
      </c>
      <c r="G914" s="5">
        <f t="shared" ref="G914:G917" si="346">F914-E914</f>
        <v>-239531.55</v>
      </c>
    </row>
    <row r="915" spans="1:7" x14ac:dyDescent="0.35">
      <c r="A915" s="37"/>
      <c r="B915" s="37"/>
      <c r="C915" s="3" t="s">
        <v>55</v>
      </c>
      <c r="D915" s="5">
        <v>-40420</v>
      </c>
      <c r="E915" s="5">
        <v>0</v>
      </c>
      <c r="F915" s="5">
        <v>-17961.330000000002</v>
      </c>
      <c r="G915" s="5">
        <f t="shared" si="346"/>
        <v>-17961.330000000002</v>
      </c>
    </row>
    <row r="916" spans="1:7" x14ac:dyDescent="0.35">
      <c r="A916" s="3"/>
      <c r="B916" s="3"/>
      <c r="C916" s="3" t="s">
        <v>102</v>
      </c>
      <c r="D916" s="5">
        <f>-599705-1799115</f>
        <v>-2398820</v>
      </c>
      <c r="E916" s="5">
        <v>0</v>
      </c>
      <c r="F916" s="5">
        <v>-76048.84</v>
      </c>
      <c r="G916" s="5">
        <f t="shared" si="346"/>
        <v>-76048.84</v>
      </c>
    </row>
    <row r="917" spans="1:7" x14ac:dyDescent="0.35">
      <c r="A917" s="3"/>
      <c r="B917" s="3"/>
      <c r="C917" s="3" t="s">
        <v>110</v>
      </c>
      <c r="D917" s="5">
        <v>0</v>
      </c>
      <c r="E917" s="5">
        <v>0</v>
      </c>
      <c r="F917" s="5">
        <v>-240580.05</v>
      </c>
      <c r="G917" s="5">
        <f t="shared" si="346"/>
        <v>-240580.05</v>
      </c>
    </row>
    <row r="918" spans="1:7" x14ac:dyDescent="0.35">
      <c r="A918" s="3"/>
      <c r="B918" s="3"/>
      <c r="C918" s="37" t="s">
        <v>108</v>
      </c>
      <c r="D918" s="38">
        <v>0</v>
      </c>
      <c r="E918" s="38">
        <f>SUM(E919)</f>
        <v>0</v>
      </c>
      <c r="F918" s="38">
        <f>SUM(F919)</f>
        <v>-115.32</v>
      </c>
      <c r="G918" s="38">
        <f>F918-E918</f>
        <v>-115.32</v>
      </c>
    </row>
    <row r="919" spans="1:7" x14ac:dyDescent="0.35">
      <c r="A919" s="3"/>
      <c r="B919" s="3"/>
      <c r="C919" s="3" t="s">
        <v>56</v>
      </c>
      <c r="D919" s="5">
        <v>0</v>
      </c>
      <c r="E919" s="5">
        <v>0</v>
      </c>
      <c r="F919" s="5">
        <v>-115.32</v>
      </c>
      <c r="G919" s="5">
        <f>F919-E919</f>
        <v>-115.32</v>
      </c>
    </row>
    <row r="920" spans="1:7" x14ac:dyDescent="0.35">
      <c r="A920" s="37"/>
      <c r="B920" s="37"/>
      <c r="C920" s="37" t="s">
        <v>109</v>
      </c>
      <c r="D920" s="38">
        <v>-2773</v>
      </c>
      <c r="E920" s="67">
        <v>-2773.4334067816626</v>
      </c>
      <c r="F920" s="38">
        <v>-3960.04</v>
      </c>
      <c r="G920" s="38">
        <f t="shared" ref="G920" si="347">F920-E920</f>
        <v>-1186.6065932183374</v>
      </c>
    </row>
    <row r="921" spans="1:7" s="35" customFormat="1" x14ac:dyDescent="0.35">
      <c r="A921" s="37"/>
      <c r="B921" s="37" t="s">
        <v>116</v>
      </c>
      <c r="C921" s="37"/>
      <c r="D921" s="38">
        <f>SUM(D923:D925)</f>
        <v>-2809076</v>
      </c>
      <c r="E921" s="38">
        <f>SUM(E922:E925)</f>
        <v>-2925466.9641246391</v>
      </c>
      <c r="F921" s="38">
        <f>SUM(F923:F925)</f>
        <v>-2974638.8</v>
      </c>
      <c r="G921" s="38">
        <f>F921-E921</f>
        <v>-49171.835875360761</v>
      </c>
    </row>
    <row r="922" spans="1:7" x14ac:dyDescent="0.35">
      <c r="A922" s="37"/>
      <c r="B922" s="37"/>
      <c r="C922" s="3" t="s">
        <v>155</v>
      </c>
      <c r="D922" s="5">
        <v>0</v>
      </c>
      <c r="E922" s="5">
        <f>+E933+E937</f>
        <v>-438942.18000000005</v>
      </c>
      <c r="F922" s="5">
        <v>0</v>
      </c>
      <c r="G922" s="5">
        <f>F922-E922</f>
        <v>438942.18000000005</v>
      </c>
    </row>
    <row r="923" spans="1:7" x14ac:dyDescent="0.35">
      <c r="A923" s="3"/>
      <c r="B923" s="3"/>
      <c r="C923" s="3" t="s">
        <v>54</v>
      </c>
      <c r="D923" s="5">
        <f>D927+D934</f>
        <v>-1321340</v>
      </c>
      <c r="E923" s="5">
        <f t="shared" ref="E923:E924" si="348">E927+E934</f>
        <v>-980067.7</v>
      </c>
      <c r="F923" s="5">
        <f>F927+F934+F938</f>
        <v>-1336886.0699999998</v>
      </c>
      <c r="G923" s="5">
        <f t="shared" ref="G923:G925" si="349">F923-E923</f>
        <v>-356818.36999999988</v>
      </c>
    </row>
    <row r="924" spans="1:7" x14ac:dyDescent="0.35">
      <c r="A924" s="3"/>
      <c r="B924" s="3"/>
      <c r="C924" s="3" t="s">
        <v>55</v>
      </c>
      <c r="D924" s="5">
        <f>D928+D935</f>
        <v>-1177179</v>
      </c>
      <c r="E924" s="5">
        <f t="shared" si="348"/>
        <v>-1195596.22</v>
      </c>
      <c r="F924" s="5">
        <f>F928+F935</f>
        <v>-1277108.58</v>
      </c>
      <c r="G924" s="5">
        <f t="shared" si="349"/>
        <v>-81512.360000000102</v>
      </c>
    </row>
    <row r="925" spans="1:7" x14ac:dyDescent="0.35">
      <c r="A925" s="3"/>
      <c r="B925" s="3"/>
      <c r="C925" s="3" t="s">
        <v>103</v>
      </c>
      <c r="D925" s="5">
        <f>D939</f>
        <v>-310557</v>
      </c>
      <c r="E925" s="5">
        <f>E939+E929</f>
        <v>-310860.86412463948</v>
      </c>
      <c r="F925" s="5">
        <f>F939+F931+F929</f>
        <v>-360644.14999999997</v>
      </c>
      <c r="G925" s="5">
        <f t="shared" si="349"/>
        <v>-49783.285875360481</v>
      </c>
    </row>
    <row r="926" spans="1:7" x14ac:dyDescent="0.35">
      <c r="A926" s="37"/>
      <c r="B926" s="37"/>
      <c r="C926" s="37" t="s">
        <v>105</v>
      </c>
      <c r="D926" s="38">
        <f>SUM(D927:D928)</f>
        <v>-2147092</v>
      </c>
      <c r="E926" s="38">
        <f>SUM(E927:E929)</f>
        <v>-2175967.9499999997</v>
      </c>
      <c r="F926" s="38">
        <f>SUM(F927:F929)</f>
        <v>-2326739.6300000004</v>
      </c>
      <c r="G926" s="38">
        <f>F926-E926</f>
        <v>-150771.68000000063</v>
      </c>
    </row>
    <row r="927" spans="1:7" x14ac:dyDescent="0.35">
      <c r="A927" s="3"/>
      <c r="B927" s="3"/>
      <c r="C927" s="3" t="s">
        <v>54</v>
      </c>
      <c r="D927" s="5">
        <v>-1026799</v>
      </c>
      <c r="E927" s="5">
        <v>-980067.7</v>
      </c>
      <c r="F927" s="5">
        <v>-1056933.4099999999</v>
      </c>
      <c r="G927" s="5">
        <f t="shared" ref="G927:G931" si="350">F927-E927</f>
        <v>-76865.709999999963</v>
      </c>
    </row>
    <row r="928" spans="1:7" x14ac:dyDescent="0.35">
      <c r="A928" s="3"/>
      <c r="B928" s="3"/>
      <c r="C928" s="3" t="s">
        <v>55</v>
      </c>
      <c r="D928" s="5">
        <v>-1120293</v>
      </c>
      <c r="E928" s="5">
        <v>-1195596.22</v>
      </c>
      <c r="F928" s="5">
        <v>-1269516.3700000001</v>
      </c>
      <c r="G928" s="5">
        <f t="shared" si="350"/>
        <v>-73920.15000000014</v>
      </c>
    </row>
    <row r="929" spans="1:7" x14ac:dyDescent="0.35">
      <c r="A929" s="3"/>
      <c r="B929" s="3"/>
      <c r="C929" s="3" t="s">
        <v>56</v>
      </c>
      <c r="D929" s="5">
        <v>0</v>
      </c>
      <c r="E929" s="5">
        <v>-304.02999999999997</v>
      </c>
      <c r="F929" s="5">
        <v>-289.85000000000002</v>
      </c>
      <c r="G929" s="5">
        <f t="shared" si="350"/>
        <v>14.17999999999995</v>
      </c>
    </row>
    <row r="930" spans="1:7" x14ac:dyDescent="0.35">
      <c r="A930" s="3"/>
      <c r="B930" s="3"/>
      <c r="C930" s="37" t="s">
        <v>106</v>
      </c>
      <c r="D930" s="5">
        <v>0</v>
      </c>
      <c r="E930" s="38">
        <f>+E931</f>
        <v>0</v>
      </c>
      <c r="F930" s="38">
        <f>+F931</f>
        <v>-97.76</v>
      </c>
      <c r="G930" s="38">
        <f>F930-E930</f>
        <v>-97.76</v>
      </c>
    </row>
    <row r="931" spans="1:7" x14ac:dyDescent="0.35">
      <c r="A931" s="3"/>
      <c r="B931" s="3"/>
      <c r="C931" s="3" t="s">
        <v>56</v>
      </c>
      <c r="D931" s="5">
        <v>0</v>
      </c>
      <c r="E931" s="5">
        <v>0</v>
      </c>
      <c r="F931" s="5">
        <v>-97.76</v>
      </c>
      <c r="G931" s="5">
        <f t="shared" si="350"/>
        <v>-97.76</v>
      </c>
    </row>
    <row r="932" spans="1:7" x14ac:dyDescent="0.35">
      <c r="A932" s="37"/>
      <c r="B932" s="37"/>
      <c r="C932" s="37" t="s">
        <v>107</v>
      </c>
      <c r="D932" s="38">
        <f>SUM(D934:D935)</f>
        <v>-351427</v>
      </c>
      <c r="E932" s="38">
        <f>SUM(E933:E935)</f>
        <v>-285237.77</v>
      </c>
      <c r="F932" s="38">
        <f t="shared" ref="F932" si="351">SUM(F934:F935)</f>
        <v>-285165.92000000004</v>
      </c>
      <c r="G932" s="38">
        <f>F932-E932</f>
        <v>71.849999999976717</v>
      </c>
    </row>
    <row r="933" spans="1:7" x14ac:dyDescent="0.35">
      <c r="A933" s="37"/>
      <c r="B933" s="37"/>
      <c r="C933" s="3" t="s">
        <v>155</v>
      </c>
      <c r="D933" s="5">
        <v>0</v>
      </c>
      <c r="E933" s="5">
        <v>-285237.77</v>
      </c>
      <c r="F933" s="5">
        <v>0</v>
      </c>
      <c r="G933" s="5">
        <f>F933-E933</f>
        <v>285237.77</v>
      </c>
    </row>
    <row r="934" spans="1:7" x14ac:dyDescent="0.35">
      <c r="A934" s="3"/>
      <c r="B934" s="3"/>
      <c r="C934" s="3" t="s">
        <v>54</v>
      </c>
      <c r="D934" s="5">
        <v>-294541</v>
      </c>
      <c r="E934" s="5">
        <v>0</v>
      </c>
      <c r="F934" s="5">
        <v>-277573.71000000002</v>
      </c>
      <c r="G934" s="5">
        <f t="shared" ref="G934:G935" si="352">F934-E934</f>
        <v>-277573.71000000002</v>
      </c>
    </row>
    <row r="935" spans="1:7" x14ac:dyDescent="0.35">
      <c r="A935" s="37"/>
      <c r="B935" s="37"/>
      <c r="C935" s="3" t="s">
        <v>55</v>
      </c>
      <c r="D935" s="5">
        <v>-56886</v>
      </c>
      <c r="E935" s="5">
        <v>0</v>
      </c>
      <c r="F935" s="5">
        <v>-7592.21</v>
      </c>
      <c r="G935" s="5">
        <f t="shared" si="352"/>
        <v>-7592.21</v>
      </c>
    </row>
    <row r="936" spans="1:7" x14ac:dyDescent="0.35">
      <c r="A936" s="37"/>
      <c r="B936" s="37"/>
      <c r="C936" s="37" t="s">
        <v>108</v>
      </c>
      <c r="D936" s="5">
        <v>0</v>
      </c>
      <c r="E936" s="38">
        <f>SUM(E937:E938)</f>
        <v>-153704.41</v>
      </c>
      <c r="F936" s="38">
        <f>SUM(F938:F938)</f>
        <v>-2378.9499999999998</v>
      </c>
      <c r="G936" s="38">
        <f>F936-E936</f>
        <v>151325.46</v>
      </c>
    </row>
    <row r="937" spans="1:7" x14ac:dyDescent="0.35">
      <c r="A937" s="37"/>
      <c r="B937" s="37"/>
      <c r="C937" s="3" t="s">
        <v>155</v>
      </c>
      <c r="D937" s="5">
        <v>0</v>
      </c>
      <c r="E937" s="5">
        <v>-153704.41</v>
      </c>
      <c r="F937" s="5">
        <v>0</v>
      </c>
      <c r="G937" s="5">
        <f>F937-E937</f>
        <v>153704.41</v>
      </c>
    </row>
    <row r="938" spans="1:7" x14ac:dyDescent="0.35">
      <c r="A938" s="37"/>
      <c r="B938" s="37"/>
      <c r="C938" s="3" t="s">
        <v>54</v>
      </c>
      <c r="D938" s="5">
        <v>0</v>
      </c>
      <c r="E938" s="5">
        <v>0</v>
      </c>
      <c r="F938" s="5">
        <v>-2378.9499999999998</v>
      </c>
      <c r="G938" s="5">
        <f t="shared" ref="G938:G939" si="353">F938-E938</f>
        <v>-2378.9499999999998</v>
      </c>
    </row>
    <row r="939" spans="1:7" s="35" customFormat="1" x14ac:dyDescent="0.35">
      <c r="A939" s="37"/>
      <c r="B939" s="37"/>
      <c r="C939" s="37" t="s">
        <v>109</v>
      </c>
      <c r="D939" s="38">
        <v>-310557</v>
      </c>
      <c r="E939" s="67">
        <v>-310556.83412463946</v>
      </c>
      <c r="F939" s="38">
        <v>-360256.54</v>
      </c>
      <c r="G939" s="38">
        <f t="shared" si="353"/>
        <v>-49699.705875360523</v>
      </c>
    </row>
    <row r="940" spans="1:7" x14ac:dyDescent="0.35">
      <c r="A940" s="37"/>
      <c r="B940" s="37" t="s">
        <v>117</v>
      </c>
      <c r="C940" s="37"/>
      <c r="D940" s="38">
        <f>SUM(D942:D946)</f>
        <v>-36530537</v>
      </c>
      <c r="E940" s="38">
        <f>SUM(E941:E946)</f>
        <v>-37484232.515954822</v>
      </c>
      <c r="F940" s="38">
        <f t="shared" ref="F940" si="354">SUM(F942:F946)</f>
        <v>-36493669.039999999</v>
      </c>
      <c r="G940" s="38">
        <f>F940-E940</f>
        <v>990563.4759548232</v>
      </c>
    </row>
    <row r="941" spans="1:7" s="35" customFormat="1" x14ac:dyDescent="0.35">
      <c r="A941" s="37"/>
      <c r="B941" s="37"/>
      <c r="C941" s="3" t="s">
        <v>155</v>
      </c>
      <c r="D941" s="5">
        <f>D957+D962</f>
        <v>0</v>
      </c>
      <c r="E941" s="5">
        <f t="shared" ref="E941:F941" si="355">E957+E962</f>
        <v>-1415577.9</v>
      </c>
      <c r="F941" s="5">
        <f t="shared" si="355"/>
        <v>0</v>
      </c>
      <c r="G941" s="5">
        <f>F941-E941</f>
        <v>1415577.9</v>
      </c>
    </row>
    <row r="942" spans="1:7" s="35" customFormat="1" x14ac:dyDescent="0.35">
      <c r="A942" s="3"/>
      <c r="B942" s="3"/>
      <c r="C942" s="3" t="s">
        <v>54</v>
      </c>
      <c r="D942" s="5">
        <f>D948+D954+D958</f>
        <v>-23489467</v>
      </c>
      <c r="E942" s="5">
        <f t="shared" ref="E942" si="356">E948+E954+E958</f>
        <v>-23393892.809999999</v>
      </c>
      <c r="F942" s="5">
        <f>F948+F954+F958+F963</f>
        <v>-23909587.199999999</v>
      </c>
      <c r="G942" s="5">
        <f t="shared" ref="G942:G946" si="357">F942-E942</f>
        <v>-515694.3900000006</v>
      </c>
    </row>
    <row r="943" spans="1:7" x14ac:dyDescent="0.35">
      <c r="A943" s="3"/>
      <c r="B943" s="3"/>
      <c r="C943" s="3" t="s">
        <v>55</v>
      </c>
      <c r="D943" s="5">
        <f>D949+D959+D964</f>
        <v>-5511175</v>
      </c>
      <c r="E943" s="5">
        <f t="shared" ref="E943:F943" si="358">E949+E959+E964</f>
        <v>-5073420.99</v>
      </c>
      <c r="F943" s="5">
        <f t="shared" si="358"/>
        <v>-5139737.84</v>
      </c>
      <c r="G943" s="5">
        <f t="shared" si="357"/>
        <v>-66316.849999999627</v>
      </c>
    </row>
    <row r="944" spans="1:7" x14ac:dyDescent="0.35">
      <c r="A944" s="3"/>
      <c r="B944" s="3"/>
      <c r="C944" s="3" t="s">
        <v>101</v>
      </c>
      <c r="D944" s="5">
        <f>D950</f>
        <v>-318</v>
      </c>
      <c r="E944" s="5">
        <f t="shared" ref="E944:F944" si="359">E950</f>
        <v>-318</v>
      </c>
      <c r="F944" s="5">
        <f t="shared" si="359"/>
        <v>-317.98</v>
      </c>
      <c r="G944" s="5">
        <f t="shared" si="357"/>
        <v>1.999999999998181E-2</v>
      </c>
    </row>
    <row r="945" spans="1:7" x14ac:dyDescent="0.35">
      <c r="A945" s="3"/>
      <c r="B945" s="3"/>
      <c r="C945" s="3" t="s">
        <v>102</v>
      </c>
      <c r="D945" s="5">
        <f>D951</f>
        <v>-14768</v>
      </c>
      <c r="E945" s="5">
        <f>E951</f>
        <v>-17202.63</v>
      </c>
      <c r="F945" s="5">
        <f>F951+F960</f>
        <v>-115477.15000000001</v>
      </c>
      <c r="G945" s="5">
        <f t="shared" si="357"/>
        <v>-98274.52</v>
      </c>
    </row>
    <row r="946" spans="1:7" x14ac:dyDescent="0.35">
      <c r="A946" s="3"/>
      <c r="B946" s="3"/>
      <c r="C946" s="3" t="s">
        <v>103</v>
      </c>
      <c r="D946" s="5">
        <f>D952+D965</f>
        <v>-7514809</v>
      </c>
      <c r="E946" s="5">
        <f>E952+E965</f>
        <v>-7583820.1859548297</v>
      </c>
      <c r="F946" s="5">
        <f>F952+F965+F955</f>
        <v>-7328548.8700000001</v>
      </c>
      <c r="G946" s="5">
        <f t="shared" si="357"/>
        <v>255271.31595482957</v>
      </c>
    </row>
    <row r="947" spans="1:7" x14ac:dyDescent="0.35">
      <c r="A947" s="37"/>
      <c r="B947" s="37"/>
      <c r="C947" s="37" t="s">
        <v>105</v>
      </c>
      <c r="D947" s="38">
        <f>SUM(D948:D952)</f>
        <v>-34221613</v>
      </c>
      <c r="E947" s="38">
        <f>SUM(E948:E952)</f>
        <v>-34989521.139999993</v>
      </c>
      <c r="F947" s="38">
        <f t="shared" ref="F947" si="360">SUM(F948:F952)</f>
        <v>-34245052.280000001</v>
      </c>
      <c r="G947" s="38">
        <f>F947-E947</f>
        <v>744468.85999999195</v>
      </c>
    </row>
    <row r="948" spans="1:7" x14ac:dyDescent="0.35">
      <c r="A948" s="3"/>
      <c r="B948" s="3"/>
      <c r="C948" s="3" t="s">
        <v>54</v>
      </c>
      <c r="D948" s="5">
        <v>-22758526</v>
      </c>
      <c r="E948" s="5">
        <v>-23369217.809999999</v>
      </c>
      <c r="F948" s="5">
        <v>-23179217.760000002</v>
      </c>
      <c r="G948" s="5">
        <f t="shared" ref="G948:G952" si="361">F948-E948</f>
        <v>190000.04999999702</v>
      </c>
    </row>
    <row r="949" spans="1:7" x14ac:dyDescent="0.35">
      <c r="A949" s="3"/>
      <c r="B949" s="3"/>
      <c r="C949" s="3" t="s">
        <v>55</v>
      </c>
      <c r="D949" s="5">
        <v>-4987650</v>
      </c>
      <c r="E949" s="5">
        <f>-5034564.15-38856.84</f>
        <v>-5073420.99</v>
      </c>
      <c r="F949" s="5">
        <v>-4727026.82</v>
      </c>
      <c r="G949" s="5">
        <f t="shared" si="361"/>
        <v>346394.16999999993</v>
      </c>
    </row>
    <row r="950" spans="1:7" x14ac:dyDescent="0.35">
      <c r="A950" s="3"/>
      <c r="B950" s="3"/>
      <c r="C950" s="3" t="s">
        <v>101</v>
      </c>
      <c r="D950" s="5">
        <v>-318</v>
      </c>
      <c r="E950" s="5">
        <f t="shared" ref="E950" si="362">D950</f>
        <v>-318</v>
      </c>
      <c r="F950" s="5">
        <v>-317.98</v>
      </c>
      <c r="G950" s="5">
        <f t="shared" si="361"/>
        <v>1.999999999998181E-2</v>
      </c>
    </row>
    <row r="951" spans="1:7" x14ac:dyDescent="0.35">
      <c r="A951" s="3"/>
      <c r="B951" s="3"/>
      <c r="C951" s="3" t="s">
        <v>102</v>
      </c>
      <c r="D951" s="5">
        <v>-14768</v>
      </c>
      <c r="E951" s="5">
        <v>-17202.63</v>
      </c>
      <c r="F951" s="5">
        <v>-17176.91</v>
      </c>
      <c r="G951" s="5">
        <f t="shared" si="361"/>
        <v>25.720000000001164</v>
      </c>
    </row>
    <row r="952" spans="1:7" x14ac:dyDescent="0.35">
      <c r="A952" s="3"/>
      <c r="B952" s="3"/>
      <c r="C952" s="3" t="s">
        <v>56</v>
      </c>
      <c r="D952" s="5">
        <v>-6460351</v>
      </c>
      <c r="E952" s="5">
        <v>-6529361.71</v>
      </c>
      <c r="F952" s="5">
        <v>-6321312.8099999996</v>
      </c>
      <c r="G952" s="5">
        <f t="shared" si="361"/>
        <v>208048.90000000037</v>
      </c>
    </row>
    <row r="953" spans="1:7" x14ac:dyDescent="0.35">
      <c r="A953" s="37"/>
      <c r="B953" s="37"/>
      <c r="C953" s="37" t="s">
        <v>106</v>
      </c>
      <c r="D953" s="38">
        <f>SUM(D954:D954)</f>
        <v>-24675</v>
      </c>
      <c r="E953" s="38">
        <f>SUM(E954:E954)</f>
        <v>-24675</v>
      </c>
      <c r="F953" s="38">
        <f>SUM(F954:F955)</f>
        <v>-12788.93</v>
      </c>
      <c r="G953" s="38">
        <f>F953-E953</f>
        <v>11886.07</v>
      </c>
    </row>
    <row r="954" spans="1:7" x14ac:dyDescent="0.35">
      <c r="A954" s="3"/>
      <c r="B954" s="3"/>
      <c r="C954" s="3" t="s">
        <v>54</v>
      </c>
      <c r="D954" s="5">
        <v>-24675</v>
      </c>
      <c r="E954" s="5">
        <f t="shared" ref="E954" si="363">D954</f>
        <v>-24675</v>
      </c>
      <c r="F954" s="5">
        <v>-14387.77</v>
      </c>
      <c r="G954" s="5">
        <f t="shared" ref="G954:G955" si="364">F954-E954</f>
        <v>10287.23</v>
      </c>
    </row>
    <row r="955" spans="1:7" x14ac:dyDescent="0.35">
      <c r="A955" s="3"/>
      <c r="B955" s="3"/>
      <c r="C955" s="3" t="s">
        <v>56</v>
      </c>
      <c r="D955" s="5">
        <v>0</v>
      </c>
      <c r="E955" s="5">
        <v>0</v>
      </c>
      <c r="F955" s="5">
        <v>1598.84</v>
      </c>
      <c r="G955" s="5">
        <f t="shared" si="364"/>
        <v>1598.84</v>
      </c>
    </row>
    <row r="956" spans="1:7" x14ac:dyDescent="0.35">
      <c r="A956" s="37"/>
      <c r="B956" s="37"/>
      <c r="C956" s="37" t="s">
        <v>107</v>
      </c>
      <c r="D956" s="38">
        <f>SUM(D958:D959)</f>
        <v>-1225051</v>
      </c>
      <c r="E956" s="38">
        <f>SUM(E957:E959)</f>
        <v>-1376271.76</v>
      </c>
      <c r="F956" s="38">
        <f>SUM(F958:F960)</f>
        <v>-1213132.32</v>
      </c>
      <c r="G956" s="38">
        <f>F956-E956</f>
        <v>163139.43999999994</v>
      </c>
    </row>
    <row r="957" spans="1:7" x14ac:dyDescent="0.35">
      <c r="A957" s="37"/>
      <c r="B957" s="37"/>
      <c r="C957" s="3" t="s">
        <v>155</v>
      </c>
      <c r="D957" s="5">
        <v>0</v>
      </c>
      <c r="E957" s="5">
        <v>-1376271.76</v>
      </c>
      <c r="F957" s="5">
        <v>0</v>
      </c>
      <c r="G957" s="5">
        <f>F957-E957</f>
        <v>1376271.76</v>
      </c>
    </row>
    <row r="958" spans="1:7" x14ac:dyDescent="0.35">
      <c r="A958" s="3"/>
      <c r="B958" s="3"/>
      <c r="C958" s="3" t="s">
        <v>54</v>
      </c>
      <c r="D958" s="5">
        <v>-706266</v>
      </c>
      <c r="E958" s="5">
        <v>0</v>
      </c>
      <c r="F958" s="5">
        <v>-708394.24</v>
      </c>
      <c r="G958" s="5">
        <f t="shared" ref="G958:G960" si="365">F958-E958</f>
        <v>-708394.24</v>
      </c>
    </row>
    <row r="959" spans="1:7" s="35" customFormat="1" x14ac:dyDescent="0.35">
      <c r="A959" s="37"/>
      <c r="B959" s="37"/>
      <c r="C959" s="3" t="s">
        <v>55</v>
      </c>
      <c r="D959" s="5">
        <v>-518785</v>
      </c>
      <c r="E959" s="5">
        <v>0</v>
      </c>
      <c r="F959" s="5">
        <v>-406437.84</v>
      </c>
      <c r="G959" s="5">
        <f t="shared" si="365"/>
        <v>-406437.84</v>
      </c>
    </row>
    <row r="960" spans="1:7" x14ac:dyDescent="0.35">
      <c r="A960" s="37"/>
      <c r="B960" s="37"/>
      <c r="C960" s="3" t="s">
        <v>102</v>
      </c>
      <c r="D960" s="5">
        <v>0</v>
      </c>
      <c r="E960" s="5">
        <v>0</v>
      </c>
      <c r="F960" s="5">
        <v>-98300.24</v>
      </c>
      <c r="G960" s="5">
        <f t="shared" si="365"/>
        <v>-98300.24</v>
      </c>
    </row>
    <row r="961" spans="1:7" x14ac:dyDescent="0.35">
      <c r="A961" s="37"/>
      <c r="B961" s="37"/>
      <c r="C961" s="37" t="s">
        <v>108</v>
      </c>
      <c r="D961" s="38">
        <f>SUM(D964:D964)</f>
        <v>-4740</v>
      </c>
      <c r="E961" s="38">
        <f>SUM(E962:E964)</f>
        <v>-39306.14</v>
      </c>
      <c r="F961" s="38">
        <f>SUM(F962:F964)</f>
        <v>-13860.61</v>
      </c>
      <c r="G961" s="38">
        <f>F961-E961</f>
        <v>25445.53</v>
      </c>
    </row>
    <row r="962" spans="1:7" x14ac:dyDescent="0.35">
      <c r="A962" s="37"/>
      <c r="B962" s="37"/>
      <c r="C962" s="3" t="s">
        <v>155</v>
      </c>
      <c r="D962" s="5">
        <v>0</v>
      </c>
      <c r="E962" s="5">
        <v>-39306.14</v>
      </c>
      <c r="F962" s="5">
        <v>0</v>
      </c>
      <c r="G962" s="5">
        <f t="shared" ref="G962:G971" si="366">F962-E962</f>
        <v>39306.14</v>
      </c>
    </row>
    <row r="963" spans="1:7" x14ac:dyDescent="0.35">
      <c r="A963" s="37"/>
      <c r="B963" s="37"/>
      <c r="C963" s="3" t="s">
        <v>54</v>
      </c>
      <c r="D963" s="5">
        <v>0</v>
      </c>
      <c r="E963" s="5">
        <v>0</v>
      </c>
      <c r="F963" s="5">
        <v>-7587.43</v>
      </c>
      <c r="G963" s="5">
        <f t="shared" si="366"/>
        <v>-7587.43</v>
      </c>
    </row>
    <row r="964" spans="1:7" x14ac:dyDescent="0.35">
      <c r="A964" s="3"/>
      <c r="B964" s="3"/>
      <c r="C964" s="3" t="s">
        <v>55</v>
      </c>
      <c r="D964" s="5">
        <v>-4740</v>
      </c>
      <c r="E964" s="5">
        <v>0</v>
      </c>
      <c r="F964" s="5">
        <v>-6273.18</v>
      </c>
      <c r="G964" s="5">
        <f t="shared" si="366"/>
        <v>-6273.18</v>
      </c>
    </row>
    <row r="965" spans="1:7" x14ac:dyDescent="0.35">
      <c r="A965" s="37"/>
      <c r="B965" s="37"/>
      <c r="C965" s="37" t="s">
        <v>109</v>
      </c>
      <c r="D965" s="38">
        <v>-1054458</v>
      </c>
      <c r="E965" s="67">
        <v>-1054458.4759548302</v>
      </c>
      <c r="F965" s="38">
        <v>-1008834.9</v>
      </c>
      <c r="G965" s="38">
        <f t="shared" si="366"/>
        <v>45623.575954830158</v>
      </c>
    </row>
    <row r="966" spans="1:7" x14ac:dyDescent="0.35">
      <c r="A966" s="37" t="s">
        <v>134</v>
      </c>
      <c r="B966" s="37"/>
      <c r="C966" s="37"/>
      <c r="D966" s="38">
        <f>SUM(D967:D971)</f>
        <v>-10742301</v>
      </c>
      <c r="E966" s="38">
        <f t="shared" ref="E966:F966" si="367">SUM(E967:E971)</f>
        <v>-16243394.286278829</v>
      </c>
      <c r="F966" s="38">
        <f t="shared" si="367"/>
        <v>-14546625.58</v>
      </c>
      <c r="G966" s="38">
        <f t="shared" si="366"/>
        <v>1696768.7062788289</v>
      </c>
    </row>
    <row r="967" spans="1:7" x14ac:dyDescent="0.35">
      <c r="A967" s="3"/>
      <c r="B967" s="3" t="s">
        <v>105</v>
      </c>
      <c r="C967" s="3"/>
      <c r="D967" s="5">
        <f>D980+D1001+D1025+D1047</f>
        <v>-10096657</v>
      </c>
      <c r="E967" s="5">
        <f>E980+E1001+E1025+E1047</f>
        <v>-15080328.457058081</v>
      </c>
      <c r="F967" s="5">
        <f>F980+F1001+F1025+F1047</f>
        <v>-13417682.16</v>
      </c>
      <c r="G967" s="5">
        <f t="shared" si="366"/>
        <v>1662646.2970580813</v>
      </c>
    </row>
    <row r="968" spans="1:7" x14ac:dyDescent="0.35">
      <c r="A968" s="3"/>
      <c r="B968" s="3" t="s">
        <v>106</v>
      </c>
      <c r="C968" s="3"/>
      <c r="D968" s="5">
        <f>D1006</f>
        <v>-18698</v>
      </c>
      <c r="E968" s="5">
        <f>E1006+E1030+E1051</f>
        <v>-18698</v>
      </c>
      <c r="F968" s="5">
        <f>F1006+F986+F1030+F1051</f>
        <v>-50055.500000000007</v>
      </c>
      <c r="G968" s="5">
        <f t="shared" si="366"/>
        <v>-31357.500000000007</v>
      </c>
    </row>
    <row r="969" spans="1:7" x14ac:dyDescent="0.35">
      <c r="A969" s="3"/>
      <c r="B969" s="3" t="s">
        <v>107</v>
      </c>
      <c r="C969" s="3"/>
      <c r="D969" s="5">
        <f>D1009+D1032</f>
        <v>-23825</v>
      </c>
      <c r="E969" s="5">
        <f>E1009+E1032+E988+E1053</f>
        <v>-607327.91</v>
      </c>
      <c r="F969" s="5">
        <f>F1009+F1032+F988+F1053</f>
        <v>-725312.73</v>
      </c>
      <c r="G969" s="5">
        <f t="shared" si="366"/>
        <v>-117984.81999999995</v>
      </c>
    </row>
    <row r="970" spans="1:7" s="35" customFormat="1" x14ac:dyDescent="0.35">
      <c r="A970" s="3"/>
      <c r="B970" s="3" t="s">
        <v>108</v>
      </c>
      <c r="C970" s="3"/>
      <c r="D970" s="5">
        <f>D1014+D1036</f>
        <v>-176544</v>
      </c>
      <c r="E970" s="5">
        <f>E1014+E1036+E1057</f>
        <v>-110462.32</v>
      </c>
      <c r="F970" s="5">
        <f>F1014+F1036+F1057</f>
        <v>-81457.110000000015</v>
      </c>
      <c r="G970" s="5">
        <f t="shared" si="366"/>
        <v>29005.209999999992</v>
      </c>
    </row>
    <row r="971" spans="1:7" x14ac:dyDescent="0.35">
      <c r="A971" s="3"/>
      <c r="B971" s="3" t="s">
        <v>109</v>
      </c>
      <c r="C971" s="3"/>
      <c r="D971" s="5">
        <f>D994+D1018+D1040+D1061</f>
        <v>-426577</v>
      </c>
      <c r="E971" s="5">
        <f>E994+E1018+E1040+E1061</f>
        <v>-426577.59922074771</v>
      </c>
      <c r="F971" s="5">
        <f>F994+F1018+F1040+F1061</f>
        <v>-272118.08</v>
      </c>
      <c r="G971" s="5">
        <f t="shared" si="366"/>
        <v>154459.51922074769</v>
      </c>
    </row>
    <row r="972" spans="1:7" x14ac:dyDescent="0.35">
      <c r="A972" s="37"/>
      <c r="B972" s="37" t="s">
        <v>31</v>
      </c>
      <c r="C972" s="37"/>
      <c r="D972" s="38">
        <f>SUM(D974:D979)</f>
        <v>-473691</v>
      </c>
      <c r="E972" s="38">
        <f>SUM(E973:E979)</f>
        <v>-2088195.2889640634</v>
      </c>
      <c r="F972" s="38">
        <f>SUM(F974:F979)</f>
        <v>-1987424.05</v>
      </c>
      <c r="G972" s="38">
        <f>F972-E972</f>
        <v>100771.23896406335</v>
      </c>
    </row>
    <row r="973" spans="1:7" x14ac:dyDescent="0.35">
      <c r="A973" s="37"/>
      <c r="B973" s="37"/>
      <c r="C973" s="3" t="s">
        <v>155</v>
      </c>
      <c r="D973" s="5">
        <f>D989</f>
        <v>0</v>
      </c>
      <c r="E973" s="5">
        <f t="shared" ref="E973:F973" si="368">E989</f>
        <v>-507290.18</v>
      </c>
      <c r="F973" s="5">
        <f t="shared" si="368"/>
        <v>0</v>
      </c>
      <c r="G973" s="5">
        <f>F973-E973</f>
        <v>507290.18</v>
      </c>
    </row>
    <row r="974" spans="1:7" x14ac:dyDescent="0.35">
      <c r="A974" s="3"/>
      <c r="B974" s="3"/>
      <c r="C974" s="3" t="s">
        <v>54</v>
      </c>
      <c r="D974" s="5">
        <f>D981</f>
        <v>-388494</v>
      </c>
      <c r="E974" s="5">
        <f>E981</f>
        <v>-676927.18</v>
      </c>
      <c r="F974" s="5">
        <f>F981+F990</f>
        <v>-658116.57999999996</v>
      </c>
      <c r="G974" s="5">
        <f t="shared" ref="G974:G979" si="369">F974-E974</f>
        <v>18810.600000000093</v>
      </c>
    </row>
    <row r="975" spans="1:7" x14ac:dyDescent="0.35">
      <c r="A975" s="3"/>
      <c r="B975" s="3"/>
      <c r="C975" s="3" t="s">
        <v>55</v>
      </c>
      <c r="D975" s="5">
        <f>D982</f>
        <v>-82837</v>
      </c>
      <c r="E975" s="5">
        <f>E982</f>
        <v>-124840.66</v>
      </c>
      <c r="F975" s="5">
        <f>F982+F991</f>
        <v>-103733.88</v>
      </c>
      <c r="G975" s="5">
        <f t="shared" si="369"/>
        <v>21106.78</v>
      </c>
    </row>
    <row r="976" spans="1:7" x14ac:dyDescent="0.35">
      <c r="A976" s="3"/>
      <c r="B976" s="3"/>
      <c r="C976" s="3" t="s">
        <v>101</v>
      </c>
      <c r="D976" s="5">
        <f>D983</f>
        <v>-341</v>
      </c>
      <c r="E976" s="5">
        <f t="shared" ref="E976:F976" si="370">E983</f>
        <v>-341</v>
      </c>
      <c r="F976" s="5">
        <f t="shared" si="370"/>
        <v>-279.79000000000002</v>
      </c>
      <c r="G976" s="5">
        <f t="shared" si="369"/>
        <v>61.20999999999998</v>
      </c>
    </row>
    <row r="977" spans="1:7" x14ac:dyDescent="0.35">
      <c r="A977" s="3"/>
      <c r="B977" s="3"/>
      <c r="C977" s="3" t="s">
        <v>102</v>
      </c>
      <c r="D977" s="5">
        <v>0</v>
      </c>
      <c r="E977" s="5">
        <f>+E984</f>
        <v>-776750</v>
      </c>
      <c r="F977" s="5">
        <f>+F984+F992</f>
        <v>-781852.31</v>
      </c>
      <c r="G977" s="5">
        <f t="shared" si="369"/>
        <v>-5102.3100000000559</v>
      </c>
    </row>
    <row r="978" spans="1:7" x14ac:dyDescent="0.35">
      <c r="A978" s="3"/>
      <c r="B978" s="3"/>
      <c r="C978" s="3" t="str">
        <f>+C993</f>
        <v>Investeeringutoetused</v>
      </c>
      <c r="D978" s="5">
        <v>0</v>
      </c>
      <c r="E978" s="5">
        <v>0</v>
      </c>
      <c r="F978" s="5">
        <f>+F993</f>
        <v>-440813.7</v>
      </c>
      <c r="G978" s="5">
        <f t="shared" si="369"/>
        <v>-440813.7</v>
      </c>
    </row>
    <row r="979" spans="1:7" x14ac:dyDescent="0.35">
      <c r="A979" s="3"/>
      <c r="B979" s="3"/>
      <c r="C979" s="3" t="s">
        <v>103</v>
      </c>
      <c r="D979" s="5">
        <f>D985+D994</f>
        <v>-2019</v>
      </c>
      <c r="E979" s="5">
        <f>E985+E994</f>
        <v>-2046.268964063441</v>
      </c>
      <c r="F979" s="5">
        <f>F985+F994+F987</f>
        <v>-2627.79</v>
      </c>
      <c r="G979" s="5">
        <f t="shared" si="369"/>
        <v>-581.52103593655897</v>
      </c>
    </row>
    <row r="980" spans="1:7" x14ac:dyDescent="0.35">
      <c r="A980" s="37"/>
      <c r="B980" s="37"/>
      <c r="C980" s="37" t="s">
        <v>105</v>
      </c>
      <c r="D980" s="38">
        <f>SUM(D981:D985)</f>
        <v>-472051</v>
      </c>
      <c r="E980" s="38">
        <f>SUM(E981:E985)</f>
        <v>-1579264.8900000001</v>
      </c>
      <c r="F980" s="38">
        <f>SUM(F981:F985)</f>
        <v>-1499707.1</v>
      </c>
      <c r="G980" s="38">
        <f>F980-E980</f>
        <v>79557.790000000037</v>
      </c>
    </row>
    <row r="981" spans="1:7" x14ac:dyDescent="0.35">
      <c r="A981" s="3"/>
      <c r="B981" s="3"/>
      <c r="C981" s="3" t="s">
        <v>54</v>
      </c>
      <c r="D981" s="5">
        <v>-388494</v>
      </c>
      <c r="E981" s="5">
        <v>-676927.18</v>
      </c>
      <c r="F981" s="5">
        <v>-624042.56999999995</v>
      </c>
      <c r="G981" s="5">
        <f t="shared" ref="G981:G987" si="371">F981-E981</f>
        <v>52884.610000000102</v>
      </c>
    </row>
    <row r="982" spans="1:7" x14ac:dyDescent="0.35">
      <c r="A982" s="3"/>
      <c r="B982" s="3"/>
      <c r="C982" s="3" t="s">
        <v>55</v>
      </c>
      <c r="D982" s="5">
        <v>-82837</v>
      </c>
      <c r="E982" s="5">
        <f>-121489.69-3350.97</f>
        <v>-124840.66</v>
      </c>
      <c r="F982" s="5">
        <v>-98333.88</v>
      </c>
      <c r="G982" s="5">
        <f t="shared" si="371"/>
        <v>26506.78</v>
      </c>
    </row>
    <row r="983" spans="1:7" x14ac:dyDescent="0.35">
      <c r="A983" s="3"/>
      <c r="B983" s="3"/>
      <c r="C983" s="3" t="s">
        <v>101</v>
      </c>
      <c r="D983" s="5">
        <v>-341</v>
      </c>
      <c r="E983" s="5">
        <f t="shared" ref="E983" si="372">D983</f>
        <v>-341</v>
      </c>
      <c r="F983" s="5">
        <v>-279.79000000000002</v>
      </c>
      <c r="G983" s="5">
        <f t="shared" si="371"/>
        <v>61.20999999999998</v>
      </c>
    </row>
    <row r="984" spans="1:7" x14ac:dyDescent="0.35">
      <c r="A984" s="3"/>
      <c r="B984" s="3"/>
      <c r="C984" s="3" t="s">
        <v>102</v>
      </c>
      <c r="D984" s="5">
        <v>0</v>
      </c>
      <c r="E984" s="5">
        <v>-776750</v>
      </c>
      <c r="F984" s="5">
        <v>-776697</v>
      </c>
      <c r="G984" s="5">
        <f t="shared" si="371"/>
        <v>53</v>
      </c>
    </row>
    <row r="985" spans="1:7" x14ac:dyDescent="0.35">
      <c r="A985" s="3"/>
      <c r="B985" s="3"/>
      <c r="C985" s="3" t="s">
        <v>56</v>
      </c>
      <c r="D985" s="5">
        <v>-379</v>
      </c>
      <c r="E985" s="5">
        <v>-406.05</v>
      </c>
      <c r="F985" s="5">
        <v>-353.86</v>
      </c>
      <c r="G985" s="5">
        <f t="shared" si="371"/>
        <v>52.19</v>
      </c>
    </row>
    <row r="986" spans="1:7" x14ac:dyDescent="0.35">
      <c r="A986" s="3"/>
      <c r="B986" s="3"/>
      <c r="C986" s="37" t="s">
        <v>106</v>
      </c>
      <c r="D986" s="5">
        <v>0</v>
      </c>
      <c r="E986" s="38">
        <f>+E987</f>
        <v>0</v>
      </c>
      <c r="F986" s="38">
        <f>+F987</f>
        <v>68.06</v>
      </c>
      <c r="G986" s="38">
        <f t="shared" si="371"/>
        <v>68.06</v>
      </c>
    </row>
    <row r="987" spans="1:7" x14ac:dyDescent="0.35">
      <c r="A987" s="3"/>
      <c r="B987" s="3"/>
      <c r="C987" s="3" t="s">
        <v>56</v>
      </c>
      <c r="D987" s="5">
        <v>0</v>
      </c>
      <c r="E987" s="5">
        <v>0</v>
      </c>
      <c r="F987" s="5">
        <v>68.06</v>
      </c>
      <c r="G987" s="5">
        <f t="shared" si="371"/>
        <v>68.06</v>
      </c>
    </row>
    <row r="988" spans="1:7" s="35" customFormat="1" x14ac:dyDescent="0.35">
      <c r="A988" s="3"/>
      <c r="B988" s="3"/>
      <c r="C988" s="37" t="s">
        <v>107</v>
      </c>
      <c r="D988" s="38">
        <v>0</v>
      </c>
      <c r="E988" s="38">
        <f>SUM(E989:E993)</f>
        <v>-507290.18</v>
      </c>
      <c r="F988" s="38">
        <f>SUM(F989:F993)</f>
        <v>-485443.02</v>
      </c>
      <c r="G988" s="38">
        <f>F988-E988</f>
        <v>21847.159999999974</v>
      </c>
    </row>
    <row r="989" spans="1:7" x14ac:dyDescent="0.35">
      <c r="A989" s="3"/>
      <c r="B989" s="3"/>
      <c r="C989" s="3" t="s">
        <v>155</v>
      </c>
      <c r="D989" s="5">
        <v>0</v>
      </c>
      <c r="E989" s="5">
        <v>-507290.18</v>
      </c>
      <c r="F989" s="5">
        <v>0</v>
      </c>
      <c r="G989" s="5">
        <f>F989-E989</f>
        <v>507290.18</v>
      </c>
    </row>
    <row r="990" spans="1:7" s="35" customFormat="1" x14ac:dyDescent="0.35">
      <c r="A990" s="3"/>
      <c r="B990" s="3"/>
      <c r="C990" s="3" t="s">
        <v>54</v>
      </c>
      <c r="D990" s="5">
        <v>0</v>
      </c>
      <c r="E990" s="5">
        <v>0</v>
      </c>
      <c r="F990" s="5">
        <v>-34074.01</v>
      </c>
      <c r="G990" s="5">
        <f t="shared" ref="G990:G994" si="373">F990-E990</f>
        <v>-34074.01</v>
      </c>
    </row>
    <row r="991" spans="1:7" x14ac:dyDescent="0.35">
      <c r="A991" s="3"/>
      <c r="B991" s="3"/>
      <c r="C991" s="3" t="s">
        <v>55</v>
      </c>
      <c r="D991" s="5">
        <v>0</v>
      </c>
      <c r="E991" s="5">
        <v>0</v>
      </c>
      <c r="F991" s="5">
        <v>-5400</v>
      </c>
      <c r="G991" s="5">
        <f t="shared" si="373"/>
        <v>-5400</v>
      </c>
    </row>
    <row r="992" spans="1:7" x14ac:dyDescent="0.35">
      <c r="A992" s="3"/>
      <c r="B992" s="3"/>
      <c r="C992" s="3" t="s">
        <v>102</v>
      </c>
      <c r="D992" s="5">
        <v>0</v>
      </c>
      <c r="E992" s="5">
        <v>0</v>
      </c>
      <c r="F992" s="5">
        <v>-5155.3100000000004</v>
      </c>
      <c r="G992" s="5">
        <f t="shared" si="373"/>
        <v>-5155.3100000000004</v>
      </c>
    </row>
    <row r="993" spans="1:7" x14ac:dyDescent="0.35">
      <c r="A993" s="3"/>
      <c r="B993" s="3"/>
      <c r="C993" s="3" t="s">
        <v>110</v>
      </c>
      <c r="D993" s="5">
        <v>0</v>
      </c>
      <c r="E993" s="5">
        <v>0</v>
      </c>
      <c r="F993" s="5">
        <v>-440813.7</v>
      </c>
      <c r="G993" s="5">
        <f t="shared" si="373"/>
        <v>-440813.7</v>
      </c>
    </row>
    <row r="994" spans="1:7" x14ac:dyDescent="0.35">
      <c r="A994" s="37"/>
      <c r="B994" s="37"/>
      <c r="C994" s="37" t="s">
        <v>109</v>
      </c>
      <c r="D994" s="38">
        <v>-1640</v>
      </c>
      <c r="E994" s="67">
        <v>-1640.218964063441</v>
      </c>
      <c r="F994" s="38">
        <v>-2341.9899999999998</v>
      </c>
      <c r="G994" s="38">
        <f t="shared" si="373"/>
        <v>-701.77103593655875</v>
      </c>
    </row>
    <row r="995" spans="1:7" x14ac:dyDescent="0.35">
      <c r="A995" s="37"/>
      <c r="B995" s="37" t="s">
        <v>115</v>
      </c>
      <c r="C995" s="37"/>
      <c r="D995" s="38">
        <f>SUM(D997:D1000)</f>
        <v>-9073514</v>
      </c>
      <c r="E995" s="38">
        <f>SUM(E996:E1000)</f>
        <v>-10795562.100256683</v>
      </c>
      <c r="F995" s="38">
        <f>SUM(F996:F1000)</f>
        <v>-9696233.0499999989</v>
      </c>
      <c r="G995" s="38">
        <f>F995-E995</f>
        <v>1099329.0502566844</v>
      </c>
    </row>
    <row r="996" spans="1:7" s="35" customFormat="1" x14ac:dyDescent="0.35">
      <c r="A996" s="37"/>
      <c r="B996" s="37"/>
      <c r="C996" s="3" t="s">
        <v>155</v>
      </c>
      <c r="D996" s="5">
        <f>D1010+D1015</f>
        <v>0</v>
      </c>
      <c r="E996" s="5">
        <f t="shared" ref="E996:F996" si="374">E1010+E1015</f>
        <v>-104152.34</v>
      </c>
      <c r="F996" s="5">
        <f t="shared" si="374"/>
        <v>0</v>
      </c>
      <c r="G996" s="5">
        <f>F996-E996</f>
        <v>104152.34</v>
      </c>
    </row>
    <row r="997" spans="1:7" x14ac:dyDescent="0.35">
      <c r="A997" s="3"/>
      <c r="B997" s="3"/>
      <c r="C997" s="3" t="s">
        <v>54</v>
      </c>
      <c r="D997" s="5">
        <f>D1002+D1007+D1016</f>
        <v>-4362954</v>
      </c>
      <c r="E997" s="5">
        <f>E1002+E1007+E1016</f>
        <v>-4171568.63</v>
      </c>
      <c r="F997" s="5">
        <f>F1002+F1007+F1016+F1011</f>
        <v>-4001227.7199999997</v>
      </c>
      <c r="G997" s="5">
        <f t="shared" ref="G997:G1000" si="375">F997-E997</f>
        <v>170340.91000000015</v>
      </c>
    </row>
    <row r="998" spans="1:7" x14ac:dyDescent="0.35">
      <c r="A998" s="3"/>
      <c r="B998" s="3"/>
      <c r="C998" s="3" t="s">
        <v>55</v>
      </c>
      <c r="D998" s="5">
        <f>D1003+D1012+D1017</f>
        <v>-4379227</v>
      </c>
      <c r="E998" s="5">
        <f>E1003+E1012+E1017</f>
        <v>-3769168.51</v>
      </c>
      <c r="F998" s="5">
        <f>F1003+F1012+F1017</f>
        <v>-3380198.28</v>
      </c>
      <c r="G998" s="5">
        <f t="shared" si="375"/>
        <v>388970.23</v>
      </c>
    </row>
    <row r="999" spans="1:7" x14ac:dyDescent="0.35">
      <c r="A999" s="3"/>
      <c r="B999" s="3"/>
      <c r="C999" s="3" t="s">
        <v>102</v>
      </c>
      <c r="D999" s="5">
        <f>D1004</f>
        <v>-61559</v>
      </c>
      <c r="E999" s="5">
        <f t="shared" ref="E999:F999" si="376">E1004</f>
        <v>-2479908.61</v>
      </c>
      <c r="F999" s="5">
        <f t="shared" si="376"/>
        <v>-2203916.7000000002</v>
      </c>
      <c r="G999" s="5">
        <f t="shared" si="375"/>
        <v>275991.90999999968</v>
      </c>
    </row>
    <row r="1000" spans="1:7" x14ac:dyDescent="0.35">
      <c r="A1000" s="3"/>
      <c r="B1000" s="3"/>
      <c r="C1000" s="3" t="s">
        <v>103</v>
      </c>
      <c r="D1000" s="5">
        <f>D1018</f>
        <v>-269774</v>
      </c>
      <c r="E1000" s="5">
        <f>E1018+E1005</f>
        <v>-270764.01025668427</v>
      </c>
      <c r="F1000" s="5">
        <f>F1018+F1005+F1008+F1013</f>
        <v>-110890.34999999999</v>
      </c>
      <c r="G1000" s="5">
        <f t="shared" si="375"/>
        <v>159873.66025668429</v>
      </c>
    </row>
    <row r="1001" spans="1:7" x14ac:dyDescent="0.35">
      <c r="A1001" s="37"/>
      <c r="B1001" s="37"/>
      <c r="C1001" s="37" t="s">
        <v>105</v>
      </c>
      <c r="D1001" s="38">
        <f>SUM(D1002:D1004)</f>
        <v>-8602799</v>
      </c>
      <c r="E1001" s="38">
        <f>SUM(E1002:E1005)</f>
        <v>-10402937.57</v>
      </c>
      <c r="F1001" s="38">
        <f>SUM(F1002:F1005)</f>
        <v>-9231414.9100000001</v>
      </c>
      <c r="G1001" s="38">
        <f>F1001-E1001</f>
        <v>1171522.6600000001</v>
      </c>
    </row>
    <row r="1002" spans="1:7" x14ac:dyDescent="0.35">
      <c r="A1002" s="3"/>
      <c r="B1002" s="3"/>
      <c r="C1002" s="3" t="s">
        <v>54</v>
      </c>
      <c r="D1002" s="5">
        <v>-4343581</v>
      </c>
      <c r="E1002" s="5">
        <v>-4152870.63</v>
      </c>
      <c r="F1002" s="5">
        <v>-3932240.53</v>
      </c>
      <c r="G1002" s="5">
        <f t="shared" ref="G1002:G1005" si="377">F1002-E1002</f>
        <v>220630.10000000009</v>
      </c>
    </row>
    <row r="1003" spans="1:7" x14ac:dyDescent="0.35">
      <c r="A1003" s="3"/>
      <c r="B1003" s="3"/>
      <c r="C1003" s="3" t="s">
        <v>55</v>
      </c>
      <c r="D1003" s="5">
        <v>-4197659</v>
      </c>
      <c r="E1003" s="5">
        <f>-3769041.61-126.9</f>
        <v>-3769168.51</v>
      </c>
      <c r="F1003" s="5">
        <v>-3094484.38</v>
      </c>
      <c r="G1003" s="5">
        <f t="shared" si="377"/>
        <v>674684.12999999989</v>
      </c>
    </row>
    <row r="1004" spans="1:7" x14ac:dyDescent="0.35">
      <c r="A1004" s="3"/>
      <c r="B1004" s="3"/>
      <c r="C1004" s="3" t="s">
        <v>102</v>
      </c>
      <c r="D1004" s="5">
        <v>-61559</v>
      </c>
      <c r="E1004" s="5">
        <v>-2479908.61</v>
      </c>
      <c r="F1004" s="5">
        <v>-2203916.7000000002</v>
      </c>
      <c r="G1004" s="5">
        <f t="shared" si="377"/>
        <v>275991.90999999968</v>
      </c>
    </row>
    <row r="1005" spans="1:7" x14ac:dyDescent="0.35">
      <c r="A1005" s="3"/>
      <c r="B1005" s="3"/>
      <c r="C1005" s="3" t="s">
        <v>56</v>
      </c>
      <c r="D1005" s="5">
        <v>0</v>
      </c>
      <c r="E1005" s="5">
        <v>-989.82</v>
      </c>
      <c r="F1005" s="5">
        <v>-773.3</v>
      </c>
      <c r="G1005" s="5">
        <f t="shared" si="377"/>
        <v>216.5200000000001</v>
      </c>
    </row>
    <row r="1006" spans="1:7" x14ac:dyDescent="0.35">
      <c r="A1006" s="37"/>
      <c r="B1006" s="37"/>
      <c r="C1006" s="37" t="s">
        <v>106</v>
      </c>
      <c r="D1006" s="38">
        <f>SUM(D1007:D1007)</f>
        <v>-18698</v>
      </c>
      <c r="E1006" s="38">
        <f>SUM(E1007:E1008)</f>
        <v>-18698</v>
      </c>
      <c r="F1006" s="38">
        <f>SUM(F1007:F1008)</f>
        <v>-50039.520000000004</v>
      </c>
      <c r="G1006" s="38">
        <f>F1006-E1006</f>
        <v>-31341.520000000004</v>
      </c>
    </row>
    <row r="1007" spans="1:7" x14ac:dyDescent="0.35">
      <c r="A1007" s="3"/>
      <c r="B1007" s="3"/>
      <c r="C1007" s="3" t="s">
        <v>54</v>
      </c>
      <c r="D1007" s="5">
        <v>-18698</v>
      </c>
      <c r="E1007" s="5">
        <f t="shared" ref="E1007" si="378">D1007</f>
        <v>-18698</v>
      </c>
      <c r="F1007" s="5">
        <v>-49929.26</v>
      </c>
      <c r="G1007" s="5">
        <f t="shared" ref="G1007:G1008" si="379">F1007-E1007</f>
        <v>-31231.260000000002</v>
      </c>
    </row>
    <row r="1008" spans="1:7" x14ac:dyDescent="0.35">
      <c r="A1008" s="3"/>
      <c r="B1008" s="3"/>
      <c r="C1008" s="3" t="s">
        <v>56</v>
      </c>
      <c r="D1008" s="5">
        <v>0</v>
      </c>
      <c r="E1008" s="5">
        <v>0</v>
      </c>
      <c r="F1008" s="5">
        <v>-110.26</v>
      </c>
      <c r="G1008" s="5">
        <f t="shared" si="379"/>
        <v>-110.26</v>
      </c>
    </row>
    <row r="1009" spans="1:7" x14ac:dyDescent="0.35">
      <c r="A1009" s="37"/>
      <c r="B1009" s="37"/>
      <c r="C1009" s="37" t="s">
        <v>107</v>
      </c>
      <c r="D1009" s="38">
        <f>SUM(D1012:D1012)</f>
        <v>-6138</v>
      </c>
      <c r="E1009" s="38">
        <f>SUM(E1010:E1013)</f>
        <v>-86274.05</v>
      </c>
      <c r="F1009" s="38">
        <f>SUM(F1010:F1013)</f>
        <v>-225607.97999999998</v>
      </c>
      <c r="G1009" s="38">
        <f>F1009-E1009</f>
        <v>-139333.93</v>
      </c>
    </row>
    <row r="1010" spans="1:7" s="35" customFormat="1" x14ac:dyDescent="0.35">
      <c r="A1010" s="37"/>
      <c r="B1010" s="37"/>
      <c r="C1010" s="3" t="s">
        <v>155</v>
      </c>
      <c r="D1010" s="5">
        <v>0</v>
      </c>
      <c r="E1010" s="5">
        <v>-86274.05</v>
      </c>
      <c r="F1010" s="5">
        <v>0</v>
      </c>
      <c r="G1010" s="5">
        <f t="shared" ref="G1010:G1013" si="380">F1010-E1010</f>
        <v>86274.05</v>
      </c>
    </row>
    <row r="1011" spans="1:7" x14ac:dyDescent="0.35">
      <c r="A1011" s="37"/>
      <c r="B1011" s="37"/>
      <c r="C1011" s="3" t="s">
        <v>54</v>
      </c>
      <c r="D1011" s="5">
        <v>0</v>
      </c>
      <c r="E1011" s="5">
        <v>0</v>
      </c>
      <c r="F1011" s="5">
        <v>-19057.93</v>
      </c>
      <c r="G1011" s="5">
        <f t="shared" si="380"/>
        <v>-19057.93</v>
      </c>
    </row>
    <row r="1012" spans="1:7" x14ac:dyDescent="0.35">
      <c r="A1012" s="37"/>
      <c r="B1012" s="37"/>
      <c r="C1012" s="3" t="s">
        <v>55</v>
      </c>
      <c r="D1012" s="5">
        <v>-6138</v>
      </c>
      <c r="E1012" s="5">
        <v>0</v>
      </c>
      <c r="F1012" s="5">
        <v>-206480.3</v>
      </c>
      <c r="G1012" s="5">
        <f t="shared" si="380"/>
        <v>-206480.3</v>
      </c>
    </row>
    <row r="1013" spans="1:7" x14ac:dyDescent="0.35">
      <c r="A1013" s="37"/>
      <c r="B1013" s="37"/>
      <c r="C1013" s="3" t="s">
        <v>56</v>
      </c>
      <c r="D1013" s="5">
        <v>0</v>
      </c>
      <c r="E1013" s="5">
        <v>0</v>
      </c>
      <c r="F1013" s="5">
        <v>-69.75</v>
      </c>
      <c r="G1013" s="5">
        <f t="shared" si="380"/>
        <v>-69.75</v>
      </c>
    </row>
    <row r="1014" spans="1:7" x14ac:dyDescent="0.35">
      <c r="A1014" s="37"/>
      <c r="B1014" s="37"/>
      <c r="C1014" s="37" t="s">
        <v>108</v>
      </c>
      <c r="D1014" s="38">
        <f>SUM(D1016:D1017)</f>
        <v>-176105</v>
      </c>
      <c r="E1014" s="38">
        <f>SUM(E1015:E1017)</f>
        <v>-17878.29</v>
      </c>
      <c r="F1014" s="38">
        <f>SUM(F1015:F1017)</f>
        <v>-79233.600000000006</v>
      </c>
      <c r="G1014" s="38">
        <f>F1014-E1014</f>
        <v>-61355.310000000005</v>
      </c>
    </row>
    <row r="1015" spans="1:7" x14ac:dyDescent="0.35">
      <c r="A1015" s="37"/>
      <c r="B1015" s="37"/>
      <c r="C1015" s="3" t="s">
        <v>155</v>
      </c>
      <c r="D1015" s="5">
        <v>0</v>
      </c>
      <c r="E1015" s="5">
        <v>-17878.29</v>
      </c>
      <c r="F1015" s="5">
        <v>0</v>
      </c>
      <c r="G1015" s="5">
        <f>F1015-E1015</f>
        <v>17878.29</v>
      </c>
    </row>
    <row r="1016" spans="1:7" x14ac:dyDescent="0.35">
      <c r="A1016" s="3"/>
      <c r="B1016" s="3"/>
      <c r="C1016" s="3" t="s">
        <v>54</v>
      </c>
      <c r="D1016" s="5">
        <v>-675</v>
      </c>
      <c r="E1016" s="5">
        <v>0</v>
      </c>
      <c r="F1016" s="5">
        <v>0</v>
      </c>
      <c r="G1016" s="5">
        <f t="shared" ref="G1016:G1018" si="381">F1016-E1016</f>
        <v>0</v>
      </c>
    </row>
    <row r="1017" spans="1:7" x14ac:dyDescent="0.35">
      <c r="A1017" s="3"/>
      <c r="B1017" s="3"/>
      <c r="C1017" s="3" t="s">
        <v>55</v>
      </c>
      <c r="D1017" s="5">
        <f>-430-175000</f>
        <v>-175430</v>
      </c>
      <c r="E1017" s="5">
        <v>0</v>
      </c>
      <c r="F1017" s="5">
        <v>-79233.600000000006</v>
      </c>
      <c r="G1017" s="5">
        <f t="shared" si="381"/>
        <v>-79233.600000000006</v>
      </c>
    </row>
    <row r="1018" spans="1:7" x14ac:dyDescent="0.35">
      <c r="A1018" s="37"/>
      <c r="B1018" s="37"/>
      <c r="C1018" s="37" t="s">
        <v>109</v>
      </c>
      <c r="D1018" s="38">
        <v>-269774</v>
      </c>
      <c r="E1018" s="67">
        <v>-269774.19025668426</v>
      </c>
      <c r="F1018" s="38">
        <v>-109937.04</v>
      </c>
      <c r="G1018" s="38">
        <f t="shared" si="381"/>
        <v>159837.15025668428</v>
      </c>
    </row>
    <row r="1019" spans="1:7" x14ac:dyDescent="0.35">
      <c r="A1019" s="37"/>
      <c r="B1019" s="37" t="s">
        <v>116</v>
      </c>
      <c r="C1019" s="37"/>
      <c r="D1019" s="38">
        <f>SUM(D1021:D1024)</f>
        <v>-837492</v>
      </c>
      <c r="E1019" s="38">
        <f>SUM(E1020:E1024)</f>
        <v>-2772045.0670580808</v>
      </c>
      <c r="F1019" s="38">
        <f>SUM(F1021:F1024)</f>
        <v>-2326046.27</v>
      </c>
      <c r="G1019" s="38">
        <f>F1019-E1019</f>
        <v>445998.79705808079</v>
      </c>
    </row>
    <row r="1020" spans="1:7" x14ac:dyDescent="0.35">
      <c r="A1020" s="37"/>
      <c r="B1020" s="37"/>
      <c r="C1020" s="3" t="s">
        <v>155</v>
      </c>
      <c r="D1020" s="5">
        <v>0</v>
      </c>
      <c r="E1020" s="5">
        <f>+E1032+E1037</f>
        <v>-95328.439999999988</v>
      </c>
      <c r="F1020" s="5">
        <v>0</v>
      </c>
      <c r="G1020" s="5">
        <f>F1020-E1020</f>
        <v>95328.439999999988</v>
      </c>
    </row>
    <row r="1021" spans="1:7" x14ac:dyDescent="0.35">
      <c r="A1021" s="3"/>
      <c r="B1021" s="3"/>
      <c r="C1021" s="3" t="s">
        <v>54</v>
      </c>
      <c r="D1021" s="5">
        <f>D1026+D1034+D1038</f>
        <v>-363288</v>
      </c>
      <c r="E1021" s="5">
        <f t="shared" ref="E1021:F1022" si="382">E1026+E1034+E1038</f>
        <v>-643839.73</v>
      </c>
      <c r="F1021" s="5">
        <f>F1026+F1034+F1038</f>
        <v>-568776.38</v>
      </c>
      <c r="G1021" s="5">
        <f t="shared" ref="G1021:G1024" si="383">F1021-E1021</f>
        <v>75063.349999999977</v>
      </c>
    </row>
    <row r="1022" spans="1:7" x14ac:dyDescent="0.35">
      <c r="A1022" s="3"/>
      <c r="B1022" s="3"/>
      <c r="C1022" s="3" t="s">
        <v>55</v>
      </c>
      <c r="D1022" s="5">
        <f>D1027+D1035+D1039</f>
        <v>-319167</v>
      </c>
      <c r="E1022" s="5">
        <f t="shared" si="382"/>
        <v>-1877769.4</v>
      </c>
      <c r="F1022" s="5">
        <f t="shared" si="382"/>
        <v>-1597463.97</v>
      </c>
      <c r="G1022" s="5">
        <f t="shared" si="383"/>
        <v>280305.42999999993</v>
      </c>
    </row>
    <row r="1023" spans="1:7" x14ac:dyDescent="0.35">
      <c r="A1023" s="3"/>
      <c r="B1023" s="3"/>
      <c r="C1023" s="3" t="s">
        <v>102</v>
      </c>
      <c r="D1023" s="5">
        <f>D1028</f>
        <v>-2</v>
      </c>
      <c r="E1023" s="5">
        <f t="shared" ref="E1023:F1023" si="384">E1028</f>
        <v>-1.5770580808246808</v>
      </c>
      <c r="F1023" s="5">
        <f t="shared" si="384"/>
        <v>-1.57</v>
      </c>
      <c r="G1023" s="5">
        <f t="shared" si="383"/>
        <v>7.0580808246807347E-3</v>
      </c>
    </row>
    <row r="1024" spans="1:7" x14ac:dyDescent="0.35">
      <c r="A1024" s="3"/>
      <c r="B1024" s="3"/>
      <c r="C1024" s="3" t="s">
        <v>103</v>
      </c>
      <c r="D1024" s="5">
        <f>D1040</f>
        <v>-155035</v>
      </c>
      <c r="E1024" s="5">
        <f>E1040+E1029</f>
        <v>-155105.92000000001</v>
      </c>
      <c r="F1024" s="5">
        <f>F1040+F1029+F1031</f>
        <v>-159804.35000000003</v>
      </c>
      <c r="G1024" s="5">
        <f t="shared" si="383"/>
        <v>-4698.4300000000221</v>
      </c>
    </row>
    <row r="1025" spans="1:7" x14ac:dyDescent="0.35">
      <c r="A1025" s="37"/>
      <c r="B1025" s="37"/>
      <c r="C1025" s="37" t="s">
        <v>105</v>
      </c>
      <c r="D1025" s="38">
        <f>SUM(D1026:D1028)</f>
        <v>-664331</v>
      </c>
      <c r="E1025" s="38">
        <f>SUM(E1026:E1029)</f>
        <v>-2521681.4370580809</v>
      </c>
      <c r="F1025" s="38">
        <f>SUM(F1026:F1029)</f>
        <v>-2151658.36</v>
      </c>
      <c r="G1025" s="38">
        <f>F1025-E1025</f>
        <v>370023.07705808105</v>
      </c>
    </row>
    <row r="1026" spans="1:7" s="35" customFormat="1" x14ac:dyDescent="0.35">
      <c r="A1026" s="3"/>
      <c r="B1026" s="3"/>
      <c r="C1026" s="3" t="s">
        <v>54</v>
      </c>
      <c r="D1026" s="5">
        <v>-348114</v>
      </c>
      <c r="E1026" s="5">
        <v>-643839.73</v>
      </c>
      <c r="F1026" s="5">
        <v>-556114.18999999994</v>
      </c>
      <c r="G1026" s="5">
        <f t="shared" ref="G1026:G1031" si="385">F1026-E1026</f>
        <v>87725.540000000037</v>
      </c>
    </row>
    <row r="1027" spans="1:7" x14ac:dyDescent="0.35">
      <c r="A1027" s="3"/>
      <c r="B1027" s="3"/>
      <c r="C1027" s="3" t="s">
        <v>55</v>
      </c>
      <c r="D1027" s="5">
        <v>-316215</v>
      </c>
      <c r="E1027" s="5">
        <v>-1877769.4</v>
      </c>
      <c r="F1027" s="5">
        <v>-1595469.15</v>
      </c>
      <c r="G1027" s="5">
        <f t="shared" si="385"/>
        <v>282300.25</v>
      </c>
    </row>
    <row r="1028" spans="1:7" x14ac:dyDescent="0.35">
      <c r="A1028" s="3"/>
      <c r="B1028" s="3"/>
      <c r="C1028" s="3" t="s">
        <v>102</v>
      </c>
      <c r="D1028" s="5">
        <v>-2</v>
      </c>
      <c r="E1028" s="2">
        <v>-1.5770580808246808</v>
      </c>
      <c r="F1028" s="5">
        <v>-1.57</v>
      </c>
      <c r="G1028" s="5">
        <f t="shared" si="385"/>
        <v>7.0580808246807347E-3</v>
      </c>
    </row>
    <row r="1029" spans="1:7" x14ac:dyDescent="0.35">
      <c r="A1029" s="3"/>
      <c r="B1029" s="3"/>
      <c r="C1029" s="3" t="s">
        <v>56</v>
      </c>
      <c r="D1029" s="5">
        <v>0</v>
      </c>
      <c r="E1029" s="5">
        <v>-70.73</v>
      </c>
      <c r="F1029" s="5">
        <v>-73.45</v>
      </c>
      <c r="G1029" s="5">
        <f t="shared" si="385"/>
        <v>-2.7199999999999989</v>
      </c>
    </row>
    <row r="1030" spans="1:7" x14ac:dyDescent="0.35">
      <c r="A1030" s="3"/>
      <c r="B1030" s="3"/>
      <c r="C1030" s="37" t="s">
        <v>106</v>
      </c>
      <c r="D1030" s="38">
        <v>0</v>
      </c>
      <c r="E1030" s="38">
        <f>+E1031</f>
        <v>0</v>
      </c>
      <c r="F1030" s="38">
        <f>+F1031</f>
        <v>-30.39</v>
      </c>
      <c r="G1030" s="38">
        <f t="shared" si="385"/>
        <v>-30.39</v>
      </c>
    </row>
    <row r="1031" spans="1:7" x14ac:dyDescent="0.35">
      <c r="A1031" s="3"/>
      <c r="B1031" s="3"/>
      <c r="C1031" s="3" t="s">
        <v>56</v>
      </c>
      <c r="D1031" s="5">
        <v>0</v>
      </c>
      <c r="E1031" s="5">
        <v>0</v>
      </c>
      <c r="F1031" s="5">
        <v>-30.39</v>
      </c>
      <c r="G1031" s="5">
        <f t="shared" si="385"/>
        <v>-30.39</v>
      </c>
    </row>
    <row r="1032" spans="1:7" x14ac:dyDescent="0.35">
      <c r="A1032" s="37"/>
      <c r="B1032" s="37"/>
      <c r="C1032" s="37" t="s">
        <v>107</v>
      </c>
      <c r="D1032" s="38">
        <f>SUM(D1034:D1035)</f>
        <v>-17687</v>
      </c>
      <c r="E1032" s="38">
        <f>SUM(E1033:E1035)</f>
        <v>-13697.01</v>
      </c>
      <c r="F1032" s="38">
        <f>SUM(F1033:F1035)</f>
        <v>-13683.24</v>
      </c>
      <c r="G1032" s="38">
        <f>F1032-E1032</f>
        <v>13.770000000000437</v>
      </c>
    </row>
    <row r="1033" spans="1:7" x14ac:dyDescent="0.35">
      <c r="A1033" s="37"/>
      <c r="B1033" s="37"/>
      <c r="C1033" s="3" t="s">
        <v>155</v>
      </c>
      <c r="D1033" s="5">
        <v>0</v>
      </c>
      <c r="E1033" s="5">
        <v>-13697.01</v>
      </c>
      <c r="F1033" s="5">
        <v>0</v>
      </c>
      <c r="G1033" s="5">
        <f>F1033-E1033</f>
        <v>13697.01</v>
      </c>
    </row>
    <row r="1034" spans="1:7" x14ac:dyDescent="0.35">
      <c r="A1034" s="3"/>
      <c r="B1034" s="3"/>
      <c r="C1034" s="3" t="s">
        <v>54</v>
      </c>
      <c r="D1034" s="5">
        <v>-14936</v>
      </c>
      <c r="E1034" s="5">
        <v>0</v>
      </c>
      <c r="F1034" s="5">
        <v>-11752.51</v>
      </c>
      <c r="G1034" s="5">
        <f t="shared" ref="G1034:G1040" si="386">F1034-E1034</f>
        <v>-11752.51</v>
      </c>
    </row>
    <row r="1035" spans="1:7" x14ac:dyDescent="0.35">
      <c r="A1035" s="37"/>
      <c r="B1035" s="37"/>
      <c r="C1035" s="3" t="s">
        <v>55</v>
      </c>
      <c r="D1035" s="5">
        <v>-2751</v>
      </c>
      <c r="E1035" s="5">
        <v>0</v>
      </c>
      <c r="F1035" s="5">
        <v>-1930.73</v>
      </c>
      <c r="G1035" s="5">
        <f t="shared" si="386"/>
        <v>-1930.73</v>
      </c>
    </row>
    <row r="1036" spans="1:7" x14ac:dyDescent="0.35">
      <c r="A1036" s="37"/>
      <c r="B1036" s="37"/>
      <c r="C1036" s="37" t="s">
        <v>108</v>
      </c>
      <c r="D1036" s="38">
        <f>SUM(D1038:D1039)</f>
        <v>-439</v>
      </c>
      <c r="E1036" s="38">
        <f>SUM(E1037:E1039)</f>
        <v>-81631.429999999993</v>
      </c>
      <c r="F1036" s="38">
        <f>SUM(F1037:F1039)</f>
        <v>-973.77</v>
      </c>
      <c r="G1036" s="38">
        <f>F1036-E1036</f>
        <v>80657.659999999989</v>
      </c>
    </row>
    <row r="1037" spans="1:7" x14ac:dyDescent="0.35">
      <c r="A1037" s="37"/>
      <c r="B1037" s="37"/>
      <c r="C1037" s="3" t="s">
        <v>155</v>
      </c>
      <c r="D1037" s="5">
        <v>0</v>
      </c>
      <c r="E1037" s="5">
        <v>-81631.429999999993</v>
      </c>
      <c r="F1037" s="5">
        <v>0</v>
      </c>
      <c r="G1037" s="5">
        <f>F1037-E1037</f>
        <v>81631.429999999993</v>
      </c>
    </row>
    <row r="1038" spans="1:7" x14ac:dyDescent="0.35">
      <c r="A1038" s="3"/>
      <c r="B1038" s="3"/>
      <c r="C1038" s="3" t="s">
        <v>54</v>
      </c>
      <c r="D1038" s="5">
        <v>-238</v>
      </c>
      <c r="E1038" s="5">
        <v>0</v>
      </c>
      <c r="F1038" s="5">
        <v>-909.68</v>
      </c>
      <c r="G1038" s="5">
        <f t="shared" ref="G1038:G1039" si="387">F1038-E1038</f>
        <v>-909.68</v>
      </c>
    </row>
    <row r="1039" spans="1:7" x14ac:dyDescent="0.35">
      <c r="A1039" s="3"/>
      <c r="B1039" s="3"/>
      <c r="C1039" s="3" t="s">
        <v>55</v>
      </c>
      <c r="D1039" s="5">
        <v>-201</v>
      </c>
      <c r="E1039" s="5">
        <v>0</v>
      </c>
      <c r="F1039" s="5">
        <v>-64.09</v>
      </c>
      <c r="G1039" s="5">
        <f t="shared" si="387"/>
        <v>-64.09</v>
      </c>
    </row>
    <row r="1040" spans="1:7" x14ac:dyDescent="0.35">
      <c r="A1040" s="37"/>
      <c r="B1040" s="37"/>
      <c r="C1040" s="37" t="s">
        <v>109</v>
      </c>
      <c r="D1040" s="38">
        <v>-155035</v>
      </c>
      <c r="E1040" s="38">
        <v>-155035.19</v>
      </c>
      <c r="F1040" s="38">
        <v>-159700.51</v>
      </c>
      <c r="G1040" s="38">
        <f t="shared" si="386"/>
        <v>-4665.320000000007</v>
      </c>
    </row>
    <row r="1041" spans="1:7" x14ac:dyDescent="0.35">
      <c r="A1041" s="37"/>
      <c r="B1041" s="37" t="s">
        <v>120</v>
      </c>
      <c r="C1041" s="37"/>
      <c r="D1041" s="38">
        <f>SUM(D1043:D1046)</f>
        <v>-357604</v>
      </c>
      <c r="E1041" s="38">
        <f>SUM(E1042:E1046)</f>
        <v>-587591.82999999996</v>
      </c>
      <c r="F1041" s="38">
        <f>SUM(F1043:F1046)</f>
        <v>-536922.21000000008</v>
      </c>
      <c r="G1041" s="38">
        <f>F1041-E1041</f>
        <v>50669.619999999879</v>
      </c>
    </row>
    <row r="1042" spans="1:7" s="35" customFormat="1" x14ac:dyDescent="0.35">
      <c r="A1042" s="37"/>
      <c r="B1042" s="37"/>
      <c r="C1042" s="3" t="s">
        <v>155</v>
      </c>
      <c r="D1042" s="5">
        <v>0</v>
      </c>
      <c r="E1042" s="5">
        <f>+E1054+E1058</f>
        <v>-11019.27</v>
      </c>
      <c r="F1042" s="5">
        <v>0</v>
      </c>
      <c r="G1042" s="5">
        <f>F1042-E1042</f>
        <v>11019.27</v>
      </c>
    </row>
    <row r="1043" spans="1:7" x14ac:dyDescent="0.35">
      <c r="A1043" s="3"/>
      <c r="B1043" s="3"/>
      <c r="C1043" s="3" t="s">
        <v>54</v>
      </c>
      <c r="D1043" s="5">
        <f>D1048</f>
        <v>-313662</v>
      </c>
      <c r="E1043" s="5">
        <f t="shared" ref="E1043:E1044" si="388">E1048</f>
        <v>-381510.59</v>
      </c>
      <c r="F1043" s="5">
        <f>F1048+F1055+F1059+F1052</f>
        <v>-365726.24000000005</v>
      </c>
      <c r="G1043" s="5">
        <f t="shared" ref="G1043:G1046" si="389">F1043-E1043</f>
        <v>15784.349999999977</v>
      </c>
    </row>
    <row r="1044" spans="1:7" x14ac:dyDescent="0.35">
      <c r="A1044" s="3"/>
      <c r="B1044" s="3"/>
      <c r="C1044" s="3" t="s">
        <v>55</v>
      </c>
      <c r="D1044" s="5">
        <f>D1049</f>
        <v>-43814</v>
      </c>
      <c r="E1044" s="5">
        <f t="shared" si="388"/>
        <v>-194932.03</v>
      </c>
      <c r="F1044" s="5">
        <f>F1049+F1056</f>
        <v>-171026.43000000002</v>
      </c>
      <c r="G1044" s="5">
        <f t="shared" si="389"/>
        <v>23905.599999999977</v>
      </c>
    </row>
    <row r="1045" spans="1:7" x14ac:dyDescent="0.35">
      <c r="A1045" s="3"/>
      <c r="B1045" s="3"/>
      <c r="C1045" s="3" t="s">
        <v>101</v>
      </c>
      <c r="D1045" s="5">
        <v>0</v>
      </c>
      <c r="E1045" s="5">
        <v>0</v>
      </c>
      <c r="F1045" s="5">
        <f>+F1060</f>
        <v>-31</v>
      </c>
      <c r="G1045" s="5">
        <f t="shared" si="389"/>
        <v>-31</v>
      </c>
    </row>
    <row r="1046" spans="1:7" s="35" customFormat="1" x14ac:dyDescent="0.35">
      <c r="A1046" s="3"/>
      <c r="B1046" s="3"/>
      <c r="C1046" s="3" t="s">
        <v>103</v>
      </c>
      <c r="D1046" s="5">
        <f>D1061</f>
        <v>-128</v>
      </c>
      <c r="E1046" s="5">
        <f>E1061+E1050</f>
        <v>-129.94</v>
      </c>
      <c r="F1046" s="5">
        <f>F1061+F1050</f>
        <v>-138.54</v>
      </c>
      <c r="G1046" s="5">
        <f t="shared" si="389"/>
        <v>-8.5999999999999943</v>
      </c>
    </row>
    <row r="1047" spans="1:7" s="35" customFormat="1" x14ac:dyDescent="0.35">
      <c r="A1047" s="37"/>
      <c r="B1047" s="37"/>
      <c r="C1047" s="37" t="s">
        <v>105</v>
      </c>
      <c r="D1047" s="38">
        <f>SUM(D1048:D1049)</f>
        <v>-357476</v>
      </c>
      <c r="E1047" s="38">
        <f>SUM(E1048:E1050)</f>
        <v>-576444.55999999994</v>
      </c>
      <c r="F1047" s="38">
        <f>SUM(F1048:F1050)</f>
        <v>-534901.79</v>
      </c>
      <c r="G1047" s="38">
        <f>F1047-E1047</f>
        <v>41542.769999999902</v>
      </c>
    </row>
    <row r="1048" spans="1:7" x14ac:dyDescent="0.35">
      <c r="A1048" s="3"/>
      <c r="B1048" s="3"/>
      <c r="C1048" s="3" t="s">
        <v>54</v>
      </c>
      <c r="D1048" s="5">
        <v>-313662</v>
      </c>
      <c r="E1048" s="5">
        <v>-381510.59</v>
      </c>
      <c r="F1048" s="5">
        <v>-364070.28</v>
      </c>
      <c r="G1048" s="5">
        <f t="shared" ref="G1048:G1052" si="390">F1048-E1048</f>
        <v>17440.309999999998</v>
      </c>
    </row>
    <row r="1049" spans="1:7" x14ac:dyDescent="0.35">
      <c r="A1049" s="3"/>
      <c r="B1049" s="3"/>
      <c r="C1049" s="3" t="s">
        <v>55</v>
      </c>
      <c r="D1049" s="5">
        <v>-43814</v>
      </c>
      <c r="E1049" s="5">
        <v>-194932.03</v>
      </c>
      <c r="F1049" s="5">
        <v>-170831.51</v>
      </c>
      <c r="G1049" s="5">
        <f t="shared" si="390"/>
        <v>24100.51999999999</v>
      </c>
    </row>
    <row r="1050" spans="1:7" x14ac:dyDescent="0.35">
      <c r="A1050" s="3"/>
      <c r="B1050" s="3"/>
      <c r="C1050" s="3" t="s">
        <v>56</v>
      </c>
      <c r="D1050" s="5">
        <v>0</v>
      </c>
      <c r="E1050" s="5">
        <v>-1.94</v>
      </c>
      <c r="F1050" s="5">
        <v>0</v>
      </c>
      <c r="G1050" s="5">
        <f t="shared" si="390"/>
        <v>1.94</v>
      </c>
    </row>
    <row r="1051" spans="1:7" x14ac:dyDescent="0.35">
      <c r="A1051" s="3"/>
      <c r="B1051" s="3"/>
      <c r="C1051" s="37" t="s">
        <v>106</v>
      </c>
      <c r="D1051" s="38">
        <v>0</v>
      </c>
      <c r="E1051" s="38">
        <f>+E1052</f>
        <v>0</v>
      </c>
      <c r="F1051" s="38">
        <f>+F1052</f>
        <v>-53.65</v>
      </c>
      <c r="G1051" s="38">
        <f t="shared" si="390"/>
        <v>-53.65</v>
      </c>
    </row>
    <row r="1052" spans="1:7" x14ac:dyDescent="0.35">
      <c r="A1052" s="3"/>
      <c r="B1052" s="3"/>
      <c r="C1052" s="3" t="s">
        <v>54</v>
      </c>
      <c r="D1052" s="5">
        <v>0</v>
      </c>
      <c r="E1052" s="5">
        <v>0</v>
      </c>
      <c r="F1052" s="5">
        <v>-53.65</v>
      </c>
      <c r="G1052" s="5">
        <f t="shared" si="390"/>
        <v>-53.65</v>
      </c>
    </row>
    <row r="1053" spans="1:7" x14ac:dyDescent="0.35">
      <c r="A1053" s="3"/>
      <c r="B1053" s="3"/>
      <c r="C1053" s="37" t="s">
        <v>107</v>
      </c>
      <c r="D1053" s="38">
        <v>0</v>
      </c>
      <c r="E1053" s="38">
        <f>SUM(E1054:E1056)</f>
        <v>-66.67</v>
      </c>
      <c r="F1053" s="38">
        <f>SUM(F1054:F1056)</f>
        <v>-578.49</v>
      </c>
      <c r="G1053" s="38">
        <f>F1053-E1053</f>
        <v>-511.82</v>
      </c>
    </row>
    <row r="1054" spans="1:7" x14ac:dyDescent="0.35">
      <c r="A1054" s="3"/>
      <c r="B1054" s="3"/>
      <c r="C1054" s="3" t="s">
        <v>155</v>
      </c>
      <c r="D1054" s="5">
        <v>0</v>
      </c>
      <c r="E1054" s="5">
        <v>-66.67</v>
      </c>
      <c r="F1054" s="5">
        <v>0</v>
      </c>
      <c r="G1054" s="5">
        <f>F1054-E1054</f>
        <v>66.67</v>
      </c>
    </row>
    <row r="1055" spans="1:7" x14ac:dyDescent="0.35">
      <c r="A1055" s="3"/>
      <c r="B1055" s="3"/>
      <c r="C1055" s="3" t="s">
        <v>54</v>
      </c>
      <c r="D1055" s="5">
        <v>0</v>
      </c>
      <c r="E1055" s="5">
        <v>0</v>
      </c>
      <c r="F1055" s="5">
        <v>-383.57</v>
      </c>
      <c r="G1055" s="5">
        <f t="shared" ref="G1055:G1056" si="391">F1055-E1055</f>
        <v>-383.57</v>
      </c>
    </row>
    <row r="1056" spans="1:7" x14ac:dyDescent="0.35">
      <c r="A1056" s="3"/>
      <c r="B1056" s="3"/>
      <c r="C1056" s="3" t="s">
        <v>55</v>
      </c>
      <c r="D1056" s="5">
        <v>0</v>
      </c>
      <c r="E1056" s="5">
        <v>0</v>
      </c>
      <c r="F1056" s="5">
        <v>-194.92</v>
      </c>
      <c r="G1056" s="5">
        <f t="shared" si="391"/>
        <v>-194.92</v>
      </c>
    </row>
    <row r="1057" spans="1:7" x14ac:dyDescent="0.35">
      <c r="A1057" s="3"/>
      <c r="B1057" s="3"/>
      <c r="C1057" s="37" t="s">
        <v>108</v>
      </c>
      <c r="D1057" s="38">
        <f>SUM(D1059:D1060)</f>
        <v>0</v>
      </c>
      <c r="E1057" s="38">
        <f>SUM(E1058:E1060)</f>
        <v>-10952.6</v>
      </c>
      <c r="F1057" s="38">
        <f>SUM(F1058:F1060)</f>
        <v>-1249.74</v>
      </c>
      <c r="G1057" s="38">
        <f>F1057-E1057</f>
        <v>9702.86</v>
      </c>
    </row>
    <row r="1058" spans="1:7" x14ac:dyDescent="0.35">
      <c r="A1058" s="3"/>
      <c r="B1058" s="3"/>
      <c r="C1058" s="3" t="s">
        <v>155</v>
      </c>
      <c r="D1058" s="5">
        <v>0</v>
      </c>
      <c r="E1058" s="5">
        <v>-10952.6</v>
      </c>
      <c r="F1058" s="5">
        <v>0</v>
      </c>
      <c r="G1058" s="5">
        <f>F1058-E1058</f>
        <v>10952.6</v>
      </c>
    </row>
    <row r="1059" spans="1:7" x14ac:dyDescent="0.35">
      <c r="A1059" s="3"/>
      <c r="B1059" s="3"/>
      <c r="C1059" s="3" t="s">
        <v>54</v>
      </c>
      <c r="D1059" s="5">
        <v>0</v>
      </c>
      <c r="E1059" s="5">
        <v>0</v>
      </c>
      <c r="F1059" s="5">
        <v>-1218.74</v>
      </c>
      <c r="G1059" s="5">
        <f t="shared" ref="G1059:G1067" si="392">F1059-E1059</f>
        <v>-1218.74</v>
      </c>
    </row>
    <row r="1060" spans="1:7" x14ac:dyDescent="0.35">
      <c r="A1060" s="3"/>
      <c r="B1060" s="3"/>
      <c r="C1060" s="3" t="s">
        <v>101</v>
      </c>
      <c r="D1060" s="5">
        <v>0</v>
      </c>
      <c r="E1060" s="5">
        <v>0</v>
      </c>
      <c r="F1060" s="5">
        <v>-31</v>
      </c>
      <c r="G1060" s="5">
        <f t="shared" si="392"/>
        <v>-31</v>
      </c>
    </row>
    <row r="1061" spans="1:7" x14ac:dyDescent="0.35">
      <c r="A1061" s="37"/>
      <c r="B1061" s="37"/>
      <c r="C1061" s="37" t="s">
        <v>109</v>
      </c>
      <c r="D1061" s="38">
        <v>-128</v>
      </c>
      <c r="E1061" s="38">
        <f t="shared" ref="E1061" si="393">D1061</f>
        <v>-128</v>
      </c>
      <c r="F1061" s="38">
        <v>-138.54</v>
      </c>
      <c r="G1061" s="38">
        <f t="shared" si="392"/>
        <v>-10.539999999999992</v>
      </c>
    </row>
    <row r="1062" spans="1:7" s="35" customFormat="1" x14ac:dyDescent="0.35">
      <c r="A1062" s="37" t="s">
        <v>135</v>
      </c>
      <c r="B1062" s="37"/>
      <c r="C1062" s="37"/>
      <c r="D1062" s="38">
        <f>SUM(D1063:D1067)</f>
        <v>-61590482</v>
      </c>
      <c r="E1062" s="38">
        <f t="shared" ref="E1062:F1062" si="394">SUM(E1063:E1067)</f>
        <v>-62675813.734547362</v>
      </c>
      <c r="F1062" s="38">
        <f t="shared" si="394"/>
        <v>-57804302.040000007</v>
      </c>
      <c r="G1062" s="38">
        <f t="shared" si="392"/>
        <v>4871511.6945473552</v>
      </c>
    </row>
    <row r="1063" spans="1:7" x14ac:dyDescent="0.35">
      <c r="A1063" s="3"/>
      <c r="B1063" s="3" t="s">
        <v>105</v>
      </c>
      <c r="C1063" s="3"/>
      <c r="D1063" s="5">
        <f>D1076+D1098+D1120</f>
        <v>-41677793</v>
      </c>
      <c r="E1063" s="5">
        <f>E1076+E1098+E1120</f>
        <v>-47145580.910000004</v>
      </c>
      <c r="F1063" s="5">
        <f>F1076+F1098+F1120</f>
        <v>-43255380.219999999</v>
      </c>
      <c r="G1063" s="5">
        <f t="shared" si="392"/>
        <v>3890200.6900000051</v>
      </c>
    </row>
    <row r="1064" spans="1:7" x14ac:dyDescent="0.35">
      <c r="A1064" s="3"/>
      <c r="B1064" s="3" t="s">
        <v>106</v>
      </c>
      <c r="C1064" s="3"/>
      <c r="D1064" s="5">
        <f>D1126</f>
        <v>-31936</v>
      </c>
      <c r="E1064" s="5">
        <f t="shared" ref="E1064" si="395">E1126</f>
        <v>-31936</v>
      </c>
      <c r="F1064" s="5">
        <f>F1126+F1082+F1102</f>
        <v>-17945.920000000002</v>
      </c>
      <c r="G1064" s="5">
        <f t="shared" si="392"/>
        <v>13990.079999999998</v>
      </c>
    </row>
    <row r="1065" spans="1:7" x14ac:dyDescent="0.35">
      <c r="A1065" s="3"/>
      <c r="B1065" s="3" t="s">
        <v>107</v>
      </c>
      <c r="C1065" s="3"/>
      <c r="D1065" s="5">
        <f>D1084+D1104+D1129</f>
        <v>-11404646</v>
      </c>
      <c r="E1065" s="5">
        <f>E1084+E1104+E1129</f>
        <v>-6026902.7800000003</v>
      </c>
      <c r="F1065" s="5">
        <f>F1084+F1104+F1129</f>
        <v>-5286105.2</v>
      </c>
      <c r="G1065" s="5">
        <f t="shared" si="392"/>
        <v>740797.58000000007</v>
      </c>
    </row>
    <row r="1066" spans="1:7" x14ac:dyDescent="0.35">
      <c r="A1066" s="3"/>
      <c r="B1066" s="3" t="s">
        <v>108</v>
      </c>
      <c r="C1066" s="3"/>
      <c r="D1066" s="5">
        <f>D1108+D1133</f>
        <v>-1034</v>
      </c>
      <c r="E1066" s="5">
        <f>E1108+E1133</f>
        <v>-996321.66</v>
      </c>
      <c r="F1066" s="5">
        <f>F1108+F1133+F1090</f>
        <v>-419827.84</v>
      </c>
      <c r="G1066" s="5">
        <f t="shared" si="392"/>
        <v>576493.82000000007</v>
      </c>
    </row>
    <row r="1067" spans="1:7" x14ac:dyDescent="0.35">
      <c r="A1067" s="3"/>
      <c r="B1067" s="3" t="s">
        <v>109</v>
      </c>
      <c r="C1067" s="3"/>
      <c r="D1067" s="5">
        <f>D1092+D1112+D1137</f>
        <v>-8475073</v>
      </c>
      <c r="E1067" s="5">
        <f>E1092+E1112+E1137</f>
        <v>-8475072.3845473602</v>
      </c>
      <c r="F1067" s="5">
        <f>F1092+F1112+F1137</f>
        <v>-8825042.8599999994</v>
      </c>
      <c r="G1067" s="5">
        <f t="shared" si="392"/>
        <v>-349970.47545263916</v>
      </c>
    </row>
    <row r="1068" spans="1:7" x14ac:dyDescent="0.35">
      <c r="A1068" s="37"/>
      <c r="B1068" s="37" t="s">
        <v>31</v>
      </c>
      <c r="C1068" s="37"/>
      <c r="D1068" s="38">
        <f>SUM(D1070:D1075)</f>
        <v>-1198892</v>
      </c>
      <c r="E1068" s="38">
        <f>SUM(E1069:E1075)</f>
        <v>-2153691.0265935617</v>
      </c>
      <c r="F1068" s="38">
        <f>SUM(F1070:F1075)</f>
        <v>-987233.24000000011</v>
      </c>
      <c r="G1068" s="38">
        <f>F1068-E1068</f>
        <v>1166457.7865935615</v>
      </c>
    </row>
    <row r="1069" spans="1:7" x14ac:dyDescent="0.35">
      <c r="A1069" s="37"/>
      <c r="B1069" s="37"/>
      <c r="C1069" s="3" t="s">
        <v>155</v>
      </c>
      <c r="D1069" s="5">
        <f>D1085</f>
        <v>0</v>
      </c>
      <c r="E1069" s="5">
        <f t="shared" ref="E1069:F1069" si="396">E1085</f>
        <v>-354599.67</v>
      </c>
      <c r="F1069" s="5">
        <f t="shared" si="396"/>
        <v>0</v>
      </c>
      <c r="G1069" s="5">
        <f>F1069-E1069</f>
        <v>354599.67</v>
      </c>
    </row>
    <row r="1070" spans="1:7" x14ac:dyDescent="0.35">
      <c r="A1070" s="3"/>
      <c r="B1070" s="3"/>
      <c r="C1070" s="3" t="s">
        <v>54</v>
      </c>
      <c r="D1070" s="5">
        <f>D1077+D1086</f>
        <v>-815330</v>
      </c>
      <c r="E1070" s="5">
        <f>E1077+E1086+E1091</f>
        <v>-598585.21</v>
      </c>
      <c r="F1070" s="5">
        <f>F1077+F1086+F1091</f>
        <v>-803304.34000000008</v>
      </c>
      <c r="G1070" s="5">
        <f t="shared" ref="G1070:G1075" si="397">F1070-E1070</f>
        <v>-204719.13000000012</v>
      </c>
    </row>
    <row r="1071" spans="1:7" x14ac:dyDescent="0.35">
      <c r="A1071" s="3"/>
      <c r="B1071" s="3"/>
      <c r="C1071" s="3" t="s">
        <v>55</v>
      </c>
      <c r="D1071" s="5">
        <f>D1078+D1087</f>
        <v>-169158</v>
      </c>
      <c r="E1071" s="5">
        <f t="shared" ref="E1071:F1071" si="398">E1078+E1087</f>
        <v>-140863.22</v>
      </c>
      <c r="F1071" s="5">
        <f t="shared" si="398"/>
        <v>-151932.12</v>
      </c>
      <c r="G1071" s="5">
        <f t="shared" si="397"/>
        <v>-11068.899999999994</v>
      </c>
    </row>
    <row r="1072" spans="1:7" x14ac:dyDescent="0.35">
      <c r="A1072" s="3"/>
      <c r="B1072" s="3"/>
      <c r="C1072" s="3" t="s">
        <v>101</v>
      </c>
      <c r="D1072" s="5">
        <f>D1079</f>
        <v>-1056</v>
      </c>
      <c r="E1072" s="5">
        <f t="shared" ref="E1072:F1072" si="399">E1079</f>
        <v>-1056</v>
      </c>
      <c r="F1072" s="5">
        <f t="shared" si="399"/>
        <v>-866.7</v>
      </c>
      <c r="G1072" s="5">
        <f t="shared" si="397"/>
        <v>189.29999999999995</v>
      </c>
    </row>
    <row r="1073" spans="1:7" x14ac:dyDescent="0.35">
      <c r="A1073" s="3"/>
      <c r="B1073" s="3"/>
      <c r="C1073" s="3" t="s">
        <v>102</v>
      </c>
      <c r="D1073" s="5">
        <f>D1080+D1088</f>
        <v>-210203</v>
      </c>
      <c r="E1073" s="5">
        <f>E1080+E1088</f>
        <v>-1055399.55</v>
      </c>
      <c r="F1073" s="5">
        <f>F1080+F1088</f>
        <v>-10944.88</v>
      </c>
      <c r="G1073" s="5">
        <f t="shared" si="397"/>
        <v>1044454.67</v>
      </c>
    </row>
    <row r="1074" spans="1:7" x14ac:dyDescent="0.35">
      <c r="A1074" s="3"/>
      <c r="B1074" s="3"/>
      <c r="C1074" s="3" t="s">
        <v>110</v>
      </c>
      <c r="D1074" s="5">
        <v>0</v>
      </c>
      <c r="E1074" s="5">
        <v>0</v>
      </c>
      <c r="F1074" s="5">
        <f>+F1089</f>
        <v>-16092.02</v>
      </c>
      <c r="G1074" s="5">
        <f t="shared" si="397"/>
        <v>-16092.02</v>
      </c>
    </row>
    <row r="1075" spans="1:7" x14ac:dyDescent="0.35">
      <c r="A1075" s="3"/>
      <c r="B1075" s="3"/>
      <c r="C1075" s="3" t="s">
        <v>103</v>
      </c>
      <c r="D1075" s="5">
        <f>D1081+D1092</f>
        <v>-3145</v>
      </c>
      <c r="E1075" s="5">
        <f>E1081+E1092</f>
        <v>-3187.3765935619931</v>
      </c>
      <c r="F1075" s="5">
        <f>F1081+F1092+F1083</f>
        <v>-4093.1800000000007</v>
      </c>
      <c r="G1075" s="5">
        <f t="shared" si="397"/>
        <v>-905.80340643800764</v>
      </c>
    </row>
    <row r="1076" spans="1:7" s="35" customFormat="1" x14ac:dyDescent="0.35">
      <c r="A1076" s="37"/>
      <c r="B1076" s="37"/>
      <c r="C1076" s="37" t="s">
        <v>105</v>
      </c>
      <c r="D1076" s="38">
        <f>SUM(D1077:D1081)</f>
        <v>-742846</v>
      </c>
      <c r="E1076" s="38">
        <f>SUM(E1077:E1081)</f>
        <v>-1796536.46</v>
      </c>
      <c r="F1076" s="38">
        <f>SUM(F1077:F1081)</f>
        <v>-688963.23999999987</v>
      </c>
      <c r="G1076" s="38">
        <f>F1076-E1076</f>
        <v>1107573.2200000002</v>
      </c>
    </row>
    <row r="1077" spans="1:7" x14ac:dyDescent="0.35">
      <c r="A1077" s="3"/>
      <c r="B1077" s="3"/>
      <c r="C1077" s="3" t="s">
        <v>54</v>
      </c>
      <c r="D1077" s="5">
        <v>-604929</v>
      </c>
      <c r="E1077" s="5">
        <v>-598585.21</v>
      </c>
      <c r="F1077" s="5">
        <v>-543135.88</v>
      </c>
      <c r="G1077" s="5">
        <f t="shared" ref="G1077:G1092" si="400">F1077-E1077</f>
        <v>55449.329999999958</v>
      </c>
    </row>
    <row r="1078" spans="1:7" x14ac:dyDescent="0.35">
      <c r="A1078" s="3"/>
      <c r="B1078" s="3"/>
      <c r="C1078" s="3" t="s">
        <v>55</v>
      </c>
      <c r="D1078" s="5">
        <v>-126068</v>
      </c>
      <c r="E1078" s="5">
        <f>-135643.56-5219.66</f>
        <v>-140863.22</v>
      </c>
      <c r="F1078" s="5">
        <v>-133464.59</v>
      </c>
      <c r="G1078" s="5">
        <f t="shared" si="400"/>
        <v>7398.6300000000047</v>
      </c>
    </row>
    <row r="1079" spans="1:7" x14ac:dyDescent="0.35">
      <c r="A1079" s="3"/>
      <c r="B1079" s="3"/>
      <c r="C1079" s="3" t="s">
        <v>101</v>
      </c>
      <c r="D1079" s="5">
        <v>-1056</v>
      </c>
      <c r="E1079" s="5">
        <f t="shared" ref="E1079" si="401">D1079</f>
        <v>-1056</v>
      </c>
      <c r="F1079" s="5">
        <v>-866.7</v>
      </c>
      <c r="G1079" s="5">
        <f t="shared" si="400"/>
        <v>189.29999999999995</v>
      </c>
    </row>
    <row r="1080" spans="1:7" x14ac:dyDescent="0.35">
      <c r="A1080" s="3"/>
      <c r="B1080" s="3"/>
      <c r="C1080" s="3" t="s">
        <v>102</v>
      </c>
      <c r="D1080" s="5">
        <v>-10203</v>
      </c>
      <c r="E1080" s="5">
        <v>-1055399.55</v>
      </c>
      <c r="F1080" s="5">
        <v>-10944.88</v>
      </c>
      <c r="G1080" s="5">
        <f t="shared" si="400"/>
        <v>1044454.67</v>
      </c>
    </row>
    <row r="1081" spans="1:7" x14ac:dyDescent="0.35">
      <c r="A1081" s="3"/>
      <c r="B1081" s="3"/>
      <c r="C1081" s="3" t="s">
        <v>56</v>
      </c>
      <c r="D1081" s="5">
        <v>-590</v>
      </c>
      <c r="E1081" s="5">
        <v>-632.48</v>
      </c>
      <c r="F1081" s="5">
        <v>-551.19000000000005</v>
      </c>
      <c r="G1081" s="5">
        <f t="shared" si="400"/>
        <v>81.289999999999964</v>
      </c>
    </row>
    <row r="1082" spans="1:7" s="35" customFormat="1" x14ac:dyDescent="0.35">
      <c r="A1082" s="3"/>
      <c r="B1082" s="3"/>
      <c r="C1082" s="37" t="s">
        <v>106</v>
      </c>
      <c r="D1082" s="38">
        <v>0</v>
      </c>
      <c r="E1082" s="38">
        <f>+E1083</f>
        <v>0</v>
      </c>
      <c r="F1082" s="38">
        <f>+F1083</f>
        <v>106.02</v>
      </c>
      <c r="G1082" s="38">
        <f t="shared" si="400"/>
        <v>106.02</v>
      </c>
    </row>
    <row r="1083" spans="1:7" x14ac:dyDescent="0.35">
      <c r="A1083" s="3"/>
      <c r="B1083" s="3"/>
      <c r="C1083" s="3" t="s">
        <v>56</v>
      </c>
      <c r="D1083" s="5">
        <v>0</v>
      </c>
      <c r="E1083" s="5">
        <v>0</v>
      </c>
      <c r="F1083" s="5">
        <v>106.02</v>
      </c>
      <c r="G1083" s="5">
        <f t="shared" si="400"/>
        <v>106.02</v>
      </c>
    </row>
    <row r="1084" spans="1:7" x14ac:dyDescent="0.35">
      <c r="A1084" s="37"/>
      <c r="B1084" s="37"/>
      <c r="C1084" s="37" t="s">
        <v>107</v>
      </c>
      <c r="D1084" s="38">
        <f>SUM(D1086:D1088)</f>
        <v>-453491</v>
      </c>
      <c r="E1084" s="38">
        <f>SUM(E1085:E1089)</f>
        <v>-354599.67</v>
      </c>
      <c r="F1084" s="38">
        <f>SUM(F1085:F1089)</f>
        <v>-291152</v>
      </c>
      <c r="G1084" s="38">
        <f>F1084-E1084</f>
        <v>63447.669999999984</v>
      </c>
    </row>
    <row r="1085" spans="1:7" x14ac:dyDescent="0.35">
      <c r="A1085" s="37"/>
      <c r="B1085" s="37"/>
      <c r="C1085" s="3" t="s">
        <v>155</v>
      </c>
      <c r="D1085" s="5">
        <v>0</v>
      </c>
      <c r="E1085" s="5">
        <v>-354599.67</v>
      </c>
      <c r="F1085" s="5">
        <v>0</v>
      </c>
      <c r="G1085" s="5">
        <f>F1085-E1085</f>
        <v>354599.67</v>
      </c>
    </row>
    <row r="1086" spans="1:7" x14ac:dyDescent="0.35">
      <c r="A1086" s="3"/>
      <c r="B1086" s="3"/>
      <c r="C1086" s="3" t="s">
        <v>54</v>
      </c>
      <c r="D1086" s="5">
        <v>-210401</v>
      </c>
      <c r="E1086" s="5">
        <v>0</v>
      </c>
      <c r="F1086" s="5">
        <v>-256592.45</v>
      </c>
      <c r="G1086" s="5">
        <f t="shared" ref="G1086:G1089" si="402">F1086-E1086</f>
        <v>-256592.45</v>
      </c>
    </row>
    <row r="1087" spans="1:7" x14ac:dyDescent="0.35">
      <c r="A1087" s="37"/>
      <c r="B1087" s="37"/>
      <c r="C1087" s="3" t="s">
        <v>55</v>
      </c>
      <c r="D1087" s="5">
        <v>-43090</v>
      </c>
      <c r="E1087" s="5">
        <v>0</v>
      </c>
      <c r="F1087" s="5">
        <v>-18467.53</v>
      </c>
      <c r="G1087" s="5">
        <f t="shared" si="402"/>
        <v>-18467.53</v>
      </c>
    </row>
    <row r="1088" spans="1:7" x14ac:dyDescent="0.35">
      <c r="A1088" s="3"/>
      <c r="B1088" s="3"/>
      <c r="C1088" s="3" t="s">
        <v>102</v>
      </c>
      <c r="D1088" s="5">
        <f>-50000-150000</f>
        <v>-200000</v>
      </c>
      <c r="E1088" s="5">
        <v>0</v>
      </c>
      <c r="F1088" s="5">
        <v>0</v>
      </c>
      <c r="G1088" s="5">
        <f t="shared" si="402"/>
        <v>0</v>
      </c>
    </row>
    <row r="1089" spans="1:7" x14ac:dyDescent="0.35">
      <c r="A1089" s="3"/>
      <c r="B1089" s="3"/>
      <c r="C1089" s="3" t="s">
        <v>110</v>
      </c>
      <c r="D1089" s="5">
        <v>0</v>
      </c>
      <c r="E1089" s="5">
        <v>0</v>
      </c>
      <c r="F1089" s="5">
        <v>-16092.02</v>
      </c>
      <c r="G1089" s="5">
        <f t="shared" si="402"/>
        <v>-16092.02</v>
      </c>
    </row>
    <row r="1090" spans="1:7" x14ac:dyDescent="0.35">
      <c r="A1090" s="3"/>
      <c r="B1090" s="3"/>
      <c r="C1090" s="37" t="s">
        <v>108</v>
      </c>
      <c r="D1090" s="38">
        <v>0</v>
      </c>
      <c r="E1090" s="38">
        <f>SUM(E1091)</f>
        <v>0</v>
      </c>
      <c r="F1090" s="38">
        <f>SUM(F1091)</f>
        <v>-3576.01</v>
      </c>
      <c r="G1090" s="38">
        <f>F1090-E1090</f>
        <v>-3576.01</v>
      </c>
    </row>
    <row r="1091" spans="1:7" x14ac:dyDescent="0.35">
      <c r="A1091" s="3"/>
      <c r="B1091" s="3"/>
      <c r="C1091" s="3" t="s">
        <v>54</v>
      </c>
      <c r="D1091" s="5">
        <v>0</v>
      </c>
      <c r="E1091" s="5">
        <v>0</v>
      </c>
      <c r="F1091" s="5">
        <v>-3576.01</v>
      </c>
      <c r="G1091" s="5">
        <f>F1091-E1091</f>
        <v>-3576.01</v>
      </c>
    </row>
    <row r="1092" spans="1:7" x14ac:dyDescent="0.35">
      <c r="A1092" s="37"/>
      <c r="B1092" s="37"/>
      <c r="C1092" s="37" t="s">
        <v>109</v>
      </c>
      <c r="D1092" s="38">
        <v>-2555</v>
      </c>
      <c r="E1092" s="67">
        <v>-2554.8965935619931</v>
      </c>
      <c r="F1092" s="38">
        <v>-3648.01</v>
      </c>
      <c r="G1092" s="38">
        <f t="shared" si="400"/>
        <v>-1093.1134064380071</v>
      </c>
    </row>
    <row r="1093" spans="1:7" x14ac:dyDescent="0.35">
      <c r="A1093" s="37"/>
      <c r="B1093" s="37" t="s">
        <v>116</v>
      </c>
      <c r="C1093" s="37"/>
      <c r="D1093" s="38">
        <f>SUM(D1095:D1097)</f>
        <v>-5114506</v>
      </c>
      <c r="E1093" s="38">
        <f>SUM(E1094:E1097)</f>
        <v>-6303050.3426484251</v>
      </c>
      <c r="F1093" s="38">
        <f>SUM(F1095:F1097)</f>
        <v>-5802668.9000000004</v>
      </c>
      <c r="G1093" s="38">
        <f>F1093-E1093</f>
        <v>500381.44264842477</v>
      </c>
    </row>
    <row r="1094" spans="1:7" x14ac:dyDescent="0.35">
      <c r="A1094" s="37"/>
      <c r="B1094" s="37"/>
      <c r="C1094" s="3" t="s">
        <v>155</v>
      </c>
      <c r="D1094" s="5">
        <v>0</v>
      </c>
      <c r="E1094" s="5">
        <f>+E1105+E1109</f>
        <v>-396886.02</v>
      </c>
      <c r="F1094" s="5">
        <v>0</v>
      </c>
      <c r="G1094" s="5">
        <f>F1094-E1094</f>
        <v>396886.02</v>
      </c>
    </row>
    <row r="1095" spans="1:7" x14ac:dyDescent="0.35">
      <c r="A1095" s="3"/>
      <c r="B1095" s="3"/>
      <c r="C1095" s="3" t="s">
        <v>54</v>
      </c>
      <c r="D1095" s="5">
        <f t="shared" ref="D1095:F1096" si="403">D1099+D1106+D1110</f>
        <v>-2193222</v>
      </c>
      <c r="E1095" s="5">
        <f t="shared" si="403"/>
        <v>-2733015.54</v>
      </c>
      <c r="F1095" s="5">
        <f t="shared" si="403"/>
        <v>-2765684.03</v>
      </c>
      <c r="G1095" s="5">
        <f t="shared" ref="G1095:G1097" si="404">F1095-E1095</f>
        <v>-32668.489999999758</v>
      </c>
    </row>
    <row r="1096" spans="1:7" x14ac:dyDescent="0.35">
      <c r="A1096" s="3"/>
      <c r="B1096" s="3"/>
      <c r="C1096" s="3" t="s">
        <v>55</v>
      </c>
      <c r="D1096" s="5">
        <f t="shared" si="403"/>
        <v>-1689334</v>
      </c>
      <c r="E1096" s="5">
        <f t="shared" si="403"/>
        <v>-1940742.72</v>
      </c>
      <c r="F1096" s="5">
        <f t="shared" si="403"/>
        <v>-1742445.8800000001</v>
      </c>
      <c r="G1096" s="5">
        <f t="shared" si="404"/>
        <v>198296.83999999985</v>
      </c>
    </row>
    <row r="1097" spans="1:7" x14ac:dyDescent="0.35">
      <c r="A1097" s="3"/>
      <c r="B1097" s="3"/>
      <c r="C1097" s="3" t="s">
        <v>103</v>
      </c>
      <c r="D1097" s="5">
        <f>D1112</f>
        <v>-1231950</v>
      </c>
      <c r="E1097" s="5">
        <f>E1112+E1101</f>
        <v>-1232406.0626484246</v>
      </c>
      <c r="F1097" s="5">
        <f>F1112+F1101+F1103</f>
        <v>-1294538.99</v>
      </c>
      <c r="G1097" s="5">
        <f t="shared" si="404"/>
        <v>-62132.927351575345</v>
      </c>
    </row>
    <row r="1098" spans="1:7" x14ac:dyDescent="0.35">
      <c r="A1098" s="37"/>
      <c r="B1098" s="37"/>
      <c r="C1098" s="37" t="s">
        <v>105</v>
      </c>
      <c r="D1098" s="38">
        <f>SUM(D1099:D1100)</f>
        <v>-3652502</v>
      </c>
      <c r="E1098" s="38">
        <f>SUM(E1099:E1101)</f>
        <v>-4674214.68</v>
      </c>
      <c r="F1098" s="38">
        <f>SUM(F1099:F1101)</f>
        <v>-4260184.08</v>
      </c>
      <c r="G1098" s="38">
        <f>F1098-E1098</f>
        <v>414030.59999999963</v>
      </c>
    </row>
    <row r="1099" spans="1:7" x14ac:dyDescent="0.35">
      <c r="A1099" s="3"/>
      <c r="B1099" s="3"/>
      <c r="C1099" s="3" t="s">
        <v>54</v>
      </c>
      <c r="D1099" s="5">
        <v>-1976953</v>
      </c>
      <c r="E1099" s="5">
        <v>-2733015.54</v>
      </c>
      <c r="F1099" s="5">
        <v>-2534464.62</v>
      </c>
      <c r="G1099" s="5">
        <f t="shared" ref="G1099:G1103" si="405">F1099-E1099</f>
        <v>198550.91999999993</v>
      </c>
    </row>
    <row r="1100" spans="1:7" x14ac:dyDescent="0.35">
      <c r="A1100" s="3"/>
      <c r="B1100" s="3"/>
      <c r="C1100" s="3" t="s">
        <v>55</v>
      </c>
      <c r="D1100" s="5">
        <v>-1675549</v>
      </c>
      <c r="E1100" s="5">
        <v>-1940742.72</v>
      </c>
      <c r="F1100" s="5">
        <v>-1725285.47</v>
      </c>
      <c r="G1100" s="5">
        <f t="shared" si="405"/>
        <v>215457.25</v>
      </c>
    </row>
    <row r="1101" spans="1:7" x14ac:dyDescent="0.35">
      <c r="A1101" s="3"/>
      <c r="B1101" s="3"/>
      <c r="C1101" s="3" t="s">
        <v>56</v>
      </c>
      <c r="D1101" s="5">
        <v>0</v>
      </c>
      <c r="E1101" s="5">
        <v>-456.42</v>
      </c>
      <c r="F1101" s="5">
        <v>-433.99</v>
      </c>
      <c r="G1101" s="5">
        <f t="shared" si="405"/>
        <v>22.430000000000007</v>
      </c>
    </row>
    <row r="1102" spans="1:7" s="35" customFormat="1" x14ac:dyDescent="0.35">
      <c r="A1102" s="3"/>
      <c r="B1102" s="3"/>
      <c r="C1102" s="37" t="s">
        <v>106</v>
      </c>
      <c r="D1102" s="38">
        <v>0</v>
      </c>
      <c r="E1102" s="38">
        <f>+E1103</f>
        <v>0</v>
      </c>
      <c r="F1102" s="38">
        <f>+F1103</f>
        <v>-198.65</v>
      </c>
      <c r="G1102" s="38">
        <f t="shared" si="405"/>
        <v>-198.65</v>
      </c>
    </row>
    <row r="1103" spans="1:7" s="35" customFormat="1" x14ac:dyDescent="0.35">
      <c r="A1103" s="3"/>
      <c r="B1103" s="3"/>
      <c r="C1103" s="3" t="s">
        <v>56</v>
      </c>
      <c r="D1103" s="5">
        <v>0</v>
      </c>
      <c r="E1103" s="5">
        <v>0</v>
      </c>
      <c r="F1103" s="5">
        <v>-198.65</v>
      </c>
      <c r="G1103" s="5">
        <f t="shared" si="405"/>
        <v>-198.65</v>
      </c>
    </row>
    <row r="1104" spans="1:7" x14ac:dyDescent="0.35">
      <c r="A1104" s="37"/>
      <c r="B1104" s="37"/>
      <c r="C1104" s="37" t="s">
        <v>107</v>
      </c>
      <c r="D1104" s="38">
        <f>SUM(D1106:D1107)</f>
        <v>-229978</v>
      </c>
      <c r="E1104" s="38">
        <f>SUM(E1105:E1107)</f>
        <v>-191217.12</v>
      </c>
      <c r="F1104" s="38">
        <f t="shared" ref="F1104" si="406">SUM(F1106:F1107)</f>
        <v>-191131.41999999998</v>
      </c>
      <c r="G1104" s="38">
        <f>F1104-E1104</f>
        <v>85.700000000011642</v>
      </c>
    </row>
    <row r="1105" spans="1:7" x14ac:dyDescent="0.35">
      <c r="A1105" s="37"/>
      <c r="B1105" s="37"/>
      <c r="C1105" s="3" t="s">
        <v>155</v>
      </c>
      <c r="D1105" s="38">
        <v>0</v>
      </c>
      <c r="E1105" s="5">
        <v>-191217.12</v>
      </c>
      <c r="F1105" s="5">
        <v>0</v>
      </c>
      <c r="G1105" s="5">
        <f>F1105-E1105</f>
        <v>191217.12</v>
      </c>
    </row>
    <row r="1106" spans="1:7" x14ac:dyDescent="0.35">
      <c r="A1106" s="3"/>
      <c r="B1106" s="3"/>
      <c r="C1106" s="3" t="s">
        <v>54</v>
      </c>
      <c r="D1106" s="5">
        <v>-216228</v>
      </c>
      <c r="E1106" s="5">
        <v>0</v>
      </c>
      <c r="F1106" s="5">
        <v>-183463.34</v>
      </c>
      <c r="G1106" s="5">
        <f t="shared" ref="G1106:G1107" si="407">F1106-E1106</f>
        <v>-183463.34</v>
      </c>
    </row>
    <row r="1107" spans="1:7" x14ac:dyDescent="0.35">
      <c r="A1107" s="37"/>
      <c r="B1107" s="37"/>
      <c r="C1107" s="3" t="s">
        <v>55</v>
      </c>
      <c r="D1107" s="5">
        <v>-13750</v>
      </c>
      <c r="E1107" s="5">
        <v>0</v>
      </c>
      <c r="F1107" s="38">
        <v>-7668.08</v>
      </c>
      <c r="G1107" s="5">
        <f t="shared" si="407"/>
        <v>-7668.08</v>
      </c>
    </row>
    <row r="1108" spans="1:7" s="35" customFormat="1" x14ac:dyDescent="0.35">
      <c r="A1108" s="37"/>
      <c r="B1108" s="37"/>
      <c r="C1108" s="37" t="s">
        <v>108</v>
      </c>
      <c r="D1108" s="38">
        <f>SUM(D1110:D1111)</f>
        <v>-76</v>
      </c>
      <c r="E1108" s="38">
        <f>SUM(E1109:E1111)</f>
        <v>-205668.9</v>
      </c>
      <c r="F1108" s="38">
        <f t="shared" ref="F1108" si="408">SUM(F1110:F1111)</f>
        <v>-57248.4</v>
      </c>
      <c r="G1108" s="38">
        <f>F1108-E1108</f>
        <v>148420.5</v>
      </c>
    </row>
    <row r="1109" spans="1:7" x14ac:dyDescent="0.35">
      <c r="A1109" s="37"/>
      <c r="B1109" s="37"/>
      <c r="C1109" s="3" t="s">
        <v>155</v>
      </c>
      <c r="D1109" s="5">
        <v>0</v>
      </c>
      <c r="E1109" s="5">
        <v>-205668.9</v>
      </c>
      <c r="F1109" s="5">
        <v>0</v>
      </c>
      <c r="G1109" s="5">
        <f>F1109-E1109</f>
        <v>205668.9</v>
      </c>
    </row>
    <row r="1110" spans="1:7" x14ac:dyDescent="0.35">
      <c r="A1110" s="3"/>
      <c r="B1110" s="3"/>
      <c r="C1110" s="3" t="s">
        <v>54</v>
      </c>
      <c r="D1110" s="5">
        <v>-41</v>
      </c>
      <c r="E1110" s="5">
        <v>0</v>
      </c>
      <c r="F1110" s="5">
        <v>-47756.07</v>
      </c>
      <c r="G1110" s="5">
        <f t="shared" ref="G1110:G1112" si="409">F1110-E1110</f>
        <v>-47756.07</v>
      </c>
    </row>
    <row r="1111" spans="1:7" x14ac:dyDescent="0.35">
      <c r="A1111" s="3"/>
      <c r="B1111" s="3"/>
      <c r="C1111" s="3" t="s">
        <v>55</v>
      </c>
      <c r="D1111" s="5">
        <v>-35</v>
      </c>
      <c r="E1111" s="5">
        <v>0</v>
      </c>
      <c r="F1111" s="5">
        <v>-9492.33</v>
      </c>
      <c r="G1111" s="5">
        <f t="shared" si="409"/>
        <v>-9492.33</v>
      </c>
    </row>
    <row r="1112" spans="1:7" s="35" customFormat="1" x14ac:dyDescent="0.35">
      <c r="A1112" s="37"/>
      <c r="B1112" s="37"/>
      <c r="C1112" s="37" t="s">
        <v>109</v>
      </c>
      <c r="D1112" s="38">
        <v>-1231950</v>
      </c>
      <c r="E1112" s="67">
        <v>-1231949.6426484247</v>
      </c>
      <c r="F1112" s="38">
        <v>-1293906.3500000001</v>
      </c>
      <c r="G1112" s="38">
        <f t="shared" si="409"/>
        <v>-61956.707351575373</v>
      </c>
    </row>
    <row r="1113" spans="1:7" x14ac:dyDescent="0.35">
      <c r="A1113" s="37"/>
      <c r="B1113" s="37" t="s">
        <v>117</v>
      </c>
      <c r="C1113" s="37"/>
      <c r="D1113" s="38">
        <f>SUM(D1115:D1119)</f>
        <v>-55277084</v>
      </c>
      <c r="E1113" s="38">
        <f>SUM(E1114:E1119)</f>
        <v>-54219072.365305379</v>
      </c>
      <c r="F1113" s="38">
        <f>SUM(F1114:F1119)</f>
        <v>-51014399.899999999</v>
      </c>
      <c r="G1113" s="38">
        <f>F1113-E1113</f>
        <v>3204672.4653053805</v>
      </c>
    </row>
    <row r="1114" spans="1:7" x14ac:dyDescent="0.35">
      <c r="A1114" s="37"/>
      <c r="B1114" s="37"/>
      <c r="C1114" s="3" t="s">
        <v>155</v>
      </c>
      <c r="D1114" s="5">
        <f>D1130+D1134</f>
        <v>0</v>
      </c>
      <c r="E1114" s="5">
        <f t="shared" ref="E1114:F1114" si="410">E1130+E1134</f>
        <v>-6271738.75</v>
      </c>
      <c r="F1114" s="5">
        <f t="shared" si="410"/>
        <v>0</v>
      </c>
      <c r="G1114" s="5">
        <f>F1114-E1114</f>
        <v>6271738.75</v>
      </c>
    </row>
    <row r="1115" spans="1:7" x14ac:dyDescent="0.35">
      <c r="A1115" s="3"/>
      <c r="B1115" s="3"/>
      <c r="C1115" s="3" t="s">
        <v>54</v>
      </c>
      <c r="D1115" s="5">
        <f>D1121+D1127+D1131</f>
        <v>-28535734</v>
      </c>
      <c r="E1115" s="5">
        <f t="shared" ref="E1115" si="411">E1121+E1127+E1131</f>
        <v>-29733695.68</v>
      </c>
      <c r="F1115" s="5">
        <f>F1121+F1127+F1131+F1135</f>
        <v>-30258711.5</v>
      </c>
      <c r="G1115" s="5">
        <f t="shared" ref="G1115:G1119" si="412">F1115-E1115</f>
        <v>-525015.8200000003</v>
      </c>
    </row>
    <row r="1116" spans="1:7" x14ac:dyDescent="0.35">
      <c r="A1116" s="3"/>
      <c r="B1116" s="3"/>
      <c r="C1116" s="3" t="s">
        <v>55</v>
      </c>
      <c r="D1116" s="5">
        <f>D1122+D1132+D1136</f>
        <v>-19441067</v>
      </c>
      <c r="E1116" s="5">
        <f t="shared" ref="E1116:F1116" si="413">E1122+E1132+E1136</f>
        <v>-10519054.200000001</v>
      </c>
      <c r="F1116" s="5">
        <f t="shared" si="413"/>
        <v>-12777940.390000001</v>
      </c>
      <c r="G1116" s="5">
        <f t="shared" si="412"/>
        <v>-2258886.1899999995</v>
      </c>
    </row>
    <row r="1117" spans="1:7" x14ac:dyDescent="0.35">
      <c r="A1117" s="3"/>
      <c r="B1117" s="3"/>
      <c r="C1117" s="3" t="s">
        <v>101</v>
      </c>
      <c r="D1117" s="5">
        <f>D1123</f>
        <v>-412</v>
      </c>
      <c r="E1117" s="5">
        <f t="shared" ref="E1117:F1118" si="414">E1123</f>
        <v>-412</v>
      </c>
      <c r="F1117" s="5">
        <f t="shared" si="414"/>
        <v>-411.55</v>
      </c>
      <c r="G1117" s="5">
        <f t="shared" si="412"/>
        <v>0.44999999999998863</v>
      </c>
    </row>
    <row r="1118" spans="1:7" x14ac:dyDescent="0.35">
      <c r="A1118" s="3"/>
      <c r="B1118" s="3"/>
      <c r="C1118" s="3" t="s">
        <v>102</v>
      </c>
      <c r="D1118" s="5">
        <f>D1124</f>
        <v>-45907</v>
      </c>
      <c r="E1118" s="5">
        <f t="shared" si="414"/>
        <v>-52562.13</v>
      </c>
      <c r="F1118" s="5">
        <f t="shared" si="414"/>
        <v>-52476.42</v>
      </c>
      <c r="G1118" s="5">
        <f t="shared" si="412"/>
        <v>85.709999999999127</v>
      </c>
    </row>
    <row r="1119" spans="1:7" x14ac:dyDescent="0.35">
      <c r="A1119" s="3"/>
      <c r="B1119" s="3"/>
      <c r="C1119" s="3" t="s">
        <v>103</v>
      </c>
      <c r="D1119" s="5">
        <f>D1125+D1137</f>
        <v>-7253964</v>
      </c>
      <c r="E1119" s="5">
        <f>E1125+E1137</f>
        <v>-7641609.6053053727</v>
      </c>
      <c r="F1119" s="5">
        <f>F1125+F1137+F1128</f>
        <v>-7924860.04</v>
      </c>
      <c r="G1119" s="5">
        <f t="shared" si="412"/>
        <v>-283250.4346946273</v>
      </c>
    </row>
    <row r="1120" spans="1:7" x14ac:dyDescent="0.35">
      <c r="A1120" s="37"/>
      <c r="B1120" s="37"/>
      <c r="C1120" s="37" t="s">
        <v>105</v>
      </c>
      <c r="D1120" s="38">
        <f>SUM(D1121:D1125)</f>
        <v>-37282445</v>
      </c>
      <c r="E1120" s="38">
        <f>SUM(E1121:E1125)</f>
        <v>-40674829.770000003</v>
      </c>
      <c r="F1120" s="38">
        <f t="shared" ref="F1120" si="415">SUM(F1121:F1125)</f>
        <v>-38306232.899999999</v>
      </c>
      <c r="G1120" s="38">
        <f>F1120-E1120</f>
        <v>2368596.8700000048</v>
      </c>
    </row>
    <row r="1121" spans="1:7" x14ac:dyDescent="0.35">
      <c r="A1121" s="3"/>
      <c r="B1121" s="3"/>
      <c r="C1121" s="3" t="s">
        <v>54</v>
      </c>
      <c r="D1121" s="5">
        <v>-27398383</v>
      </c>
      <c r="E1121" s="5">
        <v>-29701759.68</v>
      </c>
      <c r="F1121" s="5">
        <v>-28806655.199999999</v>
      </c>
      <c r="G1121" s="5">
        <f t="shared" ref="G1121:G1125" si="416">F1121-E1121</f>
        <v>895104.48000000045</v>
      </c>
    </row>
    <row r="1122" spans="1:7" x14ac:dyDescent="0.35">
      <c r="A1122" s="3"/>
      <c r="B1122" s="3"/>
      <c r="C1122" s="3" t="s">
        <v>55</v>
      </c>
      <c r="D1122" s="5">
        <v>-9824347</v>
      </c>
      <c r="E1122" s="5">
        <f>-10400938.72-118115.48</f>
        <v>-10519054.200000001</v>
      </c>
      <c r="F1122" s="5">
        <v>-9048550.1699999999</v>
      </c>
      <c r="G1122" s="5">
        <f t="shared" si="416"/>
        <v>1470504.0300000012</v>
      </c>
    </row>
    <row r="1123" spans="1:7" x14ac:dyDescent="0.35">
      <c r="A1123" s="3"/>
      <c r="B1123" s="3"/>
      <c r="C1123" s="3" t="s">
        <v>101</v>
      </c>
      <c r="D1123" s="5">
        <v>-412</v>
      </c>
      <c r="E1123" s="5">
        <f t="shared" ref="E1123" si="417">D1123</f>
        <v>-412</v>
      </c>
      <c r="F1123" s="5">
        <v>-411.55</v>
      </c>
      <c r="G1123" s="5">
        <f t="shared" si="416"/>
        <v>0.44999999999998863</v>
      </c>
    </row>
    <row r="1124" spans="1:7" x14ac:dyDescent="0.35">
      <c r="A1124" s="3"/>
      <c r="B1124" s="3"/>
      <c r="C1124" s="3" t="s">
        <v>102</v>
      </c>
      <c r="D1124" s="5">
        <v>-45907</v>
      </c>
      <c r="E1124" s="5">
        <v>-52562.13</v>
      </c>
      <c r="F1124" s="5">
        <v>-52476.42</v>
      </c>
      <c r="G1124" s="5">
        <f t="shared" si="416"/>
        <v>85.709999999999127</v>
      </c>
    </row>
    <row r="1125" spans="1:7" x14ac:dyDescent="0.35">
      <c r="A1125" s="3"/>
      <c r="B1125" s="3"/>
      <c r="C1125" s="3" t="s">
        <v>56</v>
      </c>
      <c r="D1125" s="5">
        <v>-13396</v>
      </c>
      <c r="E1125" s="5">
        <v>-401041.76</v>
      </c>
      <c r="F1125" s="5">
        <v>-398139.56</v>
      </c>
      <c r="G1125" s="5">
        <f t="shared" si="416"/>
        <v>2902.2000000000116</v>
      </c>
    </row>
    <row r="1126" spans="1:7" x14ac:dyDescent="0.35">
      <c r="A1126" s="37"/>
      <c r="B1126" s="37"/>
      <c r="C1126" s="37" t="s">
        <v>106</v>
      </c>
      <c r="D1126" s="38">
        <f>SUM(D1127:D1127)</f>
        <v>-31936</v>
      </c>
      <c r="E1126" s="38">
        <f>SUM(E1127:E1128)</f>
        <v>-31936</v>
      </c>
      <c r="F1126" s="38">
        <f>SUM(F1127:F1128)</f>
        <v>-17853.29</v>
      </c>
      <c r="G1126" s="38">
        <f>F1126-E1126</f>
        <v>14082.71</v>
      </c>
    </row>
    <row r="1127" spans="1:7" x14ac:dyDescent="0.35">
      <c r="A1127" s="3"/>
      <c r="B1127" s="3"/>
      <c r="C1127" s="3" t="s">
        <v>54</v>
      </c>
      <c r="D1127" s="5">
        <v>-31936</v>
      </c>
      <c r="E1127" s="5">
        <f t="shared" ref="E1127" si="418">D1127</f>
        <v>-31936</v>
      </c>
      <c r="F1127" s="5">
        <v>-18621.310000000001</v>
      </c>
      <c r="G1127" s="5">
        <f t="shared" ref="G1127:G1128" si="419">F1127-E1127</f>
        <v>13314.689999999999</v>
      </c>
    </row>
    <row r="1128" spans="1:7" x14ac:dyDescent="0.35">
      <c r="A1128" s="3"/>
      <c r="B1128" s="3"/>
      <c r="C1128" s="3" t="s">
        <v>56</v>
      </c>
      <c r="D1128" s="5">
        <v>0</v>
      </c>
      <c r="E1128" s="5">
        <v>0</v>
      </c>
      <c r="F1128" s="5">
        <v>768.02</v>
      </c>
      <c r="G1128" s="5">
        <f t="shared" si="419"/>
        <v>768.02</v>
      </c>
    </row>
    <row r="1129" spans="1:7" s="35" customFormat="1" x14ac:dyDescent="0.35">
      <c r="A1129" s="37"/>
      <c r="B1129" s="37"/>
      <c r="C1129" s="37" t="s">
        <v>107</v>
      </c>
      <c r="D1129" s="38">
        <f>SUM(D1131:D1132)</f>
        <v>-10721177</v>
      </c>
      <c r="E1129" s="38">
        <f>SUM(E1130:E1132)</f>
        <v>-5481085.9900000002</v>
      </c>
      <c r="F1129" s="38">
        <f>SUM(F1131:F1132)</f>
        <v>-4803821.78</v>
      </c>
      <c r="G1129" s="38">
        <f>F1129-E1129</f>
        <v>677264.21</v>
      </c>
    </row>
    <row r="1130" spans="1:7" x14ac:dyDescent="0.35">
      <c r="A1130" s="37"/>
      <c r="B1130" s="37"/>
      <c r="C1130" s="3" t="s">
        <v>155</v>
      </c>
      <c r="D1130" s="5">
        <v>0</v>
      </c>
      <c r="E1130" s="5">
        <v>-5481085.9900000002</v>
      </c>
      <c r="F1130" s="5">
        <v>0</v>
      </c>
      <c r="G1130" s="5">
        <f>F1130-E1130</f>
        <v>5481085.9900000002</v>
      </c>
    </row>
    <row r="1131" spans="1:7" x14ac:dyDescent="0.35">
      <c r="A1131" s="3"/>
      <c r="B1131" s="3"/>
      <c r="C1131" s="3" t="s">
        <v>54</v>
      </c>
      <c r="D1131" s="5">
        <v>-1105415</v>
      </c>
      <c r="E1131" s="5">
        <v>0</v>
      </c>
      <c r="F1131" s="5">
        <v>-1313942.53</v>
      </c>
      <c r="G1131" s="5">
        <f t="shared" ref="G1131:G1132" si="420">F1131-E1131</f>
        <v>-1313942.53</v>
      </c>
    </row>
    <row r="1132" spans="1:7" x14ac:dyDescent="0.35">
      <c r="A1132" s="37"/>
      <c r="B1132" s="37"/>
      <c r="C1132" s="3" t="s">
        <v>55</v>
      </c>
      <c r="D1132" s="5">
        <v>-9615762</v>
      </c>
      <c r="E1132" s="5">
        <v>0</v>
      </c>
      <c r="F1132" s="5">
        <v>-3489879.25</v>
      </c>
      <c r="G1132" s="5">
        <f t="shared" si="420"/>
        <v>-3489879.25</v>
      </c>
    </row>
    <row r="1133" spans="1:7" x14ac:dyDescent="0.35">
      <c r="A1133" s="37"/>
      <c r="B1133" s="37"/>
      <c r="C1133" s="37" t="s">
        <v>108</v>
      </c>
      <c r="D1133" s="38">
        <f>SUM(D1136:D1136)</f>
        <v>-958</v>
      </c>
      <c r="E1133" s="38">
        <f>SUM(E1134:E1136)</f>
        <v>-790652.76</v>
      </c>
      <c r="F1133" s="38">
        <f>SUM(F1135:F1136)</f>
        <v>-359003.43</v>
      </c>
      <c r="G1133" s="38">
        <f>F1133-E1133</f>
        <v>431649.33</v>
      </c>
    </row>
    <row r="1134" spans="1:7" x14ac:dyDescent="0.35">
      <c r="A1134" s="37"/>
      <c r="B1134" s="37"/>
      <c r="C1134" s="3" t="s">
        <v>155</v>
      </c>
      <c r="D1134" s="5">
        <v>0</v>
      </c>
      <c r="E1134" s="5">
        <v>-790652.76</v>
      </c>
      <c r="F1134" s="5">
        <v>0</v>
      </c>
      <c r="G1134" s="5">
        <f t="shared" ref="G1134:G1149" si="421">F1134-E1134</f>
        <v>790652.76</v>
      </c>
    </row>
    <row r="1135" spans="1:7" x14ac:dyDescent="0.35">
      <c r="A1135" s="37"/>
      <c r="B1135" s="37"/>
      <c r="C1135" s="3" t="s">
        <v>54</v>
      </c>
      <c r="D1135" s="5">
        <v>0</v>
      </c>
      <c r="E1135" s="5">
        <v>0</v>
      </c>
      <c r="F1135" s="5">
        <v>-119492.46</v>
      </c>
      <c r="G1135" s="5">
        <f t="shared" si="421"/>
        <v>-119492.46</v>
      </c>
    </row>
    <row r="1136" spans="1:7" x14ac:dyDescent="0.35">
      <c r="A1136" s="3"/>
      <c r="B1136" s="3"/>
      <c r="C1136" s="3" t="s">
        <v>55</v>
      </c>
      <c r="D1136" s="5">
        <v>-958</v>
      </c>
      <c r="E1136" s="5">
        <v>0</v>
      </c>
      <c r="F1136" s="5">
        <v>-239510.97</v>
      </c>
      <c r="G1136" s="5">
        <f t="shared" si="421"/>
        <v>-239510.97</v>
      </c>
    </row>
    <row r="1137" spans="1:7" x14ac:dyDescent="0.35">
      <c r="A1137" s="37"/>
      <c r="B1137" s="37"/>
      <c r="C1137" s="37" t="s">
        <v>109</v>
      </c>
      <c r="D1137" s="38">
        <v>-7240568</v>
      </c>
      <c r="E1137" s="67">
        <v>-7240567.845305373</v>
      </c>
      <c r="F1137" s="38">
        <v>-7527488.5</v>
      </c>
      <c r="G1137" s="38">
        <f t="shared" si="421"/>
        <v>-286920.65469462704</v>
      </c>
    </row>
    <row r="1138" spans="1:7" x14ac:dyDescent="0.35">
      <c r="A1138" s="77" t="s">
        <v>136</v>
      </c>
      <c r="B1138" s="3"/>
      <c r="C1138" s="3"/>
      <c r="D1138" s="38">
        <f>SUM(D1139:D1143)</f>
        <v>-37104310</v>
      </c>
      <c r="E1138" s="38">
        <f t="shared" ref="E1138:F1138" si="422">SUM(E1139:E1143)</f>
        <v>-43379429.334360577</v>
      </c>
      <c r="F1138" s="38">
        <f t="shared" si="422"/>
        <v>-38523835.899999999</v>
      </c>
      <c r="G1138" s="38">
        <f t="shared" si="421"/>
        <v>4855593.4343605787</v>
      </c>
    </row>
    <row r="1139" spans="1:7" x14ac:dyDescent="0.35">
      <c r="A1139" s="36"/>
      <c r="B1139" s="3" t="s">
        <v>105</v>
      </c>
      <c r="C1139" s="3"/>
      <c r="D1139" s="5">
        <f t="shared" ref="D1139:F1143" si="423">D1145+D1221+D1292</f>
        <v>-26091559</v>
      </c>
      <c r="E1139" s="5">
        <f t="shared" si="423"/>
        <v>-31942234.099999998</v>
      </c>
      <c r="F1139" s="5">
        <f t="shared" si="423"/>
        <v>-27991685.23</v>
      </c>
      <c r="G1139" s="5">
        <f t="shared" si="421"/>
        <v>3950548.8699999973</v>
      </c>
    </row>
    <row r="1140" spans="1:7" s="35" customFormat="1" x14ac:dyDescent="0.35">
      <c r="A1140" s="36"/>
      <c r="B1140" s="3" t="s">
        <v>106</v>
      </c>
      <c r="C1140" s="3"/>
      <c r="D1140" s="5">
        <f t="shared" si="423"/>
        <v>-4616507</v>
      </c>
      <c r="E1140" s="5">
        <f t="shared" si="423"/>
        <v>-4616507</v>
      </c>
      <c r="F1140" s="5">
        <f t="shared" si="423"/>
        <v>-4479794.43</v>
      </c>
      <c r="G1140" s="5">
        <f t="shared" si="421"/>
        <v>136712.5700000003</v>
      </c>
    </row>
    <row r="1141" spans="1:7" s="35" customFormat="1" x14ac:dyDescent="0.35">
      <c r="A1141" s="3"/>
      <c r="B1141" s="3" t="s">
        <v>107</v>
      </c>
      <c r="C1141" s="3"/>
      <c r="D1141" s="5">
        <f t="shared" si="423"/>
        <v>-3788587</v>
      </c>
      <c r="E1141" s="5">
        <f t="shared" si="423"/>
        <v>-3301362.5600000005</v>
      </c>
      <c r="F1141" s="5">
        <f t="shared" si="423"/>
        <v>-3171120.17</v>
      </c>
      <c r="G1141" s="5">
        <f t="shared" si="421"/>
        <v>130242.3900000006</v>
      </c>
    </row>
    <row r="1142" spans="1:7" x14ac:dyDescent="0.35">
      <c r="A1142" s="3"/>
      <c r="B1142" s="3" t="s">
        <v>108</v>
      </c>
      <c r="C1142" s="3"/>
      <c r="D1142" s="5">
        <f t="shared" si="423"/>
        <v>-1987</v>
      </c>
      <c r="E1142" s="5">
        <f t="shared" si="423"/>
        <v>-913655.96999999986</v>
      </c>
      <c r="F1142" s="5">
        <f t="shared" si="423"/>
        <v>-576921.44999999995</v>
      </c>
      <c r="G1142" s="5">
        <f t="shared" si="421"/>
        <v>336734.5199999999</v>
      </c>
    </row>
    <row r="1143" spans="1:7" x14ac:dyDescent="0.35">
      <c r="A1143" s="3"/>
      <c r="B1143" s="3" t="s">
        <v>109</v>
      </c>
      <c r="C1143" s="3"/>
      <c r="D1143" s="5">
        <f t="shared" si="423"/>
        <v>-2605670</v>
      </c>
      <c r="E1143" s="5">
        <f t="shared" si="423"/>
        <v>-2605669.7043605815</v>
      </c>
      <c r="F1143" s="5">
        <f t="shared" si="423"/>
        <v>-2304314.62</v>
      </c>
      <c r="G1143" s="5">
        <f t="shared" si="421"/>
        <v>301355.08436058136</v>
      </c>
    </row>
    <row r="1144" spans="1:7" x14ac:dyDescent="0.35">
      <c r="A1144" s="37" t="s">
        <v>137</v>
      </c>
      <c r="B1144" s="37"/>
      <c r="C1144" s="37"/>
      <c r="D1144" s="38">
        <f>SUM(D1145:D1149)</f>
        <v>-10813291</v>
      </c>
      <c r="E1144" s="38">
        <f t="shared" ref="E1144:F1144" si="424">SUM(E1145:E1149)</f>
        <v>-12645783.278922906</v>
      </c>
      <c r="F1144" s="38">
        <f t="shared" si="424"/>
        <v>-11370282.359999999</v>
      </c>
      <c r="G1144" s="38">
        <f t="shared" si="421"/>
        <v>1275500.9189229067</v>
      </c>
    </row>
    <row r="1145" spans="1:7" x14ac:dyDescent="0.35">
      <c r="A1145" s="3"/>
      <c r="B1145" s="3" t="s">
        <v>105</v>
      </c>
      <c r="C1145" s="3"/>
      <c r="D1145" s="5">
        <f>D1158+D1181+D1203</f>
        <v>-7714166</v>
      </c>
      <c r="E1145" s="5">
        <f>E1158+E1181+E1203</f>
        <v>-9949653.5700000003</v>
      </c>
      <c r="F1145" s="5">
        <f>F1158+F1181+F1203</f>
        <v>-8704461.3499999996</v>
      </c>
      <c r="G1145" s="5">
        <f t="shared" si="421"/>
        <v>1245192.2200000007</v>
      </c>
    </row>
    <row r="1146" spans="1:7" x14ac:dyDescent="0.35">
      <c r="A1146" s="3"/>
      <c r="B1146" s="3" t="s">
        <v>106</v>
      </c>
      <c r="C1146" s="3"/>
      <c r="D1146" s="5">
        <f>D1209</f>
        <v>-3112</v>
      </c>
      <c r="E1146" s="5">
        <f t="shared" ref="E1146" si="425">E1209</f>
        <v>-3112</v>
      </c>
      <c r="F1146" s="5">
        <f>F1209+F1164+F1185</f>
        <v>-1742.1000000000001</v>
      </c>
      <c r="G1146" s="5">
        <f t="shared" si="421"/>
        <v>1369.8999999999999</v>
      </c>
    </row>
    <row r="1147" spans="1:7" x14ac:dyDescent="0.35">
      <c r="A1147" s="3"/>
      <c r="B1147" s="3" t="s">
        <v>107</v>
      </c>
      <c r="C1147" s="3"/>
      <c r="D1147" s="5">
        <f>D1166+D1187+D1211</f>
        <v>-2532652</v>
      </c>
      <c r="E1147" s="5">
        <f>E1166+E1187+E1211</f>
        <v>-1987711.2600000002</v>
      </c>
      <c r="F1147" s="5">
        <f>F1166+F1187+F1211</f>
        <v>-1924324.1</v>
      </c>
      <c r="G1147" s="5">
        <f t="shared" si="421"/>
        <v>63387.160000000149</v>
      </c>
    </row>
    <row r="1148" spans="1:7" x14ac:dyDescent="0.35">
      <c r="A1148" s="3"/>
      <c r="B1148" s="3" t="s">
        <v>108</v>
      </c>
      <c r="C1148" s="3"/>
      <c r="D1148" s="5">
        <f>D1191+D1215</f>
        <v>-1124</v>
      </c>
      <c r="E1148" s="5">
        <f>E1191+E1215+E1172</f>
        <v>-143069.34</v>
      </c>
      <c r="F1148" s="5">
        <f>F1191+F1215+F1172</f>
        <v>-120700.49</v>
      </c>
      <c r="G1148" s="5">
        <f t="shared" si="421"/>
        <v>22368.849999999991</v>
      </c>
    </row>
    <row r="1149" spans="1:7" x14ac:dyDescent="0.35">
      <c r="A1149" s="3"/>
      <c r="B1149" s="3" t="s">
        <v>109</v>
      </c>
      <c r="C1149" s="3"/>
      <c r="D1149" s="5">
        <f>D1175+D1195+D1219</f>
        <v>-562237</v>
      </c>
      <c r="E1149" s="5">
        <f>E1175+E1195+E1219</f>
        <v>-562237.10892290599</v>
      </c>
      <c r="F1149" s="5">
        <f>F1175+F1195+F1219</f>
        <v>-619054.32000000007</v>
      </c>
      <c r="G1149" s="5">
        <f t="shared" si="421"/>
        <v>-56817.211077094078</v>
      </c>
    </row>
    <row r="1150" spans="1:7" x14ac:dyDescent="0.35">
      <c r="A1150" s="37"/>
      <c r="B1150" s="37" t="s">
        <v>31</v>
      </c>
      <c r="C1150" s="37"/>
      <c r="D1150" s="38">
        <f>SUM(D1152:D1157)</f>
        <v>-3125591</v>
      </c>
      <c r="E1150" s="38">
        <f>SUM(E1151:E1157)</f>
        <v>-2614809.0280965562</v>
      </c>
      <c r="F1150" s="5">
        <f>SUM(F1152:F1157)</f>
        <v>-2439966.63</v>
      </c>
      <c r="G1150" s="5">
        <f>F1150-E1150</f>
        <v>174842.39809655631</v>
      </c>
    </row>
    <row r="1151" spans="1:7" x14ac:dyDescent="0.35">
      <c r="A1151" s="37"/>
      <c r="B1151" s="37"/>
      <c r="C1151" s="3" t="s">
        <v>155</v>
      </c>
      <c r="D1151" s="5">
        <f>D1167+D1173</f>
        <v>0</v>
      </c>
      <c r="E1151" s="5">
        <f t="shared" ref="E1151:F1151" si="426">E1167+E1173</f>
        <v>-1113577.28</v>
      </c>
      <c r="F1151" s="5">
        <f t="shared" si="426"/>
        <v>0</v>
      </c>
      <c r="G1151" s="5">
        <f>F1151-E1151</f>
        <v>1113577.28</v>
      </c>
    </row>
    <row r="1152" spans="1:7" x14ac:dyDescent="0.35">
      <c r="A1152" s="3"/>
      <c r="B1152" s="3"/>
      <c r="C1152" s="3" t="s">
        <v>54</v>
      </c>
      <c r="D1152" s="5">
        <f>D1159+D1168</f>
        <v>-1186123</v>
      </c>
      <c r="E1152" s="5">
        <f>E1159+E1168</f>
        <v>-918660.7</v>
      </c>
      <c r="F1152" s="5">
        <f>F1159+F1168+F1174</f>
        <v>-1160595</v>
      </c>
      <c r="G1152" s="5">
        <f t="shared" ref="G1152:G1157" si="427">F1152-E1152</f>
        <v>-241934.30000000005</v>
      </c>
    </row>
    <row r="1153" spans="1:7" x14ac:dyDescent="0.35">
      <c r="A1153" s="3"/>
      <c r="B1153" s="3"/>
      <c r="C1153" s="3" t="s">
        <v>55</v>
      </c>
      <c r="D1153" s="5">
        <f>D1160+D1169</f>
        <v>-230816</v>
      </c>
      <c r="E1153" s="5">
        <f>E1160+E1169</f>
        <v>-227131.01</v>
      </c>
      <c r="F1153" s="5">
        <f t="shared" ref="F1153" si="428">F1160+F1169</f>
        <v>-238930.78</v>
      </c>
      <c r="G1153" s="5">
        <f t="shared" si="427"/>
        <v>-11799.76999999999</v>
      </c>
    </row>
    <row r="1154" spans="1:7" x14ac:dyDescent="0.35">
      <c r="A1154" s="3"/>
      <c r="B1154" s="3"/>
      <c r="C1154" s="3" t="s">
        <v>101</v>
      </c>
      <c r="D1154" s="5">
        <f>D1161</f>
        <v>-103</v>
      </c>
      <c r="E1154" s="5">
        <f t="shared" ref="E1154:F1154" si="429">E1161</f>
        <v>-103</v>
      </c>
      <c r="F1154" s="5">
        <f t="shared" si="429"/>
        <v>-84.45</v>
      </c>
      <c r="G1154" s="5">
        <f t="shared" si="427"/>
        <v>18.549999999999997</v>
      </c>
    </row>
    <row r="1155" spans="1:7" s="35" customFormat="1" x14ac:dyDescent="0.35">
      <c r="A1155" s="3"/>
      <c r="B1155" s="3"/>
      <c r="C1155" s="3" t="s">
        <v>110</v>
      </c>
      <c r="D1155" s="5">
        <v>0</v>
      </c>
      <c r="E1155" s="5">
        <v>0</v>
      </c>
      <c r="F1155" s="5">
        <f>+F1170</f>
        <v>-1567.96</v>
      </c>
      <c r="G1155" s="5">
        <f t="shared" si="427"/>
        <v>-1567.96</v>
      </c>
    </row>
    <row r="1156" spans="1:7" x14ac:dyDescent="0.35">
      <c r="A1156" s="3"/>
      <c r="B1156" s="3"/>
      <c r="C1156" s="3" t="s">
        <v>102</v>
      </c>
      <c r="D1156" s="5">
        <f>D1162+D1171</f>
        <v>-1703699</v>
      </c>
      <c r="E1156" s="5">
        <f>E1162+E1171</f>
        <v>-350422.27</v>
      </c>
      <c r="F1156" s="5">
        <f>F1162+F1171</f>
        <v>-1032476.98</v>
      </c>
      <c r="G1156" s="5">
        <f t="shared" si="427"/>
        <v>-682054.71</v>
      </c>
    </row>
    <row r="1157" spans="1:7" x14ac:dyDescent="0.35">
      <c r="A1157" s="3"/>
      <c r="B1157" s="3"/>
      <c r="C1157" s="3" t="s">
        <v>103</v>
      </c>
      <c r="D1157" s="5">
        <f>D1163+D1175</f>
        <v>-4850</v>
      </c>
      <c r="E1157" s="5">
        <f>E1163+E1175</f>
        <v>-4914.7680965560439</v>
      </c>
      <c r="F1157" s="5">
        <f>F1163+F1175+F1165</f>
        <v>-6311.46</v>
      </c>
      <c r="G1157" s="5">
        <f t="shared" si="427"/>
        <v>-1396.6919034439561</v>
      </c>
    </row>
    <row r="1158" spans="1:7" x14ac:dyDescent="0.35">
      <c r="A1158" s="37"/>
      <c r="B1158" s="37"/>
      <c r="C1158" s="37" t="s">
        <v>105</v>
      </c>
      <c r="D1158" s="38">
        <f>SUM(D1159:D1163)</f>
        <v>-1720664</v>
      </c>
      <c r="E1158" s="38">
        <f>SUM(E1159:E1163)</f>
        <v>-1497292.23</v>
      </c>
      <c r="F1158" s="38">
        <f t="shared" ref="F1158" si="430">SUM(F1159:F1163)</f>
        <v>-1367717.79</v>
      </c>
      <c r="G1158" s="38">
        <f>F1158-E1158</f>
        <v>129574.43999999994</v>
      </c>
    </row>
    <row r="1159" spans="1:7" x14ac:dyDescent="0.35">
      <c r="A1159" s="3"/>
      <c r="B1159" s="3"/>
      <c r="C1159" s="3" t="s">
        <v>54</v>
      </c>
      <c r="D1159" s="5">
        <v>-932793</v>
      </c>
      <c r="E1159" s="5">
        <v>-918660.7</v>
      </c>
      <c r="F1159" s="5">
        <v>-841110.3</v>
      </c>
      <c r="G1159" s="5">
        <f t="shared" ref="G1159:G1165" si="431">F1159-E1159</f>
        <v>77550.399999999907</v>
      </c>
    </row>
    <row r="1160" spans="1:7" x14ac:dyDescent="0.35">
      <c r="A1160" s="3"/>
      <c r="B1160" s="3"/>
      <c r="C1160" s="3" t="s">
        <v>55</v>
      </c>
      <c r="D1160" s="5">
        <v>-193159</v>
      </c>
      <c r="E1160" s="5">
        <f>-219082.56-8048.45</f>
        <v>-227131.01</v>
      </c>
      <c r="F1160" s="5">
        <v>-214546.06</v>
      </c>
      <c r="G1160" s="5">
        <f t="shared" si="431"/>
        <v>12584.950000000012</v>
      </c>
    </row>
    <row r="1161" spans="1:7" x14ac:dyDescent="0.35">
      <c r="A1161" s="3"/>
      <c r="B1161" s="3"/>
      <c r="C1161" s="3" t="s">
        <v>101</v>
      </c>
      <c r="D1161" s="5">
        <v>-103</v>
      </c>
      <c r="E1161" s="5">
        <f t="shared" ref="E1161" si="432">D1161</f>
        <v>-103</v>
      </c>
      <c r="F1161" s="5">
        <v>-84.45</v>
      </c>
      <c r="G1161" s="5">
        <f t="shared" si="431"/>
        <v>18.549999999999997</v>
      </c>
    </row>
    <row r="1162" spans="1:7" x14ac:dyDescent="0.35">
      <c r="A1162" s="3"/>
      <c r="B1162" s="3"/>
      <c r="C1162" s="3" t="s">
        <v>102</v>
      </c>
      <c r="D1162" s="5">
        <v>-593699</v>
      </c>
      <c r="E1162" s="5">
        <v>-350422.27</v>
      </c>
      <c r="F1162" s="5">
        <v>-311127.07</v>
      </c>
      <c r="G1162" s="5">
        <f t="shared" si="431"/>
        <v>39295.200000000012</v>
      </c>
    </row>
    <row r="1163" spans="1:7" x14ac:dyDescent="0.35">
      <c r="A1163" s="3"/>
      <c r="B1163" s="3"/>
      <c r="C1163" s="3" t="s">
        <v>56</v>
      </c>
      <c r="D1163" s="5">
        <v>-910</v>
      </c>
      <c r="E1163" s="5">
        <v>-975.25</v>
      </c>
      <c r="F1163" s="5">
        <v>-849.91</v>
      </c>
      <c r="G1163" s="5">
        <f t="shared" si="431"/>
        <v>125.34000000000003</v>
      </c>
    </row>
    <row r="1164" spans="1:7" x14ac:dyDescent="0.35">
      <c r="A1164" s="3"/>
      <c r="B1164" s="3"/>
      <c r="C1164" s="37" t="s">
        <v>106</v>
      </c>
      <c r="D1164" s="38">
        <v>0</v>
      </c>
      <c r="E1164" s="38">
        <f>+E1165</f>
        <v>0</v>
      </c>
      <c r="F1164" s="38">
        <f>+F1165</f>
        <v>163.49</v>
      </c>
      <c r="G1164" s="38">
        <f t="shared" si="431"/>
        <v>163.49</v>
      </c>
    </row>
    <row r="1165" spans="1:7" s="35" customFormat="1" x14ac:dyDescent="0.35">
      <c r="A1165" s="3"/>
      <c r="B1165" s="3"/>
      <c r="C1165" s="3" t="s">
        <v>56</v>
      </c>
      <c r="D1165" s="5">
        <v>0</v>
      </c>
      <c r="E1165" s="5">
        <v>0</v>
      </c>
      <c r="F1165" s="5">
        <v>163.49</v>
      </c>
      <c r="G1165" s="5">
        <f t="shared" si="431"/>
        <v>163.49</v>
      </c>
    </row>
    <row r="1166" spans="1:7" s="35" customFormat="1" x14ac:dyDescent="0.35">
      <c r="A1166" s="37"/>
      <c r="B1166" s="37"/>
      <c r="C1166" s="37" t="s">
        <v>107</v>
      </c>
      <c r="D1166" s="38">
        <f>SUM(D1168:D1171)</f>
        <v>-1400987</v>
      </c>
      <c r="E1166" s="38">
        <f>SUM(E1167:E1171)</f>
        <v>-1098573.56</v>
      </c>
      <c r="F1166" s="38">
        <f>SUM(F1168:F1171)</f>
        <v>-1058481.6000000001</v>
      </c>
      <c r="G1166" s="38">
        <f>F1166-E1166</f>
        <v>40091.959999999963</v>
      </c>
    </row>
    <row r="1167" spans="1:7" x14ac:dyDescent="0.35">
      <c r="A1167" s="37"/>
      <c r="B1167" s="37"/>
      <c r="C1167" s="3" t="s">
        <v>155</v>
      </c>
      <c r="D1167" s="5">
        <v>0</v>
      </c>
      <c r="E1167" s="5">
        <v>-1098573.56</v>
      </c>
      <c r="F1167" s="38">
        <v>0</v>
      </c>
      <c r="G1167" s="5">
        <f>F1167-E1167</f>
        <v>1098573.56</v>
      </c>
    </row>
    <row r="1168" spans="1:7" x14ac:dyDescent="0.35">
      <c r="A1168" s="3"/>
      <c r="B1168" s="3"/>
      <c r="C1168" s="3" t="s">
        <v>54</v>
      </c>
      <c r="D1168" s="5">
        <v>-253330</v>
      </c>
      <c r="E1168" s="5">
        <v>0</v>
      </c>
      <c r="F1168" s="5">
        <v>-311179.01</v>
      </c>
      <c r="G1168" s="5">
        <f t="shared" ref="G1168:G1171" si="433">F1168-E1168</f>
        <v>-311179.01</v>
      </c>
    </row>
    <row r="1169" spans="1:7" x14ac:dyDescent="0.35">
      <c r="A1169" s="3"/>
      <c r="B1169" s="3"/>
      <c r="C1169" s="3" t="s">
        <v>55</v>
      </c>
      <c r="D1169" s="5">
        <v>-37657</v>
      </c>
      <c r="E1169" s="5">
        <v>0</v>
      </c>
      <c r="F1169" s="5">
        <v>-24384.720000000001</v>
      </c>
      <c r="G1169" s="5">
        <f t="shared" si="433"/>
        <v>-24384.720000000001</v>
      </c>
    </row>
    <row r="1170" spans="1:7" x14ac:dyDescent="0.35">
      <c r="A1170" s="3"/>
      <c r="B1170" s="3"/>
      <c r="C1170" s="3" t="s">
        <v>110</v>
      </c>
      <c r="D1170" s="5">
        <v>0</v>
      </c>
      <c r="E1170" s="5">
        <v>0</v>
      </c>
      <c r="F1170" s="5">
        <v>-1567.96</v>
      </c>
      <c r="G1170" s="5">
        <f t="shared" si="433"/>
        <v>-1567.96</v>
      </c>
    </row>
    <row r="1171" spans="1:7" s="35" customFormat="1" x14ac:dyDescent="0.35">
      <c r="A1171" s="3"/>
      <c r="B1171" s="3"/>
      <c r="C1171" s="3" t="s">
        <v>102</v>
      </c>
      <c r="D1171" s="5">
        <f>-277500-832500</f>
        <v>-1110000</v>
      </c>
      <c r="E1171" s="5">
        <v>0</v>
      </c>
      <c r="F1171" s="5">
        <v>-721349.91</v>
      </c>
      <c r="G1171" s="5">
        <f t="shared" si="433"/>
        <v>-721349.91</v>
      </c>
    </row>
    <row r="1172" spans="1:7" x14ac:dyDescent="0.35">
      <c r="A1172" s="3"/>
      <c r="B1172" s="3"/>
      <c r="C1172" s="37" t="s">
        <v>108</v>
      </c>
      <c r="D1172" s="38">
        <v>0</v>
      </c>
      <c r="E1172" s="38">
        <f>SUM(E1173)</f>
        <v>-15003.72</v>
      </c>
      <c r="F1172" s="38">
        <f>SUM(F1173+F1174)</f>
        <v>-8305.69</v>
      </c>
      <c r="G1172" s="38">
        <f>F1172-E1172</f>
        <v>6698.0299999999988</v>
      </c>
    </row>
    <row r="1173" spans="1:7" x14ac:dyDescent="0.35">
      <c r="A1173" s="3"/>
      <c r="B1173" s="3"/>
      <c r="C1173" s="3" t="s">
        <v>155</v>
      </c>
      <c r="D1173" s="5">
        <v>0</v>
      </c>
      <c r="E1173" s="5">
        <v>-15003.72</v>
      </c>
      <c r="F1173" s="5">
        <v>0</v>
      </c>
      <c r="G1173" s="5">
        <f t="shared" ref="G1173:G1175" si="434">F1173-E1173</f>
        <v>15003.72</v>
      </c>
    </row>
    <row r="1174" spans="1:7" x14ac:dyDescent="0.35">
      <c r="A1174" s="3"/>
      <c r="B1174" s="3"/>
      <c r="C1174" s="3" t="s">
        <v>54</v>
      </c>
      <c r="D1174" s="5">
        <v>0</v>
      </c>
      <c r="E1174" s="5">
        <v>0</v>
      </c>
      <c r="F1174" s="5">
        <v>-8305.69</v>
      </c>
      <c r="G1174" s="5">
        <f t="shared" si="434"/>
        <v>-8305.69</v>
      </c>
    </row>
    <row r="1175" spans="1:7" x14ac:dyDescent="0.35">
      <c r="A1175" s="37"/>
      <c r="B1175" s="37"/>
      <c r="C1175" s="37" t="s">
        <v>109</v>
      </c>
      <c r="D1175" s="38">
        <v>-3940</v>
      </c>
      <c r="E1175" s="67">
        <v>-3939.5180965560439</v>
      </c>
      <c r="F1175" s="38">
        <v>-5625.04</v>
      </c>
      <c r="G1175" s="38">
        <f t="shared" si="434"/>
        <v>-1685.521903443956</v>
      </c>
    </row>
    <row r="1176" spans="1:7" x14ac:dyDescent="0.35">
      <c r="A1176" s="37"/>
      <c r="B1176" s="37" t="s">
        <v>116</v>
      </c>
      <c r="C1176" s="37"/>
      <c r="D1176" s="38">
        <f>SUM(D1178:D1180)</f>
        <v>-2387752</v>
      </c>
      <c r="E1176" s="38">
        <f>SUM(E1177:E1180)</f>
        <v>-2853954.7975101443</v>
      </c>
      <c r="F1176" s="38">
        <f>SUM(F1178:F1180)</f>
        <v>-2527352.8400000003</v>
      </c>
      <c r="G1176" s="38">
        <f>F1176-E1176</f>
        <v>326601.95751014398</v>
      </c>
    </row>
    <row r="1177" spans="1:7" x14ac:dyDescent="0.35">
      <c r="A1177" s="37"/>
      <c r="B1177" s="37"/>
      <c r="C1177" s="3" t="s">
        <v>155</v>
      </c>
      <c r="D1177" s="5">
        <v>0</v>
      </c>
      <c r="E1177" s="5">
        <f>+E1188+E1192</f>
        <v>-206097.46</v>
      </c>
      <c r="F1177" s="5">
        <v>0</v>
      </c>
      <c r="G1177" s="5">
        <f>F1177-E1177</f>
        <v>206097.46</v>
      </c>
    </row>
    <row r="1178" spans="1:7" x14ac:dyDescent="0.35">
      <c r="A1178" s="3"/>
      <c r="B1178" s="3"/>
      <c r="C1178" s="3" t="s">
        <v>54</v>
      </c>
      <c r="D1178" s="5">
        <f>D1182+D1189+D1193</f>
        <v>-1384364</v>
      </c>
      <c r="E1178" s="5">
        <f>E1182+E1190+E1193</f>
        <v>-1200334.96</v>
      </c>
      <c r="F1178" s="5">
        <f t="shared" ref="F1178" si="435">F1182+F1189+F1193</f>
        <v>-1471448.4300000002</v>
      </c>
      <c r="G1178" s="5">
        <f t="shared" ref="G1178:G1180" si="436">F1178-E1178</f>
        <v>-271113.4700000002</v>
      </c>
    </row>
    <row r="1179" spans="1:7" x14ac:dyDescent="0.35">
      <c r="A1179" s="3"/>
      <c r="B1179" s="3"/>
      <c r="C1179" s="3" t="s">
        <v>55</v>
      </c>
      <c r="D1179" s="5">
        <f>D1183+D1190+D1194</f>
        <v>-544962</v>
      </c>
      <c r="E1179" s="5">
        <f>E1183+E1190+E1194</f>
        <v>-988968.86</v>
      </c>
      <c r="F1179" s="5">
        <f>F1183+F1190+F1194</f>
        <v>-528300.46</v>
      </c>
      <c r="G1179" s="5">
        <f t="shared" si="436"/>
        <v>460668.4</v>
      </c>
    </row>
    <row r="1180" spans="1:7" x14ac:dyDescent="0.35">
      <c r="A1180" s="3"/>
      <c r="B1180" s="3"/>
      <c r="C1180" s="3" t="s">
        <v>103</v>
      </c>
      <c r="D1180" s="5">
        <f>D1195</f>
        <v>-458426</v>
      </c>
      <c r="E1180" s="5">
        <f>E1195+E1184</f>
        <v>-458553.51751014468</v>
      </c>
      <c r="F1180" s="5">
        <f>F1195+F1184+F1186</f>
        <v>-527603.95000000007</v>
      </c>
      <c r="G1180" s="5">
        <f t="shared" si="436"/>
        <v>-69050.43248985539</v>
      </c>
    </row>
    <row r="1181" spans="1:7" x14ac:dyDescent="0.35">
      <c r="A1181" s="37"/>
      <c r="B1181" s="37"/>
      <c r="C1181" s="37" t="s">
        <v>105</v>
      </c>
      <c r="D1181" s="38">
        <f>SUM(D1182:D1183)</f>
        <v>-1778897</v>
      </c>
      <c r="E1181" s="38">
        <f>SUM(E1182:E1184)</f>
        <v>-2189431.1399999997</v>
      </c>
      <c r="F1181" s="38">
        <f>SUM(F1182:F1184)</f>
        <v>-1805525.85</v>
      </c>
      <c r="G1181" s="38">
        <f>F1181-E1181</f>
        <v>383905.28999999957</v>
      </c>
    </row>
    <row r="1182" spans="1:7" x14ac:dyDescent="0.35">
      <c r="A1182" s="3"/>
      <c r="B1182" s="3"/>
      <c r="C1182" s="3" t="s">
        <v>54</v>
      </c>
      <c r="D1182" s="5">
        <v>-1242345</v>
      </c>
      <c r="E1182" s="5">
        <v>-1200334.96</v>
      </c>
      <c r="F1182" s="5">
        <v>-1278377.8</v>
      </c>
      <c r="G1182" s="5">
        <f t="shared" ref="G1182:G1186" si="437">F1182-E1182</f>
        <v>-78042.840000000084</v>
      </c>
    </row>
    <row r="1183" spans="1:7" x14ac:dyDescent="0.35">
      <c r="A1183" s="3"/>
      <c r="B1183" s="3"/>
      <c r="C1183" s="3" t="s">
        <v>55</v>
      </c>
      <c r="D1183" s="5">
        <v>-536552</v>
      </c>
      <c r="E1183" s="5">
        <v>-988968.86</v>
      </c>
      <c r="F1183" s="5">
        <v>-527037.56999999995</v>
      </c>
      <c r="G1183" s="5">
        <f t="shared" si="437"/>
        <v>461931.29000000004</v>
      </c>
    </row>
    <row r="1184" spans="1:7" s="35" customFormat="1" x14ac:dyDescent="0.35">
      <c r="A1184" s="3"/>
      <c r="B1184" s="3"/>
      <c r="C1184" s="3" t="s">
        <v>56</v>
      </c>
      <c r="D1184" s="5">
        <v>0</v>
      </c>
      <c r="E1184" s="5">
        <v>-127.32</v>
      </c>
      <c r="F1184" s="5">
        <v>-110.48</v>
      </c>
      <c r="G1184" s="5">
        <f t="shared" si="437"/>
        <v>16.839999999999989</v>
      </c>
    </row>
    <row r="1185" spans="1:7" x14ac:dyDescent="0.35">
      <c r="A1185" s="3"/>
      <c r="B1185" s="3"/>
      <c r="C1185" s="37" t="s">
        <v>106</v>
      </c>
      <c r="D1185" s="38">
        <v>0</v>
      </c>
      <c r="E1185" s="38">
        <f>+E1186</f>
        <v>0</v>
      </c>
      <c r="F1185" s="38">
        <f>+F1186</f>
        <v>-91.18</v>
      </c>
      <c r="G1185" s="38">
        <f t="shared" si="437"/>
        <v>-91.18</v>
      </c>
    </row>
    <row r="1186" spans="1:7" x14ac:dyDescent="0.35">
      <c r="A1186" s="3"/>
      <c r="B1186" s="3"/>
      <c r="C1186" s="3" t="s">
        <v>56</v>
      </c>
      <c r="D1186" s="5">
        <v>0</v>
      </c>
      <c r="E1186" s="5">
        <v>0</v>
      </c>
      <c r="F1186" s="5">
        <v>-91.18</v>
      </c>
      <c r="G1186" s="5">
        <f t="shared" si="437"/>
        <v>-91.18</v>
      </c>
    </row>
    <row r="1187" spans="1:7" x14ac:dyDescent="0.35">
      <c r="A1187" s="37"/>
      <c r="B1187" s="37"/>
      <c r="C1187" s="37" t="s">
        <v>107</v>
      </c>
      <c r="D1187" s="38">
        <f>SUM(D1189:D1190)</f>
        <v>-150398</v>
      </c>
      <c r="E1187" s="38">
        <f>SUM(E1188:E1190)</f>
        <v>-83900.62</v>
      </c>
      <c r="F1187" s="38">
        <f t="shared" ref="F1187" si="438">SUM(F1189:F1190)</f>
        <v>-83890.41</v>
      </c>
      <c r="G1187" s="38">
        <f>F1187-E1187</f>
        <v>10.209999999991851</v>
      </c>
    </row>
    <row r="1188" spans="1:7" x14ac:dyDescent="0.35">
      <c r="A1188" s="37"/>
      <c r="B1188" s="37"/>
      <c r="C1188" s="3" t="s">
        <v>155</v>
      </c>
      <c r="D1188" s="38">
        <v>0</v>
      </c>
      <c r="E1188" s="5">
        <v>-83900.62</v>
      </c>
      <c r="F1188" s="5">
        <v>0</v>
      </c>
      <c r="G1188" s="5">
        <f>F1188-E1188</f>
        <v>83900.62</v>
      </c>
    </row>
    <row r="1189" spans="1:7" x14ac:dyDescent="0.35">
      <c r="A1189" s="3"/>
      <c r="B1189" s="3"/>
      <c r="C1189" s="3" t="s">
        <v>54</v>
      </c>
      <c r="D1189" s="5">
        <v>-142002</v>
      </c>
      <c r="E1189" s="2">
        <v>0</v>
      </c>
      <c r="F1189" s="5">
        <v>-82632.13</v>
      </c>
      <c r="G1189" s="5">
        <f t="shared" ref="G1189:G1190" si="439">F1189-E1189</f>
        <v>-82632.13</v>
      </c>
    </row>
    <row r="1190" spans="1:7" x14ac:dyDescent="0.35">
      <c r="A1190" s="37"/>
      <c r="B1190" s="37"/>
      <c r="C1190" s="3" t="s">
        <v>55</v>
      </c>
      <c r="D1190" s="5">
        <v>-8396</v>
      </c>
      <c r="E1190" s="5">
        <v>0</v>
      </c>
      <c r="F1190" s="5">
        <v>-1258.28</v>
      </c>
      <c r="G1190" s="5">
        <f t="shared" si="439"/>
        <v>-1258.28</v>
      </c>
    </row>
    <row r="1191" spans="1:7" x14ac:dyDescent="0.35">
      <c r="A1191" s="37"/>
      <c r="B1191" s="37"/>
      <c r="C1191" s="37" t="s">
        <v>108</v>
      </c>
      <c r="D1191" s="38">
        <f>SUM(D1193:D1194)</f>
        <v>-31</v>
      </c>
      <c r="E1191" s="38">
        <f>SUM(E1192:E1194)</f>
        <v>-122196.84</v>
      </c>
      <c r="F1191" s="38">
        <f t="shared" ref="F1191" si="440">SUM(F1193:F1194)</f>
        <v>-110443.11</v>
      </c>
      <c r="G1191" s="38">
        <f>F1191-E1191</f>
        <v>11753.729999999996</v>
      </c>
    </row>
    <row r="1192" spans="1:7" x14ac:dyDescent="0.35">
      <c r="A1192" s="37"/>
      <c r="B1192" s="37"/>
      <c r="C1192" s="3" t="s">
        <v>155</v>
      </c>
      <c r="D1192" s="5">
        <v>0</v>
      </c>
      <c r="E1192" s="5">
        <v>-122196.84</v>
      </c>
      <c r="F1192" s="5">
        <v>0</v>
      </c>
      <c r="G1192" s="5">
        <f>F1192-E1192</f>
        <v>122196.84</v>
      </c>
    </row>
    <row r="1193" spans="1:7" x14ac:dyDescent="0.35">
      <c r="A1193" s="3"/>
      <c r="B1193" s="3"/>
      <c r="C1193" s="3" t="s">
        <v>54</v>
      </c>
      <c r="D1193" s="5">
        <v>-17</v>
      </c>
      <c r="E1193" s="5">
        <v>0</v>
      </c>
      <c r="F1193" s="5">
        <v>-110438.5</v>
      </c>
      <c r="G1193" s="5">
        <f t="shared" ref="G1193:G1195" si="441">F1193-E1193</f>
        <v>-110438.5</v>
      </c>
    </row>
    <row r="1194" spans="1:7" x14ac:dyDescent="0.35">
      <c r="A1194" s="37"/>
      <c r="B1194" s="37"/>
      <c r="C1194" s="3" t="s">
        <v>55</v>
      </c>
      <c r="D1194" s="5">
        <v>-14</v>
      </c>
      <c r="E1194" s="5">
        <v>0</v>
      </c>
      <c r="F1194" s="5">
        <v>-4.6100000000000003</v>
      </c>
      <c r="G1194" s="5">
        <f t="shared" si="441"/>
        <v>-4.6100000000000003</v>
      </c>
    </row>
    <row r="1195" spans="1:7" s="35" customFormat="1" x14ac:dyDescent="0.35">
      <c r="A1195" s="37"/>
      <c r="B1195" s="37"/>
      <c r="C1195" s="37" t="s">
        <v>109</v>
      </c>
      <c r="D1195" s="38">
        <v>-458426</v>
      </c>
      <c r="E1195" s="67">
        <v>-458426.19751014467</v>
      </c>
      <c r="F1195" s="38">
        <v>-527402.29</v>
      </c>
      <c r="G1195" s="38">
        <f t="shared" si="441"/>
        <v>-68976.092489855364</v>
      </c>
    </row>
    <row r="1196" spans="1:7" x14ac:dyDescent="0.35">
      <c r="A1196" s="37"/>
      <c r="B1196" s="37" t="s">
        <v>117</v>
      </c>
      <c r="C1196" s="37"/>
      <c r="D1196" s="38">
        <f>SUM(D1198:D1202)</f>
        <v>-5299948</v>
      </c>
      <c r="E1196" s="38">
        <f>SUM(E1197:E1202)</f>
        <v>-7177019.4533162052</v>
      </c>
      <c r="F1196" s="38">
        <f t="shared" ref="F1196" si="442">SUM(F1198:F1202)</f>
        <v>-6402962.8900000006</v>
      </c>
      <c r="G1196" s="38">
        <f>F1196-E1196</f>
        <v>774056.56331620459</v>
      </c>
    </row>
    <row r="1197" spans="1:7" s="35" customFormat="1" x14ac:dyDescent="0.35">
      <c r="A1197" s="37"/>
      <c r="B1197" s="37"/>
      <c r="C1197" s="3" t="s">
        <v>155</v>
      </c>
      <c r="D1197" s="5">
        <f>D1212+D1216</f>
        <v>0</v>
      </c>
      <c r="E1197" s="5">
        <f t="shared" ref="E1197:F1197" si="443">E1212+E1216</f>
        <v>-811105.86</v>
      </c>
      <c r="F1197" s="5">
        <f t="shared" si="443"/>
        <v>0</v>
      </c>
      <c r="G1197" s="5">
        <f>F1197-E1197</f>
        <v>811105.86</v>
      </c>
    </row>
    <row r="1198" spans="1:7" s="35" customFormat="1" x14ac:dyDescent="0.35">
      <c r="A1198" s="3"/>
      <c r="B1198" s="3"/>
      <c r="C1198" s="3" t="s">
        <v>54</v>
      </c>
      <c r="D1198" s="5">
        <f>D1204+D1210+D1213</f>
        <v>-4008313</v>
      </c>
      <c r="E1198" s="5">
        <f t="shared" ref="E1198" si="444">E1204+E1210+E1213</f>
        <v>-4915455.04</v>
      </c>
      <c r="F1198" s="5">
        <f>F1204+F1210+F1213+F1217</f>
        <v>-5205583.330000001</v>
      </c>
      <c r="G1198" s="5">
        <f t="shared" ref="G1198:G1202" si="445">F1198-E1198</f>
        <v>-290128.29000000097</v>
      </c>
    </row>
    <row r="1199" spans="1:7" x14ac:dyDescent="0.35">
      <c r="A1199" s="3"/>
      <c r="B1199" s="3"/>
      <c r="C1199" s="3" t="s">
        <v>55</v>
      </c>
      <c r="D1199" s="5">
        <f>D1205+D1214+D1218</f>
        <v>-1190312</v>
      </c>
      <c r="E1199" s="5">
        <f t="shared" ref="E1199:F1199" si="446">E1205+E1214+E1218</f>
        <v>-1301185.0499999998</v>
      </c>
      <c r="F1199" s="5">
        <f t="shared" si="446"/>
        <v>-1062246.0899999999</v>
      </c>
      <c r="G1199" s="5">
        <f t="shared" si="445"/>
        <v>238938.95999999996</v>
      </c>
    </row>
    <row r="1200" spans="1:7" x14ac:dyDescent="0.35">
      <c r="A1200" s="3"/>
      <c r="B1200" s="3"/>
      <c r="C1200" s="3" t="s">
        <v>101</v>
      </c>
      <c r="D1200" s="5">
        <f>D1206</f>
        <v>-40</v>
      </c>
      <c r="E1200" s="5">
        <f t="shared" ref="E1200:F1201" si="447">E1206</f>
        <v>-40</v>
      </c>
      <c r="F1200" s="5">
        <f t="shared" si="447"/>
        <v>-40.1</v>
      </c>
      <c r="G1200" s="5">
        <f t="shared" si="445"/>
        <v>-0.10000000000000142</v>
      </c>
    </row>
    <row r="1201" spans="1:7" x14ac:dyDescent="0.35">
      <c r="A1201" s="3"/>
      <c r="B1201" s="3"/>
      <c r="C1201" s="3" t="s">
        <v>102</v>
      </c>
      <c r="D1201" s="5">
        <f>D1207</f>
        <v>-205</v>
      </c>
      <c r="E1201" s="5">
        <f t="shared" si="447"/>
        <v>-295.62</v>
      </c>
      <c r="F1201" s="5">
        <f t="shared" si="447"/>
        <v>-295.62</v>
      </c>
      <c r="G1201" s="5">
        <f t="shared" si="445"/>
        <v>0</v>
      </c>
    </row>
    <row r="1202" spans="1:7" x14ac:dyDescent="0.35">
      <c r="A1202" s="3"/>
      <c r="B1202" s="3"/>
      <c r="C1202" s="3" t="s">
        <v>103</v>
      </c>
      <c r="D1202" s="5">
        <f>D1208+D1219</f>
        <v>-101078</v>
      </c>
      <c r="E1202" s="5">
        <f t="shared" ref="E1202:F1202" si="448">E1208+E1219</f>
        <v>-148937.8833162052</v>
      </c>
      <c r="F1202" s="5">
        <f t="shared" si="448"/>
        <v>-134797.75</v>
      </c>
      <c r="G1202" s="5">
        <f t="shared" si="445"/>
        <v>14140.133316205203</v>
      </c>
    </row>
    <row r="1203" spans="1:7" x14ac:dyDescent="0.35">
      <c r="A1203" s="37"/>
      <c r="B1203" s="37"/>
      <c r="C1203" s="37" t="s">
        <v>105</v>
      </c>
      <c r="D1203" s="38">
        <f>SUM(D1204:D1208)</f>
        <v>-4214605</v>
      </c>
      <c r="E1203" s="38">
        <f>SUM(E1204:E1208)</f>
        <v>-6262930.2000000002</v>
      </c>
      <c r="F1203" s="38">
        <f t="shared" ref="F1203" si="449">SUM(F1204:F1208)</f>
        <v>-5531217.71</v>
      </c>
      <c r="G1203" s="38">
        <f>F1203-E1203</f>
        <v>731712.49000000022</v>
      </c>
    </row>
    <row r="1204" spans="1:7" x14ac:dyDescent="0.35">
      <c r="A1204" s="3"/>
      <c r="B1204" s="3"/>
      <c r="C1204" s="3" t="s">
        <v>54</v>
      </c>
      <c r="D1204" s="5">
        <v>-3199084</v>
      </c>
      <c r="E1204" s="5">
        <v>-4912343.04</v>
      </c>
      <c r="F1204" s="5">
        <v>-4491357.24</v>
      </c>
      <c r="G1204" s="5">
        <f t="shared" ref="G1204:G1208" si="450">F1204-E1204</f>
        <v>420985.79999999981</v>
      </c>
    </row>
    <row r="1205" spans="1:7" x14ac:dyDescent="0.35">
      <c r="A1205" s="3"/>
      <c r="B1205" s="3"/>
      <c r="C1205" s="3" t="s">
        <v>55</v>
      </c>
      <c r="D1205" s="5">
        <v>-1014069</v>
      </c>
      <c r="E1205" s="5">
        <f>-1273545.92-27639.13</f>
        <v>-1301185.0499999998</v>
      </c>
      <c r="F1205" s="5">
        <v>-990753.99</v>
      </c>
      <c r="G1205" s="5">
        <f t="shared" si="450"/>
        <v>310431.05999999982</v>
      </c>
    </row>
    <row r="1206" spans="1:7" x14ac:dyDescent="0.35">
      <c r="A1206" s="3"/>
      <c r="B1206" s="3"/>
      <c r="C1206" s="3" t="s">
        <v>101</v>
      </c>
      <c r="D1206" s="5">
        <v>-40</v>
      </c>
      <c r="E1206" s="5">
        <f t="shared" ref="E1206" si="451">D1206</f>
        <v>-40</v>
      </c>
      <c r="F1206" s="5">
        <v>-40.1</v>
      </c>
      <c r="G1206" s="5">
        <f t="shared" si="450"/>
        <v>-0.10000000000000142</v>
      </c>
    </row>
    <row r="1207" spans="1:7" x14ac:dyDescent="0.35">
      <c r="A1207" s="3"/>
      <c r="B1207" s="3"/>
      <c r="C1207" s="3" t="s">
        <v>102</v>
      </c>
      <c r="D1207" s="5">
        <v>-205</v>
      </c>
      <c r="E1207" s="5">
        <v>-295.62</v>
      </c>
      <c r="F1207" s="5">
        <v>-295.62</v>
      </c>
      <c r="G1207" s="5">
        <f t="shared" si="450"/>
        <v>0</v>
      </c>
    </row>
    <row r="1208" spans="1:7" x14ac:dyDescent="0.35">
      <c r="A1208" s="3"/>
      <c r="B1208" s="3"/>
      <c r="C1208" s="3" t="s">
        <v>56</v>
      </c>
      <c r="D1208" s="5">
        <v>-1207</v>
      </c>
      <c r="E1208" s="5">
        <v>-49066.49</v>
      </c>
      <c r="F1208" s="5">
        <v>-48770.76</v>
      </c>
      <c r="G1208" s="5">
        <f t="shared" si="450"/>
        <v>295.72999999999593</v>
      </c>
    </row>
    <row r="1209" spans="1:7" x14ac:dyDescent="0.35">
      <c r="A1209" s="37"/>
      <c r="B1209" s="37"/>
      <c r="C1209" s="37" t="s">
        <v>106</v>
      </c>
      <c r="D1209" s="38">
        <f>SUM(D1210:D1210)</f>
        <v>-3112</v>
      </c>
      <c r="E1209" s="38">
        <f>SUM(E1210:E1210)</f>
        <v>-3112</v>
      </c>
      <c r="F1209" s="38">
        <f>SUM(F1210:F1210)</f>
        <v>-1814.41</v>
      </c>
      <c r="G1209" s="38">
        <f>F1209-E1209</f>
        <v>1297.5899999999999</v>
      </c>
    </row>
    <row r="1210" spans="1:7" x14ac:dyDescent="0.35">
      <c r="A1210" s="3"/>
      <c r="B1210" s="3"/>
      <c r="C1210" s="3" t="s">
        <v>54</v>
      </c>
      <c r="D1210" s="5">
        <v>-3112</v>
      </c>
      <c r="E1210" s="5">
        <f t="shared" ref="E1210" si="452">D1210</f>
        <v>-3112</v>
      </c>
      <c r="F1210" s="5">
        <v>-1814.41</v>
      </c>
      <c r="G1210" s="5">
        <f t="shared" ref="G1210" si="453">F1210-E1210</f>
        <v>1297.5899999999999</v>
      </c>
    </row>
    <row r="1211" spans="1:7" x14ac:dyDescent="0.35">
      <c r="A1211" s="37"/>
      <c r="B1211" s="37"/>
      <c r="C1211" s="37" t="s">
        <v>107</v>
      </c>
      <c r="D1211" s="38">
        <f>SUM(D1213:D1214)</f>
        <v>-981267</v>
      </c>
      <c r="E1211" s="38">
        <f>SUM(E1212:E1214)</f>
        <v>-805237.08</v>
      </c>
      <c r="F1211" s="38">
        <f>SUM(F1213:F1214)</f>
        <v>-781952.09000000008</v>
      </c>
      <c r="G1211" s="38">
        <f>F1211-E1211</f>
        <v>23284.989999999874</v>
      </c>
    </row>
    <row r="1212" spans="1:7" x14ac:dyDescent="0.35">
      <c r="A1212" s="37"/>
      <c r="B1212" s="37"/>
      <c r="C1212" s="3" t="s">
        <v>155</v>
      </c>
      <c r="D1212" s="5">
        <v>0</v>
      </c>
      <c r="E1212" s="5">
        <v>-805237.08</v>
      </c>
      <c r="F1212" s="5">
        <v>0</v>
      </c>
      <c r="G1212" s="5">
        <f>F1212-E1212</f>
        <v>805237.08</v>
      </c>
    </row>
    <row r="1213" spans="1:7" s="35" customFormat="1" x14ac:dyDescent="0.35">
      <c r="A1213" s="3"/>
      <c r="B1213" s="3"/>
      <c r="C1213" s="3" t="s">
        <v>54</v>
      </c>
      <c r="D1213" s="5">
        <v>-806117</v>
      </c>
      <c r="E1213" s="5">
        <v>0</v>
      </c>
      <c r="F1213" s="5">
        <v>-711406.15</v>
      </c>
      <c r="G1213" s="5">
        <f t="shared" ref="G1213:G1214" si="454">F1213-E1213</f>
        <v>-711406.15</v>
      </c>
    </row>
    <row r="1214" spans="1:7" x14ac:dyDescent="0.35">
      <c r="A1214" s="37"/>
      <c r="B1214" s="37"/>
      <c r="C1214" s="3" t="s">
        <v>55</v>
      </c>
      <c r="D1214" s="5">
        <v>-175150</v>
      </c>
      <c r="E1214" s="5">
        <v>0</v>
      </c>
      <c r="F1214" s="38">
        <v>-70545.94</v>
      </c>
      <c r="G1214" s="5">
        <f t="shared" si="454"/>
        <v>-70545.94</v>
      </c>
    </row>
    <row r="1215" spans="1:7" x14ac:dyDescent="0.35">
      <c r="A1215" s="37"/>
      <c r="B1215" s="37"/>
      <c r="C1215" s="37" t="s">
        <v>108</v>
      </c>
      <c r="D1215" s="38">
        <f>SUM(D1218:D1218)</f>
        <v>-1093</v>
      </c>
      <c r="E1215" s="38">
        <f>SUM(E1216:E1218)</f>
        <v>-5868.78</v>
      </c>
      <c r="F1215" s="38">
        <f>SUM(F1217:F1218)</f>
        <v>-1951.69</v>
      </c>
      <c r="G1215" s="38">
        <f>F1215-E1215</f>
        <v>3917.0899999999997</v>
      </c>
    </row>
    <row r="1216" spans="1:7" x14ac:dyDescent="0.35">
      <c r="A1216" s="37"/>
      <c r="B1216" s="37"/>
      <c r="C1216" s="3" t="s">
        <v>155</v>
      </c>
      <c r="D1216" s="5">
        <v>0</v>
      </c>
      <c r="E1216" s="5">
        <v>-5868.78</v>
      </c>
      <c r="F1216" s="5">
        <v>0</v>
      </c>
      <c r="G1216" s="5">
        <f t="shared" ref="G1216:G1225" si="455">F1216-E1216</f>
        <v>5868.78</v>
      </c>
    </row>
    <row r="1217" spans="1:7" x14ac:dyDescent="0.35">
      <c r="A1217" s="37"/>
      <c r="B1217" s="37"/>
      <c r="C1217" s="3" t="s">
        <v>54</v>
      </c>
      <c r="D1217" s="5">
        <v>0</v>
      </c>
      <c r="E1217" s="5">
        <v>0</v>
      </c>
      <c r="F1217" s="5">
        <v>-1005.53</v>
      </c>
      <c r="G1217" s="5">
        <f t="shared" si="455"/>
        <v>-1005.53</v>
      </c>
    </row>
    <row r="1218" spans="1:7" x14ac:dyDescent="0.35">
      <c r="A1218" s="3"/>
      <c r="B1218" s="3"/>
      <c r="C1218" s="3" t="s">
        <v>55</v>
      </c>
      <c r="D1218" s="5">
        <v>-1093</v>
      </c>
      <c r="E1218" s="5">
        <v>0</v>
      </c>
      <c r="F1218" s="5">
        <v>-946.16</v>
      </c>
      <c r="G1218" s="5">
        <f t="shared" si="455"/>
        <v>-946.16</v>
      </c>
    </row>
    <row r="1219" spans="1:7" x14ac:dyDescent="0.35">
      <c r="A1219" s="37"/>
      <c r="B1219" s="37"/>
      <c r="C1219" s="37" t="s">
        <v>109</v>
      </c>
      <c r="D1219" s="38">
        <v>-99871</v>
      </c>
      <c r="E1219" s="67">
        <v>-99871.393316205213</v>
      </c>
      <c r="F1219" s="38">
        <v>-86026.99</v>
      </c>
      <c r="G1219" s="38">
        <f t="shared" si="455"/>
        <v>13844.403316205207</v>
      </c>
    </row>
    <row r="1220" spans="1:7" x14ac:dyDescent="0.35">
      <c r="A1220" s="37" t="s">
        <v>138</v>
      </c>
      <c r="B1220" s="37"/>
      <c r="C1220" s="37"/>
      <c r="D1220" s="38">
        <f>SUM(D1221:D1225)</f>
        <v>-7705172</v>
      </c>
      <c r="E1220" s="38">
        <f t="shared" ref="E1220:F1220" si="456">SUM(E1221:E1225)</f>
        <v>-9895352.8774131909</v>
      </c>
      <c r="F1220" s="38">
        <f t="shared" si="456"/>
        <v>-9034969.9400000032</v>
      </c>
      <c r="G1220" s="38">
        <f t="shared" si="455"/>
        <v>860382.9374131877</v>
      </c>
    </row>
    <row r="1221" spans="1:7" x14ac:dyDescent="0.35">
      <c r="A1221" s="3"/>
      <c r="B1221" s="3" t="s">
        <v>105</v>
      </c>
      <c r="C1221" s="3"/>
      <c r="D1221" s="5">
        <f>D1233+D1250+D1272</f>
        <v>-6295140</v>
      </c>
      <c r="E1221" s="5">
        <f>E1233+E1250+E1272</f>
        <v>-8417241.0599999987</v>
      </c>
      <c r="F1221" s="5">
        <f>F1233+F1250+F1272</f>
        <v>-7478377.6500000013</v>
      </c>
      <c r="G1221" s="5">
        <f t="shared" si="455"/>
        <v>938863.40999999736</v>
      </c>
    </row>
    <row r="1222" spans="1:7" x14ac:dyDescent="0.35">
      <c r="A1222" s="3"/>
      <c r="B1222" s="3" t="s">
        <v>106</v>
      </c>
      <c r="C1222" s="3"/>
      <c r="D1222" s="5">
        <f>D1278</f>
        <v>-4258</v>
      </c>
      <c r="E1222" s="5">
        <f>E1278+E1238+E1254</f>
        <v>-4258</v>
      </c>
      <c r="F1222" s="5">
        <f>F1278+F1238+F1254</f>
        <v>-2703.86</v>
      </c>
      <c r="G1222" s="5">
        <f t="shared" si="455"/>
        <v>1554.1399999999999</v>
      </c>
    </row>
    <row r="1223" spans="1:7" x14ac:dyDescent="0.35">
      <c r="A1223" s="3"/>
      <c r="B1223" s="3" t="s">
        <v>107</v>
      </c>
      <c r="C1223" s="3"/>
      <c r="D1223" s="5">
        <f>D1256+D1281</f>
        <v>-1181060</v>
      </c>
      <c r="E1223" s="5">
        <f>E1256+E1281+E1240</f>
        <v>-1216402.1700000002</v>
      </c>
      <c r="F1223" s="5">
        <f>F1256+F1281+F1240</f>
        <v>-1148389.0599999998</v>
      </c>
      <c r="G1223" s="5">
        <f t="shared" si="455"/>
        <v>68013.110000000335</v>
      </c>
    </row>
    <row r="1224" spans="1:7" s="35" customFormat="1" x14ac:dyDescent="0.35">
      <c r="A1224" s="3"/>
      <c r="B1224" s="3" t="s">
        <v>108</v>
      </c>
      <c r="C1224" s="3"/>
      <c r="D1224" s="5">
        <f>D1260+D1286</f>
        <v>-659</v>
      </c>
      <c r="E1224" s="5">
        <f>E1260+E1286</f>
        <v>-33396.239999999998</v>
      </c>
      <c r="F1224" s="5">
        <f>F1260+F1286</f>
        <v>-52955.89</v>
      </c>
      <c r="G1224" s="5">
        <f t="shared" si="455"/>
        <v>-19559.650000000001</v>
      </c>
    </row>
    <row r="1225" spans="1:7" x14ac:dyDescent="0.35">
      <c r="A1225" s="3"/>
      <c r="B1225" s="3" t="s">
        <v>109</v>
      </c>
      <c r="C1225" s="3"/>
      <c r="D1225" s="5">
        <f>D1244+D1264+D1290</f>
        <v>-224055</v>
      </c>
      <c r="E1225" s="5">
        <f>E1244+E1264+E1290</f>
        <v>-224055.40741319145</v>
      </c>
      <c r="F1225" s="5">
        <f>F1244+F1264+F1290</f>
        <v>-352543.48</v>
      </c>
      <c r="G1225" s="5">
        <f t="shared" si="455"/>
        <v>-128488.07258680853</v>
      </c>
    </row>
    <row r="1226" spans="1:7" s="35" customFormat="1" x14ac:dyDescent="0.35">
      <c r="A1226" s="37"/>
      <c r="B1226" s="37" t="s">
        <v>31</v>
      </c>
      <c r="C1226" s="37"/>
      <c r="D1226" s="38">
        <f>SUM(D1228:D1232)</f>
        <v>-42779</v>
      </c>
      <c r="E1226" s="38">
        <f>SUM(E1227:E1232)</f>
        <v>-52182.120210419802</v>
      </c>
      <c r="F1226" s="38">
        <f>SUM(F1228:F1232)</f>
        <v>-51661.749999999993</v>
      </c>
      <c r="G1226" s="38">
        <f>F1226-E1226</f>
        <v>520.37021041980915</v>
      </c>
    </row>
    <row r="1227" spans="1:7" s="35" customFormat="1" x14ac:dyDescent="0.35">
      <c r="A1227" s="37"/>
      <c r="B1227" s="37"/>
      <c r="C1227" s="3" t="s">
        <v>155</v>
      </c>
      <c r="D1227" s="5">
        <f>D1241</f>
        <v>0</v>
      </c>
      <c r="E1227" s="5">
        <f t="shared" ref="E1227:F1227" si="457">E1241</f>
        <v>-3564.3</v>
      </c>
      <c r="F1227" s="5">
        <f t="shared" si="457"/>
        <v>0</v>
      </c>
      <c r="G1227" s="5">
        <f>F1227-E1227</f>
        <v>3564.3</v>
      </c>
    </row>
    <row r="1228" spans="1:7" x14ac:dyDescent="0.35">
      <c r="A1228" s="3"/>
      <c r="B1228" s="3"/>
      <c r="C1228" s="3" t="s">
        <v>54</v>
      </c>
      <c r="D1228" s="5">
        <f>D1234</f>
        <v>-35064</v>
      </c>
      <c r="E1228" s="5">
        <f>E1234</f>
        <v>-39763.370000000003</v>
      </c>
      <c r="F1228" s="5">
        <f>F1234+F1242</f>
        <v>-41462.909999999996</v>
      </c>
      <c r="G1228" s="5">
        <f t="shared" ref="G1228:G1232" si="458">F1228-E1228</f>
        <v>-1699.5399999999936</v>
      </c>
    </row>
    <row r="1229" spans="1:7" s="35" customFormat="1" x14ac:dyDescent="0.35">
      <c r="A1229" s="3"/>
      <c r="B1229" s="3"/>
      <c r="C1229" s="3" t="s">
        <v>55</v>
      </c>
      <c r="D1229" s="5">
        <f>D1235</f>
        <v>-7392</v>
      </c>
      <c r="E1229" s="5">
        <f>E1235</f>
        <v>-8528.74</v>
      </c>
      <c r="F1229" s="5">
        <f>F1235</f>
        <v>-7700.49</v>
      </c>
      <c r="G1229" s="5">
        <f t="shared" si="458"/>
        <v>828.25</v>
      </c>
    </row>
    <row r="1230" spans="1:7" x14ac:dyDescent="0.35">
      <c r="A1230" s="3"/>
      <c r="B1230" s="3"/>
      <c r="C1230" s="3" t="s">
        <v>101</v>
      </c>
      <c r="D1230" s="5">
        <f>D1236</f>
        <v>-141</v>
      </c>
      <c r="E1230" s="5">
        <f t="shared" ref="E1230:F1230" si="459">E1236</f>
        <v>-141</v>
      </c>
      <c r="F1230" s="5">
        <f t="shared" si="459"/>
        <v>-115.56</v>
      </c>
      <c r="G1230" s="5">
        <f t="shared" si="458"/>
        <v>25.439999999999998</v>
      </c>
    </row>
    <row r="1231" spans="1:7" x14ac:dyDescent="0.35">
      <c r="A1231" s="3"/>
      <c r="B1231" s="3"/>
      <c r="C1231" s="3" t="s">
        <v>110</v>
      </c>
      <c r="D1231" s="5">
        <v>0</v>
      </c>
      <c r="E1231" s="5">
        <v>0</v>
      </c>
      <c r="F1231" s="5">
        <f>+F1243</f>
        <v>-2145.58</v>
      </c>
      <c r="G1231" s="5">
        <f t="shared" si="458"/>
        <v>-2145.58</v>
      </c>
    </row>
    <row r="1232" spans="1:7" x14ac:dyDescent="0.35">
      <c r="A1232" s="3"/>
      <c r="B1232" s="3"/>
      <c r="C1232" s="3" t="s">
        <v>103</v>
      </c>
      <c r="D1232" s="5">
        <f>D1237+D1244</f>
        <v>-182</v>
      </c>
      <c r="E1232" s="5">
        <f>E1237+E1244</f>
        <v>-184.7102104198008</v>
      </c>
      <c r="F1232" s="5">
        <f>F1237+F1244+F1239</f>
        <v>-237.21</v>
      </c>
      <c r="G1232" s="5">
        <f t="shared" si="458"/>
        <v>-52.499789580199206</v>
      </c>
    </row>
    <row r="1233" spans="1:7" x14ac:dyDescent="0.35">
      <c r="A1233" s="37"/>
      <c r="B1233" s="37"/>
      <c r="C1233" s="37" t="s">
        <v>105</v>
      </c>
      <c r="D1233" s="38">
        <f>SUM(D1234:D1237)</f>
        <v>-42631</v>
      </c>
      <c r="E1233" s="38">
        <f>SUM(E1234:E1237)</f>
        <v>-48469.760000000002</v>
      </c>
      <c r="F1233" s="38">
        <f>SUM(F1234:F1237)</f>
        <v>-47934.2</v>
      </c>
      <c r="G1233" s="38">
        <f>F1233-E1233</f>
        <v>535.56000000000495</v>
      </c>
    </row>
    <row r="1234" spans="1:7" s="35" customFormat="1" x14ac:dyDescent="0.35">
      <c r="A1234" s="3"/>
      <c r="B1234" s="3"/>
      <c r="C1234" s="3" t="s">
        <v>54</v>
      </c>
      <c r="D1234" s="5">
        <v>-35064</v>
      </c>
      <c r="E1234" s="5">
        <v>-39763.370000000003</v>
      </c>
      <c r="F1234" s="5">
        <v>-40086.21</v>
      </c>
      <c r="G1234" s="5">
        <f t="shared" ref="G1234:G1237" si="460">F1234-E1234</f>
        <v>-322.83999999999651</v>
      </c>
    </row>
    <row r="1235" spans="1:7" x14ac:dyDescent="0.35">
      <c r="A1235" s="3"/>
      <c r="B1235" s="3"/>
      <c r="C1235" s="3" t="s">
        <v>55</v>
      </c>
      <c r="D1235" s="5">
        <v>-7392</v>
      </c>
      <c r="E1235" s="5">
        <f>-8226.25-302.49</f>
        <v>-8528.74</v>
      </c>
      <c r="F1235" s="5">
        <v>-7700.49</v>
      </c>
      <c r="G1235" s="5">
        <f t="shared" si="460"/>
        <v>828.25</v>
      </c>
    </row>
    <row r="1236" spans="1:7" x14ac:dyDescent="0.35">
      <c r="A1236" s="3"/>
      <c r="B1236" s="3"/>
      <c r="C1236" s="3" t="s">
        <v>101</v>
      </c>
      <c r="D1236" s="5">
        <v>-141</v>
      </c>
      <c r="E1236" s="5">
        <f t="shared" ref="E1236" si="461">D1236</f>
        <v>-141</v>
      </c>
      <c r="F1236" s="5">
        <v>-115.56</v>
      </c>
      <c r="G1236" s="5">
        <f t="shared" si="460"/>
        <v>25.439999999999998</v>
      </c>
    </row>
    <row r="1237" spans="1:7" x14ac:dyDescent="0.35">
      <c r="A1237" s="3"/>
      <c r="B1237" s="3"/>
      <c r="C1237" s="3" t="s">
        <v>56</v>
      </c>
      <c r="D1237" s="5">
        <v>-34</v>
      </c>
      <c r="E1237" s="5">
        <v>-36.65</v>
      </c>
      <c r="F1237" s="5">
        <v>-31.94</v>
      </c>
      <c r="G1237" s="5">
        <f t="shared" si="460"/>
        <v>4.7099999999999973</v>
      </c>
    </row>
    <row r="1238" spans="1:7" x14ac:dyDescent="0.35">
      <c r="A1238" s="3"/>
      <c r="B1238" s="3"/>
      <c r="C1238" s="37" t="s">
        <v>106</v>
      </c>
      <c r="D1238" s="38">
        <v>0</v>
      </c>
      <c r="E1238" s="38">
        <f>SUM(E1239:E1239)</f>
        <v>0</v>
      </c>
      <c r="F1238" s="38">
        <f>SUM(F1239:F1239)</f>
        <v>6.14</v>
      </c>
      <c r="G1238" s="38">
        <f>F1238-E1238</f>
        <v>6.14</v>
      </c>
    </row>
    <row r="1239" spans="1:7" x14ac:dyDescent="0.35">
      <c r="A1239" s="3"/>
      <c r="B1239" s="3"/>
      <c r="C1239" s="3" t="s">
        <v>56</v>
      </c>
      <c r="D1239" s="5">
        <v>0</v>
      </c>
      <c r="E1239" s="5">
        <f t="shared" ref="E1239" si="462">D1239</f>
        <v>0</v>
      </c>
      <c r="F1239" s="5">
        <v>6.14</v>
      </c>
      <c r="G1239" s="5">
        <f t="shared" ref="G1239" si="463">F1239-E1239</f>
        <v>6.14</v>
      </c>
    </row>
    <row r="1240" spans="1:7" x14ac:dyDescent="0.35">
      <c r="A1240" s="3"/>
      <c r="B1240" s="3"/>
      <c r="C1240" s="37" t="s">
        <v>107</v>
      </c>
      <c r="D1240" s="38">
        <v>0</v>
      </c>
      <c r="E1240" s="38">
        <f>SUM(E1241:E1243)</f>
        <v>-3564.3</v>
      </c>
      <c r="F1240" s="38">
        <f>SUM(F1242:F1243)</f>
        <v>-3522.2799999999997</v>
      </c>
      <c r="G1240" s="38">
        <f>F1240-E1240</f>
        <v>42.020000000000437</v>
      </c>
    </row>
    <row r="1241" spans="1:7" x14ac:dyDescent="0.35">
      <c r="A1241" s="3"/>
      <c r="B1241" s="3"/>
      <c r="C1241" s="3" t="s">
        <v>155</v>
      </c>
      <c r="D1241" s="5">
        <v>0</v>
      </c>
      <c r="E1241" s="5">
        <v>-3564.3</v>
      </c>
      <c r="F1241" s="5">
        <v>0</v>
      </c>
      <c r="G1241" s="5">
        <f>F1241-E1241</f>
        <v>3564.3</v>
      </c>
    </row>
    <row r="1242" spans="1:7" x14ac:dyDescent="0.35">
      <c r="A1242" s="3"/>
      <c r="B1242" s="3"/>
      <c r="C1242" s="3" t="s">
        <v>54</v>
      </c>
      <c r="D1242" s="5">
        <v>0</v>
      </c>
      <c r="E1242" s="5">
        <v>0</v>
      </c>
      <c r="F1242" s="5">
        <v>-1376.7</v>
      </c>
      <c r="G1242" s="5">
        <f t="shared" ref="G1242:G1244" si="464">F1242-E1242</f>
        <v>-1376.7</v>
      </c>
    </row>
    <row r="1243" spans="1:7" x14ac:dyDescent="0.35">
      <c r="A1243" s="3"/>
      <c r="B1243" s="3"/>
      <c r="C1243" s="3" t="s">
        <v>110</v>
      </c>
      <c r="D1243" s="5">
        <v>0</v>
      </c>
      <c r="E1243" s="5">
        <v>0</v>
      </c>
      <c r="F1243" s="5">
        <v>-2145.58</v>
      </c>
      <c r="G1243" s="5">
        <f t="shared" si="464"/>
        <v>-2145.58</v>
      </c>
    </row>
    <row r="1244" spans="1:7" x14ac:dyDescent="0.35">
      <c r="A1244" s="37"/>
      <c r="B1244" s="37"/>
      <c r="C1244" s="37" t="s">
        <v>109</v>
      </c>
      <c r="D1244" s="38">
        <v>-148</v>
      </c>
      <c r="E1244" s="67">
        <v>-148.0602104198008</v>
      </c>
      <c r="F1244" s="38">
        <v>-211.41</v>
      </c>
      <c r="G1244" s="38">
        <f t="shared" si="464"/>
        <v>-63.3497895801992</v>
      </c>
    </row>
    <row r="1245" spans="1:7" x14ac:dyDescent="0.35">
      <c r="A1245" s="37"/>
      <c r="B1245" s="37" t="s">
        <v>116</v>
      </c>
      <c r="C1245" s="37"/>
      <c r="D1245" s="38">
        <f>SUM(D1247:D1249)</f>
        <v>-1004742</v>
      </c>
      <c r="E1245" s="38">
        <f>SUM(E1246:E1249)</f>
        <v>-1569085.6458760747</v>
      </c>
      <c r="F1245" s="38">
        <f>SUM(F1247:F1249)</f>
        <v>-1653683.0899999999</v>
      </c>
      <c r="G1245" s="38">
        <f>F1245-E1245</f>
        <v>-84597.444123925176</v>
      </c>
    </row>
    <row r="1246" spans="1:7" x14ac:dyDescent="0.35">
      <c r="A1246" s="37"/>
      <c r="B1246" s="37"/>
      <c r="C1246" s="3" t="s">
        <v>155</v>
      </c>
      <c r="D1246" s="5">
        <v>0</v>
      </c>
      <c r="E1246" s="5">
        <f>+E1257+E1261</f>
        <v>-414261.41000000003</v>
      </c>
      <c r="F1246" s="5">
        <v>0</v>
      </c>
      <c r="G1246" s="5">
        <f>F1246-E1246</f>
        <v>414261.41000000003</v>
      </c>
    </row>
    <row r="1247" spans="1:7" x14ac:dyDescent="0.35">
      <c r="A1247" s="3"/>
      <c r="B1247" s="3"/>
      <c r="C1247" s="3" t="s">
        <v>54</v>
      </c>
      <c r="D1247" s="5">
        <f>D1251+D1258+D1262</f>
        <v>-620797</v>
      </c>
      <c r="E1247" s="5">
        <f>E1251+E1258+E1262</f>
        <v>-742147.92</v>
      </c>
      <c r="F1247" s="5">
        <f>F1251+F1258+F1262</f>
        <v>-1144173.22</v>
      </c>
      <c r="G1247" s="5">
        <f t="shared" ref="G1247:G1249" si="465">F1247-E1247</f>
        <v>-402025.29999999993</v>
      </c>
    </row>
    <row r="1248" spans="1:7" x14ac:dyDescent="0.35">
      <c r="A1248" s="3"/>
      <c r="B1248" s="3"/>
      <c r="C1248" s="3" t="s">
        <v>55</v>
      </c>
      <c r="D1248" s="5">
        <f>D1252+D1259+D1263</f>
        <v>-256812</v>
      </c>
      <c r="E1248" s="5">
        <f t="shared" ref="E1248" si="466">E1252+E1259+E1263</f>
        <v>-285470.86</v>
      </c>
      <c r="F1248" s="5">
        <f>F1252+F1259+F1263</f>
        <v>-298087.98</v>
      </c>
      <c r="G1248" s="5">
        <f t="shared" si="465"/>
        <v>-12617.119999999995</v>
      </c>
    </row>
    <row r="1249" spans="1:7" x14ac:dyDescent="0.35">
      <c r="A1249" s="3"/>
      <c r="B1249" s="3"/>
      <c r="C1249" s="3" t="s">
        <v>103</v>
      </c>
      <c r="D1249" s="5">
        <f>D1264</f>
        <v>-127133</v>
      </c>
      <c r="E1249" s="5">
        <f>E1264+E1253</f>
        <v>-127205.45587607461</v>
      </c>
      <c r="F1249" s="5">
        <f>F1264+F1253+F1255</f>
        <v>-211421.88999999998</v>
      </c>
      <c r="G1249" s="5">
        <f t="shared" si="465"/>
        <v>-84216.43412392537</v>
      </c>
    </row>
    <row r="1250" spans="1:7" x14ac:dyDescent="0.35">
      <c r="A1250" s="37"/>
      <c r="B1250" s="37"/>
      <c r="C1250" s="37" t="s">
        <v>105</v>
      </c>
      <c r="D1250" s="38">
        <f>SUM(D1251:D1252)</f>
        <v>-772319</v>
      </c>
      <c r="E1250" s="38">
        <f>SUM(E1251:E1253)</f>
        <v>-1027691.37</v>
      </c>
      <c r="F1250" s="38">
        <f>SUM(F1251:F1253)</f>
        <v>-1003842.8700000001</v>
      </c>
      <c r="G1250" s="38">
        <f>F1250-E1250</f>
        <v>23848.499999999884</v>
      </c>
    </row>
    <row r="1251" spans="1:7" x14ac:dyDescent="0.35">
      <c r="A1251" s="3"/>
      <c r="B1251" s="3"/>
      <c r="C1251" s="3" t="s">
        <v>54</v>
      </c>
      <c r="D1251" s="5">
        <v>-519721</v>
      </c>
      <c r="E1251" s="5">
        <v>-742147.92</v>
      </c>
      <c r="F1251" s="5">
        <v>-737323.41</v>
      </c>
      <c r="G1251" s="5">
        <f t="shared" ref="G1251:G1253" si="467">F1251-E1251</f>
        <v>4824.5100000000093</v>
      </c>
    </row>
    <row r="1252" spans="1:7" x14ac:dyDescent="0.35">
      <c r="A1252" s="3"/>
      <c r="B1252" s="3"/>
      <c r="C1252" s="3" t="s">
        <v>55</v>
      </c>
      <c r="D1252" s="5">
        <v>-252598</v>
      </c>
      <c r="E1252" s="5">
        <v>-285470.86</v>
      </c>
      <c r="F1252" s="5">
        <v>-266453.45</v>
      </c>
      <c r="G1252" s="5">
        <f t="shared" si="467"/>
        <v>19017.409999999974</v>
      </c>
    </row>
    <row r="1253" spans="1:7" x14ac:dyDescent="0.35">
      <c r="A1253" s="3"/>
      <c r="B1253" s="3"/>
      <c r="C1253" s="3" t="s">
        <v>56</v>
      </c>
      <c r="D1253" s="5">
        <v>0</v>
      </c>
      <c r="E1253" s="5">
        <v>-72.59</v>
      </c>
      <c r="F1253" s="5">
        <v>-66.010000000000005</v>
      </c>
      <c r="G1253" s="5">
        <f t="shared" si="467"/>
        <v>6.5799999999999983</v>
      </c>
    </row>
    <row r="1254" spans="1:7" x14ac:dyDescent="0.35">
      <c r="A1254" s="3"/>
      <c r="B1254" s="3"/>
      <c r="C1254" s="37" t="s">
        <v>106</v>
      </c>
      <c r="D1254" s="38">
        <v>0</v>
      </c>
      <c r="E1254" s="38">
        <f>SUM(E1255:E1255)</f>
        <v>0</v>
      </c>
      <c r="F1254" s="38">
        <f>SUM(F1255:F1255)</f>
        <v>-34.58</v>
      </c>
      <c r="G1254" s="38">
        <f>F1254-E1254</f>
        <v>-34.58</v>
      </c>
    </row>
    <row r="1255" spans="1:7" x14ac:dyDescent="0.35">
      <c r="A1255" s="3"/>
      <c r="B1255" s="3"/>
      <c r="C1255" s="3" t="s">
        <v>56</v>
      </c>
      <c r="D1255" s="5">
        <v>0</v>
      </c>
      <c r="E1255" s="5">
        <f t="shared" ref="E1255" si="468">D1255</f>
        <v>0</v>
      </c>
      <c r="F1255" s="5">
        <v>-34.58</v>
      </c>
      <c r="G1255" s="5">
        <f t="shared" ref="G1255" si="469">F1255-E1255</f>
        <v>-34.58</v>
      </c>
    </row>
    <row r="1256" spans="1:7" x14ac:dyDescent="0.35">
      <c r="A1256" s="37"/>
      <c r="B1256" s="37"/>
      <c r="C1256" s="37" t="s">
        <v>107</v>
      </c>
      <c r="D1256" s="38">
        <f>SUM(D1258:D1259)</f>
        <v>-105259</v>
      </c>
      <c r="E1256" s="38">
        <f>SUM(E1257:E1259)</f>
        <v>-387999.63</v>
      </c>
      <c r="F1256" s="38">
        <f>SUM(F1258:F1259)</f>
        <v>-387980.47</v>
      </c>
      <c r="G1256" s="38">
        <f>F1256-E1256</f>
        <v>19.160000000032596</v>
      </c>
    </row>
    <row r="1257" spans="1:7" x14ac:dyDescent="0.35">
      <c r="A1257" s="37"/>
      <c r="B1257" s="37"/>
      <c r="C1257" s="3" t="s">
        <v>155</v>
      </c>
      <c r="D1257" s="38">
        <v>0</v>
      </c>
      <c r="E1257" s="5">
        <v>-387999.63</v>
      </c>
      <c r="F1257" s="5">
        <v>0</v>
      </c>
      <c r="G1257" s="5">
        <f>F1257-E1257</f>
        <v>387999.63</v>
      </c>
    </row>
    <row r="1258" spans="1:7" x14ac:dyDescent="0.35">
      <c r="A1258" s="3"/>
      <c r="B1258" s="3"/>
      <c r="C1258" s="3" t="s">
        <v>54</v>
      </c>
      <c r="D1258" s="5">
        <v>-101059</v>
      </c>
      <c r="E1258" s="5">
        <v>0</v>
      </c>
      <c r="F1258" s="5">
        <v>-356350.55</v>
      </c>
      <c r="G1258" s="5">
        <f>F1258-E1258</f>
        <v>-356350.55</v>
      </c>
    </row>
    <row r="1259" spans="1:7" x14ac:dyDescent="0.35">
      <c r="A1259" s="37"/>
      <c r="B1259" s="37"/>
      <c r="C1259" s="3" t="s">
        <v>55</v>
      </c>
      <c r="D1259" s="5">
        <v>-4200</v>
      </c>
      <c r="E1259" s="5">
        <v>0</v>
      </c>
      <c r="F1259" s="38">
        <v>-31629.919999999998</v>
      </c>
      <c r="G1259" s="5">
        <f>F1259-E1259</f>
        <v>-31629.919999999998</v>
      </c>
    </row>
    <row r="1260" spans="1:7" x14ac:dyDescent="0.35">
      <c r="A1260" s="37"/>
      <c r="B1260" s="37"/>
      <c r="C1260" s="37" t="s">
        <v>108</v>
      </c>
      <c r="D1260" s="38">
        <f>SUM(D1262:D1263)</f>
        <v>-31</v>
      </c>
      <c r="E1260" s="38">
        <f>SUM(E1261:E1263)</f>
        <v>-26261.78</v>
      </c>
      <c r="F1260" s="38">
        <f>SUM(F1261:F1263)</f>
        <v>-50503.87</v>
      </c>
      <c r="G1260" s="38">
        <f>F1260-E1260</f>
        <v>-24242.090000000004</v>
      </c>
    </row>
    <row r="1261" spans="1:7" x14ac:dyDescent="0.35">
      <c r="A1261" s="37"/>
      <c r="B1261" s="37"/>
      <c r="C1261" s="3" t="s">
        <v>155</v>
      </c>
      <c r="D1261" s="5">
        <v>0</v>
      </c>
      <c r="E1261" s="5">
        <v>-26261.78</v>
      </c>
      <c r="F1261" s="5">
        <v>0</v>
      </c>
      <c r="G1261" s="5">
        <f t="shared" ref="G1261:G1264" si="470">F1261-E1261</f>
        <v>26261.78</v>
      </c>
    </row>
    <row r="1262" spans="1:7" x14ac:dyDescent="0.35">
      <c r="A1262" s="3"/>
      <c r="B1262" s="3"/>
      <c r="C1262" s="3" t="s">
        <v>54</v>
      </c>
      <c r="D1262" s="5">
        <v>-17</v>
      </c>
      <c r="E1262" s="5">
        <v>0</v>
      </c>
      <c r="F1262" s="5">
        <v>-50499.26</v>
      </c>
      <c r="G1262" s="5">
        <f t="shared" si="470"/>
        <v>-50499.26</v>
      </c>
    </row>
    <row r="1263" spans="1:7" x14ac:dyDescent="0.35">
      <c r="A1263" s="37"/>
      <c r="B1263" s="37"/>
      <c r="C1263" s="3" t="s">
        <v>55</v>
      </c>
      <c r="D1263" s="5">
        <v>-14</v>
      </c>
      <c r="E1263" s="5">
        <v>0</v>
      </c>
      <c r="F1263" s="2">
        <v>-4.6100000000000003</v>
      </c>
      <c r="G1263" s="5">
        <f t="shared" si="470"/>
        <v>-4.6100000000000003</v>
      </c>
    </row>
    <row r="1264" spans="1:7" x14ac:dyDescent="0.35">
      <c r="A1264" s="37"/>
      <c r="B1264" s="37"/>
      <c r="C1264" s="37" t="s">
        <v>109</v>
      </c>
      <c r="D1264" s="38">
        <v>-127133</v>
      </c>
      <c r="E1264" s="67">
        <v>-127132.86587607462</v>
      </c>
      <c r="F1264" s="38">
        <v>-211321.3</v>
      </c>
      <c r="G1264" s="38">
        <f t="shared" si="470"/>
        <v>-84188.43412392537</v>
      </c>
    </row>
    <row r="1265" spans="1:7" x14ac:dyDescent="0.35">
      <c r="A1265" s="37"/>
      <c r="B1265" s="37" t="s">
        <v>117</v>
      </c>
      <c r="C1265" s="37"/>
      <c r="D1265" s="38">
        <f>SUM(D1267:D1271)</f>
        <v>-6657651</v>
      </c>
      <c r="E1265" s="38">
        <f>SUM(E1266:E1271)</f>
        <v>-8274085.1113266973</v>
      </c>
      <c r="F1265" s="38">
        <f t="shared" ref="F1265" si="471">SUM(F1267:F1271)</f>
        <v>-7329625.1000000015</v>
      </c>
      <c r="G1265" s="38">
        <f>F1265-E1265</f>
        <v>944460.01132669579</v>
      </c>
    </row>
    <row r="1266" spans="1:7" x14ac:dyDescent="0.35">
      <c r="A1266" s="37"/>
      <c r="B1266" s="37"/>
      <c r="C1266" s="3" t="s">
        <v>155</v>
      </c>
      <c r="D1266" s="5">
        <f>D1282+D1287</f>
        <v>0</v>
      </c>
      <c r="E1266" s="5">
        <f t="shared" ref="E1266:F1266" si="472">E1282+E1287</f>
        <v>-831972.7</v>
      </c>
      <c r="F1266" s="5">
        <f t="shared" si="472"/>
        <v>0</v>
      </c>
      <c r="G1266" s="5">
        <f>F1266-E1266</f>
        <v>831972.7</v>
      </c>
    </row>
    <row r="1267" spans="1:7" x14ac:dyDescent="0.35">
      <c r="A1267" s="3"/>
      <c r="B1267" s="3"/>
      <c r="C1267" s="3" t="s">
        <v>54</v>
      </c>
      <c r="D1267" s="5">
        <f>D1273+D1279+D1283</f>
        <v>-4376586</v>
      </c>
      <c r="E1267" s="5">
        <f t="shared" ref="E1267" si="473">E1273+E1279+E1283</f>
        <v>-5291196.68</v>
      </c>
      <c r="F1267" s="5">
        <f>F1273+F1279+F1283+F1288</f>
        <v>-5198755.0100000007</v>
      </c>
      <c r="G1267" s="5">
        <f t="shared" ref="G1267:G1271" si="474">F1267-E1267</f>
        <v>92441.669999998994</v>
      </c>
    </row>
    <row r="1268" spans="1:7" x14ac:dyDescent="0.35">
      <c r="A1268" s="3"/>
      <c r="B1268" s="3"/>
      <c r="C1268" s="3" t="s">
        <v>55</v>
      </c>
      <c r="D1268" s="5">
        <f>D1274+D1284+D1289</f>
        <v>-2178650</v>
      </c>
      <c r="E1268" s="5">
        <f t="shared" ref="E1268:F1268" si="475">E1274+E1284+E1289</f>
        <v>-1985391.71</v>
      </c>
      <c r="F1268" s="5">
        <f t="shared" si="475"/>
        <v>-1911260.27</v>
      </c>
      <c r="G1268" s="5">
        <f t="shared" si="474"/>
        <v>74131.439999999944</v>
      </c>
    </row>
    <row r="1269" spans="1:7" x14ac:dyDescent="0.35">
      <c r="A1269" s="3"/>
      <c r="B1269" s="3"/>
      <c r="C1269" s="3" t="s">
        <v>101</v>
      </c>
      <c r="D1269" s="5">
        <f>D1275</f>
        <v>-55</v>
      </c>
      <c r="E1269" s="5">
        <f>E1275+E1285</f>
        <v>-55</v>
      </c>
      <c r="F1269" s="5">
        <f>F1275+F1285</f>
        <v>-10350.77</v>
      </c>
      <c r="G1269" s="5">
        <f t="shared" si="474"/>
        <v>-10295.77</v>
      </c>
    </row>
    <row r="1270" spans="1:7" x14ac:dyDescent="0.35">
      <c r="A1270" s="3"/>
      <c r="B1270" s="3"/>
      <c r="C1270" s="3" t="s">
        <v>102</v>
      </c>
      <c r="D1270" s="5">
        <f>D1276</f>
        <v>-3931</v>
      </c>
      <c r="E1270" s="5">
        <f t="shared" ref="E1270:F1270" si="476">E1276</f>
        <v>-4531.87</v>
      </c>
      <c r="F1270" s="5">
        <f t="shared" si="476"/>
        <v>-4524.7299999999996</v>
      </c>
      <c r="G1270" s="5">
        <f t="shared" si="474"/>
        <v>7.1400000000003274</v>
      </c>
    </row>
    <row r="1271" spans="1:7" x14ac:dyDescent="0.35">
      <c r="A1271" s="3"/>
      <c r="B1271" s="3"/>
      <c r="C1271" s="3" t="s">
        <v>103</v>
      </c>
      <c r="D1271" s="5">
        <f>D1277+D1290</f>
        <v>-98429</v>
      </c>
      <c r="E1271" s="5">
        <f t="shared" ref="E1271" si="477">E1277+E1290</f>
        <v>-160937.15132669703</v>
      </c>
      <c r="F1271" s="5">
        <f>F1277+F1290+F1280</f>
        <v>-204734.31999999998</v>
      </c>
      <c r="G1271" s="5">
        <f t="shared" si="474"/>
        <v>-43797.168673302949</v>
      </c>
    </row>
    <row r="1272" spans="1:7" x14ac:dyDescent="0.35">
      <c r="A1272" s="37"/>
      <c r="B1272" s="37"/>
      <c r="C1272" s="37" t="s">
        <v>105</v>
      </c>
      <c r="D1272" s="38">
        <f>SUM(D1273:D1277)</f>
        <v>-5480190</v>
      </c>
      <c r="E1272" s="38">
        <f>SUM(E1273:E1277)</f>
        <v>-7341079.9299999997</v>
      </c>
      <c r="F1272" s="38">
        <f t="shared" ref="F1272" si="478">SUM(F1273:F1277)</f>
        <v>-6426600.580000001</v>
      </c>
      <c r="G1272" s="38">
        <f>F1272-E1272</f>
        <v>914479.3499999987</v>
      </c>
    </row>
    <row r="1273" spans="1:7" x14ac:dyDescent="0.35">
      <c r="A1273" s="3"/>
      <c r="B1273" s="3"/>
      <c r="C1273" s="3" t="s">
        <v>54</v>
      </c>
      <c r="D1273" s="5">
        <v>-3853592</v>
      </c>
      <c r="E1273" s="5">
        <v>-5286938.68</v>
      </c>
      <c r="F1273" s="5">
        <v>-4748350.92</v>
      </c>
      <c r="G1273" s="5">
        <f t="shared" ref="G1273:G1277" si="479">F1273-E1273</f>
        <v>538587.75999999978</v>
      </c>
    </row>
    <row r="1274" spans="1:7" x14ac:dyDescent="0.35">
      <c r="A1274" s="3"/>
      <c r="B1274" s="3"/>
      <c r="C1274" s="3" t="s">
        <v>55</v>
      </c>
      <c r="D1274" s="5">
        <v>-1620957</v>
      </c>
      <c r="E1274" s="5">
        <f>-1970158.3-15233.41</f>
        <v>-1985391.71</v>
      </c>
      <c r="F1274" s="5">
        <v>-1610139.11</v>
      </c>
      <c r="G1274" s="5">
        <f t="shared" si="479"/>
        <v>375252.59999999986</v>
      </c>
    </row>
    <row r="1275" spans="1:7" x14ac:dyDescent="0.35">
      <c r="A1275" s="3"/>
      <c r="B1275" s="3"/>
      <c r="C1275" s="3" t="s">
        <v>101</v>
      </c>
      <c r="D1275" s="5">
        <v>-55</v>
      </c>
      <c r="E1275" s="5">
        <f t="shared" ref="E1275" si="480">D1275</f>
        <v>-55</v>
      </c>
      <c r="F1275" s="5">
        <v>-54.87</v>
      </c>
      <c r="G1275" s="5">
        <f t="shared" si="479"/>
        <v>0.13000000000000256</v>
      </c>
    </row>
    <row r="1276" spans="1:7" x14ac:dyDescent="0.35">
      <c r="A1276" s="3"/>
      <c r="B1276" s="3"/>
      <c r="C1276" s="3" t="s">
        <v>102</v>
      </c>
      <c r="D1276" s="5">
        <v>-3931</v>
      </c>
      <c r="E1276" s="5">
        <v>-4531.87</v>
      </c>
      <c r="F1276" s="5">
        <v>-4524.7299999999996</v>
      </c>
      <c r="G1276" s="5">
        <f t="shared" si="479"/>
        <v>7.1400000000003274</v>
      </c>
    </row>
    <row r="1277" spans="1:7" x14ac:dyDescent="0.35">
      <c r="A1277" s="3"/>
      <c r="B1277" s="3"/>
      <c r="C1277" s="3" t="s">
        <v>56</v>
      </c>
      <c r="D1277" s="5">
        <v>-1655</v>
      </c>
      <c r="E1277" s="5">
        <v>-64162.67</v>
      </c>
      <c r="F1277" s="5">
        <v>-63530.95</v>
      </c>
      <c r="G1277" s="5">
        <f t="shared" si="479"/>
        <v>631.72000000000116</v>
      </c>
    </row>
    <row r="1278" spans="1:7" x14ac:dyDescent="0.35">
      <c r="A1278" s="37"/>
      <c r="B1278" s="37"/>
      <c r="C1278" s="37" t="s">
        <v>106</v>
      </c>
      <c r="D1278" s="38">
        <f>SUM(D1279:D1279)</f>
        <v>-4258</v>
      </c>
      <c r="E1278" s="38">
        <f>SUM(E1279:E1279)</f>
        <v>-4258</v>
      </c>
      <c r="F1278" s="38">
        <f>SUM(F1279:F1280)</f>
        <v>-2675.42</v>
      </c>
      <c r="G1278" s="38">
        <f>F1278-E1278</f>
        <v>1582.58</v>
      </c>
    </row>
    <row r="1279" spans="1:7" x14ac:dyDescent="0.35">
      <c r="A1279" s="3"/>
      <c r="B1279" s="3"/>
      <c r="C1279" s="3" t="s">
        <v>54</v>
      </c>
      <c r="D1279" s="5">
        <v>-4258</v>
      </c>
      <c r="E1279" s="5">
        <f t="shared" ref="E1279" si="481">D1279</f>
        <v>-4258</v>
      </c>
      <c r="F1279" s="5">
        <v>-2482.8200000000002</v>
      </c>
      <c r="G1279" s="5">
        <f t="shared" ref="G1279:G1280" si="482">F1279-E1279</f>
        <v>1775.1799999999998</v>
      </c>
    </row>
    <row r="1280" spans="1:7" x14ac:dyDescent="0.35">
      <c r="A1280" s="3"/>
      <c r="B1280" s="3"/>
      <c r="C1280" s="3" t="s">
        <v>56</v>
      </c>
      <c r="D1280" s="5">
        <v>0</v>
      </c>
      <c r="E1280" s="5">
        <v>0</v>
      </c>
      <c r="F1280" s="5">
        <v>-192.6</v>
      </c>
      <c r="G1280" s="5">
        <f t="shared" si="482"/>
        <v>-192.6</v>
      </c>
    </row>
    <row r="1281" spans="1:7" x14ac:dyDescent="0.35">
      <c r="A1281" s="37"/>
      <c r="B1281" s="37"/>
      <c r="C1281" s="37" t="s">
        <v>107</v>
      </c>
      <c r="D1281" s="38">
        <f>SUM(D1283:D1284)</f>
        <v>-1075801</v>
      </c>
      <c r="E1281" s="38">
        <f>SUM(E1282:E1284)</f>
        <v>-824838.24</v>
      </c>
      <c r="F1281" s="38">
        <f>SUM(F1283:F1285)</f>
        <v>-756886.30999999994</v>
      </c>
      <c r="G1281" s="38">
        <f>F1281-E1281</f>
        <v>67951.930000000051</v>
      </c>
    </row>
    <row r="1282" spans="1:7" x14ac:dyDescent="0.35">
      <c r="A1282" s="37"/>
      <c r="B1282" s="37"/>
      <c r="C1282" s="3" t="s">
        <v>155</v>
      </c>
      <c r="D1282" s="5">
        <v>0</v>
      </c>
      <c r="E1282" s="5">
        <v>-824838.24</v>
      </c>
      <c r="F1282" s="5">
        <v>0</v>
      </c>
      <c r="G1282" s="5">
        <f>F1282-E1282</f>
        <v>824838.24</v>
      </c>
    </row>
    <row r="1283" spans="1:7" x14ac:dyDescent="0.35">
      <c r="A1283" s="3"/>
      <c r="B1283" s="3"/>
      <c r="C1283" s="3" t="s">
        <v>54</v>
      </c>
      <c r="D1283" s="5">
        <v>-518736</v>
      </c>
      <c r="E1283" s="5">
        <v>0</v>
      </c>
      <c r="F1283" s="5">
        <v>-446658.41</v>
      </c>
      <c r="G1283" s="5">
        <f t="shared" ref="G1283:G1285" si="483">F1283-E1283</f>
        <v>-446658.41</v>
      </c>
    </row>
    <row r="1284" spans="1:7" x14ac:dyDescent="0.35">
      <c r="A1284" s="37"/>
      <c r="B1284" s="37"/>
      <c r="C1284" s="3" t="s">
        <v>55</v>
      </c>
      <c r="D1284" s="5">
        <v>-557065</v>
      </c>
      <c r="E1284" s="5">
        <v>0</v>
      </c>
      <c r="F1284" s="5">
        <v>-299932</v>
      </c>
      <c r="G1284" s="5">
        <f t="shared" si="483"/>
        <v>-299932</v>
      </c>
    </row>
    <row r="1285" spans="1:7" x14ac:dyDescent="0.35">
      <c r="A1285" s="37"/>
      <c r="B1285" s="37"/>
      <c r="C1285" s="3" t="s">
        <v>101</v>
      </c>
      <c r="D1285" s="5">
        <v>0</v>
      </c>
      <c r="E1285" s="5">
        <v>0</v>
      </c>
      <c r="F1285" s="5">
        <v>-10295.9</v>
      </c>
      <c r="G1285" s="5">
        <f t="shared" si="483"/>
        <v>-10295.9</v>
      </c>
    </row>
    <row r="1286" spans="1:7" x14ac:dyDescent="0.35">
      <c r="A1286" s="37"/>
      <c r="B1286" s="37"/>
      <c r="C1286" s="37" t="s">
        <v>108</v>
      </c>
      <c r="D1286" s="38">
        <f>SUM(D1289:D1289)</f>
        <v>-628</v>
      </c>
      <c r="E1286" s="38">
        <f>SUM(E1287:E1289)</f>
        <v>-7134.46</v>
      </c>
      <c r="F1286" s="38">
        <f>SUM(F1288:F1289)</f>
        <v>-2452.02</v>
      </c>
      <c r="G1286" s="38">
        <f>F1286-E1286</f>
        <v>4682.4400000000005</v>
      </c>
    </row>
    <row r="1287" spans="1:7" x14ac:dyDescent="0.35">
      <c r="A1287" s="37"/>
      <c r="B1287" s="37"/>
      <c r="C1287" s="3" t="s">
        <v>155</v>
      </c>
      <c r="D1287" s="5">
        <v>0</v>
      </c>
      <c r="E1287" s="5">
        <v>-7134.46</v>
      </c>
      <c r="F1287" s="5">
        <v>0</v>
      </c>
      <c r="G1287" s="5">
        <f t="shared" ref="G1287:G1296" si="484">F1287-E1287</f>
        <v>7134.46</v>
      </c>
    </row>
    <row r="1288" spans="1:7" x14ac:dyDescent="0.35">
      <c r="A1288" s="37"/>
      <c r="B1288" s="37"/>
      <c r="C1288" s="3" t="s">
        <v>54</v>
      </c>
      <c r="D1288" s="2">
        <v>0</v>
      </c>
      <c r="E1288" s="5">
        <v>0</v>
      </c>
      <c r="F1288" s="5">
        <v>-1262.8599999999999</v>
      </c>
      <c r="G1288" s="5">
        <f t="shared" si="484"/>
        <v>-1262.8599999999999</v>
      </c>
    </row>
    <row r="1289" spans="1:7" x14ac:dyDescent="0.35">
      <c r="A1289" s="3"/>
      <c r="B1289" s="3"/>
      <c r="C1289" s="3" t="s">
        <v>55</v>
      </c>
      <c r="D1289" s="5">
        <v>-628</v>
      </c>
      <c r="E1289" s="5">
        <v>0</v>
      </c>
      <c r="F1289" s="5">
        <v>-1189.1600000000001</v>
      </c>
      <c r="G1289" s="5">
        <f t="shared" si="484"/>
        <v>-1189.1600000000001</v>
      </c>
    </row>
    <row r="1290" spans="1:7" x14ac:dyDescent="0.35">
      <c r="A1290" s="37"/>
      <c r="B1290" s="37"/>
      <c r="C1290" s="37" t="s">
        <v>109</v>
      </c>
      <c r="D1290" s="38">
        <v>-96774</v>
      </c>
      <c r="E1290" s="67">
        <v>-96774.481326697016</v>
      </c>
      <c r="F1290" s="38">
        <v>-141010.76999999999</v>
      </c>
      <c r="G1290" s="38">
        <f t="shared" si="484"/>
        <v>-44236.288673302974</v>
      </c>
    </row>
    <row r="1291" spans="1:7" x14ac:dyDescent="0.35">
      <c r="A1291" s="37" t="s">
        <v>139</v>
      </c>
      <c r="B1291" s="37"/>
      <c r="C1291" s="37"/>
      <c r="D1291" s="38">
        <f>SUM(D1292:D1296)</f>
        <v>-18585847</v>
      </c>
      <c r="E1291" s="38">
        <f t="shared" ref="E1291:F1291" si="485">SUM(E1292:E1296)</f>
        <v>-20838293.178024482</v>
      </c>
      <c r="F1291" s="38">
        <f t="shared" si="485"/>
        <v>-18118583.599999998</v>
      </c>
      <c r="G1291" s="38">
        <f t="shared" si="484"/>
        <v>2719709.5780244842</v>
      </c>
    </row>
    <row r="1292" spans="1:7" x14ac:dyDescent="0.35">
      <c r="A1292" s="3"/>
      <c r="B1292" s="3" t="s">
        <v>105</v>
      </c>
      <c r="C1292" s="3"/>
      <c r="D1292" s="5">
        <f>D1305+D1325+D1347</f>
        <v>-12082253</v>
      </c>
      <c r="E1292" s="5">
        <f>E1305+E1325+E1347</f>
        <v>-13575339.469999999</v>
      </c>
      <c r="F1292" s="5">
        <f>F1305+F1325+F1347</f>
        <v>-11808846.23</v>
      </c>
      <c r="G1292" s="5">
        <f t="shared" si="484"/>
        <v>1766493.2399999984</v>
      </c>
    </row>
    <row r="1293" spans="1:7" x14ac:dyDescent="0.35">
      <c r="A1293" s="3"/>
      <c r="B1293" s="3" t="s">
        <v>106</v>
      </c>
      <c r="C1293" s="3"/>
      <c r="D1293" s="5">
        <f>D1353</f>
        <v>-4609137</v>
      </c>
      <c r="E1293" s="5">
        <f>E1353+E1311+E1329</f>
        <v>-4609137</v>
      </c>
      <c r="F1293" s="5">
        <f>F1353+F1311+F1329</f>
        <v>-4475348.47</v>
      </c>
      <c r="G1293" s="5">
        <f t="shared" si="484"/>
        <v>133788.53000000026</v>
      </c>
    </row>
    <row r="1294" spans="1:7" x14ac:dyDescent="0.35">
      <c r="A1294" s="3"/>
      <c r="B1294" s="3" t="s">
        <v>107</v>
      </c>
      <c r="C1294" s="3"/>
      <c r="D1294" s="5">
        <f>D1331+D1357</f>
        <v>-74875</v>
      </c>
      <c r="E1294" s="5">
        <f>E1331+E1357+E1313</f>
        <v>-97249.13</v>
      </c>
      <c r="F1294" s="5">
        <f>F1331+F1357+F1313</f>
        <v>-98407.01</v>
      </c>
      <c r="G1294" s="5">
        <f t="shared" si="484"/>
        <v>-1157.8799999999901</v>
      </c>
    </row>
    <row r="1295" spans="1:7" x14ac:dyDescent="0.35">
      <c r="A1295" s="3"/>
      <c r="B1295" s="3" t="s">
        <v>108</v>
      </c>
      <c r="C1295" s="3"/>
      <c r="D1295" s="5">
        <f>D1361</f>
        <v>-204</v>
      </c>
      <c r="E1295" s="5">
        <f>E1361+E1335+E1317</f>
        <v>-737190.3899999999</v>
      </c>
      <c r="F1295" s="5">
        <f>F1361+F1317+F1335</f>
        <v>-403265.07</v>
      </c>
      <c r="G1295" s="5">
        <f t="shared" si="484"/>
        <v>333925.31999999989</v>
      </c>
    </row>
    <row r="1296" spans="1:7" x14ac:dyDescent="0.35">
      <c r="A1296" s="3"/>
      <c r="B1296" s="3" t="s">
        <v>109</v>
      </c>
      <c r="C1296" s="3"/>
      <c r="D1296" s="5">
        <f>D1319+D1339+D1365</f>
        <v>-1819378</v>
      </c>
      <c r="E1296" s="5">
        <f>E1319+E1339+E1365</f>
        <v>-1819377.1880244841</v>
      </c>
      <c r="F1296" s="5">
        <f>F1319+F1339+F1365</f>
        <v>-1332716.8199999998</v>
      </c>
      <c r="G1296" s="5">
        <f t="shared" si="484"/>
        <v>486660.36802448425</v>
      </c>
    </row>
    <row r="1297" spans="1:7" x14ac:dyDescent="0.35">
      <c r="A1297" s="37"/>
      <c r="B1297" s="37" t="s">
        <v>31</v>
      </c>
      <c r="C1297" s="37"/>
      <c r="D1297" s="38">
        <f>SUM(D1299:D1304)</f>
        <v>-311682</v>
      </c>
      <c r="E1297" s="38">
        <f>SUM(E1298:E1304)</f>
        <v>-360888.08263968769</v>
      </c>
      <c r="F1297" s="38">
        <f>SUM(F1299:F1304)</f>
        <v>-326996.7</v>
      </c>
      <c r="G1297" s="38">
        <f>F1297-E1297</f>
        <v>33891.382639687683</v>
      </c>
    </row>
    <row r="1298" spans="1:7" x14ac:dyDescent="0.35">
      <c r="A1298" s="37"/>
      <c r="B1298" s="37"/>
      <c r="C1298" s="3" t="s">
        <v>155</v>
      </c>
      <c r="D1298" s="5">
        <f>D1314</f>
        <v>0</v>
      </c>
      <c r="E1298" s="5">
        <f t="shared" ref="E1298:F1298" si="486">E1314</f>
        <v>-5684.63</v>
      </c>
      <c r="F1298" s="5">
        <f t="shared" si="486"/>
        <v>0</v>
      </c>
      <c r="G1298" s="5">
        <f>F1298-E1298</f>
        <v>5684.63</v>
      </c>
    </row>
    <row r="1299" spans="1:7" x14ac:dyDescent="0.35">
      <c r="A1299" s="3"/>
      <c r="B1299" s="3"/>
      <c r="C1299" s="3" t="s">
        <v>54</v>
      </c>
      <c r="D1299" s="5">
        <f>D1306</f>
        <v>-256177</v>
      </c>
      <c r="E1299" s="5">
        <f t="shared" ref="E1299:E1302" si="487">E1306</f>
        <v>-286822.09999999998</v>
      </c>
      <c r="F1299" s="5">
        <f>F1306+F1315+F1318</f>
        <v>-257998.55000000002</v>
      </c>
      <c r="G1299" s="5">
        <f t="shared" ref="G1299:G1304" si="488">F1299-E1299</f>
        <v>28823.549999999959</v>
      </c>
    </row>
    <row r="1300" spans="1:7" x14ac:dyDescent="0.35">
      <c r="A1300" s="3"/>
      <c r="B1300" s="3"/>
      <c r="C1300" s="3" t="s">
        <v>55</v>
      </c>
      <c r="D1300" s="5">
        <f>D1307</f>
        <v>-45588</v>
      </c>
      <c r="E1300" s="5">
        <f t="shared" si="487"/>
        <v>-57827.450000000004</v>
      </c>
      <c r="F1300" s="5">
        <f>F1307</f>
        <v>-54737.13</v>
      </c>
      <c r="G1300" s="5">
        <f t="shared" si="488"/>
        <v>3090.320000000007</v>
      </c>
    </row>
    <row r="1301" spans="1:7" x14ac:dyDescent="0.35">
      <c r="A1301" s="3"/>
      <c r="B1301" s="3"/>
      <c r="C1301" s="3" t="s">
        <v>101</v>
      </c>
      <c r="D1301" s="5">
        <f>D1308</f>
        <v>-225</v>
      </c>
      <c r="E1301" s="5">
        <f t="shared" si="487"/>
        <v>-225</v>
      </c>
      <c r="F1301" s="5">
        <f>F1308</f>
        <v>-184.3</v>
      </c>
      <c r="G1301" s="5">
        <f t="shared" si="488"/>
        <v>40.699999999999989</v>
      </c>
    </row>
    <row r="1302" spans="1:7" x14ac:dyDescent="0.35">
      <c r="A1302" s="3"/>
      <c r="B1302" s="3"/>
      <c r="C1302" s="3" t="s">
        <v>102</v>
      </c>
      <c r="D1302" s="5">
        <f>D1309</f>
        <v>-8558</v>
      </c>
      <c r="E1302" s="5">
        <f t="shared" si="487"/>
        <v>-9180.2000000000007</v>
      </c>
      <c r="F1302" s="5">
        <f>F1309</f>
        <v>-9179.6299999999992</v>
      </c>
      <c r="G1302" s="5">
        <f t="shared" si="488"/>
        <v>0.57000000000152795</v>
      </c>
    </row>
    <row r="1303" spans="1:7" x14ac:dyDescent="0.35">
      <c r="A1303" s="3"/>
      <c r="B1303" s="3"/>
      <c r="C1303" s="3" t="s">
        <v>110</v>
      </c>
      <c r="D1303" s="5">
        <v>0</v>
      </c>
      <c r="E1303" s="5">
        <v>0</v>
      </c>
      <c r="F1303" s="5">
        <f>+F1316</f>
        <v>-3421.94</v>
      </c>
      <c r="G1303" s="5">
        <f t="shared" si="488"/>
        <v>-3421.94</v>
      </c>
    </row>
    <row r="1304" spans="1:7" x14ac:dyDescent="0.35">
      <c r="A1304" s="3"/>
      <c r="B1304" s="3"/>
      <c r="C1304" s="3" t="s">
        <v>103</v>
      </c>
      <c r="D1304" s="5">
        <f>D1310+D1319</f>
        <v>-1134</v>
      </c>
      <c r="E1304" s="5">
        <f>E1310+E1319</f>
        <v>-1148.70263968771</v>
      </c>
      <c r="F1304" s="5">
        <f>F1310+F1319+F1312</f>
        <v>-1475.15</v>
      </c>
      <c r="G1304" s="5">
        <f t="shared" si="488"/>
        <v>-326.44736031229013</v>
      </c>
    </row>
    <row r="1305" spans="1:7" x14ac:dyDescent="0.35">
      <c r="A1305" s="37"/>
      <c r="B1305" s="37"/>
      <c r="C1305" s="37" t="s">
        <v>105</v>
      </c>
      <c r="D1305" s="38">
        <f>SUM(D1306:D1310)</f>
        <v>-310761</v>
      </c>
      <c r="E1305" s="38">
        <f>SUM(E1306:E1310)</f>
        <v>-354282.69</v>
      </c>
      <c r="F1305" s="38">
        <f>SUM(F1306:F1310)</f>
        <v>-317103.33</v>
      </c>
      <c r="G1305" s="38">
        <f>F1305-E1305</f>
        <v>37179.359999999986</v>
      </c>
    </row>
    <row r="1306" spans="1:7" x14ac:dyDescent="0.35">
      <c r="A1306" s="3"/>
      <c r="B1306" s="3"/>
      <c r="C1306" s="3" t="s">
        <v>54</v>
      </c>
      <c r="D1306" s="5">
        <v>-256177</v>
      </c>
      <c r="E1306" s="5">
        <v>-286822.09999999998</v>
      </c>
      <c r="F1306" s="5">
        <v>-252803.62</v>
      </c>
      <c r="G1306" s="5">
        <f t="shared" ref="G1306:G1319" si="489">F1306-E1306</f>
        <v>34018.479999999981</v>
      </c>
    </row>
    <row r="1307" spans="1:7" x14ac:dyDescent="0.35">
      <c r="A1307" s="3"/>
      <c r="B1307" s="3"/>
      <c r="C1307" s="3" t="s">
        <v>55</v>
      </c>
      <c r="D1307" s="5">
        <v>-45588</v>
      </c>
      <c r="E1307" s="5">
        <f>-55946.33-1881.12</f>
        <v>-57827.450000000004</v>
      </c>
      <c r="F1307" s="5">
        <v>-54737.13</v>
      </c>
      <c r="G1307" s="5">
        <f t="shared" si="489"/>
        <v>3090.320000000007</v>
      </c>
    </row>
    <row r="1308" spans="1:7" x14ac:dyDescent="0.35">
      <c r="A1308" s="3"/>
      <c r="B1308" s="3"/>
      <c r="C1308" s="3" t="s">
        <v>101</v>
      </c>
      <c r="D1308" s="5">
        <v>-225</v>
      </c>
      <c r="E1308" s="5">
        <f t="shared" ref="E1308" si="490">D1308</f>
        <v>-225</v>
      </c>
      <c r="F1308" s="5">
        <v>-184.3</v>
      </c>
      <c r="G1308" s="5">
        <f t="shared" si="489"/>
        <v>40.699999999999989</v>
      </c>
    </row>
    <row r="1309" spans="1:7" x14ac:dyDescent="0.35">
      <c r="A1309" s="3"/>
      <c r="B1309" s="3"/>
      <c r="C1309" s="3" t="s">
        <v>102</v>
      </c>
      <c r="D1309" s="5">
        <v>-8558</v>
      </c>
      <c r="E1309" s="5">
        <v>-9180.2000000000007</v>
      </c>
      <c r="F1309" s="5">
        <v>-9179.6299999999992</v>
      </c>
      <c r="G1309" s="5">
        <f t="shared" si="489"/>
        <v>0.57000000000152795</v>
      </c>
    </row>
    <row r="1310" spans="1:7" x14ac:dyDescent="0.35">
      <c r="A1310" s="3"/>
      <c r="B1310" s="3"/>
      <c r="C1310" s="3" t="s">
        <v>56</v>
      </c>
      <c r="D1310" s="5">
        <v>-213</v>
      </c>
      <c r="E1310" s="5">
        <v>-227.94</v>
      </c>
      <c r="F1310" s="5">
        <v>-198.65</v>
      </c>
      <c r="G1310" s="5">
        <f t="shared" si="489"/>
        <v>29.289999999999992</v>
      </c>
    </row>
    <row r="1311" spans="1:7" x14ac:dyDescent="0.35">
      <c r="A1311" s="3"/>
      <c r="B1311" s="3"/>
      <c r="C1311" s="37" t="s">
        <v>106</v>
      </c>
      <c r="D1311" s="38">
        <v>0</v>
      </c>
      <c r="E1311" s="38">
        <f>SUM(E1312:E1312)</f>
        <v>0</v>
      </c>
      <c r="F1311" s="38">
        <f>SUM(F1312)</f>
        <v>38.21</v>
      </c>
      <c r="G1311" s="38">
        <f>F1311-E1311</f>
        <v>38.21</v>
      </c>
    </row>
    <row r="1312" spans="1:7" x14ac:dyDescent="0.35">
      <c r="A1312" s="3"/>
      <c r="B1312" s="3"/>
      <c r="C1312" s="3" t="s">
        <v>56</v>
      </c>
      <c r="D1312" s="5">
        <v>0</v>
      </c>
      <c r="E1312" s="5">
        <f t="shared" ref="E1312" si="491">D1312</f>
        <v>0</v>
      </c>
      <c r="F1312" s="5">
        <v>38.21</v>
      </c>
      <c r="G1312" s="5">
        <f t="shared" ref="G1312" si="492">F1312-E1312</f>
        <v>38.21</v>
      </c>
    </row>
    <row r="1313" spans="1:7" x14ac:dyDescent="0.35">
      <c r="A1313" s="3"/>
      <c r="B1313" s="3"/>
      <c r="C1313" s="37" t="s">
        <v>107</v>
      </c>
      <c r="D1313" s="38">
        <v>0</v>
      </c>
      <c r="E1313" s="38">
        <f>SUM(E1314:E1316)</f>
        <v>-5684.63</v>
      </c>
      <c r="F1313" s="38">
        <f>SUM(F1315:F1316)</f>
        <v>-5617.6100000000006</v>
      </c>
      <c r="G1313" s="38">
        <f>F1313-E1313</f>
        <v>67.019999999999527</v>
      </c>
    </row>
    <row r="1314" spans="1:7" x14ac:dyDescent="0.35">
      <c r="A1314" s="3"/>
      <c r="B1314" s="3"/>
      <c r="C1314" s="3" t="s">
        <v>155</v>
      </c>
      <c r="D1314" s="5">
        <v>0</v>
      </c>
      <c r="E1314" s="5">
        <v>-5684.63</v>
      </c>
      <c r="F1314" s="5">
        <v>0</v>
      </c>
      <c r="G1314" s="5">
        <f>F1314-E1314</f>
        <v>5684.63</v>
      </c>
    </row>
    <row r="1315" spans="1:7" x14ac:dyDescent="0.35">
      <c r="A1315" s="3"/>
      <c r="B1315" s="3"/>
      <c r="C1315" s="3" t="s">
        <v>54</v>
      </c>
      <c r="D1315" s="5">
        <v>0</v>
      </c>
      <c r="E1315" s="5">
        <v>0</v>
      </c>
      <c r="F1315" s="5">
        <v>-2195.67</v>
      </c>
      <c r="G1315" s="5">
        <f t="shared" ref="G1315:G1316" si="493">F1315-E1315</f>
        <v>-2195.67</v>
      </c>
    </row>
    <row r="1316" spans="1:7" x14ac:dyDescent="0.35">
      <c r="A1316" s="3"/>
      <c r="B1316" s="3"/>
      <c r="C1316" s="3" t="s">
        <v>110</v>
      </c>
      <c r="D1316" s="5">
        <v>0</v>
      </c>
      <c r="E1316" s="5">
        <v>0</v>
      </c>
      <c r="F1316" s="5">
        <v>-3421.94</v>
      </c>
      <c r="G1316" s="5">
        <f t="shared" si="493"/>
        <v>-3421.94</v>
      </c>
    </row>
    <row r="1317" spans="1:7" x14ac:dyDescent="0.35">
      <c r="A1317" s="3"/>
      <c r="B1317" s="3"/>
      <c r="C1317" s="37" t="s">
        <v>108</v>
      </c>
      <c r="D1317" s="38">
        <v>0</v>
      </c>
      <c r="E1317" s="38">
        <f>SUM(E1318)</f>
        <v>0</v>
      </c>
      <c r="F1317" s="38">
        <f>SUM(F1318)</f>
        <v>-2999.26</v>
      </c>
      <c r="G1317" s="38">
        <f>F1317-E1317</f>
        <v>-2999.26</v>
      </c>
    </row>
    <row r="1318" spans="1:7" x14ac:dyDescent="0.35">
      <c r="A1318" s="3"/>
      <c r="B1318" s="3"/>
      <c r="C1318" s="3" t="s">
        <v>54</v>
      </c>
      <c r="D1318" s="5">
        <v>0</v>
      </c>
      <c r="E1318" s="5">
        <v>0</v>
      </c>
      <c r="F1318" s="5">
        <v>-2999.26</v>
      </c>
      <c r="G1318" s="5">
        <f t="shared" ref="G1318" si="494">F1318-E1318</f>
        <v>-2999.26</v>
      </c>
    </row>
    <row r="1319" spans="1:7" x14ac:dyDescent="0.35">
      <c r="A1319" s="37"/>
      <c r="B1319" s="37"/>
      <c r="C1319" s="37" t="s">
        <v>109</v>
      </c>
      <c r="D1319" s="38">
        <v>-921</v>
      </c>
      <c r="E1319" s="67">
        <v>-920.76263968770991</v>
      </c>
      <c r="F1319" s="38">
        <v>-1314.71</v>
      </c>
      <c r="G1319" s="38">
        <f t="shared" si="489"/>
        <v>-393.94736031229013</v>
      </c>
    </row>
    <row r="1320" spans="1:7" x14ac:dyDescent="0.35">
      <c r="A1320" s="37"/>
      <c r="B1320" s="37" t="s">
        <v>116</v>
      </c>
      <c r="C1320" s="37"/>
      <c r="D1320" s="38">
        <f>SUM(D1322:D1324)</f>
        <v>-5970303</v>
      </c>
      <c r="E1320" s="38">
        <f>SUM(E1321:E1324)</f>
        <v>-7988384.225384797</v>
      </c>
      <c r="F1320" s="38">
        <f>SUM(F1322:F1324)</f>
        <v>-6341308.0800000001</v>
      </c>
      <c r="G1320" s="38">
        <f>F1320-E1320</f>
        <v>1647076.1453847969</v>
      </c>
    </row>
    <row r="1321" spans="1:7" x14ac:dyDescent="0.35">
      <c r="A1321" s="37"/>
      <c r="B1321" s="37"/>
      <c r="C1321" s="3" t="s">
        <v>155</v>
      </c>
      <c r="D1321" s="5">
        <v>0</v>
      </c>
      <c r="E1321" s="5">
        <f>+E1332+E1336</f>
        <v>-510316.37</v>
      </c>
      <c r="F1321" s="5">
        <v>0</v>
      </c>
      <c r="G1321" s="5">
        <f>F1321-E1321</f>
        <v>510316.37</v>
      </c>
    </row>
    <row r="1322" spans="1:7" x14ac:dyDescent="0.35">
      <c r="A1322" s="3"/>
      <c r="B1322" s="3"/>
      <c r="C1322" s="3" t="s">
        <v>54</v>
      </c>
      <c r="D1322" s="5">
        <f>D1326+D1333</f>
        <v>-2639263</v>
      </c>
      <c r="E1322" s="5">
        <f>E1326+E1333</f>
        <v>-3273669.12</v>
      </c>
      <c r="F1322" s="5">
        <f>F1326+F1333+F1337</f>
        <v>-3186948.4</v>
      </c>
      <c r="G1322" s="5">
        <f t="shared" ref="G1322:G1324" si="495">F1322-E1322</f>
        <v>86720.720000000205</v>
      </c>
    </row>
    <row r="1323" spans="1:7" x14ac:dyDescent="0.35">
      <c r="A1323" s="3"/>
      <c r="B1323" s="3"/>
      <c r="C1323" s="3" t="s">
        <v>55</v>
      </c>
      <c r="D1323" s="5">
        <f>D1327+D1334</f>
        <v>-1528149</v>
      </c>
      <c r="E1323" s="5">
        <f>E1327+E1334</f>
        <v>-2401201.56</v>
      </c>
      <c r="F1323" s="5">
        <f>F1327+F1334+F1338</f>
        <v>-1851655.75</v>
      </c>
      <c r="G1323" s="5">
        <f t="shared" si="495"/>
        <v>549545.81000000006</v>
      </c>
    </row>
    <row r="1324" spans="1:7" x14ac:dyDescent="0.35">
      <c r="A1324" s="3"/>
      <c r="B1324" s="3"/>
      <c r="C1324" s="3" t="s">
        <v>103</v>
      </c>
      <c r="D1324" s="5">
        <f>D1339</f>
        <v>-1802891</v>
      </c>
      <c r="E1324" s="5">
        <f>E1339+E1328</f>
        <v>-1803197.1753847965</v>
      </c>
      <c r="F1324" s="5">
        <f>F1339+F1328+F1330</f>
        <v>-1302703.93</v>
      </c>
      <c r="G1324" s="5">
        <f t="shared" si="495"/>
        <v>500493.24538479652</v>
      </c>
    </row>
    <row r="1325" spans="1:7" x14ac:dyDescent="0.35">
      <c r="A1325" s="37"/>
      <c r="B1325" s="37"/>
      <c r="C1325" s="37" t="s">
        <v>105</v>
      </c>
      <c r="D1325" s="38">
        <f>SUM(D1326:D1327)</f>
        <v>-4120263</v>
      </c>
      <c r="E1325" s="38">
        <f>SUM(E1326:E1328)</f>
        <v>-5675177.0099999998</v>
      </c>
      <c r="F1325" s="38">
        <f>SUM(F1326:F1328)</f>
        <v>-4746450.22</v>
      </c>
      <c r="G1325" s="38">
        <f>F1325-E1325</f>
        <v>928726.79</v>
      </c>
    </row>
    <row r="1326" spans="1:7" x14ac:dyDescent="0.35">
      <c r="A1326" s="3"/>
      <c r="B1326" s="3"/>
      <c r="C1326" s="3" t="s">
        <v>54</v>
      </c>
      <c r="D1326" s="5">
        <v>-2604344</v>
      </c>
      <c r="E1326" s="5">
        <v>-3273669.12</v>
      </c>
      <c r="F1326" s="5">
        <v>-2903422.32</v>
      </c>
      <c r="G1326" s="5">
        <f t="shared" ref="G1326:G1328" si="496">F1326-E1326</f>
        <v>370246.80000000028</v>
      </c>
    </row>
    <row r="1327" spans="1:7" x14ac:dyDescent="0.35">
      <c r="A1327" s="3"/>
      <c r="B1327" s="3"/>
      <c r="C1327" s="3" t="s">
        <v>55</v>
      </c>
      <c r="D1327" s="5">
        <v>-1515919</v>
      </c>
      <c r="E1327" s="5">
        <v>-2401201.56</v>
      </c>
      <c r="F1327" s="5">
        <v>-1842775.26</v>
      </c>
      <c r="G1327" s="5">
        <f t="shared" si="496"/>
        <v>558426.30000000005</v>
      </c>
    </row>
    <row r="1328" spans="1:7" x14ac:dyDescent="0.35">
      <c r="A1328" s="3"/>
      <c r="B1328" s="3"/>
      <c r="C1328" s="3" t="s">
        <v>56</v>
      </c>
      <c r="D1328" s="5">
        <v>0</v>
      </c>
      <c r="E1328" s="5">
        <v>-306.33</v>
      </c>
      <c r="F1328" s="5">
        <v>-252.64</v>
      </c>
      <c r="G1328" s="5">
        <f t="shared" si="496"/>
        <v>53.69</v>
      </c>
    </row>
    <row r="1329" spans="1:7" x14ac:dyDescent="0.35">
      <c r="A1329" s="3"/>
      <c r="B1329" s="3"/>
      <c r="C1329" s="37" t="s">
        <v>106</v>
      </c>
      <c r="D1329" s="38">
        <v>0</v>
      </c>
      <c r="E1329" s="38">
        <f>SUM(E1330:E1330)</f>
        <v>0</v>
      </c>
      <c r="F1329" s="38">
        <f>+F1330</f>
        <v>-249.81</v>
      </c>
      <c r="G1329" s="38">
        <f>F1329-E1329</f>
        <v>-249.81</v>
      </c>
    </row>
    <row r="1330" spans="1:7" x14ac:dyDescent="0.35">
      <c r="A1330" s="3"/>
      <c r="B1330" s="3"/>
      <c r="C1330" s="3" t="s">
        <v>56</v>
      </c>
      <c r="D1330" s="5">
        <v>0</v>
      </c>
      <c r="E1330" s="5">
        <f t="shared" ref="E1330" si="497">D1330</f>
        <v>0</v>
      </c>
      <c r="F1330" s="5">
        <v>-249.81</v>
      </c>
      <c r="G1330" s="5">
        <f t="shared" ref="G1330" si="498">F1330-E1330</f>
        <v>-249.81</v>
      </c>
    </row>
    <row r="1331" spans="1:7" x14ac:dyDescent="0.35">
      <c r="A1331" s="37"/>
      <c r="B1331" s="37"/>
      <c r="C1331" s="37" t="s">
        <v>107</v>
      </c>
      <c r="D1331" s="38">
        <f>SUM(D1333:D1334)</f>
        <v>-47149</v>
      </c>
      <c r="E1331" s="38">
        <f>SUM(E1332:E1334)</f>
        <v>-82307.39</v>
      </c>
      <c r="F1331" s="38">
        <f t="shared" ref="F1331" si="499">SUM(F1333:F1334)</f>
        <v>-82243.78</v>
      </c>
      <c r="G1331" s="38">
        <f>F1331-E1331</f>
        <v>63.610000000000582</v>
      </c>
    </row>
    <row r="1332" spans="1:7" x14ac:dyDescent="0.35">
      <c r="A1332" s="37"/>
      <c r="B1332" s="37"/>
      <c r="C1332" s="3" t="s">
        <v>155</v>
      </c>
      <c r="D1332" s="38">
        <v>0</v>
      </c>
      <c r="E1332" s="5">
        <v>-82307.39</v>
      </c>
      <c r="F1332" s="5">
        <v>0</v>
      </c>
      <c r="G1332" s="5">
        <f>F1332-E1332</f>
        <v>82307.39</v>
      </c>
    </row>
    <row r="1333" spans="1:7" x14ac:dyDescent="0.35">
      <c r="A1333" s="3"/>
      <c r="B1333" s="3"/>
      <c r="C1333" s="3" t="s">
        <v>54</v>
      </c>
      <c r="D1333" s="5">
        <v>-34919</v>
      </c>
      <c r="E1333" s="5">
        <v>0</v>
      </c>
      <c r="F1333" s="5">
        <v>-74352.06</v>
      </c>
      <c r="G1333" s="5">
        <f t="shared" ref="G1333:G1334" si="500">F1333-E1333</f>
        <v>-74352.06</v>
      </c>
    </row>
    <row r="1334" spans="1:7" x14ac:dyDescent="0.35">
      <c r="A1334" s="37"/>
      <c r="B1334" s="37"/>
      <c r="C1334" s="3" t="s">
        <v>55</v>
      </c>
      <c r="D1334" s="5">
        <v>-12230</v>
      </c>
      <c r="E1334" s="5">
        <v>0</v>
      </c>
      <c r="F1334" s="38">
        <v>-7891.72</v>
      </c>
      <c r="G1334" s="5">
        <f t="shared" si="500"/>
        <v>-7891.72</v>
      </c>
    </row>
    <row r="1335" spans="1:7" x14ac:dyDescent="0.35">
      <c r="A1335" s="37"/>
      <c r="B1335" s="37"/>
      <c r="C1335" s="37" t="s">
        <v>108</v>
      </c>
      <c r="D1335" s="38">
        <v>0</v>
      </c>
      <c r="E1335" s="38">
        <f>+E1336+E1337+E1338</f>
        <v>-428008.98</v>
      </c>
      <c r="F1335" s="38">
        <f>+F1336+F1337+F1338</f>
        <v>-210162.78999999998</v>
      </c>
      <c r="G1335" s="38">
        <f>F1335-E1335</f>
        <v>217846.19</v>
      </c>
    </row>
    <row r="1336" spans="1:7" x14ac:dyDescent="0.35">
      <c r="A1336" s="37"/>
      <c r="B1336" s="37"/>
      <c r="C1336" s="3" t="s">
        <v>155</v>
      </c>
      <c r="D1336" s="38">
        <v>0</v>
      </c>
      <c r="E1336" s="5">
        <v>-428008.98</v>
      </c>
      <c r="F1336" s="5">
        <v>0</v>
      </c>
      <c r="G1336" s="5">
        <f t="shared" ref="G1336:G1339" si="501">F1336-E1336</f>
        <v>428008.98</v>
      </c>
    </row>
    <row r="1337" spans="1:7" x14ac:dyDescent="0.35">
      <c r="A1337" s="37"/>
      <c r="B1337" s="37"/>
      <c r="C1337" s="3" t="s">
        <v>54</v>
      </c>
      <c r="D1337" s="5">
        <v>0</v>
      </c>
      <c r="E1337" s="5">
        <v>0</v>
      </c>
      <c r="F1337" s="5">
        <v>-209174.02</v>
      </c>
      <c r="G1337" s="5">
        <f t="shared" si="501"/>
        <v>-209174.02</v>
      </c>
    </row>
    <row r="1338" spans="1:7" x14ac:dyDescent="0.35">
      <c r="A1338" s="37"/>
      <c r="B1338" s="37"/>
      <c r="C1338" s="3" t="s">
        <v>55</v>
      </c>
      <c r="D1338" s="5">
        <v>0</v>
      </c>
      <c r="E1338" s="5">
        <v>0</v>
      </c>
      <c r="F1338" s="5">
        <v>-988.77</v>
      </c>
      <c r="G1338" s="5">
        <f t="shared" si="501"/>
        <v>-988.77</v>
      </c>
    </row>
    <row r="1339" spans="1:7" x14ac:dyDescent="0.35">
      <c r="A1339" s="37"/>
      <c r="B1339" s="37"/>
      <c r="C1339" s="37" t="s">
        <v>109</v>
      </c>
      <c r="D1339" s="38">
        <v>-1802891</v>
      </c>
      <c r="E1339" s="67">
        <v>-1802890.8453847964</v>
      </c>
      <c r="F1339" s="38">
        <v>-1302201.48</v>
      </c>
      <c r="G1339" s="38">
        <f t="shared" si="501"/>
        <v>500689.3653847964</v>
      </c>
    </row>
    <row r="1340" spans="1:7" x14ac:dyDescent="0.35">
      <c r="A1340" s="37"/>
      <c r="B1340" s="37" t="s">
        <v>117</v>
      </c>
      <c r="C1340" s="37"/>
      <c r="D1340" s="38">
        <f>SUM(D1342:D1346)</f>
        <v>-12303862</v>
      </c>
      <c r="E1340" s="38">
        <f>SUM(E1341:E1346)</f>
        <v>-12489020.869999999</v>
      </c>
      <c r="F1340" s="38">
        <f t="shared" ref="F1340" si="502">SUM(F1342:F1346)</f>
        <v>-11450278.819999998</v>
      </c>
      <c r="G1340" s="38">
        <f>F1340-E1340</f>
        <v>1038742.0500000007</v>
      </c>
    </row>
    <row r="1341" spans="1:7" x14ac:dyDescent="0.35">
      <c r="A1341" s="37"/>
      <c r="B1341" s="37"/>
      <c r="C1341" s="3" t="s">
        <v>155</v>
      </c>
      <c r="D1341" s="38">
        <v>0</v>
      </c>
      <c r="E1341" s="5">
        <f>+E1358+E1362</f>
        <v>-318438.51999999996</v>
      </c>
      <c r="F1341" s="5">
        <v>0</v>
      </c>
      <c r="G1341" s="5">
        <f>F1341-E1341</f>
        <v>318438.51999999996</v>
      </c>
    </row>
    <row r="1342" spans="1:7" x14ac:dyDescent="0.35">
      <c r="A1342" s="3"/>
      <c r="B1342" s="3"/>
      <c r="C1342" s="3" t="s">
        <v>54</v>
      </c>
      <c r="D1342" s="5">
        <f>D1348+D1354+D1359</f>
        <v>-5332917</v>
      </c>
      <c r="E1342" s="5">
        <f>E1348+E1354+E1359</f>
        <v>-5250705.42</v>
      </c>
      <c r="F1342" s="5">
        <f>F1348+F1354+F1359+F1363</f>
        <v>-5219355.92</v>
      </c>
      <c r="G1342" s="5">
        <f t="shared" ref="G1342:G1346" si="503">F1342-E1342</f>
        <v>31349.5</v>
      </c>
    </row>
    <row r="1343" spans="1:7" x14ac:dyDescent="0.35">
      <c r="A1343" s="3"/>
      <c r="B1343" s="3"/>
      <c r="C1343" s="3" t="s">
        <v>55</v>
      </c>
      <c r="D1343" s="5">
        <f>D1349+D1355+D1360+D1364</f>
        <v>-6952208</v>
      </c>
      <c r="E1343" s="5">
        <f t="shared" ref="E1343" si="504">E1349+E1355+E1360+E1364</f>
        <v>-6899234.8399999999</v>
      </c>
      <c r="F1343" s="5">
        <f>F1349+F1355+F1360+F1364</f>
        <v>-6196858.4299999997</v>
      </c>
      <c r="G1343" s="5">
        <f t="shared" si="503"/>
        <v>702376.41000000015</v>
      </c>
    </row>
    <row r="1344" spans="1:7" x14ac:dyDescent="0.35">
      <c r="A1344" s="3"/>
      <c r="B1344" s="3"/>
      <c r="C1344" s="3" t="s">
        <v>101</v>
      </c>
      <c r="D1344" s="5">
        <f>D1350</f>
        <v>-88</v>
      </c>
      <c r="E1344" s="5">
        <f t="shared" ref="E1344:F1345" si="505">E1350</f>
        <v>-87.52</v>
      </c>
      <c r="F1344" s="5">
        <f t="shared" si="505"/>
        <v>-87.52</v>
      </c>
      <c r="G1344" s="5">
        <f t="shared" si="503"/>
        <v>0</v>
      </c>
    </row>
    <row r="1345" spans="1:7" x14ac:dyDescent="0.35">
      <c r="A1345" s="3"/>
      <c r="B1345" s="3"/>
      <c r="C1345" s="3" t="s">
        <v>102</v>
      </c>
      <c r="D1345" s="5">
        <f>D1351</f>
        <v>-448</v>
      </c>
      <c r="E1345" s="5">
        <f t="shared" si="505"/>
        <v>-835.16</v>
      </c>
      <c r="F1345" s="5">
        <f t="shared" si="505"/>
        <v>-835.16</v>
      </c>
      <c r="G1345" s="5">
        <f t="shared" si="503"/>
        <v>0</v>
      </c>
    </row>
    <row r="1346" spans="1:7" x14ac:dyDescent="0.35">
      <c r="A1346" s="3"/>
      <c r="B1346" s="3"/>
      <c r="C1346" s="3" t="s">
        <v>103</v>
      </c>
      <c r="D1346" s="5">
        <f>D1352+D1365</f>
        <v>-18201</v>
      </c>
      <c r="E1346" s="5">
        <f t="shared" ref="E1346" si="506">E1352+E1365</f>
        <v>-19719.41</v>
      </c>
      <c r="F1346" s="5">
        <f>F1352+F1365+F1356</f>
        <v>-33141.79</v>
      </c>
      <c r="G1346" s="5">
        <f t="shared" si="503"/>
        <v>-13422.380000000001</v>
      </c>
    </row>
    <row r="1347" spans="1:7" x14ac:dyDescent="0.35">
      <c r="A1347" s="37"/>
      <c r="B1347" s="37"/>
      <c r="C1347" s="37" t="s">
        <v>105</v>
      </c>
      <c r="D1347" s="38">
        <f>SUM(D1348:D1352)</f>
        <v>-7651229</v>
      </c>
      <c r="E1347" s="38">
        <f t="shared" ref="E1347:F1347" si="507">SUM(E1348:E1352)</f>
        <v>-7545879.7699999996</v>
      </c>
      <c r="F1347" s="38">
        <f t="shared" si="507"/>
        <v>-6745292.6799999997</v>
      </c>
      <c r="G1347" s="38">
        <f>F1347-E1347</f>
        <v>800587.08999999985</v>
      </c>
    </row>
    <row r="1348" spans="1:7" x14ac:dyDescent="0.35">
      <c r="A1348" s="3"/>
      <c r="B1348" s="3"/>
      <c r="C1348" s="3" t="s">
        <v>54</v>
      </c>
      <c r="D1348" s="5">
        <v>-5303931</v>
      </c>
      <c r="E1348" s="5">
        <v>-5243914.42</v>
      </c>
      <c r="F1348" s="5">
        <v>-5103338.71</v>
      </c>
      <c r="G1348" s="5">
        <f t="shared" ref="G1348:G1352" si="508">F1348-E1348</f>
        <v>140575.70999999996</v>
      </c>
    </row>
    <row r="1349" spans="1:7" x14ac:dyDescent="0.35">
      <c r="A1349" s="3"/>
      <c r="B1349" s="3"/>
      <c r="C1349" s="3" t="s">
        <v>55</v>
      </c>
      <c r="D1349" s="5">
        <v>-2344127</v>
      </c>
      <c r="E1349" s="5">
        <v>-2296888.84</v>
      </c>
      <c r="F1349" s="5">
        <v>-1637046.92</v>
      </c>
      <c r="G1349" s="5">
        <f t="shared" si="508"/>
        <v>659841.91999999993</v>
      </c>
    </row>
    <row r="1350" spans="1:7" x14ac:dyDescent="0.35">
      <c r="A1350" s="3"/>
      <c r="B1350" s="3"/>
      <c r="C1350" s="3" t="s">
        <v>101</v>
      </c>
      <c r="D1350" s="5">
        <v>-88</v>
      </c>
      <c r="E1350" s="5">
        <v>-87.52</v>
      </c>
      <c r="F1350" s="5">
        <v>-87.52</v>
      </c>
      <c r="G1350" s="5">
        <f t="shared" si="508"/>
        <v>0</v>
      </c>
    </row>
    <row r="1351" spans="1:7" x14ac:dyDescent="0.35">
      <c r="A1351" s="3"/>
      <c r="B1351" s="3"/>
      <c r="C1351" s="3" t="s">
        <v>102</v>
      </c>
      <c r="D1351" s="5">
        <v>-448</v>
      </c>
      <c r="E1351" s="5">
        <v>-835.16</v>
      </c>
      <c r="F1351" s="5">
        <v>-835.16</v>
      </c>
      <c r="G1351" s="5">
        <f t="shared" si="508"/>
        <v>0</v>
      </c>
    </row>
    <row r="1352" spans="1:7" x14ac:dyDescent="0.35">
      <c r="A1352" s="3"/>
      <c r="B1352" s="3"/>
      <c r="C1352" s="3" t="s">
        <v>56</v>
      </c>
      <c r="D1352" s="5">
        <v>-2635</v>
      </c>
      <c r="E1352" s="5">
        <v>-4153.83</v>
      </c>
      <c r="F1352" s="5">
        <v>-3984.37</v>
      </c>
      <c r="G1352" s="5">
        <f t="shared" si="508"/>
        <v>169.46000000000004</v>
      </c>
    </row>
    <row r="1353" spans="1:7" x14ac:dyDescent="0.35">
      <c r="A1353" s="37"/>
      <c r="B1353" s="37"/>
      <c r="C1353" s="37" t="s">
        <v>106</v>
      </c>
      <c r="D1353" s="38">
        <f>SUM(D1354:D1355)</f>
        <v>-4609137</v>
      </c>
      <c r="E1353" s="38">
        <f>SUM(E1354:E1356)</f>
        <v>-4609137</v>
      </c>
      <c r="F1353" s="38">
        <f>SUM(F1354:F1356)</f>
        <v>-4475136.87</v>
      </c>
      <c r="G1353" s="38">
        <f>F1353-E1353</f>
        <v>134000.12999999989</v>
      </c>
    </row>
    <row r="1354" spans="1:7" x14ac:dyDescent="0.35">
      <c r="A1354" s="3"/>
      <c r="B1354" s="3"/>
      <c r="C1354" s="3" t="s">
        <v>54</v>
      </c>
      <c r="D1354" s="5">
        <v>-6791</v>
      </c>
      <c r="E1354" s="5">
        <f t="shared" ref="E1354:E1355" si="509">D1354</f>
        <v>-6791</v>
      </c>
      <c r="F1354" s="5">
        <v>-3959.79</v>
      </c>
      <c r="G1354" s="5">
        <f t="shared" ref="G1354:G1356" si="510">F1354-E1354</f>
        <v>2831.21</v>
      </c>
    </row>
    <row r="1355" spans="1:7" x14ac:dyDescent="0.35">
      <c r="A1355" s="3"/>
      <c r="B1355" s="3"/>
      <c r="C1355" s="3" t="s">
        <v>55</v>
      </c>
      <c r="D1355" s="5">
        <v>-4602346</v>
      </c>
      <c r="E1355" s="5">
        <f t="shared" si="509"/>
        <v>-4602346</v>
      </c>
      <c r="F1355" s="5">
        <v>-4471220.29</v>
      </c>
      <c r="G1355" s="5">
        <f t="shared" si="510"/>
        <v>131125.70999999996</v>
      </c>
    </row>
    <row r="1356" spans="1:7" x14ac:dyDescent="0.35">
      <c r="A1356" s="3"/>
      <c r="B1356" s="3"/>
      <c r="C1356" s="3" t="s">
        <v>56</v>
      </c>
      <c r="D1356" s="5">
        <v>0</v>
      </c>
      <c r="E1356" s="5">
        <v>0</v>
      </c>
      <c r="F1356" s="5">
        <v>43.21</v>
      </c>
      <c r="G1356" s="5">
        <f t="shared" si="510"/>
        <v>43.21</v>
      </c>
    </row>
    <row r="1357" spans="1:7" x14ac:dyDescent="0.35">
      <c r="A1357" s="37"/>
      <c r="B1357" s="37"/>
      <c r="C1357" s="37" t="s">
        <v>107</v>
      </c>
      <c r="D1357" s="38">
        <f>SUM(D1359:D1360)</f>
        <v>-27726</v>
      </c>
      <c r="E1357" s="38">
        <f>SUM(E1358:E1360)</f>
        <v>-9257.11</v>
      </c>
      <c r="F1357" s="38">
        <f>SUM(F1359:F1360)</f>
        <v>-10545.62</v>
      </c>
      <c r="G1357" s="38">
        <f>F1357-E1357</f>
        <v>-1288.5100000000002</v>
      </c>
    </row>
    <row r="1358" spans="1:7" x14ac:dyDescent="0.35">
      <c r="A1358" s="37"/>
      <c r="B1358" s="37"/>
      <c r="C1358" s="3" t="s">
        <v>155</v>
      </c>
      <c r="D1358" s="38">
        <v>0</v>
      </c>
      <c r="E1358" s="5">
        <v>-9257.11</v>
      </c>
      <c r="F1358" s="5">
        <v>0</v>
      </c>
      <c r="G1358" s="5">
        <f>F1358-E1358</f>
        <v>9257.11</v>
      </c>
    </row>
    <row r="1359" spans="1:7" x14ac:dyDescent="0.35">
      <c r="A1359" s="3"/>
      <c r="B1359" s="3"/>
      <c r="C1359" s="3" t="s">
        <v>54</v>
      </c>
      <c r="D1359" s="5">
        <v>-22195</v>
      </c>
      <c r="E1359" s="5">
        <v>0</v>
      </c>
      <c r="F1359" s="5">
        <v>-8510.6</v>
      </c>
      <c r="G1359" s="5">
        <f t="shared" ref="G1359:G1360" si="511">F1359-E1359</f>
        <v>-8510.6</v>
      </c>
    </row>
    <row r="1360" spans="1:7" x14ac:dyDescent="0.35">
      <c r="A1360" s="37"/>
      <c r="B1360" s="37"/>
      <c r="C1360" s="3" t="s">
        <v>55</v>
      </c>
      <c r="D1360" s="5">
        <v>-5531</v>
      </c>
      <c r="E1360" s="5">
        <v>0</v>
      </c>
      <c r="F1360" s="38">
        <v>-2035.02</v>
      </c>
      <c r="G1360" s="5">
        <f t="shared" si="511"/>
        <v>-2035.02</v>
      </c>
    </row>
    <row r="1361" spans="1:7" x14ac:dyDescent="0.35">
      <c r="A1361" s="37"/>
      <c r="B1361" s="37"/>
      <c r="C1361" s="37" t="s">
        <v>108</v>
      </c>
      <c r="D1361" s="38">
        <f>SUM(D1364:D1364)</f>
        <v>-204</v>
      </c>
      <c r="E1361" s="38">
        <f>SUM(E1362:E1364)</f>
        <v>-309181.40999999997</v>
      </c>
      <c r="F1361" s="38">
        <f>SUM(F1363:F1364)</f>
        <v>-190103.02000000002</v>
      </c>
      <c r="G1361" s="38">
        <f>F1361-E1361</f>
        <v>119078.38999999996</v>
      </c>
    </row>
    <row r="1362" spans="1:7" x14ac:dyDescent="0.35">
      <c r="A1362" s="37"/>
      <c r="B1362" s="37"/>
      <c r="C1362" s="3" t="s">
        <v>155</v>
      </c>
      <c r="D1362" s="38">
        <v>0</v>
      </c>
      <c r="E1362" s="5">
        <v>-309181.40999999997</v>
      </c>
      <c r="F1362" s="5">
        <v>0</v>
      </c>
      <c r="G1362" s="5">
        <f t="shared" ref="G1362:G1377" si="512">F1362-E1362</f>
        <v>309181.40999999997</v>
      </c>
    </row>
    <row r="1363" spans="1:7" x14ac:dyDescent="0.35">
      <c r="A1363" s="37"/>
      <c r="B1363" s="37"/>
      <c r="C1363" s="3" t="s">
        <v>54</v>
      </c>
      <c r="D1363" s="38">
        <v>0</v>
      </c>
      <c r="E1363" s="38">
        <v>0</v>
      </c>
      <c r="F1363" s="5">
        <v>-103546.82</v>
      </c>
      <c r="G1363" s="5">
        <f t="shared" si="512"/>
        <v>-103546.82</v>
      </c>
    </row>
    <row r="1364" spans="1:7" x14ac:dyDescent="0.35">
      <c r="A1364" s="3"/>
      <c r="B1364" s="3"/>
      <c r="C1364" s="3" t="s">
        <v>55</v>
      </c>
      <c r="D1364" s="5">
        <v>-204</v>
      </c>
      <c r="E1364" s="5">
        <v>0</v>
      </c>
      <c r="F1364" s="5">
        <v>-86556.2</v>
      </c>
      <c r="G1364" s="5">
        <f t="shared" si="512"/>
        <v>-86556.2</v>
      </c>
    </row>
    <row r="1365" spans="1:7" x14ac:dyDescent="0.35">
      <c r="A1365" s="37"/>
      <c r="B1365" s="37"/>
      <c r="C1365" s="37" t="s">
        <v>109</v>
      </c>
      <c r="D1365" s="38">
        <v>-15566</v>
      </c>
      <c r="E1365" s="38">
        <v>-15565.58</v>
      </c>
      <c r="F1365" s="38">
        <v>-29200.63</v>
      </c>
      <c r="G1365" s="38">
        <f t="shared" si="512"/>
        <v>-13635.050000000001</v>
      </c>
    </row>
    <row r="1366" spans="1:7" x14ac:dyDescent="0.35">
      <c r="A1366" s="77" t="s">
        <v>140</v>
      </c>
      <c r="B1366" s="3"/>
      <c r="C1366" s="3"/>
      <c r="D1366" s="38">
        <f>SUM(D1367:D1371)</f>
        <v>-31123665</v>
      </c>
      <c r="E1366" s="38">
        <f>SUM(E1367:E1371)</f>
        <v>-33712253.84569861</v>
      </c>
      <c r="F1366" s="38">
        <f>SUM(F1367:F1371)</f>
        <v>-30246375.489896394</v>
      </c>
      <c r="G1366" s="38">
        <f t="shared" si="512"/>
        <v>3465878.3558022156</v>
      </c>
    </row>
    <row r="1367" spans="1:7" x14ac:dyDescent="0.35">
      <c r="A1367" s="36"/>
      <c r="B1367" s="3" t="s">
        <v>105</v>
      </c>
      <c r="C1367" s="3"/>
      <c r="D1367" s="5">
        <f>D1373+D1449+D1517</f>
        <v>-28294039</v>
      </c>
      <c r="E1367" s="5">
        <f>E1373+E1449+E1517</f>
        <v>-27931102.840719495</v>
      </c>
      <c r="F1367" s="5">
        <f>F1373+F1449+F1517</f>
        <v>-26029486.459792223</v>
      </c>
      <c r="G1367" s="5">
        <f t="shared" si="512"/>
        <v>1901616.3809272721</v>
      </c>
    </row>
    <row r="1368" spans="1:7" x14ac:dyDescent="0.35">
      <c r="A1368" s="36"/>
      <c r="B1368" s="3" t="s">
        <v>106</v>
      </c>
      <c r="C1368" s="3"/>
      <c r="D1368" s="5">
        <f>+D1390+D1408+D1432</f>
        <v>0</v>
      </c>
      <c r="E1368" s="5">
        <v>0</v>
      </c>
      <c r="F1368" s="5">
        <f>+F1374+F1450</f>
        <v>-301.33</v>
      </c>
      <c r="G1368" s="5">
        <f t="shared" si="512"/>
        <v>-301.33</v>
      </c>
    </row>
    <row r="1369" spans="1:7" x14ac:dyDescent="0.35">
      <c r="A1369" s="3"/>
      <c r="B1369" s="3" t="s">
        <v>107</v>
      </c>
      <c r="C1369" s="3"/>
      <c r="D1369" s="5">
        <f t="shared" ref="D1369:F1371" si="513">D1375+D1451+D1518</f>
        <v>-227399</v>
      </c>
      <c r="E1369" s="5">
        <f t="shared" si="513"/>
        <v>-1148818.5114117682</v>
      </c>
      <c r="F1369" s="5">
        <f t="shared" si="513"/>
        <v>-861612.26537829766</v>
      </c>
      <c r="G1369" s="5">
        <f t="shared" si="512"/>
        <v>287206.2460334705</v>
      </c>
    </row>
    <row r="1370" spans="1:7" x14ac:dyDescent="0.35">
      <c r="A1370" s="3"/>
      <c r="B1370" s="3" t="s">
        <v>108</v>
      </c>
      <c r="C1370" s="3"/>
      <c r="D1370" s="5">
        <f t="shared" si="513"/>
        <v>-1705284</v>
      </c>
      <c r="E1370" s="5">
        <f t="shared" si="513"/>
        <v>-3735390.1446223748</v>
      </c>
      <c r="F1370" s="5">
        <f t="shared" si="513"/>
        <v>-2280531.6024430091</v>
      </c>
      <c r="G1370" s="5">
        <f t="shared" si="512"/>
        <v>1454858.5421793656</v>
      </c>
    </row>
    <row r="1371" spans="1:7" x14ac:dyDescent="0.35">
      <c r="A1371" s="3"/>
      <c r="B1371" s="3" t="s">
        <v>109</v>
      </c>
      <c r="C1371" s="3"/>
      <c r="D1371" s="5">
        <f t="shared" si="513"/>
        <v>-896943</v>
      </c>
      <c r="E1371" s="5">
        <f t="shared" si="513"/>
        <v>-896942.34894497157</v>
      </c>
      <c r="F1371" s="5">
        <f t="shared" si="513"/>
        <v>-1074443.8322828682</v>
      </c>
      <c r="G1371" s="5">
        <f t="shared" si="512"/>
        <v>-177501.48333789664</v>
      </c>
    </row>
    <row r="1372" spans="1:7" x14ac:dyDescent="0.35">
      <c r="A1372" s="37" t="s">
        <v>141</v>
      </c>
      <c r="B1372" s="37"/>
      <c r="C1372" s="37"/>
      <c r="D1372" s="38">
        <f>SUM(D1373:D1377)</f>
        <v>-26308977</v>
      </c>
      <c r="E1372" s="38">
        <f>SUM(E1373:E1377)</f>
        <v>-25995257.600955915</v>
      </c>
      <c r="F1372" s="38">
        <f>SUM(F1373:F1377)</f>
        <v>-23134473.171989996</v>
      </c>
      <c r="G1372" s="38">
        <f t="shared" si="512"/>
        <v>2860784.4289659187</v>
      </c>
    </row>
    <row r="1373" spans="1:7" x14ac:dyDescent="0.35">
      <c r="A1373" s="3"/>
      <c r="B1373" s="3" t="s">
        <v>105</v>
      </c>
      <c r="C1373" s="3"/>
      <c r="D1373" s="5">
        <f>D1385+D1403+D1426</f>
        <v>-23804010</v>
      </c>
      <c r="E1373" s="5">
        <f>E1385+E1403+E1426</f>
        <v>-21108597.240000002</v>
      </c>
      <c r="F1373" s="5">
        <f>F1385+F1403+F1426</f>
        <v>-19781626.099999998</v>
      </c>
      <c r="G1373" s="5">
        <f t="shared" si="512"/>
        <v>1326971.1400000043</v>
      </c>
    </row>
    <row r="1374" spans="1:7" x14ac:dyDescent="0.35">
      <c r="A1374" s="3"/>
      <c r="B1374" s="3" t="s">
        <v>106</v>
      </c>
      <c r="C1374" s="3"/>
      <c r="D1374" s="5">
        <v>0</v>
      </c>
      <c r="E1374" s="5">
        <v>0</v>
      </c>
      <c r="F1374" s="5">
        <f>+F1390+F1408+F1432</f>
        <v>-347.31</v>
      </c>
      <c r="G1374" s="5">
        <f t="shared" si="512"/>
        <v>-347.31</v>
      </c>
    </row>
    <row r="1375" spans="1:7" x14ac:dyDescent="0.35">
      <c r="A1375" s="3"/>
      <c r="B1375" s="3" t="s">
        <v>107</v>
      </c>
      <c r="C1375" s="3"/>
      <c r="D1375" s="5">
        <f>D1410+D1434</f>
        <v>-225354</v>
      </c>
      <c r="E1375" s="5">
        <f>E1410+E1434+E1392</f>
        <v>-580891.32000000007</v>
      </c>
      <c r="F1375" s="5">
        <f>F1410+F1434+F1392</f>
        <v>-511448.85199000005</v>
      </c>
      <c r="G1375" s="5">
        <f t="shared" si="512"/>
        <v>69442.468010000011</v>
      </c>
    </row>
    <row r="1376" spans="1:7" x14ac:dyDescent="0.35">
      <c r="A1376" s="3"/>
      <c r="B1376" s="3" t="s">
        <v>108</v>
      </c>
      <c r="C1376" s="3"/>
      <c r="D1376" s="5">
        <f>D1414+D1440</f>
        <v>-1620493</v>
      </c>
      <c r="E1376" s="5">
        <f>E1414+E1440</f>
        <v>-3646649.8</v>
      </c>
      <c r="F1376" s="5">
        <f>F1414+F1440</f>
        <v>-2019612.35</v>
      </c>
      <c r="G1376" s="5">
        <f t="shared" si="512"/>
        <v>1627037.4499999997</v>
      </c>
    </row>
    <row r="1377" spans="1:7" x14ac:dyDescent="0.35">
      <c r="A1377" s="3"/>
      <c r="B1377" s="3" t="s">
        <v>109</v>
      </c>
      <c r="C1377" s="3"/>
      <c r="D1377" s="5">
        <f>D1396+D1418+D1447</f>
        <v>-659120</v>
      </c>
      <c r="E1377" s="5">
        <f>E1396+E1418+E1447</f>
        <v>-659119.24095591286</v>
      </c>
      <c r="F1377" s="5">
        <f>F1396+F1418+F1447</f>
        <v>-821438.56</v>
      </c>
      <c r="G1377" s="5">
        <f t="shared" si="512"/>
        <v>-162319.3190440872</v>
      </c>
    </row>
    <row r="1378" spans="1:7" x14ac:dyDescent="0.35">
      <c r="A1378" s="37"/>
      <c r="B1378" s="37" t="s">
        <v>31</v>
      </c>
      <c r="C1378" s="37"/>
      <c r="D1378" s="38">
        <f>SUM(D1380:D1384)</f>
        <v>-273490</v>
      </c>
      <c r="E1378" s="38">
        <f>SUM(E1379:E1384)</f>
        <v>-340459.97000000003</v>
      </c>
      <c r="F1378" s="38">
        <f>SUM(F1380:F1384)</f>
        <v>-315290.71000000002</v>
      </c>
      <c r="G1378" s="38">
        <f>F1378-E1378</f>
        <v>25169.260000000009</v>
      </c>
    </row>
    <row r="1379" spans="1:7" x14ac:dyDescent="0.35">
      <c r="A1379" s="37"/>
      <c r="B1379" s="37"/>
      <c r="C1379" s="3" t="s">
        <v>155</v>
      </c>
      <c r="D1379" s="5">
        <f>D1393</f>
        <v>0</v>
      </c>
      <c r="E1379" s="5">
        <f t="shared" ref="E1379:F1379" si="514">E1393</f>
        <v>-8378.5499999999993</v>
      </c>
      <c r="F1379" s="5">
        <f t="shared" si="514"/>
        <v>0</v>
      </c>
      <c r="G1379" s="5">
        <f>F1379-E1379</f>
        <v>8378.5499999999993</v>
      </c>
    </row>
    <row r="1380" spans="1:7" x14ac:dyDescent="0.35">
      <c r="A1380" s="3"/>
      <c r="B1380" s="3"/>
      <c r="C1380" s="3" t="s">
        <v>54</v>
      </c>
      <c r="D1380" s="5">
        <f>D1386</f>
        <v>-220125</v>
      </c>
      <c r="E1380" s="5">
        <f>E1386</f>
        <v>-248694.81</v>
      </c>
      <c r="F1380" s="5">
        <f>F1386+F1394</f>
        <v>-238679.56</v>
      </c>
      <c r="G1380" s="5">
        <f t="shared" ref="G1380:G1384" si="515">F1380-E1380</f>
        <v>10015.25</v>
      </c>
    </row>
    <row r="1381" spans="1:7" x14ac:dyDescent="0.35">
      <c r="A1381" s="3"/>
      <c r="B1381" s="3"/>
      <c r="C1381" s="3" t="s">
        <v>55</v>
      </c>
      <c r="D1381" s="5">
        <f>D1387</f>
        <v>-51678</v>
      </c>
      <c r="E1381" s="5">
        <f>E1387</f>
        <v>-81685.66</v>
      </c>
      <c r="F1381" s="5">
        <f t="shared" ref="F1381" si="516">F1387</f>
        <v>-69686.36</v>
      </c>
      <c r="G1381" s="5">
        <f t="shared" si="515"/>
        <v>11999.300000000003</v>
      </c>
    </row>
    <row r="1382" spans="1:7" x14ac:dyDescent="0.35">
      <c r="A1382" s="3"/>
      <c r="B1382" s="3"/>
      <c r="C1382" s="3" t="s">
        <v>101</v>
      </c>
      <c r="D1382" s="5">
        <f>D1388</f>
        <v>-542</v>
      </c>
      <c r="E1382" s="5">
        <f t="shared" ref="E1382:F1382" si="517">E1388</f>
        <v>-541.74</v>
      </c>
      <c r="F1382" s="5">
        <f t="shared" si="517"/>
        <v>-444.51</v>
      </c>
      <c r="G1382" s="5">
        <f t="shared" si="515"/>
        <v>97.230000000000018</v>
      </c>
    </row>
    <row r="1383" spans="1:7" x14ac:dyDescent="0.35">
      <c r="A1383" s="3"/>
      <c r="B1383" s="3"/>
      <c r="C1383" s="3" t="s">
        <v>110</v>
      </c>
      <c r="D1383" s="5">
        <v>0</v>
      </c>
      <c r="E1383" s="5">
        <v>0</v>
      </c>
      <c r="F1383" s="5">
        <f>+F1395</f>
        <v>-5043.58</v>
      </c>
      <c r="G1383" s="5">
        <f t="shared" si="515"/>
        <v>-5043.58</v>
      </c>
    </row>
    <row r="1384" spans="1:7" x14ac:dyDescent="0.35">
      <c r="A1384" s="3"/>
      <c r="B1384" s="3"/>
      <c r="C1384" s="3" t="s">
        <v>103</v>
      </c>
      <c r="D1384" s="5">
        <f>D1389+D1396</f>
        <v>-1145</v>
      </c>
      <c r="E1384" s="5">
        <f>E1389+E1396</f>
        <v>-1159.21</v>
      </c>
      <c r="F1384" s="5">
        <f>+F1391+F1396+F1389</f>
        <v>-1436.7</v>
      </c>
      <c r="G1384" s="5">
        <f t="shared" si="515"/>
        <v>-277.49</v>
      </c>
    </row>
    <row r="1385" spans="1:7" x14ac:dyDescent="0.35">
      <c r="A1385" s="37"/>
      <c r="B1385" s="37"/>
      <c r="C1385" s="37" t="s">
        <v>105</v>
      </c>
      <c r="D1385" s="38">
        <f>SUM(D1386:D1389)</f>
        <v>-272560</v>
      </c>
      <c r="E1385" s="38">
        <f>SUM(E1386:E1389)</f>
        <v>-331151.86999999994</v>
      </c>
      <c r="F1385" s="38">
        <f>SUM(F1386:F1389)</f>
        <v>-305767.70999999996</v>
      </c>
      <c r="G1385" s="38">
        <f>F1385-E1385</f>
        <v>25384.159999999974</v>
      </c>
    </row>
    <row r="1386" spans="1:7" x14ac:dyDescent="0.35">
      <c r="A1386" s="3"/>
      <c r="B1386" s="3"/>
      <c r="C1386" s="3" t="s">
        <v>54</v>
      </c>
      <c r="D1386" s="5">
        <v>-220125</v>
      </c>
      <c r="E1386" s="5">
        <v>-248694.81</v>
      </c>
      <c r="F1386" s="5">
        <v>-235443.37</v>
      </c>
      <c r="G1386" s="5">
        <f t="shared" ref="G1386:G1389" si="518">F1386-E1386</f>
        <v>13251.440000000002</v>
      </c>
    </row>
    <row r="1387" spans="1:7" x14ac:dyDescent="0.35">
      <c r="A1387" s="3"/>
      <c r="B1387" s="3"/>
      <c r="C1387" s="3" t="s">
        <v>55</v>
      </c>
      <c r="D1387" s="5">
        <v>-51678</v>
      </c>
      <c r="E1387" s="5">
        <f>-79853.57-1832.09</f>
        <v>-81685.66</v>
      </c>
      <c r="F1387" s="5">
        <v>-69686.36</v>
      </c>
      <c r="G1387" s="5">
        <f t="shared" si="518"/>
        <v>11999.300000000003</v>
      </c>
    </row>
    <row r="1388" spans="1:7" x14ac:dyDescent="0.35">
      <c r="A1388" s="3"/>
      <c r="B1388" s="3"/>
      <c r="C1388" s="3" t="s">
        <v>101</v>
      </c>
      <c r="D1388" s="5">
        <v>-542</v>
      </c>
      <c r="E1388" s="5">
        <v>-541.74</v>
      </c>
      <c r="F1388" s="5">
        <v>-444.51</v>
      </c>
      <c r="G1388" s="5">
        <f t="shared" si="518"/>
        <v>97.230000000000018</v>
      </c>
    </row>
    <row r="1389" spans="1:7" x14ac:dyDescent="0.35">
      <c r="A1389" s="3"/>
      <c r="B1389" s="3"/>
      <c r="C1389" s="3" t="s">
        <v>56</v>
      </c>
      <c r="D1389" s="5">
        <v>-215</v>
      </c>
      <c r="E1389" s="5">
        <v>-229.66</v>
      </c>
      <c r="F1389" s="5">
        <v>-193.47</v>
      </c>
      <c r="G1389" s="5">
        <f t="shared" si="518"/>
        <v>36.19</v>
      </c>
    </row>
    <row r="1390" spans="1:7" x14ac:dyDescent="0.35">
      <c r="A1390" s="3"/>
      <c r="B1390" s="3"/>
      <c r="C1390" s="37" t="s">
        <v>106</v>
      </c>
      <c r="D1390" s="38">
        <v>0</v>
      </c>
      <c r="E1390" s="38">
        <f>SUM(E1391)</f>
        <v>0</v>
      </c>
      <c r="F1390" s="38">
        <f>+F1391</f>
        <v>37.22</v>
      </c>
      <c r="G1390" s="38">
        <f>F1390-E1390</f>
        <v>37.22</v>
      </c>
    </row>
    <row r="1391" spans="1:7" x14ac:dyDescent="0.35">
      <c r="A1391" s="3"/>
      <c r="B1391" s="3"/>
      <c r="C1391" s="3" t="s">
        <v>56</v>
      </c>
      <c r="D1391" s="5">
        <v>0</v>
      </c>
      <c r="E1391" s="5">
        <v>0</v>
      </c>
      <c r="F1391" s="5">
        <v>37.22</v>
      </c>
      <c r="G1391" s="5">
        <f t="shared" ref="G1391" si="519">F1391-E1391</f>
        <v>37.22</v>
      </c>
    </row>
    <row r="1392" spans="1:7" x14ac:dyDescent="0.35">
      <c r="A1392" s="3"/>
      <c r="B1392" s="3"/>
      <c r="C1392" s="37" t="s">
        <v>107</v>
      </c>
      <c r="D1392" s="38">
        <v>0</v>
      </c>
      <c r="E1392" s="38">
        <f>SUM(E1393:E1395)</f>
        <v>-8378.5499999999993</v>
      </c>
      <c r="F1392" s="38">
        <f>SUM(F1394:F1395)</f>
        <v>-8279.77</v>
      </c>
      <c r="G1392" s="38">
        <f>F1392-E1392</f>
        <v>98.779999999998836</v>
      </c>
    </row>
    <row r="1393" spans="1:7" x14ac:dyDescent="0.35">
      <c r="A1393" s="3"/>
      <c r="B1393" s="3"/>
      <c r="C1393" s="3" t="s">
        <v>155</v>
      </c>
      <c r="D1393" s="38">
        <v>0</v>
      </c>
      <c r="E1393" s="5">
        <v>-8378.5499999999993</v>
      </c>
      <c r="F1393" s="5">
        <v>0</v>
      </c>
      <c r="G1393" s="5">
        <f>F1393-E1393</f>
        <v>8378.5499999999993</v>
      </c>
    </row>
    <row r="1394" spans="1:7" x14ac:dyDescent="0.35">
      <c r="A1394" s="3"/>
      <c r="B1394" s="3"/>
      <c r="C1394" s="3" t="s">
        <v>54</v>
      </c>
      <c r="D1394" s="5">
        <v>0</v>
      </c>
      <c r="E1394" s="5">
        <v>0</v>
      </c>
      <c r="F1394" s="5">
        <v>-3236.19</v>
      </c>
      <c r="G1394" s="5">
        <f t="shared" ref="G1394:G1396" si="520">F1394-E1394</f>
        <v>-3236.19</v>
      </c>
    </row>
    <row r="1395" spans="1:7" x14ac:dyDescent="0.35">
      <c r="A1395" s="3"/>
      <c r="B1395" s="3"/>
      <c r="C1395" s="3" t="s">
        <v>110</v>
      </c>
      <c r="D1395" s="5">
        <v>0</v>
      </c>
      <c r="E1395" s="5">
        <v>0</v>
      </c>
      <c r="F1395" s="5">
        <v>-5043.58</v>
      </c>
      <c r="G1395" s="5">
        <f t="shared" si="520"/>
        <v>-5043.58</v>
      </c>
    </row>
    <row r="1396" spans="1:7" x14ac:dyDescent="0.35">
      <c r="A1396" s="37"/>
      <c r="B1396" s="37"/>
      <c r="C1396" s="37" t="s">
        <v>109</v>
      </c>
      <c r="D1396" s="38">
        <v>-930</v>
      </c>
      <c r="E1396" s="38">
        <v>-929.55</v>
      </c>
      <c r="F1396" s="38">
        <v>-1280.45</v>
      </c>
      <c r="G1396" s="38">
        <f t="shared" si="520"/>
        <v>-350.90000000000009</v>
      </c>
    </row>
    <row r="1397" spans="1:7" x14ac:dyDescent="0.35">
      <c r="A1397" s="37"/>
      <c r="B1397" s="37" t="s">
        <v>116</v>
      </c>
      <c r="C1397" s="37"/>
      <c r="D1397" s="38">
        <f>SUM(D1399:D1402)</f>
        <v>-742989</v>
      </c>
      <c r="E1397" s="38">
        <f>SUM(E1398:E1402)</f>
        <v>-978809.77095591289</v>
      </c>
      <c r="F1397" s="38">
        <f>SUM(F1399:F1402)</f>
        <v>-570026.65999999992</v>
      </c>
      <c r="G1397" s="38">
        <f>F1397-E1397</f>
        <v>408783.11095591297</v>
      </c>
    </row>
    <row r="1398" spans="1:7" x14ac:dyDescent="0.35">
      <c r="A1398" s="37"/>
      <c r="B1398" s="37"/>
      <c r="C1398" s="3" t="s">
        <v>155</v>
      </c>
      <c r="D1398" s="38">
        <v>0</v>
      </c>
      <c r="E1398" s="5">
        <f>+E1411+E1415</f>
        <v>-111458.92</v>
      </c>
      <c r="F1398" s="5">
        <v>0</v>
      </c>
      <c r="G1398" s="5">
        <f>F1398-E1398</f>
        <v>111458.92</v>
      </c>
    </row>
    <row r="1399" spans="1:7" x14ac:dyDescent="0.35">
      <c r="A1399" s="3"/>
      <c r="B1399" s="3"/>
      <c r="C1399" s="3" t="s">
        <v>54</v>
      </c>
      <c r="D1399" s="5">
        <f>D1404+D1412+D1416</f>
        <v>-319903</v>
      </c>
      <c r="E1399" s="5">
        <f t="shared" ref="E1399:F1400" si="521">E1404+E1412+E1416</f>
        <v>-305974.40999999997</v>
      </c>
      <c r="F1399" s="5">
        <f t="shared" si="521"/>
        <v>-259556.41999999998</v>
      </c>
      <c r="G1399" s="5">
        <f t="shared" ref="G1399:G1402" si="522">F1399-E1399</f>
        <v>46417.989999999991</v>
      </c>
    </row>
    <row r="1400" spans="1:7" x14ac:dyDescent="0.35">
      <c r="A1400" s="3"/>
      <c r="B1400" s="3"/>
      <c r="C1400" s="3" t="s">
        <v>55</v>
      </c>
      <c r="D1400" s="5">
        <f>D1405+D1413+D1417</f>
        <v>-363519</v>
      </c>
      <c r="E1400" s="5">
        <f t="shared" si="521"/>
        <v>-501740</v>
      </c>
      <c r="F1400" s="5">
        <f t="shared" si="521"/>
        <v>-273667.04000000004</v>
      </c>
      <c r="G1400" s="5">
        <f t="shared" si="522"/>
        <v>228072.95999999996</v>
      </c>
    </row>
    <row r="1401" spans="1:7" x14ac:dyDescent="0.35">
      <c r="A1401" s="3"/>
      <c r="B1401" s="3"/>
      <c r="C1401" s="3" t="s">
        <v>102</v>
      </c>
      <c r="D1401" s="5">
        <f>D1406</f>
        <v>-8</v>
      </c>
      <c r="E1401" s="5">
        <f t="shared" ref="E1401:F1401" si="523">E1406</f>
        <v>-8</v>
      </c>
      <c r="F1401" s="5">
        <f t="shared" si="523"/>
        <v>-4.5999999999999996</v>
      </c>
      <c r="G1401" s="5">
        <f t="shared" si="522"/>
        <v>3.4000000000000004</v>
      </c>
    </row>
    <row r="1402" spans="1:7" x14ac:dyDescent="0.35">
      <c r="A1402" s="3"/>
      <c r="B1402" s="3"/>
      <c r="C1402" s="3" t="s">
        <v>103</v>
      </c>
      <c r="D1402" s="5">
        <f>D1418</f>
        <v>-59559</v>
      </c>
      <c r="E1402" s="5">
        <f>E1418+E1407</f>
        <v>-59628.440955912905</v>
      </c>
      <c r="F1402" s="5">
        <f>F1418+F1407+F1409</f>
        <v>-36798.6</v>
      </c>
      <c r="G1402" s="5">
        <f t="shared" si="522"/>
        <v>22829.840955912907</v>
      </c>
    </row>
    <row r="1403" spans="1:7" x14ac:dyDescent="0.35">
      <c r="A1403" s="37"/>
      <c r="B1403" s="37"/>
      <c r="C1403" s="37" t="s">
        <v>105</v>
      </c>
      <c r="D1403" s="38">
        <f>SUM(D1404:D1406)</f>
        <v>-669089</v>
      </c>
      <c r="E1403" s="38">
        <f>SUM(E1404:E1407)</f>
        <v>-807792.15999999992</v>
      </c>
      <c r="F1403" s="38">
        <f>SUM(F1404:F1407)</f>
        <v>-526491.77</v>
      </c>
      <c r="G1403" s="38">
        <f>F1403-E1403</f>
        <v>281300.3899999999</v>
      </c>
    </row>
    <row r="1404" spans="1:7" x14ac:dyDescent="0.35">
      <c r="A1404" s="3"/>
      <c r="B1404" s="3"/>
      <c r="C1404" s="3" t="s">
        <v>54</v>
      </c>
      <c r="D1404" s="5">
        <v>-308316</v>
      </c>
      <c r="E1404" s="5">
        <v>-305974.40999999997</v>
      </c>
      <c r="F1404" s="5">
        <v>-253667.3</v>
      </c>
      <c r="G1404" s="5">
        <f t="shared" ref="G1404:G1407" si="524">F1404-E1404</f>
        <v>52307.109999999986</v>
      </c>
    </row>
    <row r="1405" spans="1:7" x14ac:dyDescent="0.35">
      <c r="A1405" s="3"/>
      <c r="B1405" s="3"/>
      <c r="C1405" s="3" t="s">
        <v>55</v>
      </c>
      <c r="D1405" s="5">
        <v>-360765</v>
      </c>
      <c r="E1405" s="5">
        <v>-501740</v>
      </c>
      <c r="F1405" s="5">
        <v>-272729.78000000003</v>
      </c>
      <c r="G1405" s="5">
        <f t="shared" si="524"/>
        <v>229010.21999999997</v>
      </c>
    </row>
    <row r="1406" spans="1:7" x14ac:dyDescent="0.35">
      <c r="A1406" s="3"/>
      <c r="B1406" s="3"/>
      <c r="C1406" s="3" t="s">
        <v>102</v>
      </c>
      <c r="D1406" s="5">
        <v>-8</v>
      </c>
      <c r="E1406" s="5">
        <f t="shared" ref="E1406" si="525">D1406</f>
        <v>-8</v>
      </c>
      <c r="F1406" s="5">
        <v>-4.5999999999999996</v>
      </c>
      <c r="G1406" s="5">
        <f t="shared" si="524"/>
        <v>3.4000000000000004</v>
      </c>
    </row>
    <row r="1407" spans="1:7" x14ac:dyDescent="0.35">
      <c r="A1407" s="3"/>
      <c r="B1407" s="3"/>
      <c r="C1407" s="3" t="s">
        <v>56</v>
      </c>
      <c r="D1407" s="5">
        <v>0</v>
      </c>
      <c r="E1407" s="5">
        <v>-69.75</v>
      </c>
      <c r="F1407" s="5">
        <v>-90.09</v>
      </c>
      <c r="G1407" s="5">
        <f t="shared" si="524"/>
        <v>-20.340000000000003</v>
      </c>
    </row>
    <row r="1408" spans="1:7" x14ac:dyDescent="0.35">
      <c r="A1408" s="3"/>
      <c r="B1408" s="3"/>
      <c r="C1408" s="3" t="s">
        <v>106</v>
      </c>
      <c r="D1408" s="38">
        <v>0</v>
      </c>
      <c r="E1408" s="38">
        <f>SUM(E1409)</f>
        <v>0</v>
      </c>
      <c r="F1408" s="38">
        <f>+F1409</f>
        <v>-19.079999999999998</v>
      </c>
      <c r="G1408" s="38">
        <f>F1408-E1408</f>
        <v>-19.079999999999998</v>
      </c>
    </row>
    <row r="1409" spans="1:7" x14ac:dyDescent="0.35">
      <c r="A1409" s="3"/>
      <c r="B1409" s="3"/>
      <c r="C1409" s="3" t="s">
        <v>56</v>
      </c>
      <c r="D1409" s="5">
        <v>0</v>
      </c>
      <c r="E1409" s="5">
        <v>0</v>
      </c>
      <c r="F1409" s="5">
        <v>-19.079999999999998</v>
      </c>
      <c r="G1409" s="5">
        <f t="shared" ref="G1409" si="526">F1409-E1409</f>
        <v>-19.079999999999998</v>
      </c>
    </row>
    <row r="1410" spans="1:7" x14ac:dyDescent="0.35">
      <c r="A1410" s="37"/>
      <c r="B1410" s="37"/>
      <c r="C1410" s="37" t="s">
        <v>107</v>
      </c>
      <c r="D1410" s="38">
        <f>SUM(D1412:D1413)</f>
        <v>-12072</v>
      </c>
      <c r="E1410" s="38">
        <f>SUM(E1411:E1413)</f>
        <v>-5471.42</v>
      </c>
      <c r="F1410" s="38">
        <f t="shared" ref="F1410" si="527">SUM(F1412:F1413)</f>
        <v>-5468.1399999999994</v>
      </c>
      <c r="G1410" s="38">
        <f>F1410-E1410</f>
        <v>3.2800000000006548</v>
      </c>
    </row>
    <row r="1411" spans="1:7" x14ac:dyDescent="0.35">
      <c r="A1411" s="37"/>
      <c r="B1411" s="37"/>
      <c r="C1411" s="3" t="s">
        <v>155</v>
      </c>
      <c r="D1411" s="38">
        <v>0</v>
      </c>
      <c r="E1411" s="5">
        <v>-5471.42</v>
      </c>
      <c r="F1411" s="5">
        <v>0</v>
      </c>
      <c r="G1411" s="5">
        <f>F1411-E1411</f>
        <v>5471.42</v>
      </c>
    </row>
    <row r="1412" spans="1:7" x14ac:dyDescent="0.35">
      <c r="A1412" s="3"/>
      <c r="B1412" s="3"/>
      <c r="C1412" s="3" t="s">
        <v>54</v>
      </c>
      <c r="D1412" s="5">
        <v>-10356</v>
      </c>
      <c r="E1412" s="5">
        <v>0</v>
      </c>
      <c r="F1412" s="5">
        <v>-4717.9399999999996</v>
      </c>
      <c r="G1412" s="5">
        <f t="shared" ref="G1412:G1413" si="528">F1412-E1412</f>
        <v>-4717.9399999999996</v>
      </c>
    </row>
    <row r="1413" spans="1:7" x14ac:dyDescent="0.35">
      <c r="A1413" s="37"/>
      <c r="B1413" s="37"/>
      <c r="C1413" s="3" t="s">
        <v>55</v>
      </c>
      <c r="D1413" s="5">
        <v>-1716</v>
      </c>
      <c r="E1413" s="5">
        <v>0</v>
      </c>
      <c r="F1413" s="38">
        <v>-750.2</v>
      </c>
      <c r="G1413" s="5">
        <f t="shared" si="528"/>
        <v>-750.2</v>
      </c>
    </row>
    <row r="1414" spans="1:7" x14ac:dyDescent="0.35">
      <c r="A1414" s="37"/>
      <c r="B1414" s="37"/>
      <c r="C1414" s="37" t="s">
        <v>108</v>
      </c>
      <c r="D1414" s="38">
        <f>SUM(D1416:D1417)</f>
        <v>-2269</v>
      </c>
      <c r="E1414" s="38">
        <f>SUM(E1415:E1417)</f>
        <v>-105987.5</v>
      </c>
      <c r="F1414" s="38">
        <f t="shared" ref="F1414" si="529">SUM(F1416:F1417)</f>
        <v>-1358.24</v>
      </c>
      <c r="G1414" s="38">
        <f>F1414-E1414</f>
        <v>104629.26</v>
      </c>
    </row>
    <row r="1415" spans="1:7" x14ac:dyDescent="0.35">
      <c r="A1415" s="37"/>
      <c r="B1415" s="37"/>
      <c r="C1415" s="3" t="s">
        <v>155</v>
      </c>
      <c r="D1415" s="38">
        <v>0</v>
      </c>
      <c r="E1415" s="5">
        <v>-105987.5</v>
      </c>
      <c r="F1415" s="5">
        <v>0</v>
      </c>
      <c r="G1415" s="5">
        <f>F1415-E1415</f>
        <v>105987.5</v>
      </c>
    </row>
    <row r="1416" spans="1:7" x14ac:dyDescent="0.35">
      <c r="A1416" s="3"/>
      <c r="B1416" s="3"/>
      <c r="C1416" s="3" t="s">
        <v>54</v>
      </c>
      <c r="D1416" s="5">
        <v>-1231</v>
      </c>
      <c r="E1416" s="5">
        <v>0</v>
      </c>
      <c r="F1416" s="5">
        <v>-1171.18</v>
      </c>
      <c r="G1416" s="5">
        <f t="shared" ref="G1416:G1418" si="530">F1416-E1416</f>
        <v>-1171.18</v>
      </c>
    </row>
    <row r="1417" spans="1:7" x14ac:dyDescent="0.35">
      <c r="A1417" s="37"/>
      <c r="B1417" s="37"/>
      <c r="C1417" s="3" t="s">
        <v>55</v>
      </c>
      <c r="D1417" s="5">
        <v>-1038</v>
      </c>
      <c r="E1417" s="5">
        <v>0</v>
      </c>
      <c r="F1417" s="5">
        <v>-187.06</v>
      </c>
      <c r="G1417" s="5">
        <f t="shared" si="530"/>
        <v>-187.06</v>
      </c>
    </row>
    <row r="1418" spans="1:7" x14ac:dyDescent="0.35">
      <c r="A1418" s="37"/>
      <c r="B1418" s="37"/>
      <c r="C1418" s="37" t="s">
        <v>109</v>
      </c>
      <c r="D1418" s="38">
        <v>-59559</v>
      </c>
      <c r="E1418" s="67">
        <v>-59558.690955912905</v>
      </c>
      <c r="F1418" s="38">
        <v>-36689.43</v>
      </c>
      <c r="G1418" s="38">
        <f t="shared" si="530"/>
        <v>22869.260955912905</v>
      </c>
    </row>
    <row r="1419" spans="1:7" x14ac:dyDescent="0.35">
      <c r="A1419" s="37"/>
      <c r="B1419" s="37" t="s">
        <v>142</v>
      </c>
      <c r="C1419" s="37"/>
      <c r="D1419" s="38">
        <f>SUM(D1421:D1425)</f>
        <v>-25292498</v>
      </c>
      <c r="E1419" s="38">
        <f>SUM(E1420:E1425)</f>
        <v>-24675987.859999999</v>
      </c>
      <c r="F1419" s="38">
        <f t="shared" ref="F1419" si="531">SUM(F1421:F1425)</f>
        <v>-22249155.801989999</v>
      </c>
      <c r="G1419" s="38">
        <f>F1419-E1419</f>
        <v>2426832.0580100007</v>
      </c>
    </row>
    <row r="1420" spans="1:7" x14ac:dyDescent="0.35">
      <c r="A1420" s="37"/>
      <c r="B1420" s="37"/>
      <c r="C1420" s="3" t="s">
        <v>155</v>
      </c>
      <c r="D1420" s="5">
        <f>D1435+D1441</f>
        <v>0</v>
      </c>
      <c r="E1420" s="5">
        <f t="shared" ref="E1420:F1420" si="532">E1435+E1441</f>
        <v>-4107703.65</v>
      </c>
      <c r="F1420" s="5">
        <f t="shared" si="532"/>
        <v>0</v>
      </c>
      <c r="G1420" s="5">
        <f>F1420-E1420</f>
        <v>4107703.65</v>
      </c>
    </row>
    <row r="1421" spans="1:7" x14ac:dyDescent="0.35">
      <c r="A1421" s="3"/>
      <c r="B1421" s="3"/>
      <c r="C1421" s="3" t="s">
        <v>54</v>
      </c>
      <c r="D1421" s="5">
        <f>D1427+D1436+D1442</f>
        <v>-11999380</v>
      </c>
      <c r="E1421" s="5">
        <f t="shared" ref="E1421:E1422" si="533">E1427+E1436+E1442</f>
        <v>-11105268.189999999</v>
      </c>
      <c r="F1421" s="5">
        <f>F1427+F1436+F1442</f>
        <v>-12400758.825799998</v>
      </c>
      <c r="G1421" s="5">
        <f t="shared" ref="G1421:G1425" si="534">F1421-E1421</f>
        <v>-1295490.6357999984</v>
      </c>
    </row>
    <row r="1422" spans="1:7" x14ac:dyDescent="0.35">
      <c r="A1422" s="3"/>
      <c r="B1422" s="3"/>
      <c r="C1422" s="3" t="s">
        <v>55</v>
      </c>
      <c r="D1422" s="5">
        <f>D1428+D1437+D1443</f>
        <v>-10344887</v>
      </c>
      <c r="E1422" s="5">
        <f t="shared" si="533"/>
        <v>-7025057.0200000005</v>
      </c>
      <c r="F1422" s="5">
        <f>F1428+F1437+F1443</f>
        <v>-6960218.9161900003</v>
      </c>
      <c r="G1422" s="5">
        <f t="shared" si="534"/>
        <v>64838.103810000233</v>
      </c>
    </row>
    <row r="1423" spans="1:7" x14ac:dyDescent="0.35">
      <c r="A1423" s="3"/>
      <c r="B1423" s="3"/>
      <c r="C1423" s="3" t="s">
        <v>101</v>
      </c>
      <c r="D1423" s="5">
        <f>D1429</f>
        <v>-2317300</v>
      </c>
      <c r="E1423" s="5">
        <f t="shared" ref="E1423" si="535">E1429</f>
        <v>-1812127</v>
      </c>
      <c r="F1423" s="5">
        <f>F1429+F1438+F1444</f>
        <v>-1959419.08</v>
      </c>
      <c r="G1423" s="5">
        <f t="shared" si="534"/>
        <v>-147292.08000000007</v>
      </c>
    </row>
    <row r="1424" spans="1:7" x14ac:dyDescent="0.35">
      <c r="A1424" s="3"/>
      <c r="B1424" s="3"/>
      <c r="C1424" s="3" t="s">
        <v>102</v>
      </c>
      <c r="D1424" s="5">
        <f>D1430+D1445</f>
        <v>-17100</v>
      </c>
      <c r="E1424" s="5">
        <f t="shared" ref="E1424" si="536">E1430+E1445</f>
        <v>-12001</v>
      </c>
      <c r="F1424" s="5">
        <f>F1430+F1445+F1439</f>
        <v>-129709.54000000001</v>
      </c>
      <c r="G1424" s="5">
        <f t="shared" si="534"/>
        <v>-117708.54000000001</v>
      </c>
    </row>
    <row r="1425" spans="1:7" x14ac:dyDescent="0.35">
      <c r="A1425" s="3"/>
      <c r="B1425" s="3"/>
      <c r="C1425" s="3" t="s">
        <v>103</v>
      </c>
      <c r="D1425" s="5">
        <f>D1431+D1447</f>
        <v>-613831</v>
      </c>
      <c r="E1425" s="5">
        <f t="shared" ref="E1425" si="537">E1431+E1447</f>
        <v>-613831</v>
      </c>
      <c r="F1425" s="5">
        <f>F1431+F1447+F1433+F1446</f>
        <v>-799049.44000000006</v>
      </c>
      <c r="G1425" s="5">
        <f t="shared" si="534"/>
        <v>-185218.44000000006</v>
      </c>
    </row>
    <row r="1426" spans="1:7" x14ac:dyDescent="0.35">
      <c r="A1426" s="37"/>
      <c r="B1426" s="37"/>
      <c r="C1426" s="37" t="s">
        <v>105</v>
      </c>
      <c r="D1426" s="38">
        <f>SUM(D1427:D1431)</f>
        <v>-22862361</v>
      </c>
      <c r="E1426" s="38">
        <f>SUM(E1427:E1431)</f>
        <v>-19969653.210000001</v>
      </c>
      <c r="F1426" s="38">
        <f t="shared" ref="F1426" si="538">SUM(F1427:F1431)</f>
        <v>-18949366.619999997</v>
      </c>
      <c r="G1426" s="38">
        <f>F1426-E1426</f>
        <v>1020286.5900000036</v>
      </c>
    </row>
    <row r="1427" spans="1:7" x14ac:dyDescent="0.35">
      <c r="A1427" s="3"/>
      <c r="B1427" s="3"/>
      <c r="C1427" s="3" t="s">
        <v>54</v>
      </c>
      <c r="D1427" s="5">
        <v>-10821636</v>
      </c>
      <c r="E1427" s="5">
        <v>-11105268.189999999</v>
      </c>
      <c r="F1427" s="5">
        <v>-10891372.76</v>
      </c>
      <c r="G1427" s="5">
        <f t="shared" ref="G1427:G1431" si="539">F1427-E1427</f>
        <v>213895.4299999997</v>
      </c>
    </row>
    <row r="1428" spans="1:7" x14ac:dyDescent="0.35">
      <c r="A1428" s="3"/>
      <c r="B1428" s="3"/>
      <c r="C1428" s="3" t="s">
        <v>55</v>
      </c>
      <c r="D1428" s="5">
        <v>-9698225</v>
      </c>
      <c r="E1428" s="5">
        <f>-6989624.82-35432.2</f>
        <v>-7025057.0200000005</v>
      </c>
      <c r="F1428" s="5">
        <v>-6237925.4800000004</v>
      </c>
      <c r="G1428" s="5">
        <f t="shared" si="539"/>
        <v>787131.54</v>
      </c>
    </row>
    <row r="1429" spans="1:7" x14ac:dyDescent="0.35">
      <c r="A1429" s="3"/>
      <c r="B1429" s="3"/>
      <c r="C1429" s="3" t="s">
        <v>101</v>
      </c>
      <c r="D1429" s="5">
        <v>-2317300</v>
      </c>
      <c r="E1429" s="5">
        <v>-1812127</v>
      </c>
      <c r="F1429" s="5">
        <v>-1793781.24</v>
      </c>
      <c r="G1429" s="5">
        <f t="shared" si="539"/>
        <v>18345.760000000009</v>
      </c>
    </row>
    <row r="1430" spans="1:7" x14ac:dyDescent="0.35">
      <c r="A1430" s="3"/>
      <c r="B1430" s="3"/>
      <c r="C1430" s="3" t="s">
        <v>102</v>
      </c>
      <c r="D1430" s="5">
        <v>-10000</v>
      </c>
      <c r="E1430" s="5">
        <v>-12001</v>
      </c>
      <c r="F1430" s="5">
        <v>-11971.83</v>
      </c>
      <c r="G1430" s="5">
        <f t="shared" si="539"/>
        <v>29.170000000000073</v>
      </c>
    </row>
    <row r="1431" spans="1:7" x14ac:dyDescent="0.35">
      <c r="A1431" s="3"/>
      <c r="B1431" s="3"/>
      <c r="C1431" s="3" t="s">
        <v>56</v>
      </c>
      <c r="D1431" s="5">
        <v>-15200</v>
      </c>
      <c r="E1431" s="5">
        <f t="shared" ref="E1431" si="540">D1431</f>
        <v>-15200</v>
      </c>
      <c r="F1431" s="5">
        <v>-14315.31</v>
      </c>
      <c r="G1431" s="5">
        <f t="shared" si="539"/>
        <v>884.69000000000051</v>
      </c>
    </row>
    <row r="1432" spans="1:7" x14ac:dyDescent="0.35">
      <c r="A1432" s="3"/>
      <c r="B1432" s="3"/>
      <c r="C1432" s="3" t="s">
        <v>106</v>
      </c>
      <c r="D1432" s="38">
        <v>0</v>
      </c>
      <c r="E1432" s="38">
        <f>SUM(E1433)</f>
        <v>0</v>
      </c>
      <c r="F1432" s="38">
        <f>+F1433</f>
        <v>-365.45</v>
      </c>
      <c r="G1432" s="38">
        <f>F1432-E1432</f>
        <v>-365.45</v>
      </c>
    </row>
    <row r="1433" spans="1:7" x14ac:dyDescent="0.35">
      <c r="A1433" s="3"/>
      <c r="B1433" s="3"/>
      <c r="C1433" s="3" t="s">
        <v>56</v>
      </c>
      <c r="D1433" s="5">
        <v>0</v>
      </c>
      <c r="E1433" s="5">
        <v>0</v>
      </c>
      <c r="F1433" s="5">
        <v>-365.45</v>
      </c>
      <c r="G1433" s="5">
        <f t="shared" ref="G1433" si="541">F1433-E1433</f>
        <v>-365.45</v>
      </c>
    </row>
    <row r="1434" spans="1:7" x14ac:dyDescent="0.35">
      <c r="A1434" s="37"/>
      <c r="B1434" s="37"/>
      <c r="C1434" s="37" t="s">
        <v>107</v>
      </c>
      <c r="D1434" s="38">
        <f>SUM(D1436:D1437)</f>
        <v>-213282</v>
      </c>
      <c r="E1434" s="38">
        <f>SUM(E1435:E1437)</f>
        <v>-567041.35</v>
      </c>
      <c r="F1434" s="38">
        <f>SUM(F1436:F1439)</f>
        <v>-497700.94199000002</v>
      </c>
      <c r="G1434" s="38">
        <f>F1434-E1434</f>
        <v>69340.408009999956</v>
      </c>
    </row>
    <row r="1435" spans="1:7" x14ac:dyDescent="0.35">
      <c r="A1435" s="37"/>
      <c r="B1435" s="37"/>
      <c r="C1435" s="3" t="s">
        <v>155</v>
      </c>
      <c r="D1435" s="38">
        <v>0</v>
      </c>
      <c r="E1435" s="5">
        <v>-567041.35</v>
      </c>
      <c r="F1435" s="5">
        <v>0</v>
      </c>
      <c r="G1435" s="5">
        <f>F1435-E1435</f>
        <v>567041.35</v>
      </c>
    </row>
    <row r="1436" spans="1:7" x14ac:dyDescent="0.35">
      <c r="A1436" s="3"/>
      <c r="B1436" s="3"/>
      <c r="C1436" s="3" t="s">
        <v>54</v>
      </c>
      <c r="D1436" s="5">
        <v>-114142</v>
      </c>
      <c r="E1436" s="5">
        <v>0</v>
      </c>
      <c r="F1436" s="5">
        <v>-166193.68579999998</v>
      </c>
      <c r="G1436" s="5">
        <f t="shared" ref="G1436:G1439" si="542">F1436-E1436</f>
        <v>-166193.68579999998</v>
      </c>
    </row>
    <row r="1437" spans="1:7" x14ac:dyDescent="0.35">
      <c r="A1437" s="37"/>
      <c r="B1437" s="37"/>
      <c r="C1437" s="3" t="s">
        <v>55</v>
      </c>
      <c r="D1437" s="5">
        <v>-99140</v>
      </c>
      <c r="E1437" s="5">
        <v>0</v>
      </c>
      <c r="F1437" s="5">
        <v>-169558.50619000004</v>
      </c>
      <c r="G1437" s="5">
        <f t="shared" si="542"/>
        <v>-169558.50619000004</v>
      </c>
    </row>
    <row r="1438" spans="1:7" x14ac:dyDescent="0.35">
      <c r="A1438" s="37"/>
      <c r="B1438" s="37"/>
      <c r="C1438" s="3" t="s">
        <v>101</v>
      </c>
      <c r="D1438" s="5">
        <v>0</v>
      </c>
      <c r="E1438" s="5">
        <v>0</v>
      </c>
      <c r="F1438" s="5">
        <v>-44211.040000000001</v>
      </c>
      <c r="G1438" s="5">
        <f t="shared" si="542"/>
        <v>-44211.040000000001</v>
      </c>
    </row>
    <row r="1439" spans="1:7" x14ac:dyDescent="0.35">
      <c r="A1439" s="37"/>
      <c r="B1439" s="37"/>
      <c r="C1439" s="3" t="s">
        <v>102</v>
      </c>
      <c r="D1439" s="5">
        <v>0</v>
      </c>
      <c r="E1439" s="5">
        <v>0</v>
      </c>
      <c r="F1439" s="5">
        <v>-117737.71</v>
      </c>
      <c r="G1439" s="5">
        <f t="shared" si="542"/>
        <v>-117737.71</v>
      </c>
    </row>
    <row r="1440" spans="1:7" x14ac:dyDescent="0.35">
      <c r="A1440" s="37"/>
      <c r="B1440" s="37"/>
      <c r="C1440" s="37" t="s">
        <v>108</v>
      </c>
      <c r="D1440" s="38">
        <f>SUM(D1442:D1445)</f>
        <v>-1618224</v>
      </c>
      <c r="E1440" s="38">
        <f>SUM(E1441:E1445)</f>
        <v>-3540662.3</v>
      </c>
      <c r="F1440" s="38">
        <f>SUM(F1442:F1446)</f>
        <v>-2018254.11</v>
      </c>
      <c r="G1440" s="38">
        <f>F1440-E1440</f>
        <v>1522408.1899999997</v>
      </c>
    </row>
    <row r="1441" spans="1:7" x14ac:dyDescent="0.35">
      <c r="A1441" s="37"/>
      <c r="B1441" s="37"/>
      <c r="C1441" s="3" t="s">
        <v>155</v>
      </c>
      <c r="D1441" s="38">
        <v>0</v>
      </c>
      <c r="E1441" s="5">
        <v>-3540662.3</v>
      </c>
      <c r="F1441" s="5">
        <v>0</v>
      </c>
      <c r="G1441" s="5">
        <f>F1441-E1441</f>
        <v>3540662.3</v>
      </c>
    </row>
    <row r="1442" spans="1:7" x14ac:dyDescent="0.35">
      <c r="A1442" s="3"/>
      <c r="B1442" s="3"/>
      <c r="C1442" s="3" t="s">
        <v>54</v>
      </c>
      <c r="D1442" s="5">
        <v>-1063602</v>
      </c>
      <c r="E1442" s="5">
        <v>0</v>
      </c>
      <c r="F1442" s="5">
        <v>-1343192.38</v>
      </c>
      <c r="G1442" s="5">
        <f t="shared" ref="G1442:G1452" si="543">F1442-E1442</f>
        <v>-1343192.38</v>
      </c>
    </row>
    <row r="1443" spans="1:7" x14ac:dyDescent="0.35">
      <c r="A1443" s="3"/>
      <c r="B1443" s="3"/>
      <c r="C1443" s="3" t="s">
        <v>55</v>
      </c>
      <c r="D1443" s="5">
        <v>-547522</v>
      </c>
      <c r="E1443" s="5">
        <v>0</v>
      </c>
      <c r="F1443" s="5">
        <v>-552734.93000000005</v>
      </c>
      <c r="G1443" s="5">
        <f t="shared" si="543"/>
        <v>-552734.93000000005</v>
      </c>
    </row>
    <row r="1444" spans="1:7" x14ac:dyDescent="0.35">
      <c r="A1444" s="3"/>
      <c r="B1444" s="3"/>
      <c r="C1444" s="3" t="s">
        <v>101</v>
      </c>
      <c r="D1444" s="5">
        <v>0</v>
      </c>
      <c r="E1444" s="5">
        <v>0</v>
      </c>
      <c r="F1444" s="5">
        <v>-121426.8</v>
      </c>
      <c r="G1444" s="5">
        <f t="shared" si="543"/>
        <v>-121426.8</v>
      </c>
    </row>
    <row r="1445" spans="1:7" x14ac:dyDescent="0.35">
      <c r="A1445" s="3"/>
      <c r="B1445" s="3"/>
      <c r="C1445" s="3" t="s">
        <v>102</v>
      </c>
      <c r="D1445" s="5">
        <v>-7100</v>
      </c>
      <c r="E1445" s="5">
        <v>0</v>
      </c>
      <c r="F1445" s="5">
        <v>0</v>
      </c>
      <c r="G1445" s="5">
        <f t="shared" si="543"/>
        <v>0</v>
      </c>
    </row>
    <row r="1446" spans="1:7" x14ac:dyDescent="0.35">
      <c r="A1446" s="3"/>
      <c r="B1446" s="3"/>
      <c r="C1446" s="3" t="s">
        <v>56</v>
      </c>
      <c r="D1446" s="5">
        <v>0</v>
      </c>
      <c r="E1446" s="5">
        <v>0</v>
      </c>
      <c r="F1446" s="5">
        <v>-900</v>
      </c>
      <c r="G1446" s="5">
        <f t="shared" si="543"/>
        <v>-900</v>
      </c>
    </row>
    <row r="1447" spans="1:7" x14ac:dyDescent="0.35">
      <c r="A1447" s="37"/>
      <c r="B1447" s="37"/>
      <c r="C1447" s="37" t="s">
        <v>109</v>
      </c>
      <c r="D1447" s="38">
        <v>-598631</v>
      </c>
      <c r="E1447" s="67">
        <v>-598631</v>
      </c>
      <c r="F1447" s="38">
        <v>-783468.68</v>
      </c>
      <c r="G1447" s="38">
        <f t="shared" si="543"/>
        <v>-184837.68000000005</v>
      </c>
    </row>
    <row r="1448" spans="1:7" x14ac:dyDescent="0.35">
      <c r="A1448" s="37" t="s">
        <v>143</v>
      </c>
      <c r="B1448" s="37"/>
      <c r="C1448" s="37"/>
      <c r="D1448" s="38">
        <f>SUM(D1449:D1453)</f>
        <v>-2991035</v>
      </c>
      <c r="E1448" s="38">
        <f>SUM(E1449:E1453)</f>
        <v>-5115617.3540038252</v>
      </c>
      <c r="F1448" s="38">
        <f>SUM(F1449:F1453)</f>
        <v>-4411574.5773149999</v>
      </c>
      <c r="G1448" s="38">
        <f t="shared" si="543"/>
        <v>704042.77668882534</v>
      </c>
    </row>
    <row r="1449" spans="1:7" x14ac:dyDescent="0.35">
      <c r="A1449" s="3"/>
      <c r="B1449" s="3" t="s">
        <v>105</v>
      </c>
      <c r="C1449" s="3"/>
      <c r="D1449" s="5">
        <f>D1462+D1481+D1503</f>
        <v>-2980568</v>
      </c>
      <c r="E1449" s="5">
        <f>E1462+E1481+E1503</f>
        <v>-4452218.3599999994</v>
      </c>
      <c r="F1449" s="5">
        <f>F1462+F1481+F1503</f>
        <v>-3812629.6999999993</v>
      </c>
      <c r="G1449" s="5">
        <f t="shared" si="543"/>
        <v>639588.66000000015</v>
      </c>
    </row>
    <row r="1450" spans="1:7" x14ac:dyDescent="0.35">
      <c r="A1450" s="3"/>
      <c r="B1450" s="3" t="s">
        <v>106</v>
      </c>
      <c r="C1450" s="3"/>
      <c r="D1450" s="5">
        <v>0</v>
      </c>
      <c r="E1450" s="5">
        <v>0</v>
      </c>
      <c r="F1450" s="5">
        <f>+F1468+F1486</f>
        <v>45.98</v>
      </c>
      <c r="G1450" s="5">
        <f t="shared" si="543"/>
        <v>45.98</v>
      </c>
    </row>
    <row r="1451" spans="1:7" x14ac:dyDescent="0.35">
      <c r="A1451" s="3"/>
      <c r="B1451" s="3" t="s">
        <v>107</v>
      </c>
      <c r="C1451" s="3"/>
      <c r="D1451" s="5">
        <f>D1488</f>
        <v>-714</v>
      </c>
      <c r="E1451" s="5">
        <f>E1488+E1470+E1508</f>
        <v>-565534.98634000006</v>
      </c>
      <c r="F1451" s="5">
        <f>F1488+F1508+F1470</f>
        <v>-347790.65171000001</v>
      </c>
      <c r="G1451" s="5">
        <f t="shared" si="543"/>
        <v>217744.33463000006</v>
      </c>
    </row>
    <row r="1452" spans="1:7" x14ac:dyDescent="0.35">
      <c r="A1452" s="3"/>
      <c r="B1452" s="3" t="s">
        <v>108</v>
      </c>
      <c r="C1452" s="3"/>
      <c r="D1452" s="5">
        <f>D1492</f>
        <v>-110</v>
      </c>
      <c r="E1452" s="5">
        <f>E1492</f>
        <v>-88220.92</v>
      </c>
      <c r="F1452" s="5">
        <f>F1492+F1512</f>
        <v>-204269.80560500003</v>
      </c>
      <c r="G1452" s="5">
        <f t="shared" si="543"/>
        <v>-116048.88560500003</v>
      </c>
    </row>
    <row r="1453" spans="1:7" x14ac:dyDescent="0.35">
      <c r="A1453" s="3"/>
      <c r="B1453" s="3" t="s">
        <v>109</v>
      </c>
      <c r="C1453" s="3"/>
      <c r="D1453" s="5">
        <f>D1474+D1496</f>
        <v>-9643</v>
      </c>
      <c r="E1453" s="5">
        <f t="shared" ref="E1453" si="544">E1474+E1496</f>
        <v>-9643.0876638257996</v>
      </c>
      <c r="F1453" s="5">
        <f>F1474+F1496+F1515</f>
        <v>-46930.399999999994</v>
      </c>
      <c r="G1453" s="5">
        <f>F1453-E1453</f>
        <v>-37287.312336174196</v>
      </c>
    </row>
    <row r="1454" spans="1:7" x14ac:dyDescent="0.35">
      <c r="A1454" s="37"/>
      <c r="B1454" s="37" t="s">
        <v>31</v>
      </c>
      <c r="C1454" s="37"/>
      <c r="D1454" s="38">
        <f>SUM(D1456:D1461)</f>
        <v>-1357429</v>
      </c>
      <c r="E1454" s="38">
        <f>SUM(E1455:E1461)</f>
        <v>-954331.50708385638</v>
      </c>
      <c r="F1454" s="38">
        <f>SUM(F1456:F1461)</f>
        <v>-652505.41999999993</v>
      </c>
      <c r="G1454" s="38">
        <f>F1454-E1454</f>
        <v>301826.08708385646</v>
      </c>
    </row>
    <row r="1455" spans="1:7" x14ac:dyDescent="0.35">
      <c r="A1455" s="37"/>
      <c r="B1455" s="37"/>
      <c r="C1455" s="3" t="s">
        <v>155</v>
      </c>
      <c r="D1455" s="5">
        <f>D1471</f>
        <v>0</v>
      </c>
      <c r="E1455" s="5">
        <f t="shared" ref="E1455:F1455" si="545">E1471</f>
        <v>-6855.17</v>
      </c>
      <c r="F1455" s="5">
        <f t="shared" si="545"/>
        <v>0</v>
      </c>
      <c r="G1455" s="5">
        <f>F1455-E1455</f>
        <v>6855.17</v>
      </c>
    </row>
    <row r="1456" spans="1:7" x14ac:dyDescent="0.35">
      <c r="A1456" s="3"/>
      <c r="B1456" s="3"/>
      <c r="C1456" s="3" t="s">
        <v>54</v>
      </c>
      <c r="D1456" s="5">
        <f>D1463</f>
        <v>-811957</v>
      </c>
      <c r="E1456" s="5">
        <f>E1463</f>
        <v>-608018.93999999994</v>
      </c>
      <c r="F1456" s="5">
        <f>F1463+F1472</f>
        <v>-380591.04</v>
      </c>
      <c r="G1456" s="5">
        <f t="shared" ref="G1456:G1461" si="546">F1456-E1456</f>
        <v>227427.89999999997</v>
      </c>
    </row>
    <row r="1457" spans="1:7" x14ac:dyDescent="0.35">
      <c r="A1457" s="3"/>
      <c r="B1457" s="3"/>
      <c r="C1457" s="3" t="s">
        <v>55</v>
      </c>
      <c r="D1457" s="5">
        <f>D1464</f>
        <v>-543652</v>
      </c>
      <c r="E1457" s="5">
        <f>E1464</f>
        <v>-323615.18</v>
      </c>
      <c r="F1457" s="5">
        <f>F1464</f>
        <v>-251397.94</v>
      </c>
      <c r="G1457" s="5">
        <f t="shared" si="546"/>
        <v>72217.239999999991</v>
      </c>
    </row>
    <row r="1458" spans="1:7" x14ac:dyDescent="0.35">
      <c r="A1458" s="3"/>
      <c r="B1458" s="3"/>
      <c r="C1458" s="3" t="s">
        <v>101</v>
      </c>
      <c r="D1458" s="5">
        <f>D1465</f>
        <v>-60</v>
      </c>
      <c r="E1458" s="5">
        <f t="shared" ref="E1458:F1458" si="547">E1465</f>
        <v>-2060.19</v>
      </c>
      <c r="F1458" s="5">
        <f t="shared" si="547"/>
        <v>-2049.39</v>
      </c>
      <c r="G1458" s="5">
        <f t="shared" si="546"/>
        <v>10.800000000000182</v>
      </c>
    </row>
    <row r="1459" spans="1:7" x14ac:dyDescent="0.35">
      <c r="A1459" s="3"/>
      <c r="B1459" s="3"/>
      <c r="C1459" s="3" t="s">
        <v>102</v>
      </c>
      <c r="D1459" s="5">
        <v>0</v>
      </c>
      <c r="E1459" s="5">
        <f>+E1466</f>
        <v>-11998</v>
      </c>
      <c r="F1459" s="5">
        <f>+F1466</f>
        <v>-11997.52</v>
      </c>
      <c r="G1459" s="5">
        <f t="shared" si="546"/>
        <v>0.47999999999956344</v>
      </c>
    </row>
    <row r="1460" spans="1:7" x14ac:dyDescent="0.35">
      <c r="A1460" s="3"/>
      <c r="B1460" s="3"/>
      <c r="C1460" s="3" t="s">
        <v>110</v>
      </c>
      <c r="D1460" s="5">
        <v>0</v>
      </c>
      <c r="E1460" s="5">
        <v>0</v>
      </c>
      <c r="F1460" s="5">
        <f>+F1473</f>
        <v>-4126.57</v>
      </c>
      <c r="G1460" s="5">
        <f t="shared" si="546"/>
        <v>-4126.57</v>
      </c>
    </row>
    <row r="1461" spans="1:7" x14ac:dyDescent="0.35">
      <c r="A1461" s="3"/>
      <c r="B1461" s="3"/>
      <c r="C1461" s="3" t="s">
        <v>103</v>
      </c>
      <c r="D1461" s="5">
        <f>D1467+D1474</f>
        <v>-1760</v>
      </c>
      <c r="E1461" s="5">
        <f>E1467+E1474</f>
        <v>-1784.0270838563956</v>
      </c>
      <c r="F1461" s="5">
        <f>F1467+F1474+F1469</f>
        <v>-2342.9599999999996</v>
      </c>
      <c r="G1461" s="5">
        <f t="shared" si="546"/>
        <v>-558.93291614360396</v>
      </c>
    </row>
    <row r="1462" spans="1:7" x14ac:dyDescent="0.35">
      <c r="A1462" s="37"/>
      <c r="B1462" s="37"/>
      <c r="C1462" s="37" t="s">
        <v>105</v>
      </c>
      <c r="D1462" s="38">
        <f>SUM(D1463:D1467)</f>
        <v>-1355999</v>
      </c>
      <c r="E1462" s="38">
        <f>SUM(E1463:E1467)</f>
        <v>-946046.68999999983</v>
      </c>
      <c r="F1462" s="38">
        <f>SUM(F1463:F1467)</f>
        <v>-643703.61</v>
      </c>
      <c r="G1462" s="38">
        <f>F1462-E1462</f>
        <v>302343.07999999984</v>
      </c>
    </row>
    <row r="1463" spans="1:7" x14ac:dyDescent="0.35">
      <c r="A1463" s="3"/>
      <c r="B1463" s="3"/>
      <c r="C1463" s="3" t="s">
        <v>54</v>
      </c>
      <c r="D1463" s="5">
        <v>-811957</v>
      </c>
      <c r="E1463" s="5">
        <v>-608018.93999999994</v>
      </c>
      <c r="F1463" s="5">
        <v>-377943.25</v>
      </c>
      <c r="G1463" s="5">
        <f t="shared" ref="G1463:G1474" si="548">F1463-E1463</f>
        <v>230075.68999999994</v>
      </c>
    </row>
    <row r="1464" spans="1:7" x14ac:dyDescent="0.35">
      <c r="A1464" s="3"/>
      <c r="B1464" s="3"/>
      <c r="C1464" s="3" t="s">
        <v>55</v>
      </c>
      <c r="D1464" s="5">
        <v>-543652</v>
      </c>
      <c r="E1464" s="5">
        <f>-320627.42-2987.76</f>
        <v>-323615.18</v>
      </c>
      <c r="F1464" s="5">
        <v>-251397.94</v>
      </c>
      <c r="G1464" s="5">
        <f t="shared" si="548"/>
        <v>72217.239999999991</v>
      </c>
    </row>
    <row r="1465" spans="1:7" x14ac:dyDescent="0.35">
      <c r="A1465" s="3"/>
      <c r="B1465" s="3"/>
      <c r="C1465" s="3" t="s">
        <v>101</v>
      </c>
      <c r="D1465" s="5">
        <v>-60</v>
      </c>
      <c r="E1465" s="5">
        <v>-2060.19</v>
      </c>
      <c r="F1465" s="5">
        <v>-2049.39</v>
      </c>
      <c r="G1465" s="5">
        <f t="shared" si="548"/>
        <v>10.800000000000182</v>
      </c>
    </row>
    <row r="1466" spans="1:7" x14ac:dyDescent="0.35">
      <c r="A1466" s="3"/>
      <c r="B1466" s="3"/>
      <c r="C1466" s="3" t="s">
        <v>102</v>
      </c>
      <c r="D1466" s="5">
        <v>0</v>
      </c>
      <c r="E1466" s="5">
        <v>-11998</v>
      </c>
      <c r="F1466" s="5">
        <v>-11997.52</v>
      </c>
      <c r="G1466" s="5">
        <f t="shared" si="548"/>
        <v>0.47999999999956344</v>
      </c>
    </row>
    <row r="1467" spans="1:7" x14ac:dyDescent="0.35">
      <c r="A1467" s="3"/>
      <c r="B1467" s="3"/>
      <c r="C1467" s="3" t="s">
        <v>56</v>
      </c>
      <c r="D1467" s="5">
        <v>-330</v>
      </c>
      <c r="E1467" s="5">
        <v>-354.38</v>
      </c>
      <c r="F1467" s="5">
        <v>-315.51</v>
      </c>
      <c r="G1467" s="5">
        <f t="shared" si="548"/>
        <v>38.870000000000005</v>
      </c>
    </row>
    <row r="1468" spans="1:7" x14ac:dyDescent="0.35">
      <c r="A1468" s="3"/>
      <c r="B1468" s="3"/>
      <c r="C1468" s="37" t="s">
        <v>106</v>
      </c>
      <c r="D1468" s="38">
        <v>0</v>
      </c>
      <c r="E1468" s="38">
        <f>SUM(E1469)</f>
        <v>0</v>
      </c>
      <c r="F1468" s="38">
        <f>+F1469</f>
        <v>60.69</v>
      </c>
      <c r="G1468" s="38">
        <f>F1468-E1468</f>
        <v>60.69</v>
      </c>
    </row>
    <row r="1469" spans="1:7" x14ac:dyDescent="0.35">
      <c r="A1469" s="3"/>
      <c r="B1469" s="3"/>
      <c r="C1469" s="3" t="s">
        <v>56</v>
      </c>
      <c r="D1469" s="5">
        <v>0</v>
      </c>
      <c r="E1469" s="5">
        <v>0</v>
      </c>
      <c r="F1469" s="5">
        <v>60.69</v>
      </c>
      <c r="G1469" s="5">
        <f t="shared" ref="G1469" si="549">F1469-E1469</f>
        <v>60.69</v>
      </c>
    </row>
    <row r="1470" spans="1:7" x14ac:dyDescent="0.35">
      <c r="A1470" s="3"/>
      <c r="B1470" s="3"/>
      <c r="C1470" s="37" t="s">
        <v>107</v>
      </c>
      <c r="D1470" s="38">
        <v>0</v>
      </c>
      <c r="E1470" s="38">
        <f>SUM(E1471:E1473)</f>
        <v>-6855.17</v>
      </c>
      <c r="F1470" s="38">
        <f>+F1471+F1472+F1473</f>
        <v>-6774.36</v>
      </c>
      <c r="G1470" s="38">
        <f>F1470-E1470</f>
        <v>80.8100000000004</v>
      </c>
    </row>
    <row r="1471" spans="1:7" x14ac:dyDescent="0.35">
      <c r="A1471" s="3"/>
      <c r="B1471" s="3"/>
      <c r="C1471" s="3" t="s">
        <v>155</v>
      </c>
      <c r="D1471" s="38">
        <v>0</v>
      </c>
      <c r="E1471" s="5">
        <v>-6855.17</v>
      </c>
      <c r="F1471" s="5">
        <v>0</v>
      </c>
      <c r="G1471" s="5">
        <f>F1471-E1471</f>
        <v>6855.17</v>
      </c>
    </row>
    <row r="1472" spans="1:7" x14ac:dyDescent="0.35">
      <c r="A1472" s="3"/>
      <c r="B1472" s="3"/>
      <c r="C1472" s="3" t="s">
        <v>54</v>
      </c>
      <c r="D1472" s="5">
        <v>0</v>
      </c>
      <c r="E1472" s="5">
        <v>0</v>
      </c>
      <c r="F1472" s="5">
        <v>-2647.79</v>
      </c>
      <c r="G1472" s="5">
        <f t="shared" ref="G1472:G1473" si="550">F1472-E1472</f>
        <v>-2647.79</v>
      </c>
    </row>
    <row r="1473" spans="1:7" x14ac:dyDescent="0.35">
      <c r="A1473" s="3"/>
      <c r="B1473" s="3"/>
      <c r="C1473" s="3" t="s">
        <v>110</v>
      </c>
      <c r="D1473" s="5">
        <v>0</v>
      </c>
      <c r="E1473" s="5">
        <v>0</v>
      </c>
      <c r="F1473" s="5">
        <v>-4126.57</v>
      </c>
      <c r="G1473" s="5">
        <f t="shared" si="550"/>
        <v>-4126.57</v>
      </c>
    </row>
    <row r="1474" spans="1:7" x14ac:dyDescent="0.35">
      <c r="A1474" s="37"/>
      <c r="B1474" s="37"/>
      <c r="C1474" s="37" t="s">
        <v>109</v>
      </c>
      <c r="D1474" s="38">
        <v>-1430</v>
      </c>
      <c r="E1474" s="67">
        <v>-1429.6470838563957</v>
      </c>
      <c r="F1474" s="38">
        <v>-2088.14</v>
      </c>
      <c r="G1474" s="38">
        <f t="shared" si="548"/>
        <v>-658.49291614360413</v>
      </c>
    </row>
    <row r="1475" spans="1:7" x14ac:dyDescent="0.35">
      <c r="A1475" s="37"/>
      <c r="B1475" s="37" t="s">
        <v>116</v>
      </c>
      <c r="C1475" s="37"/>
      <c r="D1475" s="38">
        <f>SUM(D1477:D1480)</f>
        <v>-75848</v>
      </c>
      <c r="E1475" s="38">
        <f>SUM(E1476:E1480)</f>
        <v>-510784.99057996942</v>
      </c>
      <c r="F1475" s="38">
        <f>SUM(F1477:F1480)</f>
        <v>-411537.65</v>
      </c>
      <c r="G1475" s="38">
        <f>F1475-E1475</f>
        <v>99247.340579969401</v>
      </c>
    </row>
    <row r="1476" spans="1:7" x14ac:dyDescent="0.35">
      <c r="A1476" s="37"/>
      <c r="B1476" s="37"/>
      <c r="C1476" s="3" t="s">
        <v>155</v>
      </c>
      <c r="D1476" s="38">
        <v>0</v>
      </c>
      <c r="E1476" s="5">
        <f>+E1489+E1493</f>
        <v>-92653.759999999995</v>
      </c>
      <c r="F1476" s="5">
        <v>0</v>
      </c>
      <c r="G1476" s="5">
        <f>F1476-E1476</f>
        <v>92653.759999999995</v>
      </c>
    </row>
    <row r="1477" spans="1:7" x14ac:dyDescent="0.35">
      <c r="A1477" s="3"/>
      <c r="B1477" s="3"/>
      <c r="C1477" s="3" t="s">
        <v>54</v>
      </c>
      <c r="D1477" s="5">
        <f t="shared" ref="D1477:F1478" si="551">D1482+D1490+D1494</f>
        <v>-30573</v>
      </c>
      <c r="E1477" s="5">
        <f t="shared" si="551"/>
        <v>-169489.23</v>
      </c>
      <c r="F1477" s="5">
        <f t="shared" si="551"/>
        <v>-174435.99000000002</v>
      </c>
      <c r="G1477" s="5">
        <f t="shared" ref="G1477:G1480" si="552">F1477-E1477</f>
        <v>-4946.7600000000093</v>
      </c>
    </row>
    <row r="1478" spans="1:7" x14ac:dyDescent="0.35">
      <c r="A1478" s="3"/>
      <c r="B1478" s="3"/>
      <c r="C1478" s="3" t="s">
        <v>55</v>
      </c>
      <c r="D1478" s="5">
        <f t="shared" si="551"/>
        <v>-37062</v>
      </c>
      <c r="E1478" s="5">
        <f t="shared" si="551"/>
        <v>-240343.7</v>
      </c>
      <c r="F1478" s="5">
        <f t="shared" si="551"/>
        <v>-212824.37</v>
      </c>
      <c r="G1478" s="5">
        <f t="shared" si="552"/>
        <v>27519.330000000016</v>
      </c>
    </row>
    <row r="1479" spans="1:7" x14ac:dyDescent="0.35">
      <c r="A1479" s="3"/>
      <c r="B1479" s="3"/>
      <c r="C1479" s="3" t="s">
        <v>102</v>
      </c>
      <c r="D1479" s="5">
        <v>0</v>
      </c>
      <c r="E1479" s="5">
        <v>0</v>
      </c>
      <c r="F1479" s="5">
        <f>+F1484</f>
        <v>-3.95</v>
      </c>
      <c r="G1479" s="5">
        <f>F1479-E1479</f>
        <v>-3.95</v>
      </c>
    </row>
    <row r="1480" spans="1:7" x14ac:dyDescent="0.35">
      <c r="A1480" s="3"/>
      <c r="B1480" s="3"/>
      <c r="C1480" s="3" t="s">
        <v>103</v>
      </c>
      <c r="D1480" s="5">
        <f>D1496</f>
        <v>-8213</v>
      </c>
      <c r="E1480" s="5">
        <f>E1496+E1485</f>
        <v>-8298.3005799694038</v>
      </c>
      <c r="F1480" s="5">
        <f>F1496+F1485+F1487</f>
        <v>-24273.339999999997</v>
      </c>
      <c r="G1480" s="5">
        <f t="shared" si="552"/>
        <v>-15975.039420030593</v>
      </c>
    </row>
    <row r="1481" spans="1:7" x14ac:dyDescent="0.35">
      <c r="A1481" s="37"/>
      <c r="B1481" s="37"/>
      <c r="C1481" s="37" t="s">
        <v>105</v>
      </c>
      <c r="D1481" s="38">
        <f>SUM(D1482:D1483)</f>
        <v>-66811</v>
      </c>
      <c r="E1481" s="38">
        <f>SUM(E1482:E1485)</f>
        <v>-409917.79000000004</v>
      </c>
      <c r="F1481" s="38">
        <f>SUM(F1482:F1485)</f>
        <v>-381775.34</v>
      </c>
      <c r="G1481" s="38">
        <f>F1481-E1481</f>
        <v>28142.450000000012</v>
      </c>
    </row>
    <row r="1482" spans="1:7" x14ac:dyDescent="0.35">
      <c r="A1482" s="3"/>
      <c r="B1482" s="3"/>
      <c r="C1482" s="3" t="s">
        <v>54</v>
      </c>
      <c r="D1482" s="5">
        <v>-29968</v>
      </c>
      <c r="E1482" s="5">
        <v>-169489.23</v>
      </c>
      <c r="F1482" s="5">
        <v>-169602.67</v>
      </c>
      <c r="G1482" s="5">
        <f t="shared" ref="G1482:G1485" si="553">F1482-E1482</f>
        <v>-113.44000000000233</v>
      </c>
    </row>
    <row r="1483" spans="1:7" x14ac:dyDescent="0.35">
      <c r="A1483" s="3"/>
      <c r="B1483" s="3"/>
      <c r="C1483" s="3" t="s">
        <v>55</v>
      </c>
      <c r="D1483" s="5">
        <v>-36843</v>
      </c>
      <c r="E1483" s="5">
        <v>-240343.7</v>
      </c>
      <c r="F1483" s="5">
        <v>-212093.35</v>
      </c>
      <c r="G1483" s="5">
        <f t="shared" si="553"/>
        <v>28250.350000000006</v>
      </c>
    </row>
    <row r="1484" spans="1:7" x14ac:dyDescent="0.35">
      <c r="A1484" s="3"/>
      <c r="B1484" s="3"/>
      <c r="C1484" s="3" t="s">
        <v>102</v>
      </c>
      <c r="D1484" s="5">
        <v>0</v>
      </c>
      <c r="E1484" s="5">
        <v>0</v>
      </c>
      <c r="F1484" s="5">
        <v>-3.95</v>
      </c>
      <c r="G1484" s="5">
        <f t="shared" si="553"/>
        <v>-3.95</v>
      </c>
    </row>
    <row r="1485" spans="1:7" x14ac:dyDescent="0.35">
      <c r="A1485" s="3"/>
      <c r="B1485" s="3"/>
      <c r="C1485" s="3" t="s">
        <v>56</v>
      </c>
      <c r="D1485" s="5">
        <v>0</v>
      </c>
      <c r="E1485" s="5">
        <v>-84.86</v>
      </c>
      <c r="F1485" s="5">
        <v>-75.37</v>
      </c>
      <c r="G1485" s="5">
        <f t="shared" si="553"/>
        <v>9.4899999999999949</v>
      </c>
    </row>
    <row r="1486" spans="1:7" x14ac:dyDescent="0.35">
      <c r="A1486" s="3"/>
      <c r="B1486" s="3"/>
      <c r="C1486" s="37" t="s">
        <v>106</v>
      </c>
      <c r="D1486" s="38">
        <v>0</v>
      </c>
      <c r="E1486" s="38">
        <f>SUM(E1487)</f>
        <v>0</v>
      </c>
      <c r="F1486" s="38">
        <f>+F1487</f>
        <v>-14.71</v>
      </c>
      <c r="G1486" s="38">
        <f>F1486-E1486</f>
        <v>-14.71</v>
      </c>
    </row>
    <row r="1487" spans="1:7" x14ac:dyDescent="0.35">
      <c r="A1487" s="3"/>
      <c r="B1487" s="3"/>
      <c r="C1487" s="3" t="s">
        <v>56</v>
      </c>
      <c r="D1487" s="5">
        <v>0</v>
      </c>
      <c r="E1487" s="5">
        <v>0</v>
      </c>
      <c r="F1487" s="5">
        <v>-14.71</v>
      </c>
      <c r="G1487" s="5">
        <f t="shared" ref="G1487" si="554">F1487-E1487</f>
        <v>-14.71</v>
      </c>
    </row>
    <row r="1488" spans="1:7" x14ac:dyDescent="0.35">
      <c r="A1488" s="37"/>
      <c r="B1488" s="37"/>
      <c r="C1488" s="37" t="s">
        <v>107</v>
      </c>
      <c r="D1488" s="38">
        <f>SUM(D1490:D1491)</f>
        <v>-714</v>
      </c>
      <c r="E1488" s="38">
        <f>SUM(E1489:E1491)</f>
        <v>-4432.84</v>
      </c>
      <c r="F1488" s="38">
        <f t="shared" ref="F1488" si="555">SUM(F1490:F1491)</f>
        <v>-4430.43</v>
      </c>
      <c r="G1488" s="38">
        <f>F1488-E1488</f>
        <v>2.4099999999998545</v>
      </c>
    </row>
    <row r="1489" spans="1:7" x14ac:dyDescent="0.35">
      <c r="A1489" s="37"/>
      <c r="B1489" s="37"/>
      <c r="C1489" s="3" t="s">
        <v>155</v>
      </c>
      <c r="D1489" s="38">
        <v>0</v>
      </c>
      <c r="E1489" s="5">
        <v>-4432.84</v>
      </c>
      <c r="F1489" s="5">
        <v>0</v>
      </c>
      <c r="G1489" s="5">
        <f>F1489-E1489</f>
        <v>4432.84</v>
      </c>
    </row>
    <row r="1490" spans="1:7" x14ac:dyDescent="0.35">
      <c r="A1490" s="3"/>
      <c r="B1490" s="3"/>
      <c r="C1490" s="3" t="s">
        <v>54</v>
      </c>
      <c r="D1490" s="5">
        <v>-545</v>
      </c>
      <c r="E1490" s="5">
        <v>0</v>
      </c>
      <c r="F1490" s="5">
        <v>-3860.13</v>
      </c>
      <c r="G1490" s="5">
        <f t="shared" ref="G1490:G1491" si="556">F1490-E1490</f>
        <v>-3860.13</v>
      </c>
    </row>
    <row r="1491" spans="1:7" x14ac:dyDescent="0.35">
      <c r="A1491" s="37"/>
      <c r="B1491" s="37"/>
      <c r="C1491" s="3" t="s">
        <v>55</v>
      </c>
      <c r="D1491" s="5">
        <v>-169</v>
      </c>
      <c r="E1491" s="5">
        <v>0</v>
      </c>
      <c r="F1491" s="5">
        <v>-570.29999999999995</v>
      </c>
      <c r="G1491" s="5">
        <f t="shared" si="556"/>
        <v>-570.29999999999995</v>
      </c>
    </row>
    <row r="1492" spans="1:7" x14ac:dyDescent="0.35">
      <c r="A1492" s="37"/>
      <c r="B1492" s="37"/>
      <c r="C1492" s="37" t="s">
        <v>108</v>
      </c>
      <c r="D1492" s="38">
        <f>SUM(D1494:D1495)</f>
        <v>-110</v>
      </c>
      <c r="E1492" s="38">
        <f>SUM(E1493:E1495)</f>
        <v>-88220.92</v>
      </c>
      <c r="F1492" s="38">
        <f t="shared" ref="F1492" si="557">SUM(F1494:F1495)</f>
        <v>-1133.9100000000001</v>
      </c>
      <c r="G1492" s="38">
        <f>F1492-E1492</f>
        <v>87087.01</v>
      </c>
    </row>
    <row r="1493" spans="1:7" x14ac:dyDescent="0.35">
      <c r="A1493" s="37"/>
      <c r="B1493" s="37"/>
      <c r="C1493" s="3" t="s">
        <v>155</v>
      </c>
      <c r="D1493" s="38">
        <v>0</v>
      </c>
      <c r="E1493" s="5">
        <v>-88220.92</v>
      </c>
      <c r="F1493" s="38">
        <v>0</v>
      </c>
      <c r="G1493" s="38">
        <f>F1493-E1493</f>
        <v>88220.92</v>
      </c>
    </row>
    <row r="1494" spans="1:7" x14ac:dyDescent="0.35">
      <c r="A1494" s="3"/>
      <c r="B1494" s="3"/>
      <c r="C1494" s="3" t="s">
        <v>54</v>
      </c>
      <c r="D1494" s="5">
        <v>-60</v>
      </c>
      <c r="E1494" s="5">
        <v>0</v>
      </c>
      <c r="F1494" s="5">
        <v>-973.19</v>
      </c>
      <c r="G1494" s="5">
        <f t="shared" ref="G1494:G1496" si="558">F1494-E1494</f>
        <v>-973.19</v>
      </c>
    </row>
    <row r="1495" spans="1:7" x14ac:dyDescent="0.35">
      <c r="A1495" s="37"/>
      <c r="B1495" s="37"/>
      <c r="C1495" s="3" t="s">
        <v>55</v>
      </c>
      <c r="D1495" s="5">
        <v>-50</v>
      </c>
      <c r="E1495" s="5">
        <v>0</v>
      </c>
      <c r="F1495" s="5">
        <v>-160.72</v>
      </c>
      <c r="G1495" s="5">
        <f t="shared" si="558"/>
        <v>-160.72</v>
      </c>
    </row>
    <row r="1496" spans="1:7" x14ac:dyDescent="0.35">
      <c r="A1496" s="37"/>
      <c r="B1496" s="37"/>
      <c r="C1496" s="37" t="s">
        <v>109</v>
      </c>
      <c r="D1496" s="38">
        <v>-8213</v>
      </c>
      <c r="E1496" s="67">
        <v>-8213.4405799694032</v>
      </c>
      <c r="F1496" s="38">
        <v>-24183.26</v>
      </c>
      <c r="G1496" s="38">
        <f t="shared" si="558"/>
        <v>-15969.819420030595</v>
      </c>
    </row>
    <row r="1497" spans="1:7" x14ac:dyDescent="0.35">
      <c r="A1497" s="37"/>
      <c r="B1497" s="37" t="s">
        <v>142</v>
      </c>
      <c r="C1497" s="37"/>
      <c r="D1497" s="38">
        <f>SUM(D1499:D1500)</f>
        <v>-1557758</v>
      </c>
      <c r="E1497" s="38">
        <f>SUM(E1498:E1502)</f>
        <v>-3650500.8563400004</v>
      </c>
      <c r="F1497" s="38">
        <f>SUM(F1499:F1502)</f>
        <v>-3347531.5073149996</v>
      </c>
      <c r="G1497" s="38">
        <f>F1497-E1497</f>
        <v>302969.34902500082</v>
      </c>
    </row>
    <row r="1498" spans="1:7" x14ac:dyDescent="0.35">
      <c r="A1498" s="37"/>
      <c r="B1498" s="37"/>
      <c r="C1498" s="3" t="s">
        <v>155</v>
      </c>
      <c r="D1498" s="5">
        <v>0</v>
      </c>
      <c r="E1498" s="5">
        <f>+E1509</f>
        <v>-554246.97634000005</v>
      </c>
      <c r="F1498" s="5">
        <v>0</v>
      </c>
      <c r="G1498" s="5">
        <f>F1498-E1498</f>
        <v>554246.97634000005</v>
      </c>
    </row>
    <row r="1499" spans="1:7" x14ac:dyDescent="0.35">
      <c r="A1499" s="3"/>
      <c r="B1499" s="3"/>
      <c r="C1499" s="3" t="s">
        <v>54</v>
      </c>
      <c r="D1499" s="5">
        <f>D1504</f>
        <v>-1381435</v>
      </c>
      <c r="E1499" s="5">
        <f>E1504+E1513+E1510</f>
        <v>-2637799.35</v>
      </c>
      <c r="F1499" s="5">
        <f>F1504+F1510+F1513</f>
        <v>-2757456.4299699999</v>
      </c>
      <c r="G1499" s="5">
        <f t="shared" ref="G1499:G1502" si="559">F1499-E1499</f>
        <v>-119657.07996999985</v>
      </c>
    </row>
    <row r="1500" spans="1:7" x14ac:dyDescent="0.35">
      <c r="A1500" s="3"/>
      <c r="B1500" s="3"/>
      <c r="C1500" s="3" t="s">
        <v>55</v>
      </c>
      <c r="D1500" s="5">
        <f>D1505</f>
        <v>-176323</v>
      </c>
      <c r="E1500" s="5">
        <f t="shared" ref="E1500" si="560">E1505</f>
        <v>-455405.53</v>
      </c>
      <c r="F1500" s="5">
        <f>F1505+F1514+F1511</f>
        <v>-566367.27734499995</v>
      </c>
      <c r="G1500" s="5">
        <f t="shared" si="559"/>
        <v>-110961.74734499992</v>
      </c>
    </row>
    <row r="1501" spans="1:7" x14ac:dyDescent="0.35">
      <c r="A1501" s="3"/>
      <c r="B1501" s="3"/>
      <c r="C1501" s="3" t="s">
        <v>101</v>
      </c>
      <c r="D1501" s="5">
        <v>0</v>
      </c>
      <c r="E1501" s="5">
        <f>+E1506</f>
        <v>-2789</v>
      </c>
      <c r="F1501" s="5">
        <f>+F1506</f>
        <v>-2788.8</v>
      </c>
      <c r="G1501" s="5">
        <f t="shared" si="559"/>
        <v>0.1999999999998181</v>
      </c>
    </row>
    <row r="1502" spans="1:7" x14ac:dyDescent="0.35">
      <c r="A1502" s="3"/>
      <c r="B1502" s="3"/>
      <c r="C1502" s="3" t="s">
        <v>103</v>
      </c>
      <c r="D1502" s="5">
        <v>0</v>
      </c>
      <c r="E1502" s="5">
        <f>+E1507+E1515</f>
        <v>-260</v>
      </c>
      <c r="F1502" s="5">
        <f>+F1507+F1515</f>
        <v>-20919</v>
      </c>
      <c r="G1502" s="5">
        <f t="shared" si="559"/>
        <v>-20659</v>
      </c>
    </row>
    <row r="1503" spans="1:7" x14ac:dyDescent="0.35">
      <c r="A1503" s="37"/>
      <c r="B1503" s="37"/>
      <c r="C1503" s="37" t="s">
        <v>105</v>
      </c>
      <c r="D1503" s="38">
        <f>SUM(D1504:D1505)</f>
        <v>-1557758</v>
      </c>
      <c r="E1503" s="38">
        <f>SUM(E1504:E1507)</f>
        <v>-3096253.88</v>
      </c>
      <c r="F1503" s="38">
        <f>SUM(F1504:F1507)</f>
        <v>-2787150.7499999995</v>
      </c>
      <c r="G1503" s="38">
        <f>F1503-E1503</f>
        <v>309103.13000000035</v>
      </c>
    </row>
    <row r="1504" spans="1:7" x14ac:dyDescent="0.35">
      <c r="A1504" s="3"/>
      <c r="B1504" s="3"/>
      <c r="C1504" s="3" t="s">
        <v>54</v>
      </c>
      <c r="D1504" s="5">
        <v>-1381435</v>
      </c>
      <c r="E1504" s="5">
        <v>-2637799.35</v>
      </c>
      <c r="F1504" s="5">
        <v>-2335360.4</v>
      </c>
      <c r="G1504" s="5">
        <f t="shared" ref="G1504:G1520" si="561">F1504-E1504</f>
        <v>302438.95000000019</v>
      </c>
    </row>
    <row r="1505" spans="1:7" x14ac:dyDescent="0.35">
      <c r="A1505" s="3"/>
      <c r="B1505" s="3"/>
      <c r="C1505" s="3" t="s">
        <v>55</v>
      </c>
      <c r="D1505" s="5">
        <v>-176323</v>
      </c>
      <c r="E1505" s="5">
        <v>-455405.53</v>
      </c>
      <c r="F1505" s="5">
        <v>-448741.55</v>
      </c>
      <c r="G1505" s="5">
        <f t="shared" si="561"/>
        <v>6663.9800000000396</v>
      </c>
    </row>
    <row r="1506" spans="1:7" x14ac:dyDescent="0.35">
      <c r="A1506" s="3"/>
      <c r="B1506" s="3"/>
      <c r="C1506" s="3" t="s">
        <v>101</v>
      </c>
      <c r="D1506" s="5">
        <v>0</v>
      </c>
      <c r="E1506" s="5">
        <v>-2789</v>
      </c>
      <c r="F1506" s="5">
        <v>-2788.8</v>
      </c>
      <c r="G1506" s="5">
        <f t="shared" si="561"/>
        <v>0.1999999999998181</v>
      </c>
    </row>
    <row r="1507" spans="1:7" x14ac:dyDescent="0.35">
      <c r="A1507" s="3"/>
      <c r="B1507" s="3"/>
      <c r="C1507" s="3" t="s">
        <v>56</v>
      </c>
      <c r="D1507" s="5">
        <v>0</v>
      </c>
      <c r="E1507" s="5">
        <v>-260</v>
      </c>
      <c r="F1507" s="5">
        <v>-260</v>
      </c>
      <c r="G1507" s="5">
        <f t="shared" si="561"/>
        <v>0</v>
      </c>
    </row>
    <row r="1508" spans="1:7" x14ac:dyDescent="0.35">
      <c r="A1508" s="3"/>
      <c r="B1508" s="3"/>
      <c r="C1508" s="37" t="s">
        <v>107</v>
      </c>
      <c r="D1508" s="38">
        <v>0</v>
      </c>
      <c r="E1508" s="38">
        <f>SUM(E1509:E1511)</f>
        <v>-554246.97634000005</v>
      </c>
      <c r="F1508" s="38">
        <f t="shared" ref="F1508" si="562">SUM(F1510:F1511)</f>
        <v>-336585.86171000003</v>
      </c>
      <c r="G1508" s="38">
        <f>F1508-E1508</f>
        <v>217661.11463000003</v>
      </c>
    </row>
    <row r="1509" spans="1:7" x14ac:dyDescent="0.35">
      <c r="A1509" s="3"/>
      <c r="B1509" s="3"/>
      <c r="C1509" s="3" t="s">
        <v>155</v>
      </c>
      <c r="D1509" s="38">
        <v>0</v>
      </c>
      <c r="E1509" s="5">
        <v>-554246.97634000005</v>
      </c>
      <c r="F1509" s="5">
        <v>0</v>
      </c>
      <c r="G1509" s="5">
        <f>F1509-E1509</f>
        <v>554246.97634000005</v>
      </c>
    </row>
    <row r="1510" spans="1:7" x14ac:dyDescent="0.35">
      <c r="A1510" s="3"/>
      <c r="B1510" s="3"/>
      <c r="C1510" s="3" t="s">
        <v>54</v>
      </c>
      <c r="D1510" s="5">
        <v>0</v>
      </c>
      <c r="E1510" s="5">
        <v>0</v>
      </c>
      <c r="F1510" s="5">
        <v>-256264.35040000002</v>
      </c>
      <c r="G1510" s="5">
        <f t="shared" ref="G1510:G1511" si="563">F1510-E1510</f>
        <v>-256264.35040000002</v>
      </c>
    </row>
    <row r="1511" spans="1:7" x14ac:dyDescent="0.35">
      <c r="A1511" s="3"/>
      <c r="B1511" s="3"/>
      <c r="C1511" s="3" t="s">
        <v>55</v>
      </c>
      <c r="D1511" s="5">
        <v>0</v>
      </c>
      <c r="E1511" s="5">
        <v>0</v>
      </c>
      <c r="F1511" s="5">
        <v>-80321.511310000002</v>
      </c>
      <c r="G1511" s="5">
        <f t="shared" si="563"/>
        <v>-80321.511310000002</v>
      </c>
    </row>
    <row r="1512" spans="1:7" x14ac:dyDescent="0.35">
      <c r="A1512" s="3"/>
      <c r="B1512" s="3"/>
      <c r="C1512" s="37" t="s">
        <v>108</v>
      </c>
      <c r="D1512" s="38">
        <f>SUM(D1514:D1515)</f>
        <v>0</v>
      </c>
      <c r="E1512" s="38">
        <f>SUM(E1513:E1515)</f>
        <v>0</v>
      </c>
      <c r="F1512" s="38">
        <f>SUM(F1513:F1514)</f>
        <v>-203135.89560500003</v>
      </c>
      <c r="G1512" s="38">
        <f>F1512-E1512</f>
        <v>-203135.89560500003</v>
      </c>
    </row>
    <row r="1513" spans="1:7" x14ac:dyDescent="0.35">
      <c r="A1513" s="3"/>
      <c r="B1513" s="3"/>
      <c r="C1513" s="3" t="s">
        <v>54</v>
      </c>
      <c r="D1513" s="38">
        <v>0</v>
      </c>
      <c r="E1513" s="5">
        <v>0</v>
      </c>
      <c r="F1513" s="5">
        <v>-165831.67957000004</v>
      </c>
      <c r="G1513" s="38">
        <f>F1513-E1513</f>
        <v>-165831.67957000004</v>
      </c>
    </row>
    <row r="1514" spans="1:7" x14ac:dyDescent="0.35">
      <c r="A1514" s="3"/>
      <c r="B1514" s="3"/>
      <c r="C1514" s="3" t="s">
        <v>55</v>
      </c>
      <c r="D1514" s="5">
        <v>0</v>
      </c>
      <c r="E1514" s="5">
        <v>0</v>
      </c>
      <c r="F1514" s="5">
        <v>-37304.216034999998</v>
      </c>
      <c r="G1514" s="5">
        <f t="shared" ref="G1514" si="564">F1514-E1514</f>
        <v>-37304.216034999998</v>
      </c>
    </row>
    <row r="1515" spans="1:7" x14ac:dyDescent="0.35">
      <c r="A1515" s="3"/>
      <c r="B1515" s="3"/>
      <c r="C1515" s="37" t="s">
        <v>109</v>
      </c>
      <c r="D1515" s="38">
        <v>0</v>
      </c>
      <c r="E1515" s="38">
        <f t="shared" ref="E1515" si="565">D1515</f>
        <v>0</v>
      </c>
      <c r="F1515" s="38">
        <v>-20659</v>
      </c>
      <c r="G1515" s="38">
        <f t="shared" si="561"/>
        <v>-20659</v>
      </c>
    </row>
    <row r="1516" spans="1:7" x14ac:dyDescent="0.35">
      <c r="A1516" s="37" t="s">
        <v>144</v>
      </c>
      <c r="B1516" s="37"/>
      <c r="C1516" s="37"/>
      <c r="D1516" s="38">
        <f>SUM(D1517:D1520)</f>
        <v>-1823653</v>
      </c>
      <c r="E1516" s="38">
        <f>SUM(E1517:E1520)</f>
        <v>-2601378.89073887</v>
      </c>
      <c r="F1516" s="38">
        <f>SUM(F1517:F1520)</f>
        <v>-2700327.7405914022</v>
      </c>
      <c r="G1516" s="38">
        <f t="shared" si="561"/>
        <v>-98948.849852532148</v>
      </c>
    </row>
    <row r="1517" spans="1:7" x14ac:dyDescent="0.35">
      <c r="A1517" s="3"/>
      <c r="B1517" s="3" t="s">
        <v>105</v>
      </c>
      <c r="C1517" s="3"/>
      <c r="D1517" s="5">
        <f>D1527</f>
        <v>-1509461</v>
      </c>
      <c r="E1517" s="5">
        <f t="shared" ref="E1517:F1517" si="566">E1527</f>
        <v>-2370287.2407194944</v>
      </c>
      <c r="F1517" s="5">
        <f t="shared" si="566"/>
        <v>-2435230.6597922272</v>
      </c>
      <c r="G1517" s="5">
        <f t="shared" si="561"/>
        <v>-64943.419072732795</v>
      </c>
    </row>
    <row r="1518" spans="1:7" x14ac:dyDescent="0.35">
      <c r="A1518" s="3"/>
      <c r="B1518" s="3" t="s">
        <v>107</v>
      </c>
      <c r="C1518" s="3"/>
      <c r="D1518" s="5">
        <f>D1532</f>
        <v>-1331</v>
      </c>
      <c r="E1518" s="5">
        <f t="shared" ref="E1518:F1518" si="567">E1532</f>
        <v>-2392.2050717679499</v>
      </c>
      <c r="F1518" s="5">
        <f t="shared" si="567"/>
        <v>-2372.7616782977052</v>
      </c>
      <c r="G1518" s="5">
        <f t="shared" si="561"/>
        <v>19.4433934702447</v>
      </c>
    </row>
    <row r="1519" spans="1:7" x14ac:dyDescent="0.35">
      <c r="A1519" s="3"/>
      <c r="B1519" s="3" t="s">
        <v>108</v>
      </c>
      <c r="C1519" s="3"/>
      <c r="D1519" s="5">
        <f>D1536</f>
        <v>-84681</v>
      </c>
      <c r="E1519" s="5">
        <f>E1536</f>
        <v>-519.42462237516179</v>
      </c>
      <c r="F1519" s="5">
        <f>F1536</f>
        <v>-56649.446838009375</v>
      </c>
      <c r="G1519" s="5">
        <f t="shared" si="561"/>
        <v>-56130.022215634213</v>
      </c>
    </row>
    <row r="1520" spans="1:7" x14ac:dyDescent="0.35">
      <c r="A1520" s="3"/>
      <c r="B1520" s="3" t="s">
        <v>109</v>
      </c>
      <c r="C1520" s="3"/>
      <c r="D1520" s="5">
        <f>D1540</f>
        <v>-228180</v>
      </c>
      <c r="E1520" s="5">
        <f t="shared" ref="E1520" si="568">E1540</f>
        <v>-228180.02032523288</v>
      </c>
      <c r="F1520" s="5">
        <f>F1540</f>
        <v>-206074.87228286819</v>
      </c>
      <c r="G1520" s="5">
        <f t="shared" si="561"/>
        <v>22105.148042364686</v>
      </c>
    </row>
    <row r="1521" spans="1:7" x14ac:dyDescent="0.35">
      <c r="A1521" s="37"/>
      <c r="B1521" s="37" t="s">
        <v>116</v>
      </c>
      <c r="C1521" s="37"/>
      <c r="D1521" s="38">
        <f>SUM(D1523:D1526)</f>
        <v>-1823653</v>
      </c>
      <c r="E1521" s="38">
        <f>SUM(E1522:E1526)</f>
        <v>-2601378.89073887</v>
      </c>
      <c r="F1521" s="38">
        <f>SUM(F1523:F1526)</f>
        <v>-2700327.7405914022</v>
      </c>
      <c r="G1521" s="38">
        <f>F1521-E1521</f>
        <v>-98948.849852532148</v>
      </c>
    </row>
    <row r="1522" spans="1:7" x14ac:dyDescent="0.35">
      <c r="A1522" s="37"/>
      <c r="B1522" s="37"/>
      <c r="C1522" s="3" t="s">
        <v>155</v>
      </c>
      <c r="D1522" s="38">
        <v>0</v>
      </c>
      <c r="E1522" s="5">
        <f>+E1533+E1537</f>
        <v>-2911.6296941431119</v>
      </c>
      <c r="F1522" s="5">
        <v>0</v>
      </c>
      <c r="G1522" s="5">
        <f>F1522-E1522</f>
        <v>2911.6296941431119</v>
      </c>
    </row>
    <row r="1523" spans="1:7" x14ac:dyDescent="0.35">
      <c r="A1523" s="3"/>
      <c r="B1523" s="3"/>
      <c r="C1523" s="3" t="s">
        <v>54</v>
      </c>
      <c r="D1523" s="5">
        <f t="shared" ref="D1523:F1524" si="569">D1528+D1534+D1538</f>
        <v>-389373</v>
      </c>
      <c r="E1523" s="5">
        <f t="shared" si="569"/>
        <v>-358276.26314509677</v>
      </c>
      <c r="F1523" s="5">
        <f t="shared" si="569"/>
        <v>-421038.28218248364</v>
      </c>
      <c r="G1523" s="5">
        <f t="shared" ref="G1523:G1526" si="570">F1523-E1523</f>
        <v>-62762.019037386868</v>
      </c>
    </row>
    <row r="1524" spans="1:7" x14ac:dyDescent="0.35">
      <c r="A1524" s="3"/>
      <c r="B1524" s="3"/>
      <c r="C1524" s="3" t="s">
        <v>55</v>
      </c>
      <c r="D1524" s="5">
        <f t="shared" si="569"/>
        <v>-1205701</v>
      </c>
      <c r="E1524" s="5">
        <f t="shared" si="569"/>
        <v>-2011527.3571504413</v>
      </c>
      <c r="F1524" s="5">
        <f t="shared" si="569"/>
        <v>-2072568.0046020872</v>
      </c>
      <c r="G1524" s="5">
        <f t="shared" si="570"/>
        <v>-61040.647451645928</v>
      </c>
    </row>
    <row r="1525" spans="1:7" x14ac:dyDescent="0.35">
      <c r="A1525" s="3"/>
      <c r="B1525" s="3"/>
      <c r="C1525" s="3" t="s">
        <v>102</v>
      </c>
      <c r="D1525" s="5">
        <f>D1530</f>
        <v>-399</v>
      </c>
      <c r="E1525" s="5">
        <f t="shared" ref="E1525:F1525" si="571">E1530</f>
        <v>-399.00000000419993</v>
      </c>
      <c r="F1525" s="5">
        <f t="shared" si="571"/>
        <v>-398.16000000420001</v>
      </c>
      <c r="G1525" s="5">
        <f t="shared" si="570"/>
        <v>0.83999999999991815</v>
      </c>
    </row>
    <row r="1526" spans="1:7" x14ac:dyDescent="0.35">
      <c r="A1526" s="3"/>
      <c r="B1526" s="3"/>
      <c r="C1526" s="3" t="s">
        <v>103</v>
      </c>
      <c r="D1526" s="5">
        <f>D1540</f>
        <v>-228180</v>
      </c>
      <c r="E1526" s="5">
        <f>E1540+E1531</f>
        <v>-228264.640749185</v>
      </c>
      <c r="F1526" s="5">
        <f>F1540+F1531</f>
        <v>-206323.29380682725</v>
      </c>
      <c r="G1526" s="5">
        <f t="shared" si="570"/>
        <v>21941.346942357748</v>
      </c>
    </row>
    <row r="1527" spans="1:7" x14ac:dyDescent="0.35">
      <c r="A1527" s="37"/>
      <c r="B1527" s="37"/>
      <c r="C1527" s="37" t="s">
        <v>105</v>
      </c>
      <c r="D1527" s="38">
        <f>SUM(D1528:D1530)</f>
        <v>-1509461</v>
      </c>
      <c r="E1527" s="38">
        <f>SUM(E1528:E1531)</f>
        <v>-2370287.2407194944</v>
      </c>
      <c r="F1527" s="38">
        <f>SUM(F1528:F1531)</f>
        <v>-2435230.6597922272</v>
      </c>
      <c r="G1527" s="38">
        <f>F1527-E1527</f>
        <v>-64943.419072732795</v>
      </c>
    </row>
    <row r="1528" spans="1:7" x14ac:dyDescent="0.35">
      <c r="A1528" s="3"/>
      <c r="B1528" s="3"/>
      <c r="C1528" s="3" t="s">
        <v>54</v>
      </c>
      <c r="D1528" s="5">
        <v>-355421</v>
      </c>
      <c r="E1528" s="5">
        <v>-358276.26314509677</v>
      </c>
      <c r="F1528" s="5">
        <v>-380370.2392392144</v>
      </c>
      <c r="G1528" s="5">
        <f t="shared" ref="G1528:G1531" si="572">F1528-E1528</f>
        <v>-22093.976094117621</v>
      </c>
    </row>
    <row r="1529" spans="1:7" x14ac:dyDescent="0.35">
      <c r="A1529" s="3"/>
      <c r="B1529" s="3"/>
      <c r="C1529" s="3" t="s">
        <v>55</v>
      </c>
      <c r="D1529" s="5">
        <v>-1153641</v>
      </c>
      <c r="E1529" s="5">
        <v>-2011527.3571504413</v>
      </c>
      <c r="F1529" s="5">
        <v>-2054213.8390290495</v>
      </c>
      <c r="G1529" s="5">
        <f t="shared" si="572"/>
        <v>-42686.481878608232</v>
      </c>
    </row>
    <row r="1530" spans="1:7" x14ac:dyDescent="0.35">
      <c r="A1530" s="3"/>
      <c r="B1530" s="3"/>
      <c r="C1530" s="3" t="s">
        <v>102</v>
      </c>
      <c r="D1530" s="5">
        <v>-399</v>
      </c>
      <c r="E1530" s="5">
        <v>-399.00000000419993</v>
      </c>
      <c r="F1530" s="5">
        <v>-398.16000000420001</v>
      </c>
      <c r="G1530" s="5">
        <f t="shared" si="572"/>
        <v>0.83999999999991815</v>
      </c>
    </row>
    <row r="1531" spans="1:7" x14ac:dyDescent="0.35">
      <c r="A1531" s="3"/>
      <c r="B1531" s="3"/>
      <c r="C1531" s="3" t="s">
        <v>56</v>
      </c>
      <c r="D1531" s="5">
        <v>0</v>
      </c>
      <c r="E1531" s="5">
        <v>-84.62042395211374</v>
      </c>
      <c r="F1531" s="5">
        <v>-248.4215239590516</v>
      </c>
      <c r="G1531" s="5">
        <f t="shared" si="572"/>
        <v>-163.80110000693787</v>
      </c>
    </row>
    <row r="1532" spans="1:7" x14ac:dyDescent="0.35">
      <c r="A1532" s="37"/>
      <c r="B1532" s="37"/>
      <c r="C1532" s="37" t="s">
        <v>107</v>
      </c>
      <c r="D1532" s="38">
        <f>SUM(D1534:D1535)</f>
        <v>-1331</v>
      </c>
      <c r="E1532" s="38">
        <f>SUM(E1533:E1535)</f>
        <v>-2392.2050717679499</v>
      </c>
      <c r="F1532" s="38">
        <f t="shared" ref="F1532" si="573">SUM(F1534:F1535)</f>
        <v>-2372.7616782977052</v>
      </c>
      <c r="G1532" s="38">
        <f>F1532-E1532</f>
        <v>19.4433934702447</v>
      </c>
    </row>
    <row r="1533" spans="1:7" x14ac:dyDescent="0.35">
      <c r="A1533" s="37"/>
      <c r="B1533" s="37"/>
      <c r="C1533" s="3" t="s">
        <v>155</v>
      </c>
      <c r="D1533" s="38">
        <v>0</v>
      </c>
      <c r="E1533" s="5">
        <v>-2392.2050717679499</v>
      </c>
      <c r="F1533" s="38">
        <v>0</v>
      </c>
      <c r="G1533" s="38">
        <f>F1533-E1533</f>
        <v>2392.2050717679499</v>
      </c>
    </row>
    <row r="1534" spans="1:7" x14ac:dyDescent="0.35">
      <c r="A1534" s="3"/>
      <c r="B1534" s="3"/>
      <c r="C1534" s="3" t="s">
        <v>54</v>
      </c>
      <c r="D1534" s="5">
        <v>0</v>
      </c>
      <c r="E1534" s="5">
        <v>0</v>
      </c>
      <c r="F1534" s="5">
        <v>-234.7961052640737</v>
      </c>
      <c r="G1534" s="5">
        <f t="shared" ref="G1534:G1535" si="574">F1534-E1534</f>
        <v>-234.7961052640737</v>
      </c>
    </row>
    <row r="1535" spans="1:7" x14ac:dyDescent="0.35">
      <c r="A1535" s="37"/>
      <c r="B1535" s="37"/>
      <c r="C1535" s="3" t="s">
        <v>55</v>
      </c>
      <c r="D1535" s="5">
        <v>-1331</v>
      </c>
      <c r="E1535" s="5">
        <v>0</v>
      </c>
      <c r="F1535" s="5">
        <v>-2137.9655730336317</v>
      </c>
      <c r="G1535" s="5">
        <f t="shared" si="574"/>
        <v>-2137.9655730336317</v>
      </c>
    </row>
    <row r="1536" spans="1:7" x14ac:dyDescent="0.35">
      <c r="A1536" s="37"/>
      <c r="B1536" s="37"/>
      <c r="C1536" s="37" t="s">
        <v>108</v>
      </c>
      <c r="D1536" s="38">
        <f>SUM(D1538:D1539)</f>
        <v>-84681</v>
      </c>
      <c r="E1536" s="38">
        <f>SUM(E1537:E1539)</f>
        <v>-519.42462237516179</v>
      </c>
      <c r="F1536" s="38">
        <f t="shared" ref="F1536" si="575">SUM(F1538:F1539)</f>
        <v>-56649.446838009375</v>
      </c>
      <c r="G1536" s="38">
        <f>F1536-E1536</f>
        <v>-56130.022215634213</v>
      </c>
    </row>
    <row r="1537" spans="1:7" x14ac:dyDescent="0.35">
      <c r="A1537" s="37"/>
      <c r="B1537" s="37"/>
      <c r="C1537" s="3" t="s">
        <v>155</v>
      </c>
      <c r="D1537" s="38">
        <v>0</v>
      </c>
      <c r="E1537" s="5">
        <v>-519.42462237516179</v>
      </c>
      <c r="F1537" s="38">
        <v>0</v>
      </c>
      <c r="G1537" s="38">
        <f>F1537-E1537</f>
        <v>519.42462237516179</v>
      </c>
    </row>
    <row r="1538" spans="1:7" x14ac:dyDescent="0.35">
      <c r="A1538" s="3"/>
      <c r="B1538" s="3"/>
      <c r="C1538" s="3" t="s">
        <v>54</v>
      </c>
      <c r="D1538" s="5">
        <v>-33952</v>
      </c>
      <c r="E1538" s="5">
        <v>0</v>
      </c>
      <c r="F1538" s="5">
        <v>-40433.24683800518</v>
      </c>
      <c r="G1538" s="5">
        <f t="shared" ref="G1538:G1558" si="576">F1538-E1538</f>
        <v>-40433.24683800518</v>
      </c>
    </row>
    <row r="1539" spans="1:7" x14ac:dyDescent="0.35">
      <c r="A1539" s="37"/>
      <c r="B1539" s="37"/>
      <c r="C1539" s="3" t="s">
        <v>55</v>
      </c>
      <c r="D1539" s="5">
        <v>-50729</v>
      </c>
      <c r="E1539" s="5">
        <v>0</v>
      </c>
      <c r="F1539" s="5">
        <v>-16216.200000004199</v>
      </c>
      <c r="G1539" s="5">
        <f t="shared" si="576"/>
        <v>-16216.200000004199</v>
      </c>
    </row>
    <row r="1540" spans="1:7" x14ac:dyDescent="0.35">
      <c r="A1540" s="37"/>
      <c r="B1540" s="37"/>
      <c r="C1540" s="37" t="s">
        <v>109</v>
      </c>
      <c r="D1540" s="38">
        <v>-228180</v>
      </c>
      <c r="E1540" s="67">
        <v>-228180.02032523288</v>
      </c>
      <c r="F1540" s="2">
        <v>-206074.87228286819</v>
      </c>
      <c r="G1540" s="38">
        <f t="shared" si="576"/>
        <v>22105.148042364686</v>
      </c>
    </row>
    <row r="1541" spans="1:7" x14ac:dyDescent="0.35">
      <c r="A1541" s="74" t="s">
        <v>67</v>
      </c>
      <c r="B1541" s="37"/>
      <c r="C1541" s="37"/>
      <c r="D1541" s="38">
        <f>SUM(D1542:D1546)</f>
        <v>-17390990</v>
      </c>
      <c r="E1541" s="38">
        <f t="shared" ref="E1541:F1541" si="577">SUM(E1542:E1546)</f>
        <v>-20916576.401886582</v>
      </c>
      <c r="F1541" s="38">
        <f t="shared" si="577"/>
        <v>-16937484.66992081</v>
      </c>
      <c r="G1541" s="38">
        <f t="shared" si="576"/>
        <v>3979091.7319657728</v>
      </c>
    </row>
    <row r="1542" spans="1:7" x14ac:dyDescent="0.35">
      <c r="A1542" s="74"/>
      <c r="B1542" s="3" t="s">
        <v>105</v>
      </c>
      <c r="C1542" s="3"/>
      <c r="D1542" s="5">
        <f>D1548+D1638+D1727</f>
        <v>-15343265</v>
      </c>
      <c r="E1542" s="5">
        <f>E1548+E1638+E1727</f>
        <v>-17291196.511138372</v>
      </c>
      <c r="F1542" s="5">
        <f>F1548+F1638+F1727</f>
        <v>-14646075.172851913</v>
      </c>
      <c r="G1542" s="5">
        <f t="shared" si="576"/>
        <v>2645121.3382864594</v>
      </c>
    </row>
    <row r="1543" spans="1:7" x14ac:dyDescent="0.35">
      <c r="A1543" s="74"/>
      <c r="B1543" s="3" t="s">
        <v>106</v>
      </c>
      <c r="C1543" s="3"/>
      <c r="D1543" s="5">
        <v>0</v>
      </c>
      <c r="E1543" s="5">
        <f>+E1555</f>
        <v>0</v>
      </c>
      <c r="F1543" s="5">
        <f>+F1549+F1639</f>
        <v>239.55419437698788</v>
      </c>
      <c r="G1543" s="5">
        <f t="shared" si="576"/>
        <v>239.55419437698788</v>
      </c>
    </row>
    <row r="1544" spans="1:7" x14ac:dyDescent="0.35">
      <c r="A1544" s="74"/>
      <c r="B1544" s="3" t="s">
        <v>107</v>
      </c>
      <c r="C1544" s="3"/>
      <c r="D1544" s="5">
        <f>D1550+D1640</f>
        <v>-894124</v>
      </c>
      <c r="E1544" s="5">
        <f>E1550+E1640</f>
        <v>-1489014.2968643666</v>
      </c>
      <c r="F1544" s="5">
        <f>F1550+F1640</f>
        <v>-1169176.6659030765</v>
      </c>
      <c r="G1544" s="5">
        <f t="shared" si="576"/>
        <v>319837.6309612901</v>
      </c>
    </row>
    <row r="1545" spans="1:7" x14ac:dyDescent="0.35">
      <c r="A1545" s="74"/>
      <c r="B1545" s="3" t="s">
        <v>108</v>
      </c>
      <c r="C1545" s="3"/>
      <c r="D1545" s="5">
        <f>D1641</f>
        <v>-500000</v>
      </c>
      <c r="E1545" s="5">
        <f>E1641+E1551</f>
        <v>-1482764.98409089</v>
      </c>
      <c r="F1545" s="5">
        <f>F1641+F1551</f>
        <v>-38707.523131736823</v>
      </c>
      <c r="G1545" s="5">
        <f t="shared" si="576"/>
        <v>1444057.4609591532</v>
      </c>
    </row>
    <row r="1546" spans="1:7" x14ac:dyDescent="0.35">
      <c r="A1546" s="74"/>
      <c r="B1546" s="3" t="s">
        <v>109</v>
      </c>
      <c r="C1546" s="3"/>
      <c r="D1546" s="5">
        <f>D1552+D1642</f>
        <v>-653601</v>
      </c>
      <c r="E1546" s="5">
        <f>E1552+E1642</f>
        <v>-653600.60979295266</v>
      </c>
      <c r="F1546" s="5">
        <f>F1552+F1642</f>
        <v>-1083764.8622284618</v>
      </c>
      <c r="G1546" s="5">
        <f t="shared" si="576"/>
        <v>-430164.25243550912</v>
      </c>
    </row>
    <row r="1547" spans="1:7" x14ac:dyDescent="0.35">
      <c r="A1547" s="38" t="s">
        <v>145</v>
      </c>
      <c r="B1547" s="37"/>
      <c r="C1547" s="37"/>
      <c r="D1547" s="38">
        <f>SUM(D1548:D1552)</f>
        <v>-4979595</v>
      </c>
      <c r="E1547" s="38">
        <f>SUM(E1548:E1552)</f>
        <v>-5631162.2241412364</v>
      </c>
      <c r="F1547" s="38">
        <f>SUM(F1548:F1552)</f>
        <v>-4325743.1494094077</v>
      </c>
      <c r="G1547" s="38">
        <f t="shared" si="576"/>
        <v>1305419.0747318286</v>
      </c>
    </row>
    <row r="1548" spans="1:7" x14ac:dyDescent="0.35">
      <c r="A1548" s="36"/>
      <c r="B1548" s="3" t="s">
        <v>105</v>
      </c>
      <c r="C1548" s="3"/>
      <c r="D1548" s="5">
        <f>D1554+D1600</f>
        <v>-4155995</v>
      </c>
      <c r="E1548" s="5">
        <f>E1554+E1600</f>
        <v>-4664668.055634914</v>
      </c>
      <c r="F1548" s="5">
        <f>F1554+F1600</f>
        <v>-3663586.8920179168</v>
      </c>
      <c r="G1548" s="5">
        <f t="shared" si="576"/>
        <v>1001081.1636169972</v>
      </c>
    </row>
    <row r="1549" spans="1:7" x14ac:dyDescent="0.35">
      <c r="A1549" s="36"/>
      <c r="B1549" s="3" t="s">
        <v>106</v>
      </c>
      <c r="C1549" s="3"/>
      <c r="D1549" s="5">
        <v>0</v>
      </c>
      <c r="E1549" s="5">
        <v>0</v>
      </c>
      <c r="F1549" s="5">
        <f>+F1555+F1601</f>
        <v>63.290496318408188</v>
      </c>
      <c r="G1549" s="5">
        <f t="shared" si="576"/>
        <v>63.290496318408188</v>
      </c>
    </row>
    <row r="1550" spans="1:7" x14ac:dyDescent="0.35">
      <c r="A1550" s="3"/>
      <c r="B1550" s="3" t="s">
        <v>107</v>
      </c>
      <c r="C1550" s="3"/>
      <c r="D1550" s="5">
        <f>D1556+D1602</f>
        <v>-816055</v>
      </c>
      <c r="E1550" s="5">
        <f>E1556+E1602</f>
        <v>-955972.57390526182</v>
      </c>
      <c r="F1550" s="5">
        <f>F1556+F1602</f>
        <v>-653172.32042916119</v>
      </c>
      <c r="G1550" s="5">
        <f t="shared" si="576"/>
        <v>302800.25347610062</v>
      </c>
    </row>
    <row r="1551" spans="1:7" x14ac:dyDescent="0.35">
      <c r="A1551" s="3"/>
      <c r="B1551" s="3" t="s">
        <v>108</v>
      </c>
      <c r="C1551" s="3"/>
      <c r="D1551" s="5">
        <v>0</v>
      </c>
      <c r="E1551" s="5">
        <f>+E1595+E1633</f>
        <v>-2976.7945346625247</v>
      </c>
      <c r="F1551" s="5">
        <f>+F1557+F1603</f>
        <v>-32.363853267874639</v>
      </c>
      <c r="G1551" s="5">
        <f t="shared" si="576"/>
        <v>2944.43068139465</v>
      </c>
    </row>
    <row r="1552" spans="1:7" x14ac:dyDescent="0.35">
      <c r="A1552" s="3"/>
      <c r="B1552" s="3" t="s">
        <v>109</v>
      </c>
      <c r="C1552" s="3"/>
      <c r="D1552" s="5">
        <f>D1558+D1604</f>
        <v>-7545</v>
      </c>
      <c r="E1552" s="5">
        <f>E1558+E1604</f>
        <v>-7544.8000663972325</v>
      </c>
      <c r="F1552" s="5">
        <f>F1558+F1604</f>
        <v>-9014.8636053805203</v>
      </c>
      <c r="G1552" s="5">
        <f t="shared" si="576"/>
        <v>-1470.0635389832878</v>
      </c>
    </row>
    <row r="1553" spans="1:7" x14ac:dyDescent="0.35">
      <c r="A1553" s="37" t="s">
        <v>146</v>
      </c>
      <c r="B1553" s="37"/>
      <c r="C1553" s="37"/>
      <c r="D1553" s="38">
        <f>SUM(D1554:D1558)</f>
        <v>-4215107</v>
      </c>
      <c r="E1553" s="38">
        <f>SUM(E1554:E1558)</f>
        <v>-4840786.8027191153</v>
      </c>
      <c r="F1553" s="38">
        <f>SUM(F1554:F1558)</f>
        <v>-3589471.6676537548</v>
      </c>
      <c r="G1553" s="38">
        <f t="shared" si="576"/>
        <v>1251315.1350653605</v>
      </c>
    </row>
    <row r="1554" spans="1:7" x14ac:dyDescent="0.35">
      <c r="A1554" s="3"/>
      <c r="B1554" s="3" t="s">
        <v>105</v>
      </c>
      <c r="C1554" s="3"/>
      <c r="D1554" s="5">
        <f>D1566+D1585</f>
        <v>-3394037</v>
      </c>
      <c r="E1554" s="5">
        <f>E1566+E1585</f>
        <v>-3877803.5337826703</v>
      </c>
      <c r="F1554" s="5">
        <f>F1566+F1585</f>
        <v>-2930316.1551008369</v>
      </c>
      <c r="G1554" s="5">
        <f t="shared" si="576"/>
        <v>947487.37868183339</v>
      </c>
    </row>
    <row r="1555" spans="1:7" x14ac:dyDescent="0.35">
      <c r="A1555" s="3"/>
      <c r="B1555" s="3" t="s">
        <v>106</v>
      </c>
      <c r="C1555" s="3"/>
      <c r="D1555" s="5">
        <v>0</v>
      </c>
      <c r="E1555" s="5">
        <f>+E1572+E1589</f>
        <v>0</v>
      </c>
      <c r="F1555" s="5">
        <f>+F1572+F1590</f>
        <v>42.301529241438978</v>
      </c>
      <c r="G1555" s="5">
        <f t="shared" si="576"/>
        <v>42.301529241438978</v>
      </c>
    </row>
    <row r="1556" spans="1:7" x14ac:dyDescent="0.35">
      <c r="A1556" s="3"/>
      <c r="B1556" s="3" t="s">
        <v>107</v>
      </c>
      <c r="C1556" s="3"/>
      <c r="D1556" s="5">
        <f>D1574+D1591</f>
        <v>-816027</v>
      </c>
      <c r="E1556" s="5">
        <f>E1574+E1591</f>
        <v>-955951.28458032315</v>
      </c>
      <c r="F1556" s="5">
        <f>F1574+F1591</f>
        <v>-653151.20571453741</v>
      </c>
      <c r="G1556" s="5">
        <f t="shared" si="576"/>
        <v>302800.07886578573</v>
      </c>
    </row>
    <row r="1557" spans="1:7" x14ac:dyDescent="0.35">
      <c r="A1557" s="3"/>
      <c r="B1557" s="3" t="s">
        <v>108</v>
      </c>
      <c r="C1557" s="3"/>
      <c r="D1557" s="5">
        <v>0</v>
      </c>
      <c r="E1557" s="5">
        <f>+E1595</f>
        <v>-1989.5057158948077</v>
      </c>
      <c r="F1557" s="5">
        <f>+F1595</f>
        <v>-21.630001773742521</v>
      </c>
      <c r="G1557" s="5">
        <f t="shared" si="576"/>
        <v>1967.8757141210651</v>
      </c>
    </row>
    <row r="1558" spans="1:7" x14ac:dyDescent="0.35">
      <c r="A1558" s="3"/>
      <c r="B1558" s="3" t="s">
        <v>109</v>
      </c>
      <c r="C1558" s="3"/>
      <c r="D1558" s="5">
        <f>D1579+D1598</f>
        <v>-5043</v>
      </c>
      <c r="E1558" s="5">
        <f t="shared" ref="E1558:F1558" si="578">E1579+E1598</f>
        <v>-5042.4786402271911</v>
      </c>
      <c r="F1558" s="5">
        <f t="shared" si="578"/>
        <v>-6024.9783658481156</v>
      </c>
      <c r="G1558" s="5">
        <f t="shared" si="576"/>
        <v>-982.49972562092444</v>
      </c>
    </row>
    <row r="1559" spans="1:7" x14ac:dyDescent="0.35">
      <c r="A1559" s="37"/>
      <c r="B1559" s="37" t="s">
        <v>31</v>
      </c>
      <c r="C1559" s="37"/>
      <c r="D1559" s="38">
        <f>SUM(D1561:D1565)</f>
        <v>-4187617</v>
      </c>
      <c r="E1559" s="38">
        <f>SUM(E1560:E1565)</f>
        <v>-4810434.5728620654</v>
      </c>
      <c r="F1559" s="38">
        <f>SUM(F1561:F1565)</f>
        <v>-3560534.7845478952</v>
      </c>
      <c r="G1559" s="38">
        <f>F1559-E1559</f>
        <v>1249899.7883141702</v>
      </c>
    </row>
    <row r="1560" spans="1:7" x14ac:dyDescent="0.35">
      <c r="A1560" s="37"/>
      <c r="B1560" s="37"/>
      <c r="C1560" s="3" t="s">
        <v>155</v>
      </c>
      <c r="D1560" s="5">
        <f>D1575</f>
        <v>0</v>
      </c>
      <c r="E1560" s="5">
        <f t="shared" ref="E1560:F1560" si="579">E1575</f>
        <v>-955908.38402999996</v>
      </c>
      <c r="F1560" s="5">
        <f t="shared" si="579"/>
        <v>0</v>
      </c>
      <c r="G1560" s="5">
        <f>F1560-E1560</f>
        <v>955908.38402999996</v>
      </c>
    </row>
    <row r="1561" spans="1:7" x14ac:dyDescent="0.35">
      <c r="A1561" s="3"/>
      <c r="B1561" s="3"/>
      <c r="C1561" s="3" t="s">
        <v>54</v>
      </c>
      <c r="D1561" s="5">
        <f>D1567+D1576</f>
        <v>-285481</v>
      </c>
      <c r="E1561" s="5">
        <f>E1567+E1576</f>
        <v>-280906.38177499722</v>
      </c>
      <c r="F1561" s="5">
        <f t="shared" ref="F1561:F1562" si="580">F1567+F1576</f>
        <v>-280704.10342819151</v>
      </c>
      <c r="G1561" s="5">
        <f t="shared" ref="G1561:G1565" si="581">F1561-E1561</f>
        <v>202.27834680571686</v>
      </c>
    </row>
    <row r="1562" spans="1:7" x14ac:dyDescent="0.35">
      <c r="A1562" s="3"/>
      <c r="B1562" s="3"/>
      <c r="C1562" s="3" t="s">
        <v>55</v>
      </c>
      <c r="D1562" s="5">
        <f>D1568+D1577</f>
        <v>-219665</v>
      </c>
      <c r="E1562" s="5">
        <f>E1568+E1577</f>
        <v>-67867.520000000004</v>
      </c>
      <c r="F1562" s="5">
        <f t="shared" si="580"/>
        <v>-64059.427433473975</v>
      </c>
      <c r="G1562" s="5">
        <f t="shared" si="581"/>
        <v>3808.0925665260293</v>
      </c>
    </row>
    <row r="1563" spans="1:7" x14ac:dyDescent="0.35">
      <c r="A1563" s="3"/>
      <c r="B1563" s="3"/>
      <c r="C1563" s="3" t="s">
        <v>101</v>
      </c>
      <c r="D1563" s="5">
        <v>0</v>
      </c>
      <c r="E1563" s="5">
        <f>+E1569</f>
        <v>-2564.1</v>
      </c>
      <c r="F1563" s="5">
        <f>+F1569</f>
        <v>-2564.1</v>
      </c>
      <c r="G1563" s="5">
        <f t="shared" si="581"/>
        <v>0</v>
      </c>
    </row>
    <row r="1564" spans="1:7" x14ac:dyDescent="0.35">
      <c r="A1564" s="3"/>
      <c r="B1564" s="3"/>
      <c r="C1564" s="3" t="s">
        <v>102</v>
      </c>
      <c r="D1564" s="5">
        <f>D1570+D1578</f>
        <v>-3681186</v>
      </c>
      <c r="E1564" s="5">
        <f>E1570+E1578</f>
        <v>-3501885.9978999998</v>
      </c>
      <c r="F1564" s="5">
        <f t="shared" ref="F1564" si="582">F1570+F1578</f>
        <v>-3211534.9093000004</v>
      </c>
      <c r="G1564" s="5">
        <f t="shared" si="581"/>
        <v>290351.08859999944</v>
      </c>
    </row>
    <row r="1565" spans="1:7" x14ac:dyDescent="0.35">
      <c r="A1565" s="3"/>
      <c r="B1565" s="3"/>
      <c r="C1565" s="3" t="s">
        <v>103</v>
      </c>
      <c r="D1565" s="5">
        <f>D1571+D1579</f>
        <v>-1285</v>
      </c>
      <c r="E1565" s="5">
        <f>E1571+E1579</f>
        <v>-1302.189157068</v>
      </c>
      <c r="F1565" s="5">
        <f>F1571+F1579+F1573</f>
        <v>-1672.2443862293685</v>
      </c>
      <c r="G1565" s="5">
        <f t="shared" si="581"/>
        <v>-370.05522916136852</v>
      </c>
    </row>
    <row r="1566" spans="1:7" x14ac:dyDescent="0.35">
      <c r="A1566" s="37"/>
      <c r="B1566" s="37"/>
      <c r="C1566" s="37" t="s">
        <v>105</v>
      </c>
      <c r="D1566" s="38">
        <f>SUM(D1567:D1571)</f>
        <v>-3370603</v>
      </c>
      <c r="E1566" s="38">
        <f>SUM(E1567:E1571)</f>
        <v>-3853482.3968320652</v>
      </c>
      <c r="F1566" s="38">
        <f t="shared" ref="F1566" si="583">SUM(F1567:F1571)</f>
        <v>-2905979.0712918653</v>
      </c>
      <c r="G1566" s="38">
        <f>F1566-E1566</f>
        <v>947503.32554019988</v>
      </c>
    </row>
    <row r="1567" spans="1:7" x14ac:dyDescent="0.35">
      <c r="A1567" s="3"/>
      <c r="B1567" s="3"/>
      <c r="C1567" s="3" t="s">
        <v>54</v>
      </c>
      <c r="D1567" s="5">
        <v>-247116</v>
      </c>
      <c r="E1567" s="5">
        <v>-280906.38177499722</v>
      </c>
      <c r="F1567" s="5">
        <v>-244700.81350319152</v>
      </c>
      <c r="G1567" s="5">
        <f t="shared" ref="G1567:G1571" si="584">F1567-E1567</f>
        <v>36205.568271805707</v>
      </c>
    </row>
    <row r="1568" spans="1:7" x14ac:dyDescent="0.35">
      <c r="A1568" s="3"/>
      <c r="B1568" s="3"/>
      <c r="C1568" s="3" t="s">
        <v>55</v>
      </c>
      <c r="D1568" s="48">
        <v>-212854</v>
      </c>
      <c r="E1568" s="5">
        <f>-65735.05-2132.47</f>
        <v>-67867.520000000004</v>
      </c>
      <c r="F1568" s="5">
        <v>-64049.809933473975</v>
      </c>
      <c r="G1568" s="5">
        <f t="shared" si="584"/>
        <v>3817.7100665260296</v>
      </c>
    </row>
    <row r="1569" spans="1:7" x14ac:dyDescent="0.35">
      <c r="A1569" s="3"/>
      <c r="B1569" s="3"/>
      <c r="C1569" s="3" t="s">
        <v>101</v>
      </c>
      <c r="D1569" s="5">
        <v>0</v>
      </c>
      <c r="E1569" s="5">
        <v>-2564.1</v>
      </c>
      <c r="F1569" s="5">
        <v>-2564.1</v>
      </c>
      <c r="G1569" s="5">
        <f t="shared" si="584"/>
        <v>0</v>
      </c>
    </row>
    <row r="1570" spans="1:7" x14ac:dyDescent="0.35">
      <c r="A1570" s="3"/>
      <c r="B1570" s="3"/>
      <c r="C1570" s="3" t="s">
        <v>102</v>
      </c>
      <c r="D1570" s="5">
        <v>-2910392</v>
      </c>
      <c r="E1570" s="5">
        <v>-3501885.9978999998</v>
      </c>
      <c r="F1570" s="5">
        <v>-2594439.1597000002</v>
      </c>
      <c r="G1570" s="5">
        <f t="shared" si="584"/>
        <v>907446.83819999965</v>
      </c>
    </row>
    <row r="1571" spans="1:7" x14ac:dyDescent="0.35">
      <c r="A1571" s="3"/>
      <c r="B1571" s="3"/>
      <c r="C1571" s="3" t="s">
        <v>56</v>
      </c>
      <c r="D1571" s="5">
        <v>-241</v>
      </c>
      <c r="E1571" s="5">
        <v>-258.39715706799996</v>
      </c>
      <c r="F1571" s="5">
        <v>-225.18815520000001</v>
      </c>
      <c r="G1571" s="5">
        <f t="shared" si="584"/>
        <v>33.209001867999945</v>
      </c>
    </row>
    <row r="1572" spans="1:7" x14ac:dyDescent="0.35">
      <c r="A1572" s="3"/>
      <c r="B1572" s="3"/>
      <c r="C1572" s="37" t="s">
        <v>106</v>
      </c>
      <c r="D1572" s="38">
        <v>0</v>
      </c>
      <c r="E1572" s="38">
        <f>SUM(E1573)</f>
        <v>0</v>
      </c>
      <c r="F1572" s="38">
        <f>+F1573</f>
        <v>43.321296570631873</v>
      </c>
      <c r="G1572" s="38">
        <f>F1572-E1572</f>
        <v>43.321296570631873</v>
      </c>
    </row>
    <row r="1573" spans="1:7" x14ac:dyDescent="0.35">
      <c r="A1573" s="3"/>
      <c r="B1573" s="3"/>
      <c r="C1573" s="3" t="s">
        <v>56</v>
      </c>
      <c r="D1573" s="5">
        <v>0</v>
      </c>
      <c r="E1573" s="5">
        <v>0</v>
      </c>
      <c r="F1573" s="2">
        <v>43.321296570631873</v>
      </c>
      <c r="G1573" s="5">
        <f t="shared" ref="G1573" si="585">F1573-E1573</f>
        <v>43.321296570631873</v>
      </c>
    </row>
    <row r="1574" spans="1:7" x14ac:dyDescent="0.35">
      <c r="A1574" s="37"/>
      <c r="B1574" s="37"/>
      <c r="C1574" s="37" t="s">
        <v>107</v>
      </c>
      <c r="D1574" s="38">
        <f>SUM(D1576:D1578)</f>
        <v>-815970</v>
      </c>
      <c r="E1574" s="38">
        <f>SUM(E1575:E1578)</f>
        <v>-955908.38402999996</v>
      </c>
      <c r="F1574" s="38">
        <f t="shared" ref="F1574" si="586">SUM(F1576:F1578)</f>
        <v>-653108.65702499996</v>
      </c>
      <c r="G1574" s="38">
        <f>F1574-E1574</f>
        <v>302799.72700499999</v>
      </c>
    </row>
    <row r="1575" spans="1:7" x14ac:dyDescent="0.35">
      <c r="A1575" s="37"/>
      <c r="B1575" s="37"/>
      <c r="C1575" s="3" t="s">
        <v>155</v>
      </c>
      <c r="D1575" s="5">
        <v>0</v>
      </c>
      <c r="E1575" s="5">
        <v>-955908.38402999996</v>
      </c>
      <c r="F1575" s="5">
        <v>0</v>
      </c>
      <c r="G1575" s="5">
        <f>F1575-E1575</f>
        <v>955908.38402999996</v>
      </c>
    </row>
    <row r="1576" spans="1:7" x14ac:dyDescent="0.35">
      <c r="A1576" s="3"/>
      <c r="B1576" s="3"/>
      <c r="C1576" s="3" t="s">
        <v>54</v>
      </c>
      <c r="D1576" s="5">
        <v>-38365</v>
      </c>
      <c r="E1576" s="5">
        <v>0</v>
      </c>
      <c r="F1576" s="5">
        <v>-36003.289925000005</v>
      </c>
      <c r="G1576" s="5">
        <f t="shared" ref="G1576:G1579" si="587">F1576-E1576</f>
        <v>-36003.289925000005</v>
      </c>
    </row>
    <row r="1577" spans="1:7" x14ac:dyDescent="0.35">
      <c r="A1577" s="37"/>
      <c r="B1577" s="37"/>
      <c r="C1577" s="3" t="s">
        <v>55</v>
      </c>
      <c r="D1577" s="5">
        <v>-6811</v>
      </c>
      <c r="E1577" s="5">
        <v>0</v>
      </c>
      <c r="F1577" s="5">
        <v>-9.6175000000000015</v>
      </c>
      <c r="G1577" s="5">
        <f t="shared" si="587"/>
        <v>-9.6175000000000015</v>
      </c>
    </row>
    <row r="1578" spans="1:7" x14ac:dyDescent="0.35">
      <c r="A1578" s="37"/>
      <c r="B1578" s="37"/>
      <c r="C1578" s="3" t="s">
        <v>102</v>
      </c>
      <c r="D1578" s="5">
        <f>-292208-143576-335010</f>
        <v>-770794</v>
      </c>
      <c r="E1578" s="5">
        <v>0</v>
      </c>
      <c r="F1578" s="5">
        <v>-617095.74959999998</v>
      </c>
      <c r="G1578" s="5">
        <f t="shared" si="587"/>
        <v>-617095.74959999998</v>
      </c>
    </row>
    <row r="1579" spans="1:7" x14ac:dyDescent="0.35">
      <c r="A1579" s="37"/>
      <c r="B1579" s="37"/>
      <c r="C1579" s="37" t="s">
        <v>109</v>
      </c>
      <c r="D1579" s="38">
        <v>-1044</v>
      </c>
      <c r="E1579" s="38">
        <v>-1043.7919999999999</v>
      </c>
      <c r="F1579" s="5">
        <v>-1490.3775276000003</v>
      </c>
      <c r="G1579" s="38">
        <f t="shared" si="587"/>
        <v>-446.58552760000043</v>
      </c>
    </row>
    <row r="1580" spans="1:7" x14ac:dyDescent="0.35">
      <c r="A1580" s="37"/>
      <c r="B1580" s="37" t="s">
        <v>116</v>
      </c>
      <c r="C1580" s="37"/>
      <c r="D1580" s="38">
        <f>SUM(D1582:D1584)</f>
        <v>-27490</v>
      </c>
      <c r="E1580" s="38">
        <f>SUM(E1581:E1584)</f>
        <v>-30352.229857050079</v>
      </c>
      <c r="F1580" s="38">
        <f>SUM(F1582:F1584)</f>
        <v>-28935.863338531028</v>
      </c>
      <c r="G1580" s="38">
        <f>F1580-E1580</f>
        <v>1416.3665185190512</v>
      </c>
    </row>
    <row r="1581" spans="1:7" x14ac:dyDescent="0.35">
      <c r="A1581" s="37"/>
      <c r="B1581" s="37"/>
      <c r="C1581" s="3" t="s">
        <v>155</v>
      </c>
      <c r="D1581" s="38">
        <v>0</v>
      </c>
      <c r="E1581" s="5">
        <f>+E1592+E1596</f>
        <v>-2032.4062662179481</v>
      </c>
      <c r="F1581" s="5">
        <v>0</v>
      </c>
      <c r="G1581" s="5">
        <f>F1581-E1581</f>
        <v>2032.4062662179481</v>
      </c>
    </row>
    <row r="1582" spans="1:7" x14ac:dyDescent="0.35">
      <c r="A1582" s="3"/>
      <c r="B1582" s="3"/>
      <c r="C1582" s="3" t="s">
        <v>54</v>
      </c>
      <c r="D1582" s="5">
        <f>D1586+D1593</f>
        <v>-10196</v>
      </c>
      <c r="E1582" s="5">
        <f t="shared" ref="E1582:F1583" si="588">E1586+E1593</f>
        <v>-11218.413335477757</v>
      </c>
      <c r="F1582" s="5">
        <f>F1586+F1593+F1597</f>
        <v>-11179.935649459536</v>
      </c>
      <c r="G1582" s="5">
        <f t="shared" ref="G1582:G1584" si="589">F1582-E1582</f>
        <v>38.477686018220993</v>
      </c>
    </row>
    <row r="1583" spans="1:7" x14ac:dyDescent="0.35">
      <c r="A1583" s="3"/>
      <c r="B1583" s="3"/>
      <c r="C1583" s="3" t="s">
        <v>55</v>
      </c>
      <c r="D1583" s="5">
        <f>D1587+D1594</f>
        <v>-13295</v>
      </c>
      <c r="E1583" s="5">
        <f t="shared" si="588"/>
        <v>-13099.428124384987</v>
      </c>
      <c r="F1583" s="5">
        <f t="shared" si="588"/>
        <v>-13217.566473317247</v>
      </c>
      <c r="G1583" s="5">
        <f t="shared" si="589"/>
        <v>-118.13834893225976</v>
      </c>
    </row>
    <row r="1584" spans="1:7" x14ac:dyDescent="0.35">
      <c r="A1584" s="3"/>
      <c r="B1584" s="3"/>
      <c r="C1584" s="3" t="s">
        <v>103</v>
      </c>
      <c r="D1584" s="5">
        <f>D1598</f>
        <v>-3999</v>
      </c>
      <c r="E1584" s="5">
        <f>E1598+E1588</f>
        <v>-4001.9821309693875</v>
      </c>
      <c r="F1584" s="5">
        <f>F1598+F1588</f>
        <v>-4538.3612157542439</v>
      </c>
      <c r="G1584" s="5">
        <f t="shared" si="589"/>
        <v>-536.37908478485633</v>
      </c>
    </row>
    <row r="1585" spans="1:7" x14ac:dyDescent="0.35">
      <c r="A1585" s="37"/>
      <c r="B1585" s="37"/>
      <c r="C1585" s="37" t="s">
        <v>105</v>
      </c>
      <c r="D1585" s="38">
        <f>SUM(D1586:D1587)</f>
        <v>-23434</v>
      </c>
      <c r="E1585" s="38">
        <f>SUM(E1586:E1588)</f>
        <v>-24321.136950604938</v>
      </c>
      <c r="F1585" s="38">
        <f>SUM(F1586:F1588)</f>
        <v>-24337.083808971678</v>
      </c>
      <c r="G1585" s="38">
        <f>F1585-E1585</f>
        <v>-15.946858366740344</v>
      </c>
    </row>
    <row r="1586" spans="1:7" x14ac:dyDescent="0.35">
      <c r="A1586" s="3"/>
      <c r="B1586" s="3"/>
      <c r="C1586" s="3" t="s">
        <v>54</v>
      </c>
      <c r="D1586" s="5">
        <v>-10196</v>
      </c>
      <c r="E1586" s="5">
        <v>-11218.413335477757</v>
      </c>
      <c r="F1586" s="5">
        <v>-11158.305647685793</v>
      </c>
      <c r="G1586" s="5">
        <f t="shared" ref="G1586:G1588" si="590">F1586-E1586</f>
        <v>60.107687791964054</v>
      </c>
    </row>
    <row r="1587" spans="1:7" x14ac:dyDescent="0.35">
      <c r="A1587" s="3"/>
      <c r="B1587" s="3"/>
      <c r="C1587" s="3" t="s">
        <v>55</v>
      </c>
      <c r="D1587" s="5">
        <v>-13238</v>
      </c>
      <c r="E1587" s="5">
        <v>-13099.428124384987</v>
      </c>
      <c r="F1587" s="5">
        <v>-13175.017783779755</v>
      </c>
      <c r="G1587" s="5">
        <f t="shared" si="590"/>
        <v>-75.589659394767295</v>
      </c>
    </row>
    <row r="1588" spans="1:7" x14ac:dyDescent="0.35">
      <c r="A1588" s="3"/>
      <c r="B1588" s="3"/>
      <c r="C1588" s="3" t="s">
        <v>56</v>
      </c>
      <c r="D1588" s="5">
        <v>0</v>
      </c>
      <c r="E1588" s="5">
        <v>-3.2954907421968258</v>
      </c>
      <c r="F1588" s="5">
        <v>-3.7603775061292728</v>
      </c>
      <c r="G1588" s="5">
        <f t="shared" si="590"/>
        <v>-0.46488676393244699</v>
      </c>
    </row>
    <row r="1589" spans="1:7" x14ac:dyDescent="0.35">
      <c r="A1589" s="3"/>
      <c r="B1589" s="3"/>
      <c r="C1589" s="37" t="s">
        <v>106</v>
      </c>
      <c r="D1589" s="38">
        <v>0</v>
      </c>
      <c r="E1589" s="38">
        <f>SUM(E1590)</f>
        <v>0</v>
      </c>
      <c r="F1589" s="38">
        <f>+F1590</f>
        <v>-1.0197673291928924</v>
      </c>
      <c r="G1589" s="38">
        <f>F1589-E1589</f>
        <v>-1.0197673291928924</v>
      </c>
    </row>
    <row r="1590" spans="1:7" x14ac:dyDescent="0.35">
      <c r="A1590" s="3"/>
      <c r="B1590" s="3"/>
      <c r="C1590" s="3" t="s">
        <v>56</v>
      </c>
      <c r="D1590" s="5">
        <v>0</v>
      </c>
      <c r="E1590" s="5">
        <v>0</v>
      </c>
      <c r="F1590" s="2">
        <v>-1.0197673291928924</v>
      </c>
      <c r="G1590" s="5">
        <f t="shared" ref="G1590" si="591">F1590-E1590</f>
        <v>-1.0197673291928924</v>
      </c>
    </row>
    <row r="1591" spans="1:7" x14ac:dyDescent="0.35">
      <c r="A1591" s="37"/>
      <c r="B1591" s="37"/>
      <c r="C1591" s="37" t="s">
        <v>107</v>
      </c>
      <c r="D1591" s="38">
        <f>SUM(D1593:D1594)</f>
        <v>-57</v>
      </c>
      <c r="E1591" s="38">
        <f>SUM(E1592:E1594)</f>
        <v>-42.900550323140322</v>
      </c>
      <c r="F1591" s="38">
        <f>SUM(F1593:F1594)</f>
        <v>-42.548689537492805</v>
      </c>
      <c r="G1591" s="38">
        <f>F1591-E1591</f>
        <v>0.3518607856475171</v>
      </c>
    </row>
    <row r="1592" spans="1:7" x14ac:dyDescent="0.35">
      <c r="A1592" s="37"/>
      <c r="B1592" s="37"/>
      <c r="C1592" s="3" t="s">
        <v>155</v>
      </c>
      <c r="D1592" s="38">
        <v>0</v>
      </c>
      <c r="E1592" s="2">
        <v>-42.900550323140322</v>
      </c>
      <c r="F1592" s="38">
        <v>0</v>
      </c>
      <c r="G1592" s="38">
        <f>F1592-E1592</f>
        <v>42.900550323140322</v>
      </c>
    </row>
    <row r="1593" spans="1:7" x14ac:dyDescent="0.35">
      <c r="A1593" s="3"/>
      <c r="B1593" s="3"/>
      <c r="C1593" s="3" t="s">
        <v>54</v>
      </c>
      <c r="D1593" s="5">
        <v>0</v>
      </c>
      <c r="E1593" s="5">
        <f t="shared" ref="E1593" si="592">D1593</f>
        <v>0</v>
      </c>
      <c r="F1593" s="5">
        <v>0</v>
      </c>
      <c r="G1593" s="5">
        <f t="shared" ref="G1593:G1604" si="593">F1593-E1593</f>
        <v>0</v>
      </c>
    </row>
    <row r="1594" spans="1:7" x14ac:dyDescent="0.35">
      <c r="A1594" s="37"/>
      <c r="B1594" s="37"/>
      <c r="C1594" s="3" t="s">
        <v>55</v>
      </c>
      <c r="D1594" s="5">
        <v>-57</v>
      </c>
      <c r="E1594" s="5">
        <v>0</v>
      </c>
      <c r="F1594" s="2">
        <v>-42.548689537492805</v>
      </c>
      <c r="G1594" s="5">
        <f t="shared" si="593"/>
        <v>-42.548689537492805</v>
      </c>
    </row>
    <row r="1595" spans="1:7" x14ac:dyDescent="0.35">
      <c r="A1595" s="37"/>
      <c r="B1595" s="37"/>
      <c r="C1595" s="37" t="s">
        <v>108</v>
      </c>
      <c r="D1595" s="38">
        <v>0</v>
      </c>
      <c r="E1595" s="38">
        <f>SUM(E1596:E1597)</f>
        <v>-1989.5057158948077</v>
      </c>
      <c r="F1595" s="38">
        <f>+F1596+F1597</f>
        <v>-21.630001773742521</v>
      </c>
      <c r="G1595" s="38">
        <f>F1595-E1595</f>
        <v>1967.8757141210651</v>
      </c>
    </row>
    <row r="1596" spans="1:7" x14ac:dyDescent="0.35">
      <c r="A1596" s="37"/>
      <c r="B1596" s="37"/>
      <c r="C1596" s="3" t="s">
        <v>155</v>
      </c>
      <c r="D1596" s="38">
        <v>0</v>
      </c>
      <c r="E1596" s="2">
        <v>-1989.5057158948077</v>
      </c>
      <c r="F1596" s="5">
        <v>0</v>
      </c>
      <c r="G1596" s="5">
        <f>F1596-E1596</f>
        <v>1989.5057158948077</v>
      </c>
    </row>
    <row r="1597" spans="1:7" x14ac:dyDescent="0.35">
      <c r="A1597" s="37"/>
      <c r="B1597" s="37"/>
      <c r="C1597" s="3" t="s">
        <v>54</v>
      </c>
      <c r="D1597" s="5">
        <v>0</v>
      </c>
      <c r="E1597" s="5">
        <v>0</v>
      </c>
      <c r="F1597" s="5">
        <v>-21.630001773742521</v>
      </c>
      <c r="G1597" s="5">
        <f t="shared" ref="G1597" si="594">F1597-E1597</f>
        <v>-21.630001773742521</v>
      </c>
    </row>
    <row r="1598" spans="1:7" x14ac:dyDescent="0.35">
      <c r="A1598" s="37"/>
      <c r="B1598" s="37"/>
      <c r="C1598" s="37" t="s">
        <v>109</v>
      </c>
      <c r="D1598" s="38">
        <v>-3999</v>
      </c>
      <c r="E1598" s="67">
        <v>-3998.6866402271908</v>
      </c>
      <c r="F1598" s="5">
        <v>-4534.600838248115</v>
      </c>
      <c r="G1598" s="38">
        <f t="shared" si="593"/>
        <v>-535.91419802092423</v>
      </c>
    </row>
    <row r="1599" spans="1:7" x14ac:dyDescent="0.35">
      <c r="A1599" s="37" t="s">
        <v>147</v>
      </c>
      <c r="B1599" s="37"/>
      <c r="C1599" s="37"/>
      <c r="D1599" s="38">
        <f>SUM(D1600:D1604)</f>
        <v>-764488</v>
      </c>
      <c r="E1599" s="38">
        <f>SUM(E1600:E1604)</f>
        <v>-790375.42142211983</v>
      </c>
      <c r="F1599" s="38">
        <f>SUM(F1600:F1604)</f>
        <v>-736271.48175565328</v>
      </c>
      <c r="G1599" s="38">
        <f t="shared" si="593"/>
        <v>54103.939666466555</v>
      </c>
    </row>
    <row r="1600" spans="1:7" x14ac:dyDescent="0.35">
      <c r="A1600" s="3"/>
      <c r="B1600" s="3" t="s">
        <v>105</v>
      </c>
      <c r="C1600" s="3"/>
      <c r="D1600" s="5">
        <f>D1610+D1623</f>
        <v>-761958</v>
      </c>
      <c r="E1600" s="5">
        <f>E1610+E1623</f>
        <v>-786864.52185224334</v>
      </c>
      <c r="F1600" s="5">
        <f>F1610+F1623</f>
        <v>-733270.73691707989</v>
      </c>
      <c r="G1600" s="5">
        <f t="shared" si="593"/>
        <v>53593.78493516345</v>
      </c>
    </row>
    <row r="1601" spans="1:7" x14ac:dyDescent="0.35">
      <c r="A1601" s="3"/>
      <c r="B1601" s="3" t="s">
        <v>106</v>
      </c>
      <c r="C1601" s="3"/>
      <c r="D1601" s="5">
        <v>0</v>
      </c>
      <c r="E1601" s="5">
        <f>+E1615+E1627</f>
        <v>0</v>
      </c>
      <c r="F1601" s="5">
        <f>+F1615+F1627</f>
        <v>20.98896707696921</v>
      </c>
      <c r="G1601" s="5">
        <f t="shared" si="593"/>
        <v>20.98896707696921</v>
      </c>
    </row>
    <row r="1602" spans="1:7" x14ac:dyDescent="0.35">
      <c r="A1602" s="3"/>
      <c r="B1602" s="3" t="s">
        <v>107</v>
      </c>
      <c r="C1602" s="3"/>
      <c r="D1602" s="5">
        <f>D1629</f>
        <v>-28</v>
      </c>
      <c r="E1602" s="5">
        <f>E1629</f>
        <v>-21.289324938666162</v>
      </c>
      <c r="F1602" s="5">
        <f t="shared" ref="F1602" si="595">F1629</f>
        <v>-21.114714623824025</v>
      </c>
      <c r="G1602" s="5">
        <f t="shared" si="593"/>
        <v>0.17461031484213763</v>
      </c>
    </row>
    <row r="1603" spans="1:7" x14ac:dyDescent="0.35">
      <c r="A1603" s="3"/>
      <c r="B1603" s="3" t="s">
        <v>108</v>
      </c>
      <c r="C1603" s="3"/>
      <c r="D1603" s="5">
        <v>0</v>
      </c>
      <c r="E1603" s="5">
        <f>+E1633</f>
        <v>-987.28881876771686</v>
      </c>
      <c r="F1603" s="5">
        <f>+F1633</f>
        <v>-10.733851494132118</v>
      </c>
      <c r="G1603" s="5">
        <f t="shared" si="593"/>
        <v>976.55496727358479</v>
      </c>
    </row>
    <row r="1604" spans="1:7" x14ac:dyDescent="0.35">
      <c r="A1604" s="3"/>
      <c r="B1604" s="3" t="s">
        <v>109</v>
      </c>
      <c r="C1604" s="3"/>
      <c r="D1604" s="5">
        <f>D1617+D1636</f>
        <v>-2502</v>
      </c>
      <c r="E1604" s="5">
        <f t="shared" ref="E1604:F1604" si="596">E1617+E1636</f>
        <v>-2502.3214261700418</v>
      </c>
      <c r="F1604" s="5">
        <f t="shared" si="596"/>
        <v>-2989.8852395324038</v>
      </c>
      <c r="G1604" s="5">
        <f t="shared" si="593"/>
        <v>-487.563813362362</v>
      </c>
    </row>
    <row r="1605" spans="1:7" x14ac:dyDescent="0.35">
      <c r="A1605" s="37"/>
      <c r="B1605" s="37" t="s">
        <v>31</v>
      </c>
      <c r="C1605" s="37"/>
      <c r="D1605" s="38">
        <f>SUM(D1606:D1609)</f>
        <v>-750847</v>
      </c>
      <c r="E1605" s="38">
        <f>SUM(E1606:E1609)</f>
        <v>-775313.47686481336</v>
      </c>
      <c r="F1605" s="38">
        <f>SUM(F1606:F1609)</f>
        <v>-721911.60286103294</v>
      </c>
      <c r="G1605" s="38">
        <f>F1605-E1605</f>
        <v>53401.874003780424</v>
      </c>
    </row>
    <row r="1606" spans="1:7" x14ac:dyDescent="0.35">
      <c r="A1606" s="3"/>
      <c r="B1606" s="3"/>
      <c r="C1606" s="3" t="s">
        <v>54</v>
      </c>
      <c r="D1606" s="5">
        <f>D1611</f>
        <v>-122610</v>
      </c>
      <c r="E1606" s="5">
        <f t="shared" ref="E1606:F1608" si="597">E1611</f>
        <v>-136284.15981626831</v>
      </c>
      <c r="F1606" s="5">
        <f t="shared" si="597"/>
        <v>-87187.789210082556</v>
      </c>
      <c r="G1606" s="5">
        <f t="shared" ref="G1606:G1609" si="598">F1606-E1606</f>
        <v>49096.370606185752</v>
      </c>
    </row>
    <row r="1607" spans="1:7" x14ac:dyDescent="0.35">
      <c r="A1607" s="3"/>
      <c r="B1607" s="3"/>
      <c r="C1607" s="3" t="s">
        <v>55</v>
      </c>
      <c r="D1607" s="5">
        <f>D1612</f>
        <v>-27125</v>
      </c>
      <c r="E1607" s="5">
        <f t="shared" si="597"/>
        <v>-29991.11</v>
      </c>
      <c r="F1607" s="5">
        <f t="shared" si="597"/>
        <v>-25501.962131325461</v>
      </c>
      <c r="G1607" s="5">
        <f t="shared" si="598"/>
        <v>4489.1478686745395</v>
      </c>
    </row>
    <row r="1608" spans="1:7" x14ac:dyDescent="0.35">
      <c r="A1608" s="3"/>
      <c r="B1608" s="3"/>
      <c r="C1608" s="3" t="s">
        <v>102</v>
      </c>
      <c r="D1608" s="5">
        <f>D1613</f>
        <v>-600474</v>
      </c>
      <c r="E1608" s="5">
        <f t="shared" si="597"/>
        <v>-608391.99789999996</v>
      </c>
      <c r="F1608" s="5">
        <f t="shared" si="597"/>
        <v>-608392</v>
      </c>
      <c r="G1608" s="5">
        <f t="shared" si="598"/>
        <v>-2.1000000415369868E-3</v>
      </c>
    </row>
    <row r="1609" spans="1:7" x14ac:dyDescent="0.35">
      <c r="A1609" s="3"/>
      <c r="B1609" s="3"/>
      <c r="C1609" s="3" t="s">
        <v>103</v>
      </c>
      <c r="D1609" s="5">
        <f>D1614+D1617</f>
        <v>-638</v>
      </c>
      <c r="E1609" s="5">
        <f>E1614+E1617</f>
        <v>-646.20914854500006</v>
      </c>
      <c r="F1609" s="5">
        <f>F1614+F1617+F1616</f>
        <v>-829.85151962494911</v>
      </c>
      <c r="G1609" s="5">
        <f t="shared" si="598"/>
        <v>-183.64237107994904</v>
      </c>
    </row>
    <row r="1610" spans="1:7" x14ac:dyDescent="0.35">
      <c r="A1610" s="37"/>
      <c r="B1610" s="37"/>
      <c r="C1610" s="37" t="s">
        <v>105</v>
      </c>
      <c r="D1610" s="38">
        <f>SUM(D1611:D1614)</f>
        <v>-750329</v>
      </c>
      <c r="E1610" s="38">
        <f>SUM(E1611:E1614)</f>
        <v>-774795.49686481326</v>
      </c>
      <c r="F1610" s="38">
        <f t="shared" ref="F1610" si="599">SUM(F1611:F1614)</f>
        <v>-721193.50057940802</v>
      </c>
      <c r="G1610" s="38">
        <f>F1610-E1610</f>
        <v>53601.996285405243</v>
      </c>
    </row>
    <row r="1611" spans="1:7" x14ac:dyDescent="0.35">
      <c r="A1611" s="3"/>
      <c r="B1611" s="3"/>
      <c r="C1611" s="3" t="s">
        <v>54</v>
      </c>
      <c r="D1611" s="5">
        <v>-122610</v>
      </c>
      <c r="E1611" s="5">
        <v>-136284.15981626831</v>
      </c>
      <c r="F1611" s="5">
        <v>-87187.789210082556</v>
      </c>
      <c r="G1611" s="5">
        <f t="shared" ref="G1611:G1614" si="600">F1611-E1611</f>
        <v>49096.370606185752</v>
      </c>
    </row>
    <row r="1612" spans="1:7" x14ac:dyDescent="0.35">
      <c r="A1612" s="3"/>
      <c r="B1612" s="3"/>
      <c r="C1612" s="3" t="s">
        <v>55</v>
      </c>
      <c r="D1612" s="5">
        <v>-27125</v>
      </c>
      <c r="E1612" s="5">
        <f>-28932.88-1058.23</f>
        <v>-29991.11</v>
      </c>
      <c r="F1612" s="5">
        <v>-25501.962131325461</v>
      </c>
      <c r="G1612" s="5">
        <f t="shared" si="600"/>
        <v>4489.1478686745395</v>
      </c>
    </row>
    <row r="1613" spans="1:7" x14ac:dyDescent="0.35">
      <c r="A1613" s="3"/>
      <c r="B1613" s="3"/>
      <c r="C1613" s="3" t="s">
        <v>102</v>
      </c>
      <c r="D1613" s="5">
        <v>-600474</v>
      </c>
      <c r="E1613" s="5">
        <v>-608391.99789999996</v>
      </c>
      <c r="F1613" s="5">
        <v>-608392</v>
      </c>
      <c r="G1613" s="5">
        <f t="shared" si="600"/>
        <v>-2.1000000415369868E-3</v>
      </c>
    </row>
    <row r="1614" spans="1:7" x14ac:dyDescent="0.35">
      <c r="A1614" s="3"/>
      <c r="B1614" s="3"/>
      <c r="C1614" s="3" t="s">
        <v>56</v>
      </c>
      <c r="D1614" s="5">
        <v>-120</v>
      </c>
      <c r="E1614" s="5">
        <v>-128.22914854499999</v>
      </c>
      <c r="F1614" s="5">
        <v>-111.74923799999999</v>
      </c>
      <c r="G1614" s="5">
        <f t="shared" si="600"/>
        <v>16.479910544999996</v>
      </c>
    </row>
    <row r="1615" spans="1:7" x14ac:dyDescent="0.35">
      <c r="A1615" s="3"/>
      <c r="B1615" s="3"/>
      <c r="C1615" s="37" t="s">
        <v>106</v>
      </c>
      <c r="D1615" s="38">
        <v>0</v>
      </c>
      <c r="E1615" s="38">
        <f>SUM(E1616)</f>
        <v>0</v>
      </c>
      <c r="F1615" s="38">
        <f>+F1616</f>
        <v>21.495024875050948</v>
      </c>
      <c r="G1615" s="38">
        <f>F1615-E1615</f>
        <v>21.495024875050948</v>
      </c>
    </row>
    <row r="1616" spans="1:7" x14ac:dyDescent="0.35">
      <c r="A1616" s="3"/>
      <c r="B1616" s="3"/>
      <c r="C1616" s="3" t="s">
        <v>56</v>
      </c>
      <c r="D1616" s="5">
        <v>0</v>
      </c>
      <c r="E1616" s="5">
        <v>0</v>
      </c>
      <c r="F1616" s="5">
        <v>21.495024875050948</v>
      </c>
      <c r="G1616" s="5">
        <f t="shared" ref="G1616:G1617" si="601">F1616-E1616</f>
        <v>21.495024875050948</v>
      </c>
    </row>
    <row r="1617" spans="1:7" x14ac:dyDescent="0.35">
      <c r="A1617" s="37"/>
      <c r="B1617" s="37"/>
      <c r="C1617" s="37" t="s">
        <v>109</v>
      </c>
      <c r="D1617" s="38">
        <v>-518</v>
      </c>
      <c r="E1617" s="67">
        <v>-517.98000000000013</v>
      </c>
      <c r="F1617" s="5">
        <v>-739.59730650000006</v>
      </c>
      <c r="G1617" s="38">
        <f t="shared" si="601"/>
        <v>-221.61730649999993</v>
      </c>
    </row>
    <row r="1618" spans="1:7" x14ac:dyDescent="0.35">
      <c r="A1618" s="37"/>
      <c r="B1618" s="37" t="s">
        <v>116</v>
      </c>
      <c r="C1618" s="37"/>
      <c r="D1618" s="38">
        <f>SUM(D1620:D1622)</f>
        <v>-13641</v>
      </c>
      <c r="E1618" s="38">
        <f>SUM(E1619:E1622)</f>
        <v>-15061.944557306491</v>
      </c>
      <c r="F1618" s="38">
        <f>SUM(F1620:F1622)</f>
        <v>-14359.372836822185</v>
      </c>
      <c r="G1618" s="38">
        <f>F1618-E1618</f>
        <v>702.57172048430584</v>
      </c>
    </row>
    <row r="1619" spans="1:7" x14ac:dyDescent="0.35">
      <c r="A1619" s="37"/>
      <c r="B1619" s="37"/>
      <c r="C1619" s="3" t="s">
        <v>155</v>
      </c>
      <c r="D1619" s="38">
        <v>0</v>
      </c>
      <c r="E1619" s="5">
        <f>+E1630+E1634</f>
        <v>-1008.578143706383</v>
      </c>
      <c r="F1619" s="5">
        <v>0</v>
      </c>
      <c r="G1619" s="5">
        <f>F1619-E1619</f>
        <v>1008.578143706383</v>
      </c>
    </row>
    <row r="1620" spans="1:7" x14ac:dyDescent="0.35">
      <c r="A1620" s="3"/>
      <c r="B1620" s="3"/>
      <c r="C1620" s="3" t="s">
        <v>54</v>
      </c>
      <c r="D1620" s="5">
        <f>D1624+D1631</f>
        <v>-5060</v>
      </c>
      <c r="E1620" s="5">
        <f t="shared" ref="E1620:F1621" si="602">E1624+E1631</f>
        <v>-5566.8207377677018</v>
      </c>
      <c r="F1620" s="5">
        <f>F1624+F1631+F1635</f>
        <v>-5548.0240006697213</v>
      </c>
      <c r="G1620" s="5">
        <f t="shared" ref="G1620:G1622" si="603">F1620-E1620</f>
        <v>18.79673709798044</v>
      </c>
    </row>
    <row r="1621" spans="1:7" x14ac:dyDescent="0.35">
      <c r="A1621" s="3"/>
      <c r="B1621" s="3"/>
      <c r="C1621" s="3" t="s">
        <v>55</v>
      </c>
      <c r="D1621" s="5">
        <f>D1625+D1632</f>
        <v>-6597</v>
      </c>
      <c r="E1621" s="5">
        <f t="shared" si="602"/>
        <v>-6500.5688680014182</v>
      </c>
      <c r="F1621" s="5">
        <f t="shared" si="602"/>
        <v>-6559.1948221952925</v>
      </c>
      <c r="G1621" s="5">
        <f t="shared" si="603"/>
        <v>-58.62595419387435</v>
      </c>
    </row>
    <row r="1622" spans="1:7" x14ac:dyDescent="0.35">
      <c r="A1622" s="3"/>
      <c r="B1622" s="3"/>
      <c r="C1622" s="3" t="s">
        <v>103</v>
      </c>
      <c r="D1622" s="5">
        <f>D1636</f>
        <v>-1984</v>
      </c>
      <c r="E1622" s="5">
        <f>E1636+E1626</f>
        <v>-1985.9768078309887</v>
      </c>
      <c r="F1622" s="5">
        <f>F1636+F1626</f>
        <v>-2252.1540139571712</v>
      </c>
      <c r="G1622" s="5">
        <f t="shared" si="603"/>
        <v>-266.17720612618245</v>
      </c>
    </row>
    <row r="1623" spans="1:7" x14ac:dyDescent="0.35">
      <c r="A1623" s="37"/>
      <c r="B1623" s="37"/>
      <c r="C1623" s="37" t="s">
        <v>105</v>
      </c>
      <c r="D1623" s="38">
        <f>SUM(D1624:D1625)</f>
        <v>-11629</v>
      </c>
      <c r="E1623" s="38">
        <f>SUM(E1624:E1626)</f>
        <v>-12069.024987430066</v>
      </c>
      <c r="F1623" s="38">
        <f>SUM(F1624:F1626)</f>
        <v>-12077.236337671824</v>
      </c>
      <c r="G1623" s="38">
        <f>F1623-E1623</f>
        <v>-8.2113502417578275</v>
      </c>
    </row>
    <row r="1624" spans="1:7" x14ac:dyDescent="0.35">
      <c r="A1624" s="3"/>
      <c r="B1624" s="3"/>
      <c r="C1624" s="3" t="s">
        <v>54</v>
      </c>
      <c r="D1624" s="5">
        <v>-5060</v>
      </c>
      <c r="E1624" s="5">
        <v>-5566.8207377677018</v>
      </c>
      <c r="F1624" s="5">
        <v>-5537.2901491755892</v>
      </c>
      <c r="G1624" s="5">
        <f t="shared" ref="G1624:G1626" si="604">F1624-E1624</f>
        <v>29.530588592112508</v>
      </c>
    </row>
    <row r="1625" spans="1:7" x14ac:dyDescent="0.35">
      <c r="A1625" s="3"/>
      <c r="B1625" s="3"/>
      <c r="C1625" s="3" t="s">
        <v>55</v>
      </c>
      <c r="D1625" s="5">
        <v>-6569</v>
      </c>
      <c r="E1625" s="5">
        <v>-6500.5688680014182</v>
      </c>
      <c r="F1625" s="5">
        <v>-6538.0801075714689</v>
      </c>
      <c r="G1625" s="5">
        <f t="shared" si="604"/>
        <v>-37.511239570050748</v>
      </c>
    </row>
    <row r="1626" spans="1:7" x14ac:dyDescent="0.35">
      <c r="A1626" s="3"/>
      <c r="B1626" s="3"/>
      <c r="C1626" s="3" t="s">
        <v>56</v>
      </c>
      <c r="D1626" s="5">
        <v>0</v>
      </c>
      <c r="E1626" s="5">
        <v>-1.6353816609469236</v>
      </c>
      <c r="F1626" s="5">
        <v>-1.8660809247674253</v>
      </c>
      <c r="G1626" s="5">
        <f t="shared" si="604"/>
        <v>-0.23069926382050165</v>
      </c>
    </row>
    <row r="1627" spans="1:7" x14ac:dyDescent="0.35">
      <c r="A1627" s="3"/>
      <c r="B1627" s="3"/>
      <c r="C1627" s="37" t="s">
        <v>106</v>
      </c>
      <c r="D1627" s="38">
        <v>0</v>
      </c>
      <c r="E1627" s="38">
        <f>SUM(E1628)</f>
        <v>0</v>
      </c>
      <c r="F1627" s="38">
        <f>+F1628</f>
        <v>-0.5060577980817389</v>
      </c>
      <c r="G1627" s="38">
        <f>F1627-E1627</f>
        <v>-0.5060577980817389</v>
      </c>
    </row>
    <row r="1628" spans="1:7" x14ac:dyDescent="0.35">
      <c r="A1628" s="3"/>
      <c r="B1628" s="3"/>
      <c r="C1628" s="3" t="s">
        <v>56</v>
      </c>
      <c r="D1628" s="5">
        <v>0</v>
      </c>
      <c r="E1628" s="5">
        <v>0</v>
      </c>
      <c r="F1628" s="2">
        <v>-0.5060577980817389</v>
      </c>
      <c r="G1628" s="5">
        <f t="shared" ref="G1628" si="605">F1628-E1628</f>
        <v>-0.5060577980817389</v>
      </c>
    </row>
    <row r="1629" spans="1:7" x14ac:dyDescent="0.35">
      <c r="A1629" s="37"/>
      <c r="B1629" s="37"/>
      <c r="C1629" s="37" t="s">
        <v>107</v>
      </c>
      <c r="D1629" s="38">
        <f>SUM(D1631:D1632)</f>
        <v>-28</v>
      </c>
      <c r="E1629" s="38">
        <f>SUM(E1630:E1632)</f>
        <v>-21.289324938666162</v>
      </c>
      <c r="F1629" s="38">
        <f>SUM(F1631:F1632)</f>
        <v>-21.114714623824025</v>
      </c>
      <c r="G1629" s="38">
        <f>F1629-E1629</f>
        <v>0.17461031484213763</v>
      </c>
    </row>
    <row r="1630" spans="1:7" x14ac:dyDescent="0.35">
      <c r="A1630" s="37"/>
      <c r="B1630" s="37"/>
      <c r="C1630" s="3" t="s">
        <v>155</v>
      </c>
      <c r="D1630" s="38">
        <v>0</v>
      </c>
      <c r="E1630" s="2">
        <v>-21.289324938666162</v>
      </c>
      <c r="F1630" s="5">
        <v>0</v>
      </c>
      <c r="G1630" s="5">
        <f>F1630-E1630</f>
        <v>21.289324938666162</v>
      </c>
    </row>
    <row r="1631" spans="1:7" x14ac:dyDescent="0.35">
      <c r="A1631" s="3"/>
      <c r="B1631" s="3"/>
      <c r="C1631" s="3" t="s">
        <v>54</v>
      </c>
      <c r="D1631" s="5">
        <v>0</v>
      </c>
      <c r="E1631" s="5">
        <v>0</v>
      </c>
      <c r="F1631" s="5">
        <v>0</v>
      </c>
      <c r="G1631" s="5">
        <f t="shared" ref="G1631:G1648" si="606">F1631-E1631</f>
        <v>0</v>
      </c>
    </row>
    <row r="1632" spans="1:7" x14ac:dyDescent="0.35">
      <c r="A1632" s="37"/>
      <c r="B1632" s="37"/>
      <c r="C1632" s="3" t="s">
        <v>55</v>
      </c>
      <c r="D1632" s="5">
        <v>-28</v>
      </c>
      <c r="E1632" s="5">
        <v>0</v>
      </c>
      <c r="F1632" s="2">
        <v>-21.114714623824025</v>
      </c>
      <c r="G1632" s="5">
        <f t="shared" si="606"/>
        <v>-21.114714623824025</v>
      </c>
    </row>
    <row r="1633" spans="1:7" x14ac:dyDescent="0.35">
      <c r="A1633" s="37"/>
      <c r="B1633" s="37"/>
      <c r="C1633" s="37" t="s">
        <v>108</v>
      </c>
      <c r="D1633" s="38">
        <v>0</v>
      </c>
      <c r="E1633" s="38">
        <f>SUM(E1634:E1635)</f>
        <v>-987.28881876771686</v>
      </c>
      <c r="F1633" s="38">
        <f>+F1634+F1635</f>
        <v>-10.733851494132118</v>
      </c>
      <c r="G1633" s="38">
        <f>F1633-E1633</f>
        <v>976.55496727358479</v>
      </c>
    </row>
    <row r="1634" spans="1:7" x14ac:dyDescent="0.35">
      <c r="A1634" s="37"/>
      <c r="B1634" s="37"/>
      <c r="C1634" s="3" t="s">
        <v>155</v>
      </c>
      <c r="D1634" s="38">
        <v>0</v>
      </c>
      <c r="E1634" s="2">
        <v>-987.28881876771686</v>
      </c>
      <c r="F1634" s="5">
        <v>0</v>
      </c>
      <c r="G1634" s="5">
        <f>F1634-E1634</f>
        <v>987.28881876771686</v>
      </c>
    </row>
    <row r="1635" spans="1:7" x14ac:dyDescent="0.35">
      <c r="A1635" s="37"/>
      <c r="B1635" s="37"/>
      <c r="C1635" s="3" t="s">
        <v>54</v>
      </c>
      <c r="D1635" s="5">
        <v>0</v>
      </c>
      <c r="E1635" s="5">
        <v>0</v>
      </c>
      <c r="F1635" s="5">
        <v>-10.733851494132118</v>
      </c>
      <c r="G1635" s="5">
        <f t="shared" ref="G1635" si="607">F1635-E1635</f>
        <v>-10.733851494132118</v>
      </c>
    </row>
    <row r="1636" spans="1:7" x14ac:dyDescent="0.35">
      <c r="A1636" s="37"/>
      <c r="B1636" s="37"/>
      <c r="C1636" s="37" t="s">
        <v>109</v>
      </c>
      <c r="D1636" s="38">
        <v>-1984</v>
      </c>
      <c r="E1636" s="67">
        <v>-1984.3414261700418</v>
      </c>
      <c r="F1636" s="38">
        <v>-2250.2879330324035</v>
      </c>
      <c r="G1636" s="38">
        <f t="shared" si="606"/>
        <v>-265.94650686236173</v>
      </c>
    </row>
    <row r="1637" spans="1:7" x14ac:dyDescent="0.35">
      <c r="A1637" s="38" t="s">
        <v>148</v>
      </c>
      <c r="B1637" s="37"/>
      <c r="C1637" s="37"/>
      <c r="D1637" s="38">
        <f>SUM(D1638:D1642)</f>
        <v>-7480895</v>
      </c>
      <c r="E1637" s="38">
        <f>SUM(E1638:E1642)</f>
        <v>-10354914.177745346</v>
      </c>
      <c r="F1637" s="38">
        <f>SUM(F1638:F1642)</f>
        <v>-7681241.5205114037</v>
      </c>
      <c r="G1637" s="38">
        <f t="shared" si="606"/>
        <v>2673672.6572339423</v>
      </c>
    </row>
    <row r="1638" spans="1:7" x14ac:dyDescent="0.35">
      <c r="A1638" s="36"/>
      <c r="B1638" s="3" t="s">
        <v>105</v>
      </c>
      <c r="C1638" s="3"/>
      <c r="D1638" s="5">
        <f>D1644+D1685</f>
        <v>-6256770</v>
      </c>
      <c r="E1638" s="5">
        <f>E1644+E1685</f>
        <v>-7696028.4555034591</v>
      </c>
      <c r="F1638" s="5">
        <f>F1644+F1685</f>
        <v>-6051988.2808339959</v>
      </c>
      <c r="G1638" s="5">
        <f t="shared" si="606"/>
        <v>1644040.1746694632</v>
      </c>
    </row>
    <row r="1639" spans="1:7" x14ac:dyDescent="0.35">
      <c r="A1639" s="36"/>
      <c r="B1639" s="3" t="s">
        <v>106</v>
      </c>
      <c r="C1639" s="3"/>
      <c r="D1639" s="5">
        <v>0</v>
      </c>
      <c r="E1639" s="5">
        <f>+E1658+E1673</f>
        <v>0</v>
      </c>
      <c r="F1639" s="5">
        <f>+F1645+F1686</f>
        <v>176.26369805857968</v>
      </c>
      <c r="G1639" s="5">
        <f t="shared" si="606"/>
        <v>176.26369805857968</v>
      </c>
    </row>
    <row r="1640" spans="1:7" x14ac:dyDescent="0.35">
      <c r="A1640" s="3"/>
      <c r="B1640" s="3" t="s">
        <v>107</v>
      </c>
      <c r="C1640" s="3"/>
      <c r="D1640" s="5">
        <f t="shared" ref="D1640:F1642" si="608">D1646+D1687</f>
        <v>-78069</v>
      </c>
      <c r="E1640" s="5">
        <f t="shared" si="608"/>
        <v>-533041.72295910469</v>
      </c>
      <c r="F1640" s="5">
        <f t="shared" si="608"/>
        <v>-516004.34547391528</v>
      </c>
      <c r="G1640" s="5">
        <f t="shared" si="606"/>
        <v>17037.377485189412</v>
      </c>
    </row>
    <row r="1641" spans="1:7" x14ac:dyDescent="0.35">
      <c r="A1641" s="3"/>
      <c r="B1641" s="3" t="s">
        <v>108</v>
      </c>
      <c r="C1641" s="3"/>
      <c r="D1641" s="5">
        <f t="shared" si="608"/>
        <v>-500000</v>
      </c>
      <c r="E1641" s="5">
        <f t="shared" si="608"/>
        <v>-1479788.1895562275</v>
      </c>
      <c r="F1641" s="5">
        <f t="shared" si="608"/>
        <v>-38675.159278468949</v>
      </c>
      <c r="G1641" s="5">
        <f t="shared" si="606"/>
        <v>1441113.0302777586</v>
      </c>
    </row>
    <row r="1642" spans="1:7" x14ac:dyDescent="0.35">
      <c r="A1642" s="3"/>
      <c r="B1642" s="3" t="s">
        <v>109</v>
      </c>
      <c r="C1642" s="3"/>
      <c r="D1642" s="5">
        <f t="shared" si="608"/>
        <v>-646056</v>
      </c>
      <c r="E1642" s="5">
        <f t="shared" si="608"/>
        <v>-646055.80972655548</v>
      </c>
      <c r="F1642" s="5">
        <f t="shared" si="608"/>
        <v>-1074749.9986230813</v>
      </c>
      <c r="G1642" s="5">
        <f t="shared" si="606"/>
        <v>-428694.18889652577</v>
      </c>
    </row>
    <row r="1643" spans="1:7" x14ac:dyDescent="0.35">
      <c r="A1643" s="37" t="s">
        <v>149</v>
      </c>
      <c r="B1643" s="37"/>
      <c r="C1643" s="37"/>
      <c r="D1643" s="38">
        <f>SUM(D1644:D1648)</f>
        <v>-4079405</v>
      </c>
      <c r="E1643" s="38">
        <f>SUM(E1644:E1648)</f>
        <v>-5666324.4961420428</v>
      </c>
      <c r="F1643" s="38">
        <f>SUM(F1644:F1648)</f>
        <v>-4168100.5686176419</v>
      </c>
      <c r="G1643" s="38">
        <f t="shared" si="606"/>
        <v>1498223.9275244009</v>
      </c>
    </row>
    <row r="1644" spans="1:7" x14ac:dyDescent="0.35">
      <c r="A1644" s="3"/>
      <c r="B1644" s="3" t="s">
        <v>105</v>
      </c>
      <c r="C1644" s="3"/>
      <c r="D1644" s="5">
        <f>D1654+D1669</f>
        <v>-3445565</v>
      </c>
      <c r="E1644" s="5">
        <f>E1654+E1669</f>
        <v>-4245782.1551807513</v>
      </c>
      <c r="F1644" s="5">
        <f>F1654+F1669</f>
        <v>-3305407.9426088333</v>
      </c>
      <c r="G1644" s="5">
        <f t="shared" si="606"/>
        <v>940374.21257191803</v>
      </c>
    </row>
    <row r="1645" spans="1:7" x14ac:dyDescent="0.35">
      <c r="A1645" s="3"/>
      <c r="B1645" s="3" t="s">
        <v>106</v>
      </c>
      <c r="C1645" s="3"/>
      <c r="D1645" s="5">
        <v>0</v>
      </c>
      <c r="E1645" s="5">
        <f>+E1658+E1673</f>
        <v>0</v>
      </c>
      <c r="F1645" s="5">
        <f>+F1658+F1673</f>
        <v>100.64901949859247</v>
      </c>
      <c r="G1645" s="5">
        <f t="shared" si="606"/>
        <v>100.64901949859247</v>
      </c>
    </row>
    <row r="1646" spans="1:7" x14ac:dyDescent="0.35">
      <c r="A1646" s="3"/>
      <c r="B1646" s="3" t="s">
        <v>107</v>
      </c>
      <c r="C1646" s="3"/>
      <c r="D1646" s="5">
        <f>D1675</f>
        <v>-3068</v>
      </c>
      <c r="E1646" s="5">
        <f>E1675+E1660</f>
        <v>-250712.60288884465</v>
      </c>
      <c r="F1646" s="5">
        <f>F1675+F1660</f>
        <v>-249880.15372217103</v>
      </c>
      <c r="G1646" s="5">
        <f t="shared" si="606"/>
        <v>832.44916667361395</v>
      </c>
    </row>
    <row r="1647" spans="1:7" x14ac:dyDescent="0.35">
      <c r="A1647" s="3"/>
      <c r="B1647" s="3" t="s">
        <v>108</v>
      </c>
      <c r="C1647" s="3"/>
      <c r="D1647" s="5">
        <f>D1679</f>
        <v>-275000</v>
      </c>
      <c r="E1647" s="5">
        <f>E1679</f>
        <v>-814057.65386096761</v>
      </c>
      <c r="F1647" s="5">
        <f>F1679</f>
        <v>-21273.230966034876</v>
      </c>
      <c r="G1647" s="5">
        <f t="shared" si="606"/>
        <v>792784.42289493268</v>
      </c>
    </row>
    <row r="1648" spans="1:7" x14ac:dyDescent="0.35">
      <c r="A1648" s="3"/>
      <c r="B1648" s="3" t="s">
        <v>109</v>
      </c>
      <c r="C1648" s="3"/>
      <c r="D1648" s="5">
        <f>D1663+D1683</f>
        <v>-355772</v>
      </c>
      <c r="E1648" s="5">
        <f>E1663+E1683</f>
        <v>-355772.08421147941</v>
      </c>
      <c r="F1648" s="5">
        <f>F1663+F1683</f>
        <v>-591639.89034010086</v>
      </c>
      <c r="G1648" s="5">
        <f t="shared" si="606"/>
        <v>-235867.80612862145</v>
      </c>
    </row>
    <row r="1649" spans="1:7" x14ac:dyDescent="0.35">
      <c r="A1649" s="37"/>
      <c r="B1649" s="37" t="s">
        <v>31</v>
      </c>
      <c r="C1649" s="37"/>
      <c r="D1649" s="38">
        <f>SUM(D1650:D1653)</f>
        <v>-1334423</v>
      </c>
      <c r="E1649" s="38">
        <f t="shared" ref="E1649:F1649" si="609">SUM(E1650:E1653)</f>
        <v>-1533989.1753996427</v>
      </c>
      <c r="F1649" s="38">
        <f t="shared" si="609"/>
        <v>-1213295.1000627752</v>
      </c>
      <c r="G1649" s="38">
        <f>F1649-E1649</f>
        <v>320694.07533686748</v>
      </c>
    </row>
    <row r="1650" spans="1:7" x14ac:dyDescent="0.35">
      <c r="A1650" s="37"/>
      <c r="B1650" s="37"/>
      <c r="C1650" s="3" t="s">
        <v>155</v>
      </c>
      <c r="D1650" s="5">
        <f>D1661</f>
        <v>0</v>
      </c>
      <c r="E1650" s="5">
        <f t="shared" ref="E1650:F1650" si="610">E1661</f>
        <v>-25891.000000000011</v>
      </c>
      <c r="F1650" s="5">
        <f t="shared" si="610"/>
        <v>0</v>
      </c>
      <c r="G1650" s="5">
        <f>F1650-E1650</f>
        <v>25891.000000000011</v>
      </c>
    </row>
    <row r="1651" spans="1:7" x14ac:dyDescent="0.35">
      <c r="A1651" s="3"/>
      <c r="B1651" s="3"/>
      <c r="C1651" s="3" t="s">
        <v>54</v>
      </c>
      <c r="D1651" s="5">
        <f>D1655+D1662</f>
        <v>-1093011</v>
      </c>
      <c r="E1651" s="5">
        <f t="shared" ref="E1651:F1651" si="611">E1655+E1662</f>
        <v>-1234105.6351826137</v>
      </c>
      <c r="F1651" s="5">
        <f t="shared" si="611"/>
        <v>-999285.40797274827</v>
      </c>
      <c r="G1651" s="5">
        <f t="shared" ref="G1651:G1653" si="612">F1651-E1651</f>
        <v>234820.22720986546</v>
      </c>
    </row>
    <row r="1652" spans="1:7" x14ac:dyDescent="0.35">
      <c r="A1652" s="3"/>
      <c r="B1652" s="3"/>
      <c r="C1652" s="3" t="s">
        <v>55</v>
      </c>
      <c r="D1652" s="5">
        <f>D1656</f>
        <v>-235727</v>
      </c>
      <c r="E1652" s="5">
        <f t="shared" ref="E1652:F1652" si="613">E1656</f>
        <v>-268231.73</v>
      </c>
      <c r="F1652" s="5">
        <f t="shared" si="613"/>
        <v>-206611.74793594336</v>
      </c>
      <c r="G1652" s="5">
        <f t="shared" si="612"/>
        <v>61619.982064056618</v>
      </c>
    </row>
    <row r="1653" spans="1:7" x14ac:dyDescent="0.35">
      <c r="A1653" s="3"/>
      <c r="B1653" s="3"/>
      <c r="C1653" s="3" t="s">
        <v>103</v>
      </c>
      <c r="D1653" s="5">
        <f>D1657+D1663</f>
        <v>-5685</v>
      </c>
      <c r="E1653" s="5">
        <f>E1657+E1663</f>
        <v>-5760.8102170289994</v>
      </c>
      <c r="F1653" s="5">
        <f>F1657+F1663+F1659</f>
        <v>-7397.9441540835287</v>
      </c>
      <c r="G1653" s="5">
        <f t="shared" si="612"/>
        <v>-1637.1339370545293</v>
      </c>
    </row>
    <row r="1654" spans="1:7" x14ac:dyDescent="0.35">
      <c r="A1654" s="37"/>
      <c r="B1654" s="37"/>
      <c r="C1654" s="37" t="s">
        <v>105</v>
      </c>
      <c r="D1654" s="38">
        <f>SUM(D1655:D1657)</f>
        <v>-1329805</v>
      </c>
      <c r="E1654" s="38">
        <f>SUM(E1655:E1657)</f>
        <v>-1503480.4993996427</v>
      </c>
      <c r="F1654" s="38">
        <f>SUM(F1655:F1657)</f>
        <v>-1181002.5104042918</v>
      </c>
      <c r="G1654" s="38">
        <f>F1654-E1654</f>
        <v>322477.9889953509</v>
      </c>
    </row>
    <row r="1655" spans="1:7" x14ac:dyDescent="0.35">
      <c r="A1655" s="3"/>
      <c r="B1655" s="3"/>
      <c r="C1655" s="3" t="s">
        <v>54</v>
      </c>
      <c r="D1655" s="5">
        <v>-1093011</v>
      </c>
      <c r="E1655" s="5">
        <v>-1234105.6351826137</v>
      </c>
      <c r="F1655" s="5">
        <v>-973394.54297274828</v>
      </c>
      <c r="G1655" s="5">
        <f t="shared" ref="G1655:G1657" si="614">F1655-E1655</f>
        <v>260711.09220986546</v>
      </c>
    </row>
    <row r="1656" spans="1:7" x14ac:dyDescent="0.35">
      <c r="A1656" s="3"/>
      <c r="B1656" s="3"/>
      <c r="C1656" s="3" t="s">
        <v>55</v>
      </c>
      <c r="D1656" s="5">
        <v>-235727</v>
      </c>
      <c r="E1656" s="5">
        <f>-258797.8-9433.93</f>
        <v>-268231.73</v>
      </c>
      <c r="F1656" s="5">
        <v>-206611.74793594336</v>
      </c>
      <c r="G1656" s="5">
        <f t="shared" si="614"/>
        <v>61619.982064056618</v>
      </c>
    </row>
    <row r="1657" spans="1:7" x14ac:dyDescent="0.35">
      <c r="A1657" s="3"/>
      <c r="B1657" s="3"/>
      <c r="C1657" s="3" t="s">
        <v>56</v>
      </c>
      <c r="D1657" s="5">
        <v>-1067</v>
      </c>
      <c r="E1657" s="5">
        <v>-1143.134217029</v>
      </c>
      <c r="F1657" s="5">
        <v>-996.21949559999996</v>
      </c>
      <c r="G1657" s="5">
        <f t="shared" si="614"/>
        <v>146.914721429</v>
      </c>
    </row>
    <row r="1658" spans="1:7" x14ac:dyDescent="0.35">
      <c r="A1658" s="3"/>
      <c r="B1658" s="3"/>
      <c r="C1658" s="37" t="s">
        <v>106</v>
      </c>
      <c r="D1658" s="38">
        <v>0</v>
      </c>
      <c r="E1658" s="38">
        <f>SUM(E1659)</f>
        <v>0</v>
      </c>
      <c r="F1658" s="38">
        <f>+F1659</f>
        <v>191.62012681647138</v>
      </c>
      <c r="G1658" s="38">
        <f>F1658-E1658</f>
        <v>191.62012681647138</v>
      </c>
    </row>
    <row r="1659" spans="1:7" x14ac:dyDescent="0.35">
      <c r="A1659" s="3"/>
      <c r="B1659" s="3"/>
      <c r="C1659" s="3" t="s">
        <v>56</v>
      </c>
      <c r="D1659" s="5">
        <v>0</v>
      </c>
      <c r="E1659" s="5">
        <v>0</v>
      </c>
      <c r="F1659" s="5">
        <v>191.62012681647138</v>
      </c>
      <c r="G1659" s="5">
        <f t="shared" ref="G1659" si="615">F1659-E1659</f>
        <v>191.62012681647138</v>
      </c>
    </row>
    <row r="1660" spans="1:7" x14ac:dyDescent="0.35">
      <c r="A1660" s="3"/>
      <c r="B1660" s="3"/>
      <c r="C1660" s="37" t="s">
        <v>107</v>
      </c>
      <c r="D1660" s="38">
        <v>0</v>
      </c>
      <c r="E1660" s="38">
        <f>SUM(E1661:E1662)</f>
        <v>-25891.000000000011</v>
      </c>
      <c r="F1660" s="38">
        <f>SUM(F1661:F1662)</f>
        <v>-25890.864999999998</v>
      </c>
      <c r="G1660" s="38">
        <f>F1660-E1660</f>
        <v>0.1350000000129512</v>
      </c>
    </row>
    <row r="1661" spans="1:7" x14ac:dyDescent="0.35">
      <c r="A1661" s="3"/>
      <c r="B1661" s="3"/>
      <c r="C1661" s="3" t="s">
        <v>155</v>
      </c>
      <c r="D1661" s="5">
        <v>0</v>
      </c>
      <c r="E1661" s="2">
        <v>-25891.000000000011</v>
      </c>
      <c r="F1661" s="5">
        <v>0</v>
      </c>
      <c r="G1661" s="5">
        <f>F1661-E1661</f>
        <v>25891.000000000011</v>
      </c>
    </row>
    <row r="1662" spans="1:7" x14ac:dyDescent="0.35">
      <c r="A1662" s="3"/>
      <c r="B1662" s="3"/>
      <c r="C1662" s="3" t="s">
        <v>54</v>
      </c>
      <c r="D1662" s="5">
        <v>0</v>
      </c>
      <c r="E1662" s="5">
        <v>0</v>
      </c>
      <c r="F1662" s="2">
        <v>-25890.864999999998</v>
      </c>
      <c r="G1662" s="5">
        <f t="shared" ref="G1662:G1663" si="616">F1662-E1662</f>
        <v>-25890.864999999998</v>
      </c>
    </row>
    <row r="1663" spans="1:7" x14ac:dyDescent="0.35">
      <c r="A1663" s="37"/>
      <c r="B1663" s="37"/>
      <c r="C1663" s="37" t="s">
        <v>109</v>
      </c>
      <c r="D1663" s="38">
        <v>-4618</v>
      </c>
      <c r="E1663" s="67">
        <v>-4617.6759999999995</v>
      </c>
      <c r="F1663" s="5">
        <v>-6593.3447852999998</v>
      </c>
      <c r="G1663" s="38">
        <f t="shared" si="616"/>
        <v>-1975.6687853000003</v>
      </c>
    </row>
    <row r="1664" spans="1:7" x14ac:dyDescent="0.35">
      <c r="A1664" s="37"/>
      <c r="B1664" s="37" t="s">
        <v>116</v>
      </c>
      <c r="C1664" s="37"/>
      <c r="D1664" s="38">
        <f>SUM(D1666:D1668)</f>
        <v>-2744982</v>
      </c>
      <c r="E1664" s="38">
        <f>SUM(E1665:E1668)</f>
        <v>-4132335.3207423999</v>
      </c>
      <c r="F1664" s="38">
        <f>SUM(F1666:F1668)</f>
        <v>-2954805.468554867</v>
      </c>
      <c r="G1664" s="38">
        <f>F1664-E1664</f>
        <v>1177529.8521875329</v>
      </c>
    </row>
    <row r="1665" spans="1:7" x14ac:dyDescent="0.35">
      <c r="A1665" s="37"/>
      <c r="B1665" s="37"/>
      <c r="C1665" s="3" t="s">
        <v>155</v>
      </c>
      <c r="D1665" s="5">
        <f>D1676+D1680</f>
        <v>0</v>
      </c>
      <c r="E1665" s="5">
        <f t="shared" ref="E1665:F1665" si="617">E1676+E1680</f>
        <v>-1038879.2567498123</v>
      </c>
      <c r="F1665" s="5">
        <f t="shared" si="617"/>
        <v>0</v>
      </c>
      <c r="G1665" s="5">
        <f>F1665-E1665</f>
        <v>1038879.2567498123</v>
      </c>
    </row>
    <row r="1666" spans="1:7" x14ac:dyDescent="0.35">
      <c r="A1666" s="3"/>
      <c r="B1666" s="3"/>
      <c r="C1666" s="3" t="s">
        <v>54</v>
      </c>
      <c r="D1666" s="5">
        <f>D1670+D1677+D1681</f>
        <v>-1651486</v>
      </c>
      <c r="E1666" s="5">
        <f>E1670+E1677+E1681</f>
        <v>-1881309.2937696169</v>
      </c>
      <c r="F1666" s="5">
        <f>F1670+F1677+F1681</f>
        <v>-1632297.8068509838</v>
      </c>
      <c r="G1666" s="5">
        <f t="shared" ref="G1666:G1668" si="618">F1666-E1666</f>
        <v>249011.48691863311</v>
      </c>
    </row>
    <row r="1667" spans="1:7" x14ac:dyDescent="0.35">
      <c r="A1667" s="3"/>
      <c r="B1667" s="3"/>
      <c r="C1667" s="3" t="s">
        <v>55</v>
      </c>
      <c r="D1667" s="5">
        <f>D1671+D1678</f>
        <v>-742342</v>
      </c>
      <c r="E1667" s="5">
        <f>E1671+E1678</f>
        <v>-860838.47</v>
      </c>
      <c r="F1667" s="5">
        <f>F1671+F1678+F1682</f>
        <v>-737297.04453048529</v>
      </c>
      <c r="G1667" s="5">
        <f t="shared" si="618"/>
        <v>123541.42546951468</v>
      </c>
    </row>
    <row r="1668" spans="1:7" x14ac:dyDescent="0.35">
      <c r="A1668" s="3"/>
      <c r="B1668" s="3"/>
      <c r="C1668" s="3" t="s">
        <v>103</v>
      </c>
      <c r="D1668" s="5">
        <f>D1683</f>
        <v>-351154</v>
      </c>
      <c r="E1668" s="5">
        <f>E1683+E1672+E1674</f>
        <v>-351308.30022297113</v>
      </c>
      <c r="F1668" s="5">
        <f>F1683+F1672+F1674</f>
        <v>-585210.6171733978</v>
      </c>
      <c r="G1668" s="5">
        <f t="shared" si="618"/>
        <v>-233902.31695042667</v>
      </c>
    </row>
    <row r="1669" spans="1:7" x14ac:dyDescent="0.35">
      <c r="A1669" s="37"/>
      <c r="B1669" s="37"/>
      <c r="C1669" s="37" t="s">
        <v>105</v>
      </c>
      <c r="D1669" s="38">
        <f>SUM(D1670:D1671)</f>
        <v>-2115760</v>
      </c>
      <c r="E1669" s="38">
        <f>SUM(E1670:E1672)</f>
        <v>-2742301.6557811084</v>
      </c>
      <c r="F1669" s="38">
        <f>SUM(F1670:F1672)</f>
        <v>-2124405.4322045418</v>
      </c>
      <c r="G1669" s="38">
        <f>F1669-E1669</f>
        <v>617896.22357656667</v>
      </c>
    </row>
    <row r="1670" spans="1:7" x14ac:dyDescent="0.35">
      <c r="A1670" s="3"/>
      <c r="B1670" s="3"/>
      <c r="C1670" s="3" t="s">
        <v>54</v>
      </c>
      <c r="D1670" s="5">
        <v>-1376486</v>
      </c>
      <c r="E1670" s="5">
        <v>-1881309.2937696169</v>
      </c>
      <c r="F1670" s="5">
        <v>-1389926.5209593405</v>
      </c>
      <c r="G1670" s="5">
        <f t="shared" ref="G1670:G1672" si="619">F1670-E1670</f>
        <v>491382.77281027636</v>
      </c>
    </row>
    <row r="1671" spans="1:7" x14ac:dyDescent="0.35">
      <c r="A1671" s="3"/>
      <c r="B1671" s="3"/>
      <c r="C1671" s="3" t="s">
        <v>55</v>
      </c>
      <c r="D1671" s="5">
        <v>-739274</v>
      </c>
      <c r="E1671" s="5">
        <f>-859883.26-955.21</f>
        <v>-860838.47</v>
      </c>
      <c r="F1671" s="5">
        <v>-734405.81073392252</v>
      </c>
      <c r="G1671" s="5">
        <f t="shared" si="619"/>
        <v>126432.65926607745</v>
      </c>
    </row>
    <row r="1672" spans="1:7" x14ac:dyDescent="0.35">
      <c r="A1672" s="3"/>
      <c r="B1672" s="3"/>
      <c r="C1672" s="3" t="s">
        <v>56</v>
      </c>
      <c r="D1672" s="5">
        <v>0</v>
      </c>
      <c r="E1672" s="5">
        <v>-153.89201149171924</v>
      </c>
      <c r="F1672" s="5">
        <v>-73.100511279129051</v>
      </c>
      <c r="G1672" s="5">
        <f t="shared" si="619"/>
        <v>80.791500212590194</v>
      </c>
    </row>
    <row r="1673" spans="1:7" x14ac:dyDescent="0.35">
      <c r="A1673" s="3"/>
      <c r="B1673" s="3"/>
      <c r="C1673" s="37" t="s">
        <v>106</v>
      </c>
      <c r="D1673" s="38">
        <v>0</v>
      </c>
      <c r="E1673" s="38">
        <f>SUM(E1674)</f>
        <v>0</v>
      </c>
      <c r="F1673" s="38">
        <f>+F1674</f>
        <v>-90.971107317878918</v>
      </c>
      <c r="G1673" s="38">
        <f>F1673-E1673</f>
        <v>-90.971107317878918</v>
      </c>
    </row>
    <row r="1674" spans="1:7" x14ac:dyDescent="0.35">
      <c r="A1674" s="3"/>
      <c r="B1674" s="3"/>
      <c r="C1674" s="3" t="s">
        <v>56</v>
      </c>
      <c r="D1674" s="5">
        <v>0</v>
      </c>
      <c r="E1674" s="5">
        <v>0</v>
      </c>
      <c r="F1674" s="2">
        <v>-90.971107317878918</v>
      </c>
      <c r="G1674" s="5">
        <f t="shared" ref="G1674" si="620">F1674-E1674</f>
        <v>-90.971107317878918</v>
      </c>
    </row>
    <row r="1675" spans="1:7" x14ac:dyDescent="0.35">
      <c r="A1675" s="37"/>
      <c r="B1675" s="37"/>
      <c r="C1675" s="37" t="s">
        <v>107</v>
      </c>
      <c r="D1675" s="38">
        <f>SUM(D1677:D1678)</f>
        <v>-3068</v>
      </c>
      <c r="E1675" s="38">
        <f>SUM(E1676:E1678)</f>
        <v>-224821.60288884465</v>
      </c>
      <c r="F1675" s="38">
        <f>SUM(F1677:F1678)</f>
        <v>-223989.28872217104</v>
      </c>
      <c r="G1675" s="38">
        <f>F1675-E1675</f>
        <v>832.31416667360463</v>
      </c>
    </row>
    <row r="1676" spans="1:7" x14ac:dyDescent="0.35">
      <c r="A1676" s="37"/>
      <c r="B1676" s="37"/>
      <c r="C1676" s="3" t="s">
        <v>155</v>
      </c>
      <c r="D1676" s="5">
        <v>0</v>
      </c>
      <c r="E1676" s="2">
        <v>-224821.60288884465</v>
      </c>
      <c r="F1676" s="5">
        <v>0</v>
      </c>
      <c r="G1676" s="5">
        <f>F1676-E1676</f>
        <v>224821.60288884465</v>
      </c>
    </row>
    <row r="1677" spans="1:7" x14ac:dyDescent="0.35">
      <c r="A1677" s="3"/>
      <c r="B1677" s="3"/>
      <c r="C1677" s="3" t="s">
        <v>54</v>
      </c>
      <c r="D1677" s="5">
        <v>0</v>
      </c>
      <c r="E1677" s="5">
        <f t="shared" ref="E1677" si="621">D1677</f>
        <v>0</v>
      </c>
      <c r="F1677" s="5">
        <v>-221695.90492568526</v>
      </c>
      <c r="G1677" s="5">
        <f t="shared" ref="G1677:G1689" si="622">F1677-E1677</f>
        <v>-221695.90492568526</v>
      </c>
    </row>
    <row r="1678" spans="1:7" x14ac:dyDescent="0.35">
      <c r="A1678" s="37"/>
      <c r="B1678" s="37"/>
      <c r="C1678" s="3" t="s">
        <v>55</v>
      </c>
      <c r="D1678" s="5">
        <v>-3068</v>
      </c>
      <c r="E1678" s="5">
        <v>0</v>
      </c>
      <c r="F1678" s="5">
        <v>-2293.3837964857803</v>
      </c>
      <c r="G1678" s="5">
        <f t="shared" si="622"/>
        <v>-2293.3837964857803</v>
      </c>
    </row>
    <row r="1679" spans="1:7" x14ac:dyDescent="0.35">
      <c r="A1679" s="37"/>
      <c r="B1679" s="37"/>
      <c r="C1679" s="37" t="s">
        <v>108</v>
      </c>
      <c r="D1679" s="38">
        <f>D1681</f>
        <v>-275000</v>
      </c>
      <c r="E1679" s="38">
        <f>E1680</f>
        <v>-814057.65386096761</v>
      </c>
      <c r="F1679" s="38">
        <f>F1681+F1682</f>
        <v>-21273.230966034876</v>
      </c>
      <c r="G1679" s="38">
        <f>F1679-E1679</f>
        <v>792784.42289493268</v>
      </c>
    </row>
    <row r="1680" spans="1:7" x14ac:dyDescent="0.35">
      <c r="A1680" s="37"/>
      <c r="B1680" s="37"/>
      <c r="C1680" s="3" t="s">
        <v>155</v>
      </c>
      <c r="D1680" s="5">
        <v>0</v>
      </c>
      <c r="E1680" s="2">
        <v>-814057.65386096761</v>
      </c>
      <c r="F1680" s="5">
        <v>0</v>
      </c>
      <c r="G1680" s="5">
        <f>F1680-E1680</f>
        <v>814057.65386096761</v>
      </c>
    </row>
    <row r="1681" spans="1:7" x14ac:dyDescent="0.35">
      <c r="A1681" s="3"/>
      <c r="B1681" s="3"/>
      <c r="C1681" s="3" t="s">
        <v>54</v>
      </c>
      <c r="D1681" s="5">
        <v>-275000</v>
      </c>
      <c r="E1681" s="5">
        <v>0</v>
      </c>
      <c r="F1681" s="5">
        <v>-20675.380965957876</v>
      </c>
      <c r="G1681" s="5">
        <f t="shared" ref="G1681:G1682" si="623">F1681-E1681</f>
        <v>-20675.380965957876</v>
      </c>
    </row>
    <row r="1682" spans="1:7" x14ac:dyDescent="0.35">
      <c r="A1682" s="3"/>
      <c r="B1682" s="3"/>
      <c r="C1682" s="3" t="s">
        <v>55</v>
      </c>
      <c r="D1682" s="5">
        <v>0</v>
      </c>
      <c r="E1682" s="5">
        <v>0</v>
      </c>
      <c r="F1682" s="5">
        <v>-597.85000007700012</v>
      </c>
      <c r="G1682" s="5">
        <f t="shared" si="623"/>
        <v>-597.85000007700012</v>
      </c>
    </row>
    <row r="1683" spans="1:7" x14ac:dyDescent="0.35">
      <c r="A1683" s="37"/>
      <c r="B1683" s="37"/>
      <c r="C1683" s="37" t="s">
        <v>109</v>
      </c>
      <c r="D1683" s="38">
        <v>-351154</v>
      </c>
      <c r="E1683" s="67">
        <v>-351154.40821147943</v>
      </c>
      <c r="F1683" s="67">
        <v>-585046.54555480089</v>
      </c>
      <c r="G1683" s="38">
        <f t="shared" si="622"/>
        <v>-233892.13734332146</v>
      </c>
    </row>
    <row r="1684" spans="1:7" x14ac:dyDescent="0.35">
      <c r="A1684" s="37" t="s">
        <v>150</v>
      </c>
      <c r="B1684" s="37"/>
      <c r="C1684" s="37"/>
      <c r="D1684" s="38">
        <f>SUM(D1685:D1689)</f>
        <v>-3401490</v>
      </c>
      <c r="E1684" s="38">
        <f>SUM(E1685:E1689)</f>
        <v>-4688589.6816033041</v>
      </c>
      <c r="F1684" s="38">
        <f>SUM(F1685:F1689)</f>
        <v>-3513140.9518937613</v>
      </c>
      <c r="G1684" s="38">
        <f t="shared" si="622"/>
        <v>1175448.7297095428</v>
      </c>
    </row>
    <row r="1685" spans="1:7" x14ac:dyDescent="0.35">
      <c r="A1685" s="3"/>
      <c r="B1685" s="3" t="s">
        <v>105</v>
      </c>
      <c r="C1685" s="3"/>
      <c r="D1685" s="5">
        <f>D1695+D1711</f>
        <v>-2811205</v>
      </c>
      <c r="E1685" s="5">
        <f>E1695+E1711</f>
        <v>-3450246.3003227077</v>
      </c>
      <c r="F1685" s="5">
        <f>F1695+F1711</f>
        <v>-2746580.3382251626</v>
      </c>
      <c r="G1685" s="5">
        <f t="shared" si="622"/>
        <v>703665.96209754515</v>
      </c>
    </row>
    <row r="1686" spans="1:7" x14ac:dyDescent="0.35">
      <c r="A1686" s="3"/>
      <c r="B1686" s="3" t="s">
        <v>106</v>
      </c>
      <c r="C1686" s="3"/>
      <c r="D1686" s="5">
        <v>0</v>
      </c>
      <c r="E1686" s="5">
        <f>+E1699</f>
        <v>0</v>
      </c>
      <c r="F1686" s="5">
        <f>+F1699+F1715</f>
        <v>75.614678559987212</v>
      </c>
      <c r="G1686" s="5">
        <f t="shared" si="622"/>
        <v>75.614678559987212</v>
      </c>
    </row>
    <row r="1687" spans="1:7" x14ac:dyDescent="0.35">
      <c r="A1687" s="3"/>
      <c r="B1687" s="3" t="s">
        <v>107</v>
      </c>
      <c r="C1687" s="3"/>
      <c r="D1687" s="5">
        <f>D1701+D1717</f>
        <v>-75001</v>
      </c>
      <c r="E1687" s="5">
        <f>E1701+E1717</f>
        <v>-282329.12007026002</v>
      </c>
      <c r="F1687" s="5">
        <f>F1701+F1717</f>
        <v>-266124.19175174425</v>
      </c>
      <c r="G1687" s="5">
        <f t="shared" si="622"/>
        <v>16204.928318515769</v>
      </c>
    </row>
    <row r="1688" spans="1:7" x14ac:dyDescent="0.35">
      <c r="A1688" s="3"/>
      <c r="B1688" s="3" t="s">
        <v>108</v>
      </c>
      <c r="C1688" s="3"/>
      <c r="D1688" s="5">
        <f>D1721</f>
        <v>-225000</v>
      </c>
      <c r="E1688" s="5">
        <f>E1721</f>
        <v>-665730.53569525992</v>
      </c>
      <c r="F1688" s="5">
        <f t="shared" ref="F1688" si="624">F1721</f>
        <v>-17401.928312434073</v>
      </c>
      <c r="G1688" s="5">
        <f t="shared" si="622"/>
        <v>648328.60738282581</v>
      </c>
    </row>
    <row r="1689" spans="1:7" x14ac:dyDescent="0.35">
      <c r="A1689" s="3"/>
      <c r="B1689" s="3" t="s">
        <v>109</v>
      </c>
      <c r="C1689" s="3"/>
      <c r="D1689" s="5">
        <f>D1705+D1725</f>
        <v>-290284</v>
      </c>
      <c r="E1689" s="5">
        <f>E1705+E1725</f>
        <v>-290283.72551507608</v>
      </c>
      <c r="F1689" s="5">
        <f>F1705+F1725</f>
        <v>-483110.10828298039</v>
      </c>
      <c r="G1689" s="5">
        <f t="shared" si="622"/>
        <v>-192826.38276790432</v>
      </c>
    </row>
    <row r="1690" spans="1:7" x14ac:dyDescent="0.35">
      <c r="A1690" s="37"/>
      <c r="B1690" s="37" t="s">
        <v>31</v>
      </c>
      <c r="C1690" s="37"/>
      <c r="D1690" s="38">
        <f>SUM(D1692:D1694)</f>
        <v>-1159970</v>
      </c>
      <c r="E1690" s="38">
        <f>SUM(E1691:E1694)</f>
        <v>-1309194.8019937333</v>
      </c>
      <c r="F1690" s="38">
        <f>SUM(F1692:F1694)</f>
        <v>-1100178.2307216343</v>
      </c>
      <c r="G1690" s="38">
        <f>F1690-E1690</f>
        <v>209016.57127209892</v>
      </c>
    </row>
    <row r="1691" spans="1:7" x14ac:dyDescent="0.35">
      <c r="A1691" s="37"/>
      <c r="B1691" s="37"/>
      <c r="C1691" s="3" t="s">
        <v>155</v>
      </c>
      <c r="D1691" s="5">
        <f>D1702</f>
        <v>0</v>
      </c>
      <c r="E1691" s="5">
        <f t="shared" ref="E1691:F1691" si="625">E1702</f>
        <v>-98391.000000000029</v>
      </c>
      <c r="F1691" s="5">
        <f t="shared" si="625"/>
        <v>0</v>
      </c>
      <c r="G1691" s="5">
        <f>F1691-E1691</f>
        <v>98391.000000000029</v>
      </c>
    </row>
    <row r="1692" spans="1:7" x14ac:dyDescent="0.35">
      <c r="A1692" s="3"/>
      <c r="B1692" s="3"/>
      <c r="C1692" s="3" t="s">
        <v>54</v>
      </c>
      <c r="D1692" s="5">
        <f>D1696+D1703</f>
        <v>-916441</v>
      </c>
      <c r="E1692" s="5">
        <f t="shared" ref="E1692:E1693" si="626">E1696+E1703</f>
        <v>-965305.23902387929</v>
      </c>
      <c r="F1692" s="5">
        <f>+F1696+F1703</f>
        <v>-886179.46375408047</v>
      </c>
      <c r="G1692" s="5">
        <f t="shared" ref="G1692:G1694" si="627">F1692-E1692</f>
        <v>79125.775269798818</v>
      </c>
    </row>
    <row r="1693" spans="1:7" x14ac:dyDescent="0.35">
      <c r="A1693" s="3"/>
      <c r="B1693" s="3"/>
      <c r="C1693" s="3" t="s">
        <v>55</v>
      </c>
      <c r="D1693" s="5">
        <f>D1697+D1704</f>
        <v>-239082</v>
      </c>
      <c r="E1693" s="5">
        <f t="shared" si="626"/>
        <v>-240992.42</v>
      </c>
      <c r="F1693" s="5">
        <f>+F1697+F1704</f>
        <v>-208212.04403975231</v>
      </c>
      <c r="G1693" s="5">
        <f t="shared" si="627"/>
        <v>32780.375960247708</v>
      </c>
    </row>
    <row r="1694" spans="1:7" x14ac:dyDescent="0.35">
      <c r="A1694" s="3"/>
      <c r="B1694" s="3"/>
      <c r="C1694" s="3" t="s">
        <v>103</v>
      </c>
      <c r="D1694" s="5">
        <f>D1698+D1705</f>
        <v>-4447</v>
      </c>
      <c r="E1694" s="5">
        <f>E1698+E1705</f>
        <v>-4506.1429698539996</v>
      </c>
      <c r="F1694" s="5">
        <f>F1698+F1700+F1705</f>
        <v>-5786.722927801583</v>
      </c>
      <c r="G1694" s="5">
        <f t="shared" si="627"/>
        <v>-1280.5799579475834</v>
      </c>
    </row>
    <row r="1695" spans="1:7" x14ac:dyDescent="0.35">
      <c r="A1695" s="37"/>
      <c r="B1695" s="37"/>
      <c r="C1695" s="37" t="s">
        <v>105</v>
      </c>
      <c r="D1695" s="38">
        <f>SUM(D1696:D1698)</f>
        <v>-1083858</v>
      </c>
      <c r="E1695" s="38">
        <f>SUM(E1696:E1698)</f>
        <v>-1207191.8259937332</v>
      </c>
      <c r="F1695" s="38">
        <f>SUM(F1696:F1698)</f>
        <v>-1012303.7571194328</v>
      </c>
      <c r="G1695" s="38">
        <f>F1695-E1695</f>
        <v>194888.06887430046</v>
      </c>
    </row>
    <row r="1696" spans="1:7" x14ac:dyDescent="0.35">
      <c r="A1696" s="3"/>
      <c r="B1696" s="3"/>
      <c r="C1696" s="3" t="s">
        <v>54</v>
      </c>
      <c r="D1696" s="5">
        <v>-854941</v>
      </c>
      <c r="E1696" s="5">
        <v>-965305.23902387929</v>
      </c>
      <c r="F1696" s="5">
        <v>-807749.46375408047</v>
      </c>
      <c r="G1696" s="5">
        <f t="shared" ref="G1696:G1705" si="628">F1696-E1696</f>
        <v>157555.77526979882</v>
      </c>
    </row>
    <row r="1697" spans="1:7" x14ac:dyDescent="0.35">
      <c r="A1697" s="3"/>
      <c r="B1697" s="3"/>
      <c r="C1697" s="3" t="s">
        <v>55</v>
      </c>
      <c r="D1697" s="5">
        <v>-228082</v>
      </c>
      <c r="E1697" s="5">
        <f>-233613.14-7379.28</f>
        <v>-240992.42</v>
      </c>
      <c r="F1697" s="5">
        <v>-203775.04403975231</v>
      </c>
      <c r="G1697" s="5">
        <f t="shared" si="628"/>
        <v>37217.375960247708</v>
      </c>
    </row>
    <row r="1698" spans="1:7" x14ac:dyDescent="0.35">
      <c r="A1698" s="3"/>
      <c r="B1698" s="3"/>
      <c r="C1698" s="3" t="s">
        <v>56</v>
      </c>
      <c r="D1698" s="5">
        <v>-835</v>
      </c>
      <c r="E1698" s="5">
        <v>-894.16696985399983</v>
      </c>
      <c r="F1698" s="5">
        <v>-779.24932559999979</v>
      </c>
      <c r="G1698" s="5">
        <f t="shared" si="628"/>
        <v>114.91764425400004</v>
      </c>
    </row>
    <row r="1699" spans="1:7" x14ac:dyDescent="0.35">
      <c r="A1699" s="3"/>
      <c r="B1699" s="3"/>
      <c r="C1699" s="37" t="s">
        <v>106</v>
      </c>
      <c r="D1699" s="38">
        <v>0</v>
      </c>
      <c r="E1699" s="38">
        <f>SUM(E1700)</f>
        <v>0</v>
      </c>
      <c r="F1699" s="38">
        <f>+F1700</f>
        <v>149.8832855984171</v>
      </c>
      <c r="G1699" s="38">
        <f>F1699-E1699</f>
        <v>149.8832855984171</v>
      </c>
    </row>
    <row r="1700" spans="1:7" x14ac:dyDescent="0.35">
      <c r="A1700" s="3"/>
      <c r="B1700" s="3"/>
      <c r="C1700" s="3" t="s">
        <v>56</v>
      </c>
      <c r="D1700" s="5">
        <v>0</v>
      </c>
      <c r="E1700" s="5">
        <v>0</v>
      </c>
      <c r="F1700" s="2">
        <v>149.8832855984171</v>
      </c>
      <c r="G1700" s="5">
        <f t="shared" ref="G1700" si="629">F1700-E1700</f>
        <v>149.8832855984171</v>
      </c>
    </row>
    <row r="1701" spans="1:7" x14ac:dyDescent="0.35">
      <c r="A1701" s="37"/>
      <c r="B1701" s="37"/>
      <c r="C1701" s="37" t="s">
        <v>107</v>
      </c>
      <c r="D1701" s="38">
        <f>SUM(D1703:D1704)</f>
        <v>-72500</v>
      </c>
      <c r="E1701" s="38">
        <f>SUM(E1702:E1704)</f>
        <v>-98391.000000000029</v>
      </c>
      <c r="F1701" s="38">
        <f>SUM(F1703:F1704)</f>
        <v>-82867</v>
      </c>
      <c r="G1701" s="38">
        <f>F1701-E1701</f>
        <v>15524.000000000029</v>
      </c>
    </row>
    <row r="1702" spans="1:7" x14ac:dyDescent="0.35">
      <c r="A1702" s="37"/>
      <c r="B1702" s="37"/>
      <c r="C1702" s="3" t="s">
        <v>155</v>
      </c>
      <c r="D1702" s="5">
        <v>0</v>
      </c>
      <c r="E1702" s="2">
        <v>-98391.000000000029</v>
      </c>
      <c r="F1702" s="5">
        <v>0</v>
      </c>
      <c r="G1702" s="5">
        <f>F1702-E1702</f>
        <v>98391.000000000029</v>
      </c>
    </row>
    <row r="1703" spans="1:7" x14ac:dyDescent="0.35">
      <c r="A1703" s="3"/>
      <c r="B1703" s="3"/>
      <c r="C1703" s="3" t="s">
        <v>54</v>
      </c>
      <c r="D1703" s="5">
        <v>-61500</v>
      </c>
      <c r="E1703" s="5">
        <v>0</v>
      </c>
      <c r="F1703" s="5">
        <v>-78430</v>
      </c>
      <c r="G1703" s="5">
        <f t="shared" ref="G1703:G1704" si="630">F1703-E1703</f>
        <v>-78430</v>
      </c>
    </row>
    <row r="1704" spans="1:7" x14ac:dyDescent="0.35">
      <c r="A1704" s="37"/>
      <c r="B1704" s="37"/>
      <c r="C1704" s="3" t="s">
        <v>55</v>
      </c>
      <c r="D1704" s="5">
        <v>-11000</v>
      </c>
      <c r="E1704" s="5">
        <v>0</v>
      </c>
      <c r="F1704" s="5">
        <v>-4437</v>
      </c>
      <c r="G1704" s="5">
        <f t="shared" si="630"/>
        <v>-4437</v>
      </c>
    </row>
    <row r="1705" spans="1:7" x14ac:dyDescent="0.35">
      <c r="A1705" s="37"/>
      <c r="B1705" s="37"/>
      <c r="C1705" s="37" t="s">
        <v>109</v>
      </c>
      <c r="D1705" s="38">
        <v>-3612</v>
      </c>
      <c r="E1705" s="67">
        <v>-3611.9760000000001</v>
      </c>
      <c r="F1705" s="2">
        <v>-5157.3568878000005</v>
      </c>
      <c r="G1705" s="38">
        <f t="shared" si="628"/>
        <v>-1545.3808878000004</v>
      </c>
    </row>
    <row r="1706" spans="1:7" x14ac:dyDescent="0.35">
      <c r="A1706" s="37"/>
      <c r="B1706" s="37" t="s">
        <v>116</v>
      </c>
      <c r="C1706" s="37"/>
      <c r="D1706" s="38">
        <f>SUM(D1708:D1710)</f>
        <v>-2241520</v>
      </c>
      <c r="E1706" s="38">
        <f>SUM(E1707:E1710)</f>
        <v>-3379394.8796095699</v>
      </c>
      <c r="F1706" s="38">
        <f>SUM(F1708:F1710)</f>
        <v>-2412962.7211721269</v>
      </c>
      <c r="G1706" s="38">
        <f>F1706-E1706</f>
        <v>966432.15843744297</v>
      </c>
    </row>
    <row r="1707" spans="1:7" x14ac:dyDescent="0.35">
      <c r="A1707" s="37"/>
      <c r="B1707" s="37"/>
      <c r="C1707" s="3" t="s">
        <v>155</v>
      </c>
      <c r="D1707" s="5">
        <f>D1718+D1722</f>
        <v>0</v>
      </c>
      <c r="E1707" s="5">
        <f t="shared" ref="E1707:F1707" si="631">E1718+E1722</f>
        <v>-849668.65576551994</v>
      </c>
      <c r="F1707" s="5">
        <f t="shared" si="631"/>
        <v>0</v>
      </c>
      <c r="G1707" s="5">
        <f>F1707-E1707</f>
        <v>849668.65576551994</v>
      </c>
    </row>
    <row r="1708" spans="1:7" x14ac:dyDescent="0.35">
      <c r="A1708" s="3"/>
      <c r="B1708" s="3"/>
      <c r="C1708" s="3" t="s">
        <v>54</v>
      </c>
      <c r="D1708" s="5">
        <f>D1712+D1719+D1723</f>
        <v>-1349593</v>
      </c>
      <c r="E1708" s="5">
        <f t="shared" ref="E1708" si="632">E1712+E1719+E1723</f>
        <v>-1540691.5171701852</v>
      </c>
      <c r="F1708" s="5">
        <f>F1712+F1719+F1723</f>
        <v>-1333737.0680111335</v>
      </c>
      <c r="G1708" s="5">
        <f t="shared" ref="G1708:G1710" si="633">F1708-E1708</f>
        <v>206954.44915905176</v>
      </c>
    </row>
    <row r="1709" spans="1:7" x14ac:dyDescent="0.35">
      <c r="A1709" s="3"/>
      <c r="B1709" s="3"/>
      <c r="C1709" s="3" t="s">
        <v>55</v>
      </c>
      <c r="D1709" s="5">
        <f>D1713+D1720</f>
        <v>-605255</v>
      </c>
      <c r="E1709" s="5">
        <f t="shared" ref="E1709" si="634">E1713+E1720</f>
        <v>-702237.57000000007</v>
      </c>
      <c r="F1709" s="5">
        <f>F1713+F1720+F1724</f>
        <v>-601139.42212460958</v>
      </c>
      <c r="G1709" s="5">
        <f t="shared" si="633"/>
        <v>101098.14787539048</v>
      </c>
    </row>
    <row r="1710" spans="1:7" x14ac:dyDescent="0.35">
      <c r="A1710" s="3"/>
      <c r="B1710" s="3"/>
      <c r="C1710" s="3" t="s">
        <v>103</v>
      </c>
      <c r="D1710" s="5">
        <f>D1725</f>
        <v>-286672</v>
      </c>
      <c r="E1710" s="5">
        <f>E1725+E1714</f>
        <v>-286797.13667386508</v>
      </c>
      <c r="F1710" s="5">
        <f>F1725+F1714+F1716</f>
        <v>-478086.23103638401</v>
      </c>
      <c r="G1710" s="5">
        <f t="shared" si="633"/>
        <v>-191289.09436251892</v>
      </c>
    </row>
    <row r="1711" spans="1:7" x14ac:dyDescent="0.35">
      <c r="A1711" s="37"/>
      <c r="B1711" s="37"/>
      <c r="C1711" s="37" t="s">
        <v>105</v>
      </c>
      <c r="D1711" s="38">
        <f>SUM(D1712:D1713)</f>
        <v>-1727347</v>
      </c>
      <c r="E1711" s="38">
        <f>SUM(E1712:E1714)</f>
        <v>-2243054.4743289747</v>
      </c>
      <c r="F1711" s="38">
        <f>SUM(F1712:F1714)</f>
        <v>-1734276.5811057298</v>
      </c>
      <c r="G1711" s="38">
        <f>F1711-E1711</f>
        <v>508777.89322324493</v>
      </c>
    </row>
    <row r="1712" spans="1:7" x14ac:dyDescent="0.35">
      <c r="A1712" s="3"/>
      <c r="B1712" s="3"/>
      <c r="C1712" s="3" t="s">
        <v>54</v>
      </c>
      <c r="D1712" s="5">
        <v>-1124593</v>
      </c>
      <c r="E1712" s="5">
        <v>-1540691.5171701852</v>
      </c>
      <c r="F1712" s="5">
        <v>-1135436.7311232015</v>
      </c>
      <c r="G1712" s="5">
        <f t="shared" ref="G1712:G1714" si="635">F1712-E1712</f>
        <v>405254.78604698367</v>
      </c>
    </row>
    <row r="1713" spans="1:7" x14ac:dyDescent="0.35">
      <c r="A1713" s="3"/>
      <c r="B1713" s="3"/>
      <c r="C1713" s="3" t="s">
        <v>55</v>
      </c>
      <c r="D1713" s="5">
        <v>-602754</v>
      </c>
      <c r="E1713" s="5">
        <f>-701456.03-781.54</f>
        <v>-702237.57000000007</v>
      </c>
      <c r="F1713" s="5">
        <v>-598780.63894836302</v>
      </c>
      <c r="G1713" s="5">
        <f t="shared" si="635"/>
        <v>103456.93105163705</v>
      </c>
    </row>
    <row r="1714" spans="1:7" x14ac:dyDescent="0.35">
      <c r="A1714" s="3"/>
      <c r="B1714" s="3"/>
      <c r="C1714" s="3" t="s">
        <v>56</v>
      </c>
      <c r="D1714" s="5">
        <v>0</v>
      </c>
      <c r="E1714" s="5">
        <v>-125.3871587890298</v>
      </c>
      <c r="F1714" s="5">
        <v>-59.211034165158637</v>
      </c>
      <c r="G1714" s="5">
        <f t="shared" si="635"/>
        <v>66.176124623871161</v>
      </c>
    </row>
    <row r="1715" spans="1:7" x14ac:dyDescent="0.35">
      <c r="A1715" s="3"/>
      <c r="B1715" s="3"/>
      <c r="C1715" s="37" t="s">
        <v>106</v>
      </c>
      <c r="D1715" s="38">
        <v>0</v>
      </c>
      <c r="E1715" s="38">
        <f>SUM(E1716)</f>
        <v>0</v>
      </c>
      <c r="F1715" s="38">
        <f>+F1716</f>
        <v>-74.268607038429892</v>
      </c>
      <c r="G1715" s="38">
        <f>F1715-E1715</f>
        <v>-74.268607038429892</v>
      </c>
    </row>
    <row r="1716" spans="1:7" x14ac:dyDescent="0.35">
      <c r="A1716" s="3"/>
      <c r="B1716" s="3"/>
      <c r="C1716" s="3" t="s">
        <v>56</v>
      </c>
      <c r="D1716" s="5">
        <v>0</v>
      </c>
      <c r="E1716" s="5">
        <v>0</v>
      </c>
      <c r="F1716" s="2">
        <v>-74.268607038429892</v>
      </c>
      <c r="G1716" s="5">
        <f t="shared" ref="G1716" si="636">F1716-E1716</f>
        <v>-74.268607038429892</v>
      </c>
    </row>
    <row r="1717" spans="1:7" x14ac:dyDescent="0.35">
      <c r="A1717" s="37"/>
      <c r="B1717" s="37"/>
      <c r="C1717" s="37" t="s">
        <v>107</v>
      </c>
      <c r="D1717" s="38">
        <f>SUM(D1719:D1720)</f>
        <v>-2501</v>
      </c>
      <c r="E1717" s="38">
        <f>SUM(E1718:E1720)</f>
        <v>-183938.12007025996</v>
      </c>
      <c r="F1717" s="38">
        <f>SUM(F1719:F1720)</f>
        <v>-183257.19175174425</v>
      </c>
      <c r="G1717" s="38">
        <f>F1717-E1717</f>
        <v>680.928318515711</v>
      </c>
    </row>
    <row r="1718" spans="1:7" x14ac:dyDescent="0.35">
      <c r="A1718" s="37"/>
      <c r="B1718" s="37"/>
      <c r="C1718" s="3" t="s">
        <v>155</v>
      </c>
      <c r="D1718" s="5">
        <v>0</v>
      </c>
      <c r="E1718" s="2">
        <v>-183938.12007025996</v>
      </c>
      <c r="F1718" s="5">
        <v>0</v>
      </c>
      <c r="G1718" s="5">
        <f>F1718-E1718</f>
        <v>183938.12007025996</v>
      </c>
    </row>
    <row r="1719" spans="1:7" x14ac:dyDescent="0.35">
      <c r="A1719" s="3"/>
      <c r="B1719" s="3"/>
      <c r="C1719" s="3" t="s">
        <v>54</v>
      </c>
      <c r="D1719" s="5">
        <v>0</v>
      </c>
      <c r="E1719" s="5">
        <f t="shared" ref="E1719" si="637">D1719</f>
        <v>0</v>
      </c>
      <c r="F1719" s="5">
        <v>-181387.55857556072</v>
      </c>
      <c r="G1719" s="5">
        <f t="shared" ref="G1719:G1729" si="638">F1719-E1719</f>
        <v>-181387.55857556072</v>
      </c>
    </row>
    <row r="1720" spans="1:7" x14ac:dyDescent="0.35">
      <c r="A1720" s="37"/>
      <c r="B1720" s="37"/>
      <c r="C1720" s="3" t="s">
        <v>55</v>
      </c>
      <c r="D1720" s="5">
        <v>-2501</v>
      </c>
      <c r="E1720" s="5">
        <v>0</v>
      </c>
      <c r="F1720" s="5">
        <v>-1869.6331761835181</v>
      </c>
      <c r="G1720" s="5">
        <f t="shared" si="638"/>
        <v>-1869.6331761835181</v>
      </c>
    </row>
    <row r="1721" spans="1:7" x14ac:dyDescent="0.35">
      <c r="A1721" s="37"/>
      <c r="B1721" s="37"/>
      <c r="C1721" s="37" t="s">
        <v>108</v>
      </c>
      <c r="D1721" s="38">
        <f>D1723</f>
        <v>-225000</v>
      </c>
      <c r="E1721" s="38">
        <f>E1722</f>
        <v>-665730.53569525992</v>
      </c>
      <c r="F1721" s="38">
        <f>F1723+F1724</f>
        <v>-17401.928312434073</v>
      </c>
      <c r="G1721" s="38">
        <f>F1721-E1721</f>
        <v>648328.60738282581</v>
      </c>
    </row>
    <row r="1722" spans="1:7" x14ac:dyDescent="0.35">
      <c r="A1722" s="37"/>
      <c r="B1722" s="37"/>
      <c r="C1722" s="3" t="s">
        <v>155</v>
      </c>
      <c r="D1722" s="5">
        <v>0</v>
      </c>
      <c r="E1722" s="2">
        <v>-665730.53569525992</v>
      </c>
      <c r="F1722" s="5">
        <v>0</v>
      </c>
      <c r="G1722" s="5">
        <f>F1722-E1722</f>
        <v>665730.53569525992</v>
      </c>
    </row>
    <row r="1723" spans="1:7" x14ac:dyDescent="0.35">
      <c r="A1723" s="3"/>
      <c r="B1723" s="3"/>
      <c r="C1723" s="3" t="s">
        <v>54</v>
      </c>
      <c r="D1723" s="5">
        <v>-225000</v>
      </c>
      <c r="E1723" s="5">
        <v>0</v>
      </c>
      <c r="F1723" s="5">
        <v>-16912.778312371072</v>
      </c>
      <c r="G1723" s="5">
        <f t="shared" ref="G1723:G1724" si="639">F1723-E1723</f>
        <v>-16912.778312371072</v>
      </c>
    </row>
    <row r="1724" spans="1:7" x14ac:dyDescent="0.35">
      <c r="A1724" s="3"/>
      <c r="B1724" s="3"/>
      <c r="C1724" s="3" t="s">
        <v>55</v>
      </c>
      <c r="D1724" s="5">
        <v>0</v>
      </c>
      <c r="E1724" s="5">
        <v>0</v>
      </c>
      <c r="F1724" s="5">
        <v>-489.15000006300022</v>
      </c>
      <c r="G1724" s="5">
        <f t="shared" si="639"/>
        <v>-489.15000006300022</v>
      </c>
    </row>
    <row r="1725" spans="1:7" x14ac:dyDescent="0.35">
      <c r="A1725" s="37"/>
      <c r="B1725" s="37"/>
      <c r="C1725" s="37" t="s">
        <v>109</v>
      </c>
      <c r="D1725" s="38">
        <v>-286672</v>
      </c>
      <c r="E1725" s="38">
        <v>-286671.74951507605</v>
      </c>
      <c r="F1725" s="67">
        <v>-477952.75139518041</v>
      </c>
      <c r="G1725" s="38">
        <f t="shared" si="638"/>
        <v>-191281.00188010436</v>
      </c>
    </row>
    <row r="1726" spans="1:7" x14ac:dyDescent="0.35">
      <c r="A1726" s="38" t="s">
        <v>151</v>
      </c>
      <c r="B1726" s="37"/>
      <c r="C1726" s="37"/>
      <c r="D1726" s="38">
        <f>SUM(D1727:D1727)</f>
        <v>-4930500</v>
      </c>
      <c r="E1726" s="38">
        <f>SUM(E1727:E1727)</f>
        <v>-4930500</v>
      </c>
      <c r="F1726" s="38">
        <f>SUM(F1727:F1727)</f>
        <v>-4930500</v>
      </c>
      <c r="G1726" s="38">
        <f t="shared" si="638"/>
        <v>0</v>
      </c>
    </row>
    <row r="1727" spans="1:7" x14ac:dyDescent="0.35">
      <c r="A1727" s="36"/>
      <c r="B1727" s="3" t="s">
        <v>105</v>
      </c>
      <c r="C1727" s="3"/>
      <c r="D1727" s="5">
        <f>D1729</f>
        <v>-4930500</v>
      </c>
      <c r="E1727" s="5">
        <f t="shared" ref="E1727:F1727" si="640">E1729</f>
        <v>-4930500</v>
      </c>
      <c r="F1727" s="5">
        <f t="shared" si="640"/>
        <v>-4930500</v>
      </c>
      <c r="G1727" s="5">
        <f t="shared" si="638"/>
        <v>0</v>
      </c>
    </row>
    <row r="1728" spans="1:7" x14ac:dyDescent="0.35">
      <c r="A1728" s="37" t="s">
        <v>152</v>
      </c>
      <c r="B1728" s="37"/>
      <c r="C1728" s="37"/>
      <c r="D1728" s="38">
        <f>SUM(D1729:D1729)</f>
        <v>-4930500</v>
      </c>
      <c r="E1728" s="38">
        <f>SUM(E1729:E1729)</f>
        <v>-4930500</v>
      </c>
      <c r="F1728" s="38">
        <f>SUM(F1729:F1729)</f>
        <v>-4930500</v>
      </c>
      <c r="G1728" s="38">
        <f t="shared" si="638"/>
        <v>0</v>
      </c>
    </row>
    <row r="1729" spans="1:7" x14ac:dyDescent="0.35">
      <c r="A1729" s="3"/>
      <c r="B1729" s="3" t="s">
        <v>105</v>
      </c>
      <c r="C1729" s="3"/>
      <c r="D1729" s="5">
        <f>D1732</f>
        <v>-4930500</v>
      </c>
      <c r="E1729" s="5">
        <f t="shared" ref="E1729" si="641">E1732</f>
        <v>-4930500</v>
      </c>
      <c r="F1729" s="5">
        <v>-4930500</v>
      </c>
      <c r="G1729" s="5">
        <f t="shared" si="638"/>
        <v>0</v>
      </c>
    </row>
    <row r="1730" spans="1:7" x14ac:dyDescent="0.35">
      <c r="A1730" s="37"/>
      <c r="B1730" s="37" t="s">
        <v>31</v>
      </c>
      <c r="C1730" s="37"/>
      <c r="D1730" s="38">
        <f>SUM(D1731:D1731)</f>
        <v>-4930500</v>
      </c>
      <c r="E1730" s="38">
        <f>SUM(E1731:E1731)</f>
        <v>-4930500</v>
      </c>
      <c r="F1730" s="38">
        <f>SUM(F1731:F1731)</f>
        <v>-4930500</v>
      </c>
      <c r="G1730" s="38">
        <f>F1730-E1730</f>
        <v>0</v>
      </c>
    </row>
    <row r="1731" spans="1:7" x14ac:dyDescent="0.35">
      <c r="A1731" s="3"/>
      <c r="B1731" s="3"/>
      <c r="C1731" s="3" t="s">
        <v>102</v>
      </c>
      <c r="D1731" s="5">
        <f>D1733</f>
        <v>-4930500</v>
      </c>
      <c r="E1731" s="5">
        <f t="shared" ref="E1731:F1731" si="642">E1733</f>
        <v>-4930500</v>
      </c>
      <c r="F1731" s="5">
        <f t="shared" si="642"/>
        <v>-4930500</v>
      </c>
      <c r="G1731" s="5">
        <f t="shared" ref="G1731" si="643">F1731-E1731</f>
        <v>0</v>
      </c>
    </row>
    <row r="1732" spans="1:7" x14ac:dyDescent="0.35">
      <c r="A1732" s="37"/>
      <c r="B1732" s="37"/>
      <c r="C1732" s="37" t="s">
        <v>105</v>
      </c>
      <c r="D1732" s="38">
        <f>SUM(D1733:D1733)</f>
        <v>-4930500</v>
      </c>
      <c r="E1732" s="38">
        <f>SUM(E1733:E1733)</f>
        <v>-4930500</v>
      </c>
      <c r="F1732" s="38">
        <f>SUM(F1733:F1733)</f>
        <v>-4930500</v>
      </c>
      <c r="G1732" s="38">
        <f>F1732-E1732</f>
        <v>0</v>
      </c>
    </row>
    <row r="1733" spans="1:7" x14ac:dyDescent="0.35">
      <c r="A1733" s="3"/>
      <c r="B1733" s="3"/>
      <c r="C1733" s="3" t="s">
        <v>102</v>
      </c>
      <c r="D1733" s="5">
        <v>-4930500</v>
      </c>
      <c r="E1733" s="5">
        <f t="shared" ref="E1733" si="644">D1733</f>
        <v>-4930500</v>
      </c>
      <c r="F1733" s="5">
        <v>-4930500</v>
      </c>
      <c r="G1733" s="5">
        <f t="shared" ref="G1733" si="645">F1733-E1733</f>
        <v>0</v>
      </c>
    </row>
    <row r="1734" spans="1:7" x14ac:dyDescent="0.35">
      <c r="A1734" s="37" t="s">
        <v>51</v>
      </c>
      <c r="B1734" s="37"/>
      <c r="C1734" s="37"/>
      <c r="D1734" s="38">
        <f>SUM(D1735:D1737)</f>
        <v>-28820840</v>
      </c>
      <c r="E1734" s="38">
        <f>SUM(E1735:E1737)</f>
        <v>-28545798.450000003</v>
      </c>
      <c r="F1734" s="38">
        <f>SUM(F1735:F1737)</f>
        <v>-27143203.440000001</v>
      </c>
      <c r="G1734" s="38">
        <f>SUM(G1735:G1737)</f>
        <v>1402595.0100000016</v>
      </c>
    </row>
    <row r="1735" spans="1:7" x14ac:dyDescent="0.35">
      <c r="A1735" s="3"/>
      <c r="B1735" s="3" t="s">
        <v>106</v>
      </c>
      <c r="C1735" s="3"/>
      <c r="D1735" s="5">
        <v>-26492461</v>
      </c>
      <c r="E1735" s="5">
        <f>D1735-793713</f>
        <v>-27286174</v>
      </c>
      <c r="F1735" s="5">
        <v>-25883578.989999998</v>
      </c>
      <c r="G1735" s="5">
        <f t="shared" ref="G1735:G1737" si="646">F1735-E1735</f>
        <v>1402595.0100000016</v>
      </c>
    </row>
    <row r="1736" spans="1:7" x14ac:dyDescent="0.35">
      <c r="A1736" s="3"/>
      <c r="B1736" s="3" t="s">
        <v>107</v>
      </c>
      <c r="C1736" s="3"/>
      <c r="D1736" s="5">
        <v>-2195205</v>
      </c>
      <c r="E1736" s="5">
        <v>-1047344.19</v>
      </c>
      <c r="F1736" s="5">
        <v>-1047344.19</v>
      </c>
      <c r="G1736" s="5">
        <f t="shared" si="646"/>
        <v>0</v>
      </c>
    </row>
    <row r="1737" spans="1:7" x14ac:dyDescent="0.35">
      <c r="A1737" s="3"/>
      <c r="B1737" s="3" t="s">
        <v>108</v>
      </c>
      <c r="C1737" s="3"/>
      <c r="D1737" s="5">
        <v>-133174</v>
      </c>
      <c r="E1737" s="5">
        <v>-212280.26</v>
      </c>
      <c r="F1737" s="5">
        <v>-212280.26</v>
      </c>
      <c r="G1737" s="5">
        <f t="shared" si="646"/>
        <v>0</v>
      </c>
    </row>
  </sheetData>
  <autoFilter ref="A4:G1737" xr:uid="{1EA5352C-D577-4AC0-AB2D-448D0F26488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O19"/>
  <sheetViews>
    <sheetView workbookViewId="0">
      <selection activeCell="C29" sqref="C29"/>
    </sheetView>
  </sheetViews>
  <sheetFormatPr defaultRowHeight="14.5" x14ac:dyDescent="0.35"/>
  <cols>
    <col min="1" max="1" width="15.81640625" customWidth="1"/>
    <col min="2" max="2" width="39.1796875" customWidth="1"/>
    <col min="3" max="3" width="16.7265625" style="39" bestFit="1" customWidth="1"/>
    <col min="4" max="4" width="16.1796875" style="39" bestFit="1" customWidth="1"/>
    <col min="5" max="5" width="16.7265625" style="39" bestFit="1" customWidth="1"/>
    <col min="6" max="6" width="9.1796875" style="18"/>
    <col min="7" max="7" width="16" style="18" bestFit="1" customWidth="1"/>
    <col min="8" max="8" width="16.7265625" style="18" bestFit="1" customWidth="1"/>
    <col min="9" max="9" width="15.81640625" style="18" bestFit="1" customWidth="1"/>
    <col min="11" max="11" width="14.26953125" bestFit="1" customWidth="1"/>
    <col min="13" max="13" width="14.26953125" bestFit="1" customWidth="1"/>
    <col min="14" max="14" width="10.7265625" bestFit="1" customWidth="1"/>
    <col min="15" max="15" width="17.7265625" customWidth="1"/>
  </cols>
  <sheetData>
    <row r="1" spans="1:15" x14ac:dyDescent="0.35">
      <c r="A1" s="12" t="s">
        <v>20</v>
      </c>
      <c r="B1" s="13"/>
      <c r="C1" s="42"/>
      <c r="D1" s="42"/>
      <c r="E1" s="42"/>
      <c r="F1" s="14"/>
      <c r="G1" s="15"/>
      <c r="H1" s="16"/>
      <c r="I1" s="17"/>
      <c r="J1" s="18"/>
    </row>
    <row r="2" spans="1:15" x14ac:dyDescent="0.35">
      <c r="A2" s="12" t="s">
        <v>21</v>
      </c>
      <c r="B2" s="13"/>
      <c r="C2" s="42"/>
      <c r="D2" s="42"/>
      <c r="E2" s="42"/>
      <c r="F2" s="14"/>
      <c r="G2" s="42"/>
      <c r="H2" s="42"/>
      <c r="I2" s="16"/>
      <c r="J2" s="18"/>
    </row>
    <row r="3" spans="1:15" x14ac:dyDescent="0.35">
      <c r="A3" s="12"/>
      <c r="B3" s="13"/>
      <c r="C3" s="43">
        <f>SUBTOTAL(9,C5:C20)</f>
        <v>-670521213.62</v>
      </c>
      <c r="D3" s="43">
        <f>SUBTOTAL(9,D5:D20)</f>
        <v>-670521211.8498174</v>
      </c>
      <c r="E3" s="43">
        <f>SUBTOTAL(9,E5:E20)</f>
        <v>-1.77018260397017</v>
      </c>
      <c r="F3" s="14"/>
      <c r="G3" s="43">
        <f>SUBTOTAL(9,G5:G20)</f>
        <v>-636969113.51999998</v>
      </c>
      <c r="H3" s="43">
        <f>SUBTOTAL(9,H5:H20)</f>
        <v>-636969112.51000011</v>
      </c>
      <c r="I3" s="43">
        <f>SUBTOTAL(9,I5:I20)</f>
        <v>-1.0099999303929508</v>
      </c>
    </row>
    <row r="4" spans="1:15" ht="26" x14ac:dyDescent="0.35">
      <c r="A4" s="19" t="s">
        <v>30</v>
      </c>
      <c r="B4" s="19" t="s">
        <v>22</v>
      </c>
      <c r="C4" s="44" t="s">
        <v>158</v>
      </c>
      <c r="D4" s="44" t="s">
        <v>156</v>
      </c>
      <c r="E4" s="44" t="s">
        <v>157</v>
      </c>
      <c r="F4" s="45" t="s">
        <v>23</v>
      </c>
      <c r="G4" s="20" t="s">
        <v>93</v>
      </c>
      <c r="H4" s="20" t="s">
        <v>94</v>
      </c>
      <c r="I4" s="20" t="s">
        <v>95</v>
      </c>
      <c r="J4" s="19" t="s">
        <v>23</v>
      </c>
    </row>
    <row r="5" spans="1:15" x14ac:dyDescent="0.35">
      <c r="A5" t="s">
        <v>29</v>
      </c>
      <c r="B5" t="s">
        <v>5</v>
      </c>
      <c r="C5" s="39">
        <v>20005574.719999999</v>
      </c>
      <c r="D5" s="16">
        <f>aruanne!E6</f>
        <v>20005574.719999999</v>
      </c>
      <c r="E5" s="43">
        <f t="shared" ref="E5:E19" si="0">C5-D5</f>
        <v>0</v>
      </c>
      <c r="G5" s="39">
        <v>13345753.41</v>
      </c>
      <c r="H5" s="16">
        <f>aruanne!F6</f>
        <v>13345753.41</v>
      </c>
      <c r="I5" s="16">
        <f t="shared" ref="I5:I19" si="1">G5-H5</f>
        <v>0</v>
      </c>
      <c r="J5" s="18"/>
      <c r="M5" s="39"/>
      <c r="N5" s="18"/>
      <c r="O5" s="18"/>
    </row>
    <row r="6" spans="1:15" x14ac:dyDescent="0.35">
      <c r="A6" t="s">
        <v>29</v>
      </c>
      <c r="B6" t="s">
        <v>6</v>
      </c>
      <c r="C6" s="39">
        <v>5073881.4400000004</v>
      </c>
      <c r="D6" s="16">
        <f>aruanne!E7+aruanne!E106</f>
        <v>5964902.8099999996</v>
      </c>
      <c r="E6" s="43">
        <f t="shared" si="0"/>
        <v>-891021.36999999918</v>
      </c>
      <c r="G6" s="39">
        <v>4711012.58</v>
      </c>
      <c r="H6" s="16">
        <f>aruanne!F7+aruanne!F106</f>
        <v>5762521.6999999993</v>
      </c>
      <c r="I6" s="16">
        <f t="shared" si="1"/>
        <v>-1051509.1199999992</v>
      </c>
      <c r="J6" s="18"/>
      <c r="M6" s="39"/>
      <c r="N6" s="18"/>
      <c r="O6" s="18"/>
    </row>
    <row r="7" spans="1:15" x14ac:dyDescent="0.35">
      <c r="A7" t="s">
        <v>29</v>
      </c>
      <c r="B7" t="s">
        <v>4</v>
      </c>
      <c r="C7" s="39">
        <v>50110050.979999997</v>
      </c>
      <c r="D7" s="16">
        <f>aruanne!E8+aruanne!E99+aruanne!E100+aruanne!E101</f>
        <v>50110050.979999989</v>
      </c>
      <c r="E7" s="43">
        <f t="shared" si="0"/>
        <v>0</v>
      </c>
      <c r="G7" s="39">
        <v>22470113.289999999</v>
      </c>
      <c r="H7" s="16">
        <f>aruanne!F8+aruanne!F99+aruanne!F100+aruanne!F101</f>
        <v>22470113.289999999</v>
      </c>
      <c r="I7" s="16">
        <f t="shared" si="1"/>
        <v>0</v>
      </c>
      <c r="J7" s="18"/>
      <c r="M7" s="39"/>
      <c r="N7" s="18"/>
      <c r="O7" s="18"/>
    </row>
    <row r="8" spans="1:15" x14ac:dyDescent="0.35">
      <c r="A8" t="s">
        <v>29</v>
      </c>
      <c r="B8" t="s">
        <v>63</v>
      </c>
      <c r="C8" s="39">
        <v>11367.59</v>
      </c>
      <c r="D8" s="16">
        <f>aruanne!E9</f>
        <v>11367.59</v>
      </c>
      <c r="E8" s="43">
        <f t="shared" si="0"/>
        <v>0</v>
      </c>
      <c r="G8" s="39">
        <v>13034.26</v>
      </c>
      <c r="H8" s="16">
        <f>aruanne!F9</f>
        <v>13034.26</v>
      </c>
      <c r="I8" s="16">
        <f t="shared" si="1"/>
        <v>0</v>
      </c>
      <c r="J8" s="18"/>
      <c r="M8" s="39"/>
      <c r="N8" s="18"/>
      <c r="O8" s="18"/>
    </row>
    <row r="9" spans="1:15" x14ac:dyDescent="0.35">
      <c r="A9" t="s">
        <v>29</v>
      </c>
      <c r="B9" t="s">
        <v>8</v>
      </c>
      <c r="C9" s="39">
        <v>35603232.950000003</v>
      </c>
      <c r="D9" s="16">
        <f>aruanne!E10+aruanne!E104</f>
        <v>35603232.949999996</v>
      </c>
      <c r="E9" s="43">
        <f t="shared" si="0"/>
        <v>0</v>
      </c>
      <c r="G9" s="39">
        <v>23560870.100000001</v>
      </c>
      <c r="H9" s="16">
        <f>aruanne!F10+aruanne!F104</f>
        <v>23560870.100000001</v>
      </c>
      <c r="I9" s="16">
        <f t="shared" si="1"/>
        <v>0</v>
      </c>
      <c r="J9" s="18"/>
      <c r="M9" s="39"/>
      <c r="N9" s="18"/>
      <c r="O9" s="18"/>
    </row>
    <row r="10" spans="1:15" x14ac:dyDescent="0.35">
      <c r="A10" t="s">
        <v>29</v>
      </c>
      <c r="B10" t="s">
        <v>53</v>
      </c>
      <c r="C10" s="39">
        <v>1297619.6399999999</v>
      </c>
      <c r="D10" s="16">
        <f>aruanne!E11</f>
        <v>1297619.6399999999</v>
      </c>
      <c r="E10" s="43">
        <f t="shared" si="0"/>
        <v>0</v>
      </c>
      <c r="G10" s="39">
        <f>997949.53+266.21</f>
        <v>998215.74</v>
      </c>
      <c r="H10" s="16">
        <f>aruanne!F11</f>
        <v>998215.74</v>
      </c>
      <c r="I10" s="16">
        <f t="shared" si="1"/>
        <v>0</v>
      </c>
      <c r="J10" s="18"/>
      <c r="M10" s="39"/>
      <c r="N10" s="18"/>
      <c r="O10" s="18"/>
    </row>
    <row r="11" spans="1:15" x14ac:dyDescent="0.35">
      <c r="A11" t="s">
        <v>29</v>
      </c>
      <c r="B11" t="s">
        <v>26</v>
      </c>
      <c r="C11" s="39">
        <f>891021.37</f>
        <v>891021.37</v>
      </c>
      <c r="D11" s="16"/>
      <c r="E11" s="43">
        <f t="shared" si="0"/>
        <v>891021.37</v>
      </c>
      <c r="G11" s="39">
        <v>1051509.1200000001</v>
      </c>
      <c r="H11" s="16"/>
      <c r="I11" s="16">
        <f t="shared" si="1"/>
        <v>1051509.1200000001</v>
      </c>
      <c r="J11" s="18"/>
      <c r="M11" s="39"/>
      <c r="N11" s="18"/>
      <c r="O11" s="18"/>
    </row>
    <row r="12" spans="1:15" x14ac:dyDescent="0.35">
      <c r="A12" t="s">
        <v>29</v>
      </c>
      <c r="B12" t="s">
        <v>24</v>
      </c>
      <c r="D12" s="16"/>
      <c r="E12" s="43">
        <f t="shared" si="0"/>
        <v>0</v>
      </c>
      <c r="G12" s="39">
        <v>0</v>
      </c>
      <c r="H12" s="16"/>
      <c r="I12" s="16">
        <f t="shared" si="1"/>
        <v>0</v>
      </c>
      <c r="M12" s="39"/>
      <c r="N12" s="18"/>
      <c r="O12" s="18"/>
    </row>
    <row r="13" spans="1:15" x14ac:dyDescent="0.35">
      <c r="A13" t="s">
        <v>29</v>
      </c>
      <c r="B13" t="s">
        <v>62</v>
      </c>
      <c r="C13" s="39">
        <f>-665592772.13-C16-C19</f>
        <v>-623446378.8499999</v>
      </c>
      <c r="D13" s="16">
        <f>aruanne!E12+aruanne!E108+aruanne!E110+aruanne!E111+aruanne!E105+aruanne!E102+aruanne!E107-aruanne!E86+aruanne!E103</f>
        <v>-624418899.4498173</v>
      </c>
      <c r="E13" s="43">
        <f t="shared" si="0"/>
        <v>972520.59981739521</v>
      </c>
      <c r="G13" s="39">
        <f>-617118025.44-G16-G19</f>
        <v>-584722802.5200001</v>
      </c>
      <c r="H13" s="16">
        <f>aruanne!F12+aruanne!F108+aruanne!F110+aruanne!F111+aruanne!F105+aruanne!F102+aruanne!F107-aruanne!F86+aruanne!F103</f>
        <v>-585774310.70000017</v>
      </c>
      <c r="I13" s="16">
        <f t="shared" si="1"/>
        <v>1051508.1800000668</v>
      </c>
      <c r="M13" s="39"/>
      <c r="N13" s="18"/>
      <c r="O13" s="18"/>
    </row>
    <row r="14" spans="1:15" x14ac:dyDescent="0.35">
      <c r="A14" t="s">
        <v>29</v>
      </c>
      <c r="B14" t="s">
        <v>27</v>
      </c>
      <c r="C14" s="39">
        <f>-21295.28-869726.09</f>
        <v>-891021.37</v>
      </c>
      <c r="D14" s="16"/>
      <c r="E14" s="43">
        <f t="shared" si="0"/>
        <v>-891021.37</v>
      </c>
      <c r="G14" s="39">
        <v>-1051509.1200000001</v>
      </c>
      <c r="H14" s="16"/>
      <c r="I14" s="16">
        <f t="shared" si="1"/>
        <v>-1051509.1200000001</v>
      </c>
      <c r="M14" s="39"/>
      <c r="N14" s="18"/>
      <c r="O14" s="18"/>
    </row>
    <row r="15" spans="1:15" x14ac:dyDescent="0.35">
      <c r="A15" t="s">
        <v>29</v>
      </c>
      <c r="B15" t="s">
        <v>25</v>
      </c>
      <c r="C15" s="39">
        <v>-49588521</v>
      </c>
      <c r="D15" s="16">
        <f>aruanne!E112</f>
        <v>-49507020</v>
      </c>
      <c r="E15" s="43">
        <f t="shared" si="0"/>
        <v>-81501</v>
      </c>
      <c r="G15" s="39">
        <v>-45442152</v>
      </c>
      <c r="H15" s="16">
        <f>aruanne!F112</f>
        <v>-45442152</v>
      </c>
      <c r="I15" s="16">
        <f t="shared" si="1"/>
        <v>0</v>
      </c>
      <c r="M15" s="39"/>
      <c r="N15" s="18"/>
      <c r="O15" s="18"/>
    </row>
    <row r="16" spans="1:15" x14ac:dyDescent="0.35">
      <c r="A16" t="s">
        <v>29</v>
      </c>
      <c r="B16" s="21" t="s">
        <v>52</v>
      </c>
      <c r="C16" s="39">
        <v>-27143203.440000001</v>
      </c>
      <c r="D16" s="16">
        <f>aruanne!E86</f>
        <v>-27143203.440000001</v>
      </c>
      <c r="E16" s="43">
        <f t="shared" si="0"/>
        <v>0</v>
      </c>
      <c r="F16" s="22"/>
      <c r="G16" s="39">
        <v>-24164805.030000001</v>
      </c>
      <c r="H16" s="16">
        <f>aruanne!F86</f>
        <v>-24164805.030000001</v>
      </c>
      <c r="I16" s="16">
        <f t="shared" si="1"/>
        <v>0</v>
      </c>
      <c r="M16" s="39"/>
      <c r="N16" s="18"/>
      <c r="O16" s="18"/>
    </row>
    <row r="17" spans="1:15" x14ac:dyDescent="0.35">
      <c r="A17" t="s">
        <v>29</v>
      </c>
      <c r="B17" s="21" t="s">
        <v>17</v>
      </c>
      <c r="C17" s="39">
        <f>-56010890.41+449773.19-11644573.34</f>
        <v>-67205690.560000002</v>
      </c>
      <c r="D17" s="16">
        <f>aruanne!E87-aruanne!E97+aruanne!E109</f>
        <v>-67441647.810000002</v>
      </c>
      <c r="E17" s="43">
        <f t="shared" si="0"/>
        <v>235957.25</v>
      </c>
      <c r="F17" s="22"/>
      <c r="G17" s="39">
        <f>-41500688.65+854550</f>
        <v>-40646138.649999999</v>
      </c>
      <c r="H17" s="16">
        <f>aruanne!F87-aruanne!F97+aruanne!F109</f>
        <v>-39507935.390000001</v>
      </c>
      <c r="I17" s="16">
        <f t="shared" si="1"/>
        <v>-1138203.2599999979</v>
      </c>
      <c r="M17" s="39"/>
      <c r="N17" s="18"/>
      <c r="O17" s="18"/>
    </row>
    <row r="18" spans="1:15" x14ac:dyDescent="0.35">
      <c r="A18" t="s">
        <v>29</v>
      </c>
      <c r="B18" t="s">
        <v>28</v>
      </c>
      <c r="C18" s="39">
        <f>213815.94-449773.19</f>
        <v>-235957.25</v>
      </c>
      <c r="D18" s="16"/>
      <c r="E18" s="43">
        <f t="shared" ref="E18" si="2">C18-D18</f>
        <v>-235957.25</v>
      </c>
      <c r="G18" s="39">
        <f>1542980+60822+388951.19-854550</f>
        <v>1138203.19</v>
      </c>
      <c r="H18" s="16"/>
      <c r="I18" s="16">
        <f t="shared" ref="I18" si="3">G18-H18</f>
        <v>1138203.19</v>
      </c>
      <c r="M18" s="39"/>
      <c r="N18" s="18"/>
      <c r="O18" s="18"/>
    </row>
    <row r="19" spans="1:15" x14ac:dyDescent="0.35">
      <c r="A19" t="s">
        <v>29</v>
      </c>
      <c r="B19" s="21" t="s">
        <v>61</v>
      </c>
      <c r="C19" s="39">
        <v>-15003189.84</v>
      </c>
      <c r="D19" s="16">
        <f>aruanne!E97</f>
        <v>-15003189.84</v>
      </c>
      <c r="E19" s="43">
        <f t="shared" si="0"/>
        <v>0</v>
      </c>
      <c r="G19" s="39">
        <v>-8230417.8899999997</v>
      </c>
      <c r="H19" s="16">
        <f>aruanne!F97</f>
        <v>-8230417.8899999997</v>
      </c>
      <c r="I19" s="16">
        <f t="shared" si="1"/>
        <v>0</v>
      </c>
      <c r="M19" s="39"/>
      <c r="N19" s="18"/>
      <c r="O19" s="18"/>
    </row>
  </sheetData>
  <autoFilter ref="A4:J20" xr:uid="{EF1F9403-50E9-43C6-AF9D-B37F0A9328D9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dimension ref="A1:C32"/>
  <sheetViews>
    <sheetView topLeftCell="A2" workbookViewId="0">
      <pane xSplit="1" ySplit="4" topLeftCell="B21" activePane="bottomRight" state="frozen"/>
      <selection activeCell="A2" sqref="A2"/>
      <selection pane="topRight" activeCell="B2" sqref="B2"/>
      <selection pane="bottomLeft" activeCell="A7" sqref="A7"/>
      <selection pane="bottomRight" activeCell="F11" sqref="F11"/>
    </sheetView>
  </sheetViews>
  <sheetFormatPr defaultRowHeight="14.5" x14ac:dyDescent="0.35"/>
  <cols>
    <col min="1" max="1" width="58.26953125" customWidth="1"/>
    <col min="2" max="2" width="11" customWidth="1"/>
    <col min="3" max="3" width="12.1796875" customWidth="1"/>
  </cols>
  <sheetData>
    <row r="1" spans="1:3" x14ac:dyDescent="0.35">
      <c r="A1" s="12" t="s">
        <v>20</v>
      </c>
    </row>
    <row r="2" spans="1:3" x14ac:dyDescent="0.35">
      <c r="A2" s="12" t="s">
        <v>32</v>
      </c>
      <c r="B2" s="2"/>
      <c r="C2" s="24"/>
    </row>
    <row r="3" spans="1:3" x14ac:dyDescent="0.35">
      <c r="A3" s="25" t="s">
        <v>0</v>
      </c>
    </row>
    <row r="4" spans="1:3" x14ac:dyDescent="0.35">
      <c r="A4" s="12"/>
      <c r="B4" s="26">
        <v>15</v>
      </c>
      <c r="C4" s="26">
        <v>15</v>
      </c>
    </row>
    <row r="5" spans="1:3" ht="52.5" customHeight="1" x14ac:dyDescent="0.35">
      <c r="A5" s="27"/>
      <c r="B5" s="28" t="s">
        <v>33</v>
      </c>
      <c r="C5" s="28" t="s">
        <v>65</v>
      </c>
    </row>
    <row r="6" spans="1:3" x14ac:dyDescent="0.35">
      <c r="A6" s="29" t="s">
        <v>34</v>
      </c>
      <c r="B6" s="23">
        <f>aruanne!C5</f>
        <v>87758666</v>
      </c>
      <c r="C6" s="23">
        <f>aruanne!C12+aruanne!C87</f>
        <v>-605606599</v>
      </c>
    </row>
    <row r="7" spans="1:3" x14ac:dyDescent="0.35">
      <c r="A7" s="29" t="s">
        <v>35</v>
      </c>
      <c r="B7" s="30"/>
      <c r="C7" s="23">
        <v>-59422139</v>
      </c>
    </row>
    <row r="8" spans="1:3" x14ac:dyDescent="0.35">
      <c r="A8" s="29" t="s">
        <v>153</v>
      </c>
      <c r="B8" s="30">
        <v>25768917</v>
      </c>
      <c r="C8" s="23">
        <v>-61173203</v>
      </c>
    </row>
    <row r="9" spans="1:3" x14ac:dyDescent="0.35">
      <c r="A9" s="29" t="s">
        <v>154</v>
      </c>
      <c r="B9" s="23"/>
      <c r="C9" s="23">
        <v>5936681.5</v>
      </c>
    </row>
    <row r="10" spans="1:3" x14ac:dyDescent="0.35">
      <c r="A10" s="31" t="s">
        <v>88</v>
      </c>
      <c r="B10" s="23"/>
      <c r="C10" s="23"/>
    </row>
    <row r="11" spans="1:3" x14ac:dyDescent="0.35">
      <c r="A11" s="31" t="s">
        <v>36</v>
      </c>
      <c r="B11" s="23"/>
      <c r="C11" s="23">
        <v>-25933439</v>
      </c>
    </row>
    <row r="12" spans="1:3" x14ac:dyDescent="0.35">
      <c r="A12" s="72" t="s">
        <v>37</v>
      </c>
      <c r="B12" s="23"/>
      <c r="C12" s="23">
        <v>54605698</v>
      </c>
    </row>
    <row r="13" spans="1:3" x14ac:dyDescent="0.35">
      <c r="A13" s="29" t="s">
        <v>38</v>
      </c>
      <c r="B13" s="23"/>
      <c r="C13" s="23">
        <v>-48242338.030000001</v>
      </c>
    </row>
    <row r="14" spans="1:3" x14ac:dyDescent="0.35">
      <c r="A14" s="72" t="s">
        <v>59</v>
      </c>
      <c r="B14" s="23"/>
      <c r="C14" s="23">
        <f>1070781+65932800-54605698</f>
        <v>12397883</v>
      </c>
    </row>
    <row r="15" spans="1:3" x14ac:dyDescent="0.35">
      <c r="A15" s="29" t="s">
        <v>60</v>
      </c>
      <c r="B15" s="23"/>
      <c r="C15" s="23">
        <v>-8249746.4400000004</v>
      </c>
    </row>
    <row r="16" spans="1:3" x14ac:dyDescent="0.35">
      <c r="A16" s="72" t="s">
        <v>39</v>
      </c>
      <c r="B16" s="30"/>
      <c r="C16" s="30">
        <v>175000</v>
      </c>
    </row>
    <row r="17" spans="1:3" x14ac:dyDescent="0.35">
      <c r="A17" s="29" t="s">
        <v>40</v>
      </c>
      <c r="B17" s="30"/>
      <c r="C17" s="30"/>
    </row>
    <row r="18" spans="1:3" x14ac:dyDescent="0.35">
      <c r="A18" s="29" t="s">
        <v>41</v>
      </c>
      <c r="B18" s="30"/>
      <c r="C18" s="30">
        <v>-279648</v>
      </c>
    </row>
    <row r="19" spans="1:3" x14ac:dyDescent="0.35">
      <c r="A19" s="72" t="s">
        <v>42</v>
      </c>
      <c r="B19" s="30"/>
      <c r="C19" s="23">
        <v>4562079</v>
      </c>
    </row>
    <row r="20" spans="1:3" x14ac:dyDescent="0.35">
      <c r="A20" s="29" t="s">
        <v>43</v>
      </c>
      <c r="B20" s="30"/>
      <c r="C20" s="23">
        <v>-5424029.3499999996</v>
      </c>
    </row>
    <row r="21" spans="1:3" x14ac:dyDescent="0.35">
      <c r="A21" s="72" t="s">
        <v>44</v>
      </c>
      <c r="B21" s="30"/>
      <c r="C21" s="23"/>
    </row>
    <row r="22" spans="1:3" x14ac:dyDescent="0.35">
      <c r="A22" s="29" t="s">
        <v>89</v>
      </c>
      <c r="B22" s="30"/>
      <c r="C22" s="23">
        <v>-18019.57</v>
      </c>
    </row>
    <row r="23" spans="1:3" x14ac:dyDescent="0.35">
      <c r="A23" s="72" t="s">
        <v>45</v>
      </c>
      <c r="B23" s="30"/>
      <c r="C23" s="23"/>
    </row>
    <row r="24" spans="1:3" x14ac:dyDescent="0.35">
      <c r="A24" s="29" t="s">
        <v>46</v>
      </c>
      <c r="B24" s="30"/>
      <c r="C24" s="23"/>
    </row>
    <row r="25" spans="1:3" x14ac:dyDescent="0.35">
      <c r="A25" s="29" t="s">
        <v>47</v>
      </c>
      <c r="B25" s="30"/>
      <c r="C25" s="30">
        <v>-518847</v>
      </c>
    </row>
    <row r="26" spans="1:3" x14ac:dyDescent="0.35">
      <c r="A26" s="29" t="s">
        <v>48</v>
      </c>
      <c r="B26" s="30"/>
      <c r="C26" s="30"/>
    </row>
    <row r="27" spans="1:3" x14ac:dyDescent="0.35">
      <c r="A27" s="29" t="s">
        <v>49</v>
      </c>
      <c r="B27" s="30"/>
      <c r="C27" s="30"/>
    </row>
    <row r="28" spans="1:3" x14ac:dyDescent="0.35">
      <c r="A28" s="32" t="s">
        <v>50</v>
      </c>
      <c r="B28" s="33">
        <f t="shared" ref="B28:C28" si="0">SUM(B6:B27)</f>
        <v>113527583</v>
      </c>
      <c r="C28" s="33">
        <f t="shared" si="0"/>
        <v>-737190666.8900001</v>
      </c>
    </row>
    <row r="29" spans="1:3" x14ac:dyDescent="0.35">
      <c r="A29" s="34"/>
      <c r="B29" s="34">
        <f>aruanne!D5</f>
        <v>113527583</v>
      </c>
      <c r="C29" s="34">
        <f>aruanne!D12+aruanne!D87</f>
        <v>-737190660.94777989</v>
      </c>
    </row>
    <row r="30" spans="1:3" x14ac:dyDescent="0.35">
      <c r="A30" s="34"/>
      <c r="B30" s="34">
        <f t="shared" ref="B30:C30" si="1">B28-B29</f>
        <v>0</v>
      </c>
      <c r="C30" s="34">
        <f t="shared" si="1"/>
        <v>-5.9422202110290527</v>
      </c>
    </row>
    <row r="31" spans="1:3" x14ac:dyDescent="0.35">
      <c r="C31" s="2"/>
    </row>
    <row r="32" spans="1:3" x14ac:dyDescent="0.35">
      <c r="C32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HAoktoober2025A_x002e_11398940t_x002e_1001515812summas495_x002c_92 xmlns="19db9c30-584d-4ad5-9af0-9aa7f98fdc73" xsi:nil="true"/>
    <lcf76f155ced4ddcb4097134ff3c332f xmlns="19db9c30-584d-4ad5-9af0-9aa7f98fdc73">
      <Terms xmlns="http://schemas.microsoft.com/office/infopath/2007/PartnerControls"/>
    </lcf76f155ced4ddcb4097134ff3c332f>
    <TaxCatchAll xmlns="b8a1d2b4-14fc-4346-bc33-b5e3ce352a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ACCEF77512D40B856060F62DF5D0F" ma:contentTypeVersion="20" ma:contentTypeDescription="Create a new document." ma:contentTypeScope="" ma:versionID="b61493ed251ff123e52fe1c53903337c">
  <xsd:schema xmlns:xsd="http://www.w3.org/2001/XMLSchema" xmlns:xs="http://www.w3.org/2001/XMLSchema" xmlns:p="http://schemas.microsoft.com/office/2006/metadata/properties" xmlns:ns2="19db9c30-584d-4ad5-9af0-9aa7f98fdc73" xmlns:ns3="b8a1d2b4-14fc-4346-bc33-b5e3ce352a93" targetNamespace="http://schemas.microsoft.com/office/2006/metadata/properties" ma:root="true" ma:fieldsID="5fbf8d57db0fd44694ba5356269931ea" ns2:_="" ns3:_="">
    <xsd:import namespace="19db9c30-584d-4ad5-9af0-9aa7f98fdc7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REHAoktoober2025A_x002e_11398940t_x002e_1001515812summas495_x002c_9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b9c30-584d-4ad5-9af0-9aa7f98fd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HAoktoober2025A_x002e_11398940t_x002e_1001515812summas495_x002c_92" ma:index="20" nillable="true" ma:displayName="REHA oktoober 2025 A.11398940 t.1001515812 summas 495,92" ma:description="Maarjamaa Riigikool_koondaruanne_10.25_1, 2 isikut, summa 495,92 €" ma:format="Dropdown" ma:internalName="REHAoktoober2025A_x002e_11398940t_x002e_1001515812summas495_x002c_9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e503bb-8001-4011-ab10-845891afb5e6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1B10F3-1088-450D-86C0-D1590E995023}">
  <ds:schemaRefs>
    <ds:schemaRef ds:uri="b8a1d2b4-14fc-4346-bc33-b5e3ce352a93"/>
    <ds:schemaRef ds:uri="http://schemas.microsoft.com/office/2006/documentManagement/types"/>
    <ds:schemaRef ds:uri="19db9c30-584d-4ad5-9af0-9aa7f98fdc73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3F6E3D-C8E6-4068-AB15-6B6AAACFF7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BD001-B196-4F63-87EF-CE4CCA76A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b9c30-584d-4ad5-9af0-9aa7f98fdc73"/>
    <ds:schemaRef ds:uri="b8a1d2b4-14fc-4346-bc33-b5e3ce352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aruanne</vt:lpstr>
      <vt:lpstr>LISA</vt:lpstr>
      <vt:lpstr>vordlus</vt:lpstr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 Maar</dc:creator>
  <cp:lastModifiedBy>Inga Sepp</cp:lastModifiedBy>
  <dcterms:created xsi:type="dcterms:W3CDTF">2022-02-14T16:37:54Z</dcterms:created>
  <dcterms:modified xsi:type="dcterms:W3CDTF">2026-07-13T06:00:34Z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2025-05-15T14:01:08Z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4b5872ad-0275-42f8-b861-6180ced29fc8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0x010100A98ACCEF77512D40B856060F62DF5D0F</vt:lpwstr>
  </property>
  <property fmtid="{D5CDD505-2E9C-101B-9397-08002B2CF9AE}" pid="11" name="MediaServiceImageTags">
    <vt:lpwstr/>
  </property>
  <property fmtid="{D5CDD505-2E9C-101B-9397-08002B2CF9AE}" pid="12" name="MSIP_Label_8cbe7764-b9ce-4c4d-95f5-9a7e7bcac646_Enabled">
    <vt:lpwstr>true</vt:lpwstr>
  </property>
  <property fmtid="{D5CDD505-2E9C-101B-9397-08002B2CF9AE}" pid="13" name="MSIP_Label_8cbe7764-b9ce-4c4d-95f5-9a7e7bcac646_SetDate">
    <vt:lpwstr>2026-07-13T06:00:20Z</vt:lpwstr>
  </property>
  <property fmtid="{D5CDD505-2E9C-101B-9397-08002B2CF9AE}" pid="14" name="MSIP_Label_8cbe7764-b9ce-4c4d-95f5-9a7e7bcac646_Method">
    <vt:lpwstr>Standard</vt:lpwstr>
  </property>
  <property fmtid="{D5CDD505-2E9C-101B-9397-08002B2CF9AE}" pid="15" name="MSIP_Label_8cbe7764-b9ce-4c4d-95f5-9a7e7bcac646_Name">
    <vt:lpwstr>SIM VA - sisemine kasutus</vt:lpwstr>
  </property>
  <property fmtid="{D5CDD505-2E9C-101B-9397-08002B2CF9AE}" pid="16" name="MSIP_Label_8cbe7764-b9ce-4c4d-95f5-9a7e7bcac646_SiteId">
    <vt:lpwstr>7bae085e-3093-4c05-8334-7a5421e0af07</vt:lpwstr>
  </property>
  <property fmtid="{D5CDD505-2E9C-101B-9397-08002B2CF9AE}" pid="17" name="MSIP_Label_8cbe7764-b9ce-4c4d-95f5-9a7e7bcac646_ActionId">
    <vt:lpwstr>7473edb4-edc4-4ca2-87d2-41b03646f454</vt:lpwstr>
  </property>
  <property fmtid="{D5CDD505-2E9C-101B-9397-08002B2CF9AE}" pid="18" name="MSIP_Label_8cbe7764-b9ce-4c4d-95f5-9a7e7bcac646_ContentBits">
    <vt:lpwstr>0</vt:lpwstr>
  </property>
  <property fmtid="{D5CDD505-2E9C-101B-9397-08002B2CF9AE}" pid="19" name="MSIP_Label_8cbe7764-b9ce-4c4d-95f5-9a7e7bcac646_Tag">
    <vt:lpwstr>10, 3, 0, 1</vt:lpwstr>
  </property>
</Properties>
</file>