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ovg01-my.sharepoint.com/personal/merju_kunnapuu_kul_ee/Documents/KUMOneDrive/Nõukogu UGALA/asutajaootused/"/>
    </mc:Choice>
  </mc:AlternateContent>
  <xr:revisionPtr revIDLastSave="69" documentId="8_{C48D9147-9A77-4C12-AD41-58765B971FEF}" xr6:coauthVersionLast="47" xr6:coauthVersionMax="47" xr10:uidLastSave="{A230CC4D-E956-42E1-81B9-CE7673AEE68A}"/>
  <bookViews>
    <workbookView xWindow="-110" yWindow="-110" windowWidth="19420" windowHeight="10300" xr2:uid="{C5EB2879-0554-45E2-9A37-9C7B70464F3B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8" i="1" l="1"/>
  <c r="I48" i="1"/>
  <c r="H48" i="1"/>
  <c r="G48" i="1"/>
  <c r="F48" i="1"/>
  <c r="E48" i="1"/>
  <c r="J47" i="1"/>
  <c r="I47" i="1"/>
  <c r="H47" i="1"/>
  <c r="G47" i="1"/>
  <c r="F47" i="1"/>
  <c r="E47" i="1"/>
  <c r="J46" i="1"/>
  <c r="I46" i="1"/>
  <c r="J45" i="1"/>
  <c r="I45" i="1"/>
  <c r="J44" i="1"/>
  <c r="I44" i="1"/>
  <c r="H44" i="1"/>
  <c r="G44" i="1"/>
  <c r="F44" i="1"/>
  <c r="E44" i="1"/>
  <c r="P42" i="1"/>
  <c r="O42" i="1"/>
  <c r="N42" i="1"/>
  <c r="M42" i="1"/>
  <c r="L42" i="1"/>
  <c r="J42" i="1"/>
  <c r="I42" i="1"/>
  <c r="H42" i="1"/>
  <c r="G42" i="1"/>
  <c r="F42" i="1"/>
  <c r="E42" i="1"/>
  <c r="J41" i="1"/>
  <c r="I41" i="1"/>
  <c r="H41" i="1"/>
  <c r="G41" i="1"/>
  <c r="F41" i="1"/>
  <c r="E41" i="1"/>
  <c r="J40" i="1"/>
  <c r="I40" i="1"/>
  <c r="H40" i="1"/>
  <c r="G40" i="1"/>
  <c r="F40" i="1"/>
  <c r="E40" i="1"/>
  <c r="I23" i="1"/>
  <c r="H23" i="1"/>
  <c r="G23" i="1"/>
  <c r="F23" i="1"/>
  <c r="E23" i="1"/>
  <c r="H20" i="1"/>
  <c r="H46" i="1" s="1"/>
  <c r="G20" i="1"/>
  <c r="G46" i="1" s="1"/>
  <c r="F20" i="1"/>
  <c r="F46" i="1" s="1"/>
  <c r="E20" i="1"/>
  <c r="E46" i="1" s="1"/>
  <c r="E45" i="1" l="1"/>
  <c r="F45" i="1"/>
  <c r="G45" i="1"/>
  <c r="H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tc={839EDB0F-9D6F-4095-8CC2-CAD5773CDA03}</author>
    <author>tc={C1ADE332-022F-4632-83D5-701473FC1AE1}</author>
    <author>tc={70604C38-74FC-4FFE-905C-595009C951F3}</author>
    <author>Katre Väli</author>
    <author>tc={E237EA2D-E48E-4E44-B1CD-F8676ABD4BD9}</author>
  </authors>
  <commentList>
    <comment ref="F1" authorId="0" shapeId="0" xr:uid="{839EDB0F-9D6F-4095-8CC2-CAD5773CDA03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Piirangutega aasta.</t>
      </text>
    </comment>
    <comment ref="G1" authorId="1" shapeId="0" xr:uid="{C1ADE332-022F-4632-83D5-701473FC1AE1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Piirangutega aasta.</t>
      </text>
    </comment>
    <comment ref="D29" authorId="2" shapeId="0" xr:uid="{70604C38-74FC-4FFE-905C-595009C951F3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Kasutame RKAS-e hindamisskaalat, etendusasutuse enesehindamine selle põhjal.</t>
      </text>
    </comment>
    <comment ref="A33" authorId="3" shapeId="0" xr:uid="{D8EB342C-326F-43CB-A155-691C720E8F01}">
      <text>
        <r>
          <rPr>
            <sz val="11"/>
            <color theme="1"/>
            <rFont val="Aptos Narrow"/>
            <family val="2"/>
            <charset val="186"/>
            <scheme val="minor"/>
          </rPr>
          <t xml:space="preserve">Katre Väli:
</t>
        </r>
      </text>
    </comment>
    <comment ref="D38" authorId="4" shapeId="0" xr:uid="{E237EA2D-E48E-4E44-B1CD-F8676ABD4BD9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vt ligipääsetavuse koolitusmaterjale: https://kul.ee/ligipaasetavuse-edendamine-kultuuris-ja-spordis</t>
      </text>
    </comment>
  </commentList>
</comments>
</file>

<file path=xl/sharedStrings.xml><?xml version="1.0" encoding="utf-8"?>
<sst xmlns="http://schemas.openxmlformats.org/spreadsheetml/2006/main" count="315" uniqueCount="139">
  <si>
    <t>Jrk nr</t>
  </si>
  <si>
    <t>Tulemusindikaatorid</t>
  </si>
  <si>
    <t>Allikas / metoodika</t>
  </si>
  <si>
    <t>Sihttase 2026</t>
  </si>
  <si>
    <t>Sihttase 2027</t>
  </si>
  <si>
    <t>Sihttase 2028</t>
  </si>
  <si>
    <t>Sihttase 2029</t>
  </si>
  <si>
    <t>Sihttase 2030</t>
  </si>
  <si>
    <t>VÕTMEINDIKAATORID</t>
  </si>
  <si>
    <t>Külastajate rahulolu</t>
  </si>
  <si>
    <t>Metoodika töötatakse välja enne 2027.a rahulolu-uuringu läbiviimist</t>
  </si>
  <si>
    <t>ei mõõdetud</t>
  </si>
  <si>
    <t>MÕÕDETUD</t>
  </si>
  <si>
    <t>ei mõõdeta</t>
  </si>
  <si>
    <t>Saalide keskmine täituvus lavastuste lõikes statsionaaris kokku</t>
  </si>
  <si>
    <t>Teatri andmed</t>
  </si>
  <si>
    <t>Töötajate rahulolu</t>
  </si>
  <si>
    <t>Etenduste arv aastas</t>
  </si>
  <si>
    <t>Eesti Teatri Agentuuri statistika</t>
  </si>
  <si>
    <t>Uuslavastuste arv aastas</t>
  </si>
  <si>
    <t>Tutvustada läbi mitmekesise etendustegevuse Eesti dramaturgiat, sh kogukonna ja piirkonna lugudel põhinevat</t>
  </si>
  <si>
    <t>6</t>
  </si>
  <si>
    <t>7</t>
  </si>
  <si>
    <t xml:space="preserve">Piirkondlikel /kogukondlikel lugudel põhinevate lavastuste arv repertuaaris </t>
  </si>
  <si>
    <t>8</t>
  </si>
  <si>
    <t>Pakkuda mitmekesist ja ligipääsetavat etendusprogrammi erinevatele sihtgruppidele ning kvaliteetseid haridustegevusi</t>
  </si>
  <si>
    <t>9</t>
  </si>
  <si>
    <t>Erinevatele vanuserühmadele antud etenduste arv</t>
  </si>
  <si>
    <t>Lapsed ja noored (0-20)</t>
  </si>
  <si>
    <t>Täiskasvanud (21+)</t>
  </si>
  <si>
    <t>10</t>
  </si>
  <si>
    <t>Erinevatele vanuserühmadele antud etenduste külastajate arv:</t>
  </si>
  <si>
    <t>Kokku</t>
  </si>
  <si>
    <t>11</t>
  </si>
  <si>
    <t>Haridustegevustes osalejate rahulolu pakutud tegevustega</t>
  </si>
  <si>
    <t>10 palli skaala</t>
  </si>
  <si>
    <t>12</t>
  </si>
  <si>
    <t>Aasta jooksul haridustegevustest osa saanud külastajate arv</t>
  </si>
  <si>
    <t xml:space="preserve">Teatri andmed </t>
  </si>
  <si>
    <t>13</t>
  </si>
  <si>
    <t>Võõrustatud külalisetenduste arv</t>
  </si>
  <si>
    <t>Tagada etendustegevuse piirkondlik kättesaadavus  – korraldada etendusi Kesk-Eestis ja Viljandimaal</t>
  </si>
  <si>
    <t>14</t>
  </si>
  <si>
    <t>Etenduste arv maakondade lõikes väljaspool statsionaarset saali:</t>
  </si>
  <si>
    <t>Viljandimaal</t>
  </si>
  <si>
    <t>Järvamaal</t>
  </si>
  <si>
    <t>Raplamaal</t>
  </si>
  <si>
    <t>Säilitada ja arendada sihtasutusele kuuluvat kinnisvara ja vallasvara</t>
  </si>
  <si>
    <t>15</t>
  </si>
  <si>
    <t>Korrasoleva kinnisvara osakaal kogukinnisvarast</t>
  </si>
  <si>
    <t>Teatri andmed /protsentides</t>
  </si>
  <si>
    <t>rahuldav</t>
  </si>
  <si>
    <t>Vähendada etendusasutuse keskkonnajalajälge</t>
  </si>
  <si>
    <t>16</t>
  </si>
  <si>
    <t>Elektri- ja soojusenergia kasutus  / elektrienergia kasutus</t>
  </si>
  <si>
    <t>Teatri andmed / aastas maht:</t>
  </si>
  <si>
    <t>640,1 / 670657</t>
  </si>
  <si>
    <t>641,5 /556675</t>
  </si>
  <si>
    <t>834,7 / 559181</t>
  </si>
  <si>
    <t>723,9 / 550822</t>
  </si>
  <si>
    <t>671,5 / 527337</t>
  </si>
  <si>
    <t>628,8 / 512099</t>
  </si>
  <si>
    <t>620,5 / 483204</t>
  </si>
  <si>
    <t>700/490000</t>
  </si>
  <si>
    <t>680/490000</t>
  </si>
  <si>
    <t>17</t>
  </si>
  <si>
    <t>Vee kasutus aastas</t>
  </si>
  <si>
    <t>Teatri andmed/ m3 aastas:</t>
  </si>
  <si>
    <t>18</t>
  </si>
  <si>
    <t xml:space="preserve"> Jäätmete liigiti kogumine</t>
  </si>
  <si>
    <t>Teatri andmed / sorteerimine jah/ei</t>
  </si>
  <si>
    <t>jah</t>
  </si>
  <si>
    <t>19</t>
  </si>
  <si>
    <t>Keskkonnahoidlikud hanked</t>
  </si>
  <si>
    <t>Teatri andmed / jah/ei</t>
  </si>
  <si>
    <t>ei</t>
  </si>
  <si>
    <t xml:space="preserve">ei </t>
  </si>
  <si>
    <t>20</t>
  </si>
  <si>
    <t>Asutuse autode aastane läbisõit</t>
  </si>
  <si>
    <t>Teatri andmed / km</t>
  </si>
  <si>
    <t>21</t>
  </si>
  <si>
    <t>Keskkonna hoidlike sündmuste korraldamise minimaalsete nõuete täitmine</t>
  </si>
  <si>
    <t xml:space="preserve"> Teatri andmed / Lähtudes nt keskkonnahoidlike sündmuste korraldamise juhendist  
jah / ei</t>
  </si>
  <si>
    <t>Arvestada kõigi teenuste pakkumisel kasutajate vajadustega kogu nende elukaare ulatuses</t>
  </si>
  <si>
    <t>22</t>
  </si>
  <si>
    <t>tegevuskava on koostatud</t>
  </si>
  <si>
    <t>23</t>
  </si>
  <si>
    <t>Võtmeindikaatorid</t>
  </si>
  <si>
    <t>Majandustegevusest laekuva tulu osakaal kogutulust (v.a investeeringutoetused)</t>
  </si>
  <si>
    <t>majandusaasta aruanne</t>
  </si>
  <si>
    <t>24</t>
  </si>
  <si>
    <t>Avaliku sektori toetus vs majandustegevusest laekunud tulude osakaal</t>
  </si>
  <si>
    <t>25</t>
  </si>
  <si>
    <t>Kohaliku omavalitsuselt laekunud toetuste osakaal kogutulust</t>
  </si>
  <si>
    <t>0,1%</t>
  </si>
  <si>
    <t>26</t>
  </si>
  <si>
    <t>Erarahastajatelt laekunud toetuste osakaal kogutulust</t>
  </si>
  <si>
    <t>27</t>
  </si>
  <si>
    <t>Lühiajaliste võlgnevuste kattekordaja</t>
  </si>
  <si>
    <t>2,2</t>
  </si>
  <si>
    <t>1,5-2,0</t>
  </si>
  <si>
    <t>1,5-2,1</t>
  </si>
  <si>
    <t>1,5-2,2</t>
  </si>
  <si>
    <t>28</t>
  </si>
  <si>
    <t>Seireindikaatorid</t>
  </si>
  <si>
    <t>Tegevuskulu (v.a investeeringud ja amortisatsioonikulu) külastaja kohta aastas;</t>
  </si>
  <si>
    <t>29</t>
  </si>
  <si>
    <t>Avaliku sektori toetus (v.a investeeringutoetused) külastaja kohta aastas;</t>
  </si>
  <si>
    <t>30</t>
  </si>
  <si>
    <t>SA majandustegevusest laekunud tulu töötaja kohta (taandatud täistööajale, lisandväärtus 1 töötaja kohta).</t>
  </si>
  <si>
    <t>31</t>
  </si>
  <si>
    <t xml:space="preserve">Põhitegevuse tulem </t>
  </si>
  <si>
    <t xml:space="preserve">majandusaasta aruanne </t>
  </si>
  <si>
    <t>0 või positiivne</t>
  </si>
  <si>
    <t>Sihtasutus rakendab sobivat juhtimissüsteemi ja hindab regulaarselt selle toimimist.</t>
  </si>
  <si>
    <t> Siseaudit tellitakse KUM siseauditi üksuselt; kui vaheaastatel on üldnäitajad positiivsed, siis viiakse siseaudit läbi igal kolmandal aastal. Võimalusel kvaliteedialane sisemine hindamine kolme aasta jooksul.</t>
  </si>
  <si>
    <t>jah/ei</t>
  </si>
  <si>
    <t>Selleks toimub muu hulgas:</t>
  </si>
  <si>
    <t>Kord aastas toimub nõukogu esimehe koostöövestlus juhatuse liikmega</t>
  </si>
  <si>
    <t>Kord aastas toimub nõukogude liikmete enesehindamine ning juhatuse liige annab tagasisidet nõukogu liikmete tööle</t>
  </si>
  <si>
    <t>Korraldab KuM</t>
  </si>
  <si>
    <t>Sihtasutus lähtub andmete töötlemisel ning infosüsteemide pidamisel, kasutamisel ja arendamisel avaliku sektori infoturbe nõuetest ning Kultuuriministeeriumi haldusala IKT teenuste korraldamise põhimõtetest.</t>
  </si>
  <si>
    <t>KUM</t>
  </si>
  <si>
    <t xml:space="preserve">Juhatuse liikmele tulemustasu maksmine on seotud asutaja ootuste täitmisega (on sõlmitud tulemusleping või kokkulepe fikseeritud muul moel).  </t>
  </si>
  <si>
    <t>Tulemuslepingu või muu kokkuleppe sõlmimine</t>
  </si>
  <si>
    <r>
      <t xml:space="preserve">Eraetendusasutuste ja muude kultuuriorganisatsioonidega koostöös loodud uuslavastuste arv.
</t>
    </r>
    <r>
      <rPr>
        <i/>
        <sz val="10"/>
        <color theme="1"/>
        <rFont val="Aptos Narrow"/>
        <family val="2"/>
        <charset val="186"/>
        <scheme val="minor"/>
      </rPr>
      <t>(Koostöö all ei mõelda organisatsioonidelt ja ettevõtetelt teenuste oste.)</t>
    </r>
  </si>
  <si>
    <t>vähemalt 35%</t>
  </si>
  <si>
    <t>STRATEEGILISED ETENDUSKUNSTIDE VALDKONNA OOTUSED</t>
  </si>
  <si>
    <t>TÄPSEMAD ASUTUSEPÕHISED OOTUSED</t>
  </si>
  <si>
    <t>Enesehindamine kõigi teenuste lõikes, tegevuskava koostamine puuduste likvideerimiseks ja selle täitmise jälgimine</t>
  </si>
  <si>
    <t>FINANTSOOTUSED</t>
  </si>
  <si>
    <t>JUHTIMISKVALITEEDI OOTUSED</t>
  </si>
  <si>
    <t xml:space="preserve">Teenuste ligipääsetavus eri vanuse, tausta ja võimetega sihtrühmadele ( lapsed, eakad, erivajadustega inimesed, lapsevanemad, ajutise tegevuspiiranguga inimesed, erineva keele- ja kultuuritaustaga inimesed ja kõik teised). </t>
  </si>
  <si>
    <t>aasta jooksul on rakendatud 1-2 tegevust tegevuskavast</t>
  </si>
  <si>
    <t>tegevuskava on vajadusel uuendatud ja aasta jooksul on rakendatud 1-2 tegevust tegevuskavast</t>
  </si>
  <si>
    <r>
      <t xml:space="preserve">Eesti algupäranditel põhinevate lavastuste osakaal repertuaarist aastas
</t>
    </r>
    <r>
      <rPr>
        <i/>
        <sz val="11"/>
        <color theme="1"/>
        <rFont val="Aptos Narrow"/>
        <family val="2"/>
        <scheme val="minor"/>
      </rPr>
      <t>algupärandiks on kõik eesti autorite loodud materjalid, mida lavastuste aluseks kasutatakse (dramatiseering, näidend, koreograafia, filmistsenaarium jne)</t>
    </r>
    <r>
      <rPr>
        <b/>
        <sz val="11"/>
        <color theme="1"/>
        <rFont val="Aptos Narrow"/>
        <family val="2"/>
        <charset val="186"/>
        <scheme val="minor"/>
      </rPr>
      <t xml:space="preserve">
</t>
    </r>
  </si>
  <si>
    <t>vähemalt 7</t>
  </si>
  <si>
    <t>Haldusala küberhügieeni e-testi kord aastas läbimine - osalemise % teatri kasutajakontot omavatest töötajatest</t>
  </si>
  <si>
    <t>MÕÕDETAKSE sihttase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</si>
</sst>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b/>
      <sz val="13"/>
      <color theme="1"/>
      <name val="Aptos Narrow"/>
      <family val="2"/>
      <charset val="186"/>
      <scheme val="minor"/>
    </font>
    <font>
      <i/>
      <sz val="10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sz val="11"/>
      <color rgb="FF000000"/>
      <name val="Aptos Narrow"/>
      <family val="2"/>
      <charset val="186"/>
      <scheme val="minor"/>
    </font>
    <font>
      <b/>
      <sz val="11"/>
      <color rgb="FF000000"/>
      <name val="Aptos Narrow"/>
      <family val="2"/>
      <charset val="186"/>
      <scheme val="minor"/>
    </font>
    <font>
      <sz val="11"/>
      <name val="Calibri"/>
      <family val="2"/>
      <charset val="186"/>
    </font>
    <font>
      <sz val="14"/>
      <color theme="1"/>
      <name val="Aptos Narrow"/>
      <family val="2"/>
      <charset val="186"/>
      <scheme val="minor"/>
    </font>
    <font>
      <b/>
      <sz val="11"/>
      <color indexed="63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9" fontId="0" fillId="0" borderId="1" xfId="1" applyFont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6" fontId="11" fillId="4" borderId="6" xfId="0" applyNumberFormat="1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9" fontId="0" fillId="0" borderId="0" xfId="0" applyNumberFormat="1" applyAlignment="1">
      <alignment horizont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0" fontId="0" fillId="0" borderId="1" xfId="0" applyNumberForma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9" fontId="11" fillId="7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9" fontId="14" fillId="7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allaad" xfId="0" builtinId="0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re Väli" id="{837E32DE-594E-4FE0-A5B9-EC8393DB371C}" userId="S::katre.vali@kul.ee::25373d1d-2520-45b5-a5e9-05db46c0784e" providerId="AD"/>
  <person displayName="Laur Kaunissaare" id="{140052CB-6253-4681-B2F5-5CE2BFA74648}" userId="S::laur.kaunissaare@kul.ee::8ea0ac3b-bf85-4a36-96af-f25c96bcdda1" providerId="AD"/>
</personList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4-02-16T14:45:07.10" personId="{140052CB-6253-4681-B2F5-5CE2BFA74648}" id="{839EDB0F-9D6F-4095-8CC2-CAD5773CDA03}">
    <text>Piirangutega aasta.</text>
  </threadedComment>
  <threadedComment ref="G1" dT="2024-02-16T14:45:16.97" personId="{140052CB-6253-4681-B2F5-5CE2BFA74648}" id="{C1ADE332-022F-4632-83D5-701473FC1AE1}">
    <text>Piirangutega aasta.</text>
  </threadedComment>
  <threadedComment ref="D29" dT="2024-08-02T11:58:02.25" personId="{837E32DE-594E-4FE0-A5B9-EC8393DB371C}" id="{70604C38-74FC-4FFE-905C-595009C951F3}">
    <text>Kasutame RKAS-e hindamisskaalat, etendusasutuse enesehindamine selle põhjal.</text>
  </threadedComment>
  <threadedComment ref="D38" dT="2024-08-02T12:03:15.60" personId="{837E32DE-594E-4FE0-A5B9-EC8393DB371C}" id="{E237EA2D-E48E-4E44-B1CD-F8676ABD4BD9}">
    <text>vt ligipääsetavuse koolitusmaterjale: https://kul.ee/ligipaasetavuse-edendamine-kultuuris-ja-spordis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3153-A1A2-4327-93D6-B58F79F49CA9}">
  <dimension ref="A1:R55"/>
  <sheetViews>
    <sheetView tabSelected="1" zoomScale="50" zoomScaleNormal="50" workbookViewId="0">
      <selection activeCell="I1" sqref="I1"/>
    </sheetView>
  </sheetViews>
  <sheetFormatPr defaultColWidth="9.08984375" defaultRowHeight="14.5" x14ac:dyDescent="0.35"/>
  <cols>
    <col min="1" max="1" width="5.453125" style="25" customWidth="1"/>
    <col min="2" max="2" width="29.08984375" style="25" customWidth="1"/>
    <col min="3" max="3" width="37.453125" style="25" customWidth="1"/>
    <col min="4" max="4" width="34.36328125" style="1" customWidth="1"/>
    <col min="5" max="5" width="15.08984375" style="25" customWidth="1"/>
    <col min="6" max="16" width="14.6328125" style="25" customWidth="1"/>
    <col min="17" max="17" width="59.81640625" style="25" customWidth="1"/>
    <col min="18" max="18" width="54.90625" style="25" customWidth="1"/>
    <col min="19" max="16384" width="9.08984375" style="25"/>
  </cols>
  <sheetData>
    <row r="1" spans="1:18" s="1" customFormat="1" ht="26.5" customHeight="1" x14ac:dyDescent="0.35">
      <c r="A1" s="54" t="s">
        <v>0</v>
      </c>
      <c r="B1" s="55"/>
      <c r="C1" s="55" t="s">
        <v>1</v>
      </c>
      <c r="D1" s="55" t="s">
        <v>2</v>
      </c>
      <c r="E1" s="55">
        <v>2019</v>
      </c>
      <c r="F1" s="55">
        <v>2020</v>
      </c>
      <c r="G1" s="55">
        <v>2021</v>
      </c>
      <c r="H1" s="55">
        <v>2022</v>
      </c>
      <c r="I1" s="55">
        <v>2023</v>
      </c>
      <c r="J1" s="55">
        <v>2024</v>
      </c>
      <c r="K1" s="55">
        <v>2025</v>
      </c>
      <c r="L1" s="55" t="s">
        <v>3</v>
      </c>
      <c r="M1" s="55" t="s">
        <v>4</v>
      </c>
      <c r="N1" s="55" t="s">
        <v>5</v>
      </c>
      <c r="O1" s="55" t="s">
        <v>6</v>
      </c>
      <c r="P1" s="55" t="s">
        <v>7</v>
      </c>
    </row>
    <row r="2" spans="1:18" s="1" customFormat="1" ht="42.5" customHeight="1" x14ac:dyDescent="0.35">
      <c r="A2" s="62" t="s">
        <v>127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4"/>
    </row>
    <row r="3" spans="1:18" s="1" customFormat="1" ht="78" customHeight="1" x14ac:dyDescent="0.35">
      <c r="A3" s="2">
        <v>1</v>
      </c>
      <c r="B3" s="73" t="s">
        <v>8</v>
      </c>
      <c r="C3" s="4" t="s">
        <v>9</v>
      </c>
      <c r="D3" s="5" t="s">
        <v>10</v>
      </c>
      <c r="E3" s="6" t="s">
        <v>11</v>
      </c>
      <c r="F3" s="6" t="s">
        <v>12</v>
      </c>
      <c r="G3" s="6" t="s">
        <v>11</v>
      </c>
      <c r="H3" s="6" t="s">
        <v>11</v>
      </c>
      <c r="I3" s="6" t="s">
        <v>11</v>
      </c>
      <c r="J3" s="6" t="s">
        <v>12</v>
      </c>
      <c r="K3" s="7" t="s">
        <v>11</v>
      </c>
      <c r="L3" s="5" t="s">
        <v>13</v>
      </c>
      <c r="M3" s="5" t="s">
        <v>138</v>
      </c>
      <c r="N3" s="5" t="s">
        <v>13</v>
      </c>
      <c r="O3" s="5" t="s">
        <v>13</v>
      </c>
      <c r="P3" s="5" t="s">
        <v>138</v>
      </c>
      <c r="Q3" s="8"/>
      <c r="R3" s="8"/>
    </row>
    <row r="4" spans="1:18" s="1" customFormat="1" ht="30" customHeight="1" x14ac:dyDescent="0.35">
      <c r="A4" s="6">
        <v>2</v>
      </c>
      <c r="B4" s="73"/>
      <c r="C4" s="9" t="s">
        <v>14</v>
      </c>
      <c r="D4" s="10" t="s">
        <v>15</v>
      </c>
      <c r="E4" s="11">
        <v>0.76</v>
      </c>
      <c r="F4" s="11">
        <v>0.8</v>
      </c>
      <c r="G4" s="11">
        <v>0.67</v>
      </c>
      <c r="H4" s="11">
        <v>0.79</v>
      </c>
      <c r="I4" s="11">
        <v>0.79</v>
      </c>
      <c r="J4" s="11">
        <v>0.74</v>
      </c>
      <c r="K4" s="12">
        <v>0.74</v>
      </c>
      <c r="L4" s="12">
        <v>0.75</v>
      </c>
      <c r="M4" s="13">
        <v>0.75</v>
      </c>
      <c r="N4" s="12">
        <v>0.75</v>
      </c>
      <c r="O4" s="12">
        <v>0.75</v>
      </c>
      <c r="P4" s="12">
        <v>0.75</v>
      </c>
      <c r="Q4" s="14"/>
    </row>
    <row r="5" spans="1:18" s="1" customFormat="1" ht="71.5" customHeight="1" x14ac:dyDescent="0.35">
      <c r="A5" s="6">
        <v>3</v>
      </c>
      <c r="B5" s="73"/>
      <c r="C5" s="4" t="s">
        <v>16</v>
      </c>
      <c r="D5" s="5" t="s">
        <v>10</v>
      </c>
      <c r="E5" s="6" t="s">
        <v>11</v>
      </c>
      <c r="F5" s="6" t="s">
        <v>11</v>
      </c>
      <c r="G5" s="5" t="s">
        <v>11</v>
      </c>
      <c r="H5" s="5" t="s">
        <v>11</v>
      </c>
      <c r="I5" s="5" t="s">
        <v>11</v>
      </c>
      <c r="J5" s="5" t="s">
        <v>11</v>
      </c>
      <c r="K5" s="7" t="s">
        <v>11</v>
      </c>
      <c r="L5" s="5" t="s">
        <v>13</v>
      </c>
      <c r="M5" s="5" t="s">
        <v>138</v>
      </c>
      <c r="N5" s="7" t="s">
        <v>13</v>
      </c>
      <c r="O5" s="7" t="s">
        <v>13</v>
      </c>
      <c r="P5" s="5" t="s">
        <v>138</v>
      </c>
      <c r="Q5" s="8"/>
    </row>
    <row r="6" spans="1:18" s="1" customFormat="1" ht="15" customHeight="1" x14ac:dyDescent="0.35">
      <c r="A6" s="6">
        <v>4</v>
      </c>
      <c r="B6" s="73"/>
      <c r="C6" s="9" t="s">
        <v>17</v>
      </c>
      <c r="D6" s="15" t="s">
        <v>18</v>
      </c>
      <c r="E6" s="10">
        <v>313</v>
      </c>
      <c r="F6" s="10">
        <v>230</v>
      </c>
      <c r="G6" s="16">
        <v>204</v>
      </c>
      <c r="H6" s="5">
        <v>279</v>
      </c>
      <c r="I6" s="5">
        <v>326</v>
      </c>
      <c r="J6" s="5">
        <v>337</v>
      </c>
      <c r="K6" s="5">
        <v>340</v>
      </c>
      <c r="L6" s="5">
        <v>320</v>
      </c>
      <c r="M6" s="5">
        <v>320</v>
      </c>
      <c r="N6" s="5">
        <v>320</v>
      </c>
      <c r="O6" s="5">
        <v>300</v>
      </c>
      <c r="P6" s="5">
        <v>300</v>
      </c>
    </row>
    <row r="7" spans="1:18" s="1" customFormat="1" ht="15" customHeight="1" x14ac:dyDescent="0.35">
      <c r="A7" s="6">
        <v>5</v>
      </c>
      <c r="B7" s="73"/>
      <c r="C7" s="4" t="s">
        <v>19</v>
      </c>
      <c r="D7" s="10" t="s">
        <v>18</v>
      </c>
      <c r="E7" s="10">
        <v>10</v>
      </c>
      <c r="F7" s="10">
        <v>7</v>
      </c>
      <c r="G7" s="5">
        <v>8</v>
      </c>
      <c r="H7" s="5">
        <v>9</v>
      </c>
      <c r="I7" s="5">
        <v>8</v>
      </c>
      <c r="J7" s="5">
        <v>9</v>
      </c>
      <c r="K7" s="5">
        <v>8</v>
      </c>
      <c r="L7" s="5">
        <v>8</v>
      </c>
      <c r="M7" s="5">
        <v>8</v>
      </c>
      <c r="N7" s="5">
        <v>9</v>
      </c>
      <c r="O7" s="5">
        <v>8</v>
      </c>
      <c r="P7" s="5">
        <v>8</v>
      </c>
    </row>
    <row r="8" spans="1:18" s="1" customFormat="1" ht="32.5" customHeight="1" x14ac:dyDescent="0.35">
      <c r="A8" s="75" t="s">
        <v>128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</row>
    <row r="9" spans="1:18" s="1" customFormat="1" ht="30" customHeight="1" x14ac:dyDescent="0.4">
      <c r="A9" s="70" t="s">
        <v>20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</row>
    <row r="10" spans="1:18" s="1" customFormat="1" ht="152" customHeight="1" x14ac:dyDescent="0.35">
      <c r="A10" s="17" t="s">
        <v>21</v>
      </c>
      <c r="B10" s="9"/>
      <c r="C10" s="4" t="s">
        <v>135</v>
      </c>
      <c r="D10" s="10" t="s">
        <v>18</v>
      </c>
      <c r="E10" s="56">
        <v>0.42</v>
      </c>
      <c r="F10" s="57">
        <v>0.5</v>
      </c>
      <c r="G10" s="57">
        <v>0.4</v>
      </c>
      <c r="H10" s="56">
        <v>0.37</v>
      </c>
      <c r="I10" s="57">
        <v>0.34</v>
      </c>
      <c r="J10" s="56">
        <v>0.31</v>
      </c>
      <c r="K10" s="58">
        <v>0.37</v>
      </c>
      <c r="L10" s="5" t="s">
        <v>126</v>
      </c>
      <c r="M10" s="5" t="s">
        <v>126</v>
      </c>
      <c r="N10" s="5" t="s">
        <v>126</v>
      </c>
      <c r="O10" s="5" t="s">
        <v>126</v>
      </c>
      <c r="P10" s="5" t="s">
        <v>126</v>
      </c>
    </row>
    <row r="11" spans="1:18" s="1" customFormat="1" ht="45" customHeight="1" x14ac:dyDescent="0.35">
      <c r="A11" s="17" t="s">
        <v>22</v>
      </c>
      <c r="B11" s="9"/>
      <c r="C11" s="4" t="s">
        <v>23</v>
      </c>
      <c r="D11" s="10" t="s">
        <v>15</v>
      </c>
      <c r="E11" s="15">
        <v>2</v>
      </c>
      <c r="F11" s="18">
        <v>1</v>
      </c>
      <c r="G11" s="6">
        <v>2</v>
      </c>
      <c r="H11" s="6">
        <v>1</v>
      </c>
      <c r="I11" s="6">
        <v>0</v>
      </c>
      <c r="J11" s="6">
        <v>1</v>
      </c>
      <c r="K11" s="15">
        <v>2</v>
      </c>
      <c r="L11" s="15">
        <v>1</v>
      </c>
      <c r="M11" s="15">
        <v>1</v>
      </c>
      <c r="N11" s="15">
        <v>1</v>
      </c>
      <c r="O11" s="15">
        <v>1</v>
      </c>
      <c r="P11" s="15">
        <v>1</v>
      </c>
    </row>
    <row r="12" spans="1:18" s="1" customFormat="1" ht="78" customHeight="1" x14ac:dyDescent="0.35">
      <c r="A12" s="17" t="s">
        <v>24</v>
      </c>
      <c r="B12" s="9"/>
      <c r="C12" s="4" t="s">
        <v>125</v>
      </c>
      <c r="D12" s="10" t="s">
        <v>15</v>
      </c>
      <c r="E12" s="15">
        <v>0</v>
      </c>
      <c r="F12" s="15">
        <v>1</v>
      </c>
      <c r="G12" s="6">
        <v>0</v>
      </c>
      <c r="H12" s="6">
        <v>0</v>
      </c>
      <c r="I12" s="6">
        <v>0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6">
        <v>1</v>
      </c>
      <c r="P12" s="6">
        <v>1</v>
      </c>
    </row>
    <row r="13" spans="1:18" s="1" customFormat="1" ht="31" customHeight="1" x14ac:dyDescent="0.35">
      <c r="A13" s="70" t="s">
        <v>25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9"/>
    </row>
    <row r="14" spans="1:18" s="1" customFormat="1" ht="43" customHeight="1" x14ac:dyDescent="0.35">
      <c r="A14" s="17" t="s">
        <v>26</v>
      </c>
      <c r="B14" s="19"/>
      <c r="C14" s="4" t="s">
        <v>27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8" s="1" customFormat="1" ht="15" customHeight="1" x14ac:dyDescent="0.35">
      <c r="A15" s="80"/>
      <c r="B15" s="81"/>
      <c r="C15" s="5" t="s">
        <v>28</v>
      </c>
      <c r="D15" s="5" t="s">
        <v>18</v>
      </c>
      <c r="E15" s="20">
        <v>69</v>
      </c>
      <c r="F15" s="20">
        <v>49</v>
      </c>
      <c r="G15" s="20">
        <v>23</v>
      </c>
      <c r="H15" s="20">
        <v>35</v>
      </c>
      <c r="I15" s="20">
        <v>49</v>
      </c>
      <c r="J15" s="20">
        <v>78</v>
      </c>
      <c r="K15" s="5">
        <v>75</v>
      </c>
      <c r="L15" s="20">
        <v>60</v>
      </c>
      <c r="M15" s="20">
        <v>60</v>
      </c>
      <c r="N15" s="20">
        <v>60</v>
      </c>
      <c r="O15" s="20">
        <v>60</v>
      </c>
      <c r="P15" s="20">
        <v>60</v>
      </c>
    </row>
    <row r="16" spans="1:18" s="1" customFormat="1" ht="15" customHeight="1" x14ac:dyDescent="0.35">
      <c r="A16" s="80"/>
      <c r="B16" s="81"/>
      <c r="C16" s="5" t="s">
        <v>29</v>
      </c>
      <c r="D16" s="5" t="s">
        <v>18</v>
      </c>
      <c r="E16" s="5">
        <v>244</v>
      </c>
      <c r="F16" s="5">
        <v>181</v>
      </c>
      <c r="G16" s="5">
        <v>181</v>
      </c>
      <c r="H16" s="5">
        <v>244</v>
      </c>
      <c r="I16" s="5">
        <v>227</v>
      </c>
      <c r="J16" s="5">
        <v>259</v>
      </c>
      <c r="K16" s="1">
        <v>265</v>
      </c>
      <c r="L16" s="5">
        <v>240</v>
      </c>
      <c r="M16" s="5">
        <v>240</v>
      </c>
      <c r="N16" s="5">
        <v>240</v>
      </c>
      <c r="O16" s="5">
        <v>240</v>
      </c>
      <c r="P16" s="5">
        <v>240</v>
      </c>
    </row>
    <row r="17" spans="1:17" s="1" customFormat="1" ht="46.5" customHeight="1" x14ac:dyDescent="0.35">
      <c r="A17" s="17" t="s">
        <v>30</v>
      </c>
      <c r="B17" s="21"/>
      <c r="C17" s="22" t="s">
        <v>31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7" s="1" customFormat="1" ht="15" customHeight="1" x14ac:dyDescent="0.35">
      <c r="A18" s="80"/>
      <c r="B18" s="82"/>
      <c r="C18" s="5" t="s">
        <v>28</v>
      </c>
      <c r="D18" s="10" t="s">
        <v>18</v>
      </c>
      <c r="E18" s="23">
        <v>20638</v>
      </c>
      <c r="F18" s="23">
        <v>14063</v>
      </c>
      <c r="G18" s="23">
        <v>6658</v>
      </c>
      <c r="H18" s="23">
        <v>11120</v>
      </c>
      <c r="I18" s="23">
        <v>18317</v>
      </c>
      <c r="J18" s="23">
        <v>21041</v>
      </c>
      <c r="K18" s="24">
        <v>19657</v>
      </c>
      <c r="L18" s="24">
        <v>14000</v>
      </c>
      <c r="M18" s="24">
        <v>14000</v>
      </c>
      <c r="N18" s="24">
        <v>14000</v>
      </c>
      <c r="O18" s="24">
        <v>14000</v>
      </c>
      <c r="P18" s="24">
        <v>14000</v>
      </c>
      <c r="Q18" s="25"/>
    </row>
    <row r="19" spans="1:17" s="1" customFormat="1" ht="15" customHeight="1" x14ac:dyDescent="0.35">
      <c r="A19" s="80"/>
      <c r="B19" s="82"/>
      <c r="C19" s="5" t="s">
        <v>29</v>
      </c>
      <c r="D19" s="10" t="s">
        <v>18</v>
      </c>
      <c r="E19" s="26">
        <v>68296</v>
      </c>
      <c r="F19" s="27">
        <v>45222</v>
      </c>
      <c r="G19" s="26">
        <v>36223</v>
      </c>
      <c r="H19" s="27">
        <v>64106</v>
      </c>
      <c r="I19" s="26">
        <v>67302</v>
      </c>
      <c r="J19" s="26">
        <v>56734</v>
      </c>
      <c r="K19" s="28">
        <v>64003</v>
      </c>
      <c r="L19" s="28">
        <v>70000</v>
      </c>
      <c r="M19" s="28">
        <v>70000</v>
      </c>
      <c r="N19" s="28">
        <v>70000</v>
      </c>
      <c r="O19" s="28">
        <v>70000</v>
      </c>
      <c r="P19" s="28">
        <v>70000</v>
      </c>
      <c r="Q19" s="25"/>
    </row>
    <row r="20" spans="1:17" s="1" customFormat="1" ht="15" customHeight="1" x14ac:dyDescent="0.35">
      <c r="A20" s="80"/>
      <c r="B20" s="82"/>
      <c r="C20" s="29" t="s">
        <v>32</v>
      </c>
      <c r="D20" s="10"/>
      <c r="E20" s="26">
        <f>SUM(E18:E19)</f>
        <v>88934</v>
      </c>
      <c r="F20" s="26">
        <f t="shared" ref="F20:H20" si="0">SUM(F18:F19)</f>
        <v>59285</v>
      </c>
      <c r="G20" s="26">
        <f t="shared" si="0"/>
        <v>42881</v>
      </c>
      <c r="H20" s="26">
        <f t="shared" si="0"/>
        <v>75226</v>
      </c>
      <c r="I20" s="26">
        <v>85619</v>
      </c>
      <c r="J20" s="26">
        <v>77775</v>
      </c>
      <c r="K20" s="28">
        <v>83660</v>
      </c>
      <c r="L20" s="28">
        <v>84000</v>
      </c>
      <c r="M20" s="28">
        <v>84000</v>
      </c>
      <c r="N20" s="28">
        <v>84000</v>
      </c>
      <c r="O20" s="28">
        <v>84000</v>
      </c>
      <c r="P20" s="28">
        <v>84000</v>
      </c>
    </row>
    <row r="21" spans="1:17" s="1" customFormat="1" ht="30" customHeight="1" x14ac:dyDescent="0.35">
      <c r="A21" s="17" t="s">
        <v>33</v>
      </c>
      <c r="B21" s="9"/>
      <c r="C21" s="4" t="s">
        <v>34</v>
      </c>
      <c r="D21" s="15" t="s">
        <v>35</v>
      </c>
      <c r="E21" s="6" t="s">
        <v>11</v>
      </c>
      <c r="F21" s="6" t="s">
        <v>11</v>
      </c>
      <c r="G21" s="6" t="s">
        <v>11</v>
      </c>
      <c r="H21" s="6" t="s">
        <v>11</v>
      </c>
      <c r="I21" s="6" t="s">
        <v>11</v>
      </c>
      <c r="J21" s="6" t="s">
        <v>11</v>
      </c>
      <c r="K21" s="30" t="s">
        <v>11</v>
      </c>
      <c r="L21" s="31" t="s">
        <v>136</v>
      </c>
      <c r="M21" s="32" t="s">
        <v>13</v>
      </c>
      <c r="N21" s="32" t="s">
        <v>13</v>
      </c>
      <c r="O21" s="31" t="s">
        <v>136</v>
      </c>
      <c r="P21" s="30" t="s">
        <v>13</v>
      </c>
      <c r="Q21" s="14"/>
    </row>
    <row r="22" spans="1:17" s="1" customFormat="1" ht="30" customHeight="1" x14ac:dyDescent="0.35">
      <c r="A22" s="17" t="s">
        <v>36</v>
      </c>
      <c r="B22" s="9"/>
      <c r="C22" s="4" t="s">
        <v>37</v>
      </c>
      <c r="D22" s="10" t="s">
        <v>38</v>
      </c>
      <c r="E22" s="6">
        <v>4436</v>
      </c>
      <c r="F22" s="6">
        <v>4238</v>
      </c>
      <c r="G22" s="6">
        <v>3159</v>
      </c>
      <c r="H22" s="6">
        <v>2461</v>
      </c>
      <c r="I22" s="6">
        <v>4543</v>
      </c>
      <c r="J22" s="6">
        <v>2573</v>
      </c>
      <c r="K22" s="26">
        <v>3573</v>
      </c>
      <c r="L22" s="26">
        <v>2500</v>
      </c>
      <c r="M22" s="26">
        <v>2500</v>
      </c>
      <c r="N22" s="26">
        <v>2500</v>
      </c>
      <c r="O22" s="26">
        <v>2500</v>
      </c>
      <c r="P22" s="26">
        <v>2500</v>
      </c>
      <c r="Q22" s="14"/>
    </row>
    <row r="23" spans="1:17" ht="15" customHeight="1" x14ac:dyDescent="0.35">
      <c r="A23" s="17" t="s">
        <v>39</v>
      </c>
      <c r="B23" s="33"/>
      <c r="C23" s="22" t="s">
        <v>40</v>
      </c>
      <c r="D23" s="10" t="s">
        <v>15</v>
      </c>
      <c r="E23" s="6">
        <f>15+7</f>
        <v>22</v>
      </c>
      <c r="F23" s="6">
        <f>16+10</f>
        <v>26</v>
      </c>
      <c r="G23" s="6">
        <f>3+9</f>
        <v>12</v>
      </c>
      <c r="H23" s="6">
        <f>15+10</f>
        <v>25</v>
      </c>
      <c r="I23" s="6">
        <f>11+14</f>
        <v>25</v>
      </c>
      <c r="J23" s="6">
        <v>29</v>
      </c>
      <c r="K23" s="6">
        <v>29</v>
      </c>
      <c r="L23" s="6">
        <v>30</v>
      </c>
      <c r="M23" s="6">
        <v>30</v>
      </c>
      <c r="N23" s="6">
        <v>30</v>
      </c>
      <c r="O23" s="6">
        <v>30</v>
      </c>
      <c r="P23" s="6">
        <v>30</v>
      </c>
      <c r="Q23" s="8"/>
    </row>
    <row r="24" spans="1:17" s="1" customFormat="1" ht="41" customHeight="1" x14ac:dyDescent="0.35">
      <c r="A24" s="64" t="s">
        <v>41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6"/>
    </row>
    <row r="25" spans="1:17" s="1" customFormat="1" ht="15" customHeight="1" x14ac:dyDescent="0.35">
      <c r="A25" s="80" t="s">
        <v>42</v>
      </c>
      <c r="B25" s="81" t="s">
        <v>43</v>
      </c>
      <c r="C25" s="34" t="s">
        <v>44</v>
      </c>
      <c r="D25" s="6" t="s">
        <v>18</v>
      </c>
      <c r="E25" s="6">
        <v>0</v>
      </c>
      <c r="F25" s="6">
        <v>0</v>
      </c>
      <c r="G25" s="6">
        <v>0</v>
      </c>
      <c r="H25" s="6">
        <v>15</v>
      </c>
      <c r="I25" s="6">
        <v>11</v>
      </c>
      <c r="J25" s="6">
        <v>0</v>
      </c>
      <c r="K25" s="6">
        <v>36</v>
      </c>
      <c r="L25" s="6">
        <v>10</v>
      </c>
      <c r="M25" s="6">
        <v>10</v>
      </c>
      <c r="N25" s="6">
        <v>10</v>
      </c>
      <c r="O25" s="6">
        <v>10</v>
      </c>
      <c r="P25" s="6">
        <v>10</v>
      </c>
      <c r="Q25" s="35"/>
    </row>
    <row r="26" spans="1:17" s="1" customFormat="1" x14ac:dyDescent="0.35">
      <c r="A26" s="80"/>
      <c r="B26" s="81"/>
      <c r="C26" s="34" t="s">
        <v>45</v>
      </c>
      <c r="D26" s="6" t="s">
        <v>18</v>
      </c>
      <c r="E26" s="6">
        <v>13</v>
      </c>
      <c r="F26" s="6">
        <v>3</v>
      </c>
      <c r="G26" s="6">
        <v>1</v>
      </c>
      <c r="H26" s="6">
        <v>2</v>
      </c>
      <c r="I26" s="6">
        <v>3</v>
      </c>
      <c r="J26" s="6">
        <v>1</v>
      </c>
      <c r="K26" s="5">
        <v>1</v>
      </c>
      <c r="L26" s="5">
        <v>1</v>
      </c>
      <c r="M26" s="5">
        <v>2</v>
      </c>
      <c r="N26" s="5">
        <v>2</v>
      </c>
      <c r="O26" s="5">
        <v>4</v>
      </c>
      <c r="P26" s="5">
        <v>4</v>
      </c>
    </row>
    <row r="27" spans="1:17" s="1" customFormat="1" x14ac:dyDescent="0.35">
      <c r="A27" s="80"/>
      <c r="B27" s="81"/>
      <c r="C27" s="34" t="s">
        <v>46</v>
      </c>
      <c r="D27" s="6" t="s">
        <v>18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5">
        <v>1</v>
      </c>
      <c r="L27" s="5">
        <v>0</v>
      </c>
      <c r="M27" s="5">
        <v>2</v>
      </c>
      <c r="N27" s="5">
        <v>2</v>
      </c>
      <c r="O27" s="5">
        <v>4</v>
      </c>
      <c r="P27" s="5">
        <v>4</v>
      </c>
    </row>
    <row r="28" spans="1:17" s="1" customFormat="1" ht="36" customHeight="1" x14ac:dyDescent="0.35">
      <c r="A28" s="70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6"/>
    </row>
    <row r="29" spans="1:17" s="1" customFormat="1" ht="30" customHeight="1" x14ac:dyDescent="0.35">
      <c r="A29" s="17" t="s">
        <v>48</v>
      </c>
      <c r="B29" s="36"/>
      <c r="C29" s="4" t="s">
        <v>49</v>
      </c>
      <c r="D29" s="6" t="s">
        <v>50</v>
      </c>
      <c r="E29" s="10" t="s">
        <v>11</v>
      </c>
      <c r="F29" s="10" t="s">
        <v>11</v>
      </c>
      <c r="G29" s="10" t="s">
        <v>11</v>
      </c>
      <c r="H29" s="10" t="s">
        <v>11</v>
      </c>
      <c r="I29" s="6" t="s">
        <v>11</v>
      </c>
      <c r="J29" s="6" t="s">
        <v>11</v>
      </c>
      <c r="K29" s="6" t="s">
        <v>51</v>
      </c>
      <c r="L29" s="6" t="s">
        <v>51</v>
      </c>
      <c r="M29" s="6" t="s">
        <v>51</v>
      </c>
      <c r="N29" s="6" t="s">
        <v>51</v>
      </c>
      <c r="O29" s="6" t="s">
        <v>51</v>
      </c>
      <c r="P29" s="6" t="s">
        <v>51</v>
      </c>
      <c r="Q29" s="8"/>
    </row>
    <row r="30" spans="1:17" s="1" customFormat="1" ht="38.5" customHeight="1" x14ac:dyDescent="0.35">
      <c r="A30" s="64" t="s">
        <v>52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6"/>
    </row>
    <row r="31" spans="1:17" s="1" customFormat="1" ht="28.5" customHeight="1" x14ac:dyDescent="0.35">
      <c r="A31" s="17" t="s">
        <v>53</v>
      </c>
      <c r="B31" s="67"/>
      <c r="C31" s="6" t="s">
        <v>54</v>
      </c>
      <c r="D31" s="15" t="s">
        <v>55</v>
      </c>
      <c r="E31" s="6" t="s">
        <v>56</v>
      </c>
      <c r="F31" s="6" t="s">
        <v>57</v>
      </c>
      <c r="G31" s="6" t="s">
        <v>58</v>
      </c>
      <c r="H31" s="6" t="s">
        <v>59</v>
      </c>
      <c r="I31" s="6" t="s">
        <v>60</v>
      </c>
      <c r="J31" s="6" t="s">
        <v>61</v>
      </c>
      <c r="K31" s="10" t="s">
        <v>62</v>
      </c>
      <c r="L31" s="10" t="s">
        <v>63</v>
      </c>
      <c r="M31" s="10" t="s">
        <v>64</v>
      </c>
      <c r="N31" s="10" t="s">
        <v>64</v>
      </c>
      <c r="O31" s="10" t="s">
        <v>64</v>
      </c>
      <c r="P31" s="10" t="s">
        <v>64</v>
      </c>
    </row>
    <row r="32" spans="1:17" s="1" customFormat="1" ht="15" customHeight="1" x14ac:dyDescent="0.35">
      <c r="A32" s="17" t="s">
        <v>65</v>
      </c>
      <c r="B32" s="68"/>
      <c r="C32" s="6" t="s">
        <v>66</v>
      </c>
      <c r="D32" s="15" t="s">
        <v>67</v>
      </c>
      <c r="E32" s="26">
        <v>1799</v>
      </c>
      <c r="F32" s="26">
        <v>1496</v>
      </c>
      <c r="G32" s="26">
        <v>1415</v>
      </c>
      <c r="H32" s="26">
        <v>1596</v>
      </c>
      <c r="I32" s="26">
        <v>1742</v>
      </c>
      <c r="J32" s="26">
        <v>1695</v>
      </c>
      <c r="K32" s="23">
        <v>1519</v>
      </c>
      <c r="L32" s="37">
        <v>1600</v>
      </c>
      <c r="M32" s="37">
        <v>1600</v>
      </c>
      <c r="N32" s="37">
        <v>1610</v>
      </c>
      <c r="O32" s="37">
        <v>1610</v>
      </c>
      <c r="P32" s="37">
        <v>1620</v>
      </c>
    </row>
    <row r="33" spans="1:17" s="1" customFormat="1" ht="15" customHeight="1" x14ac:dyDescent="0.35">
      <c r="A33" s="17" t="s">
        <v>68</v>
      </c>
      <c r="B33" s="68"/>
      <c r="C33" s="6" t="s">
        <v>69</v>
      </c>
      <c r="D33" s="15" t="s">
        <v>70</v>
      </c>
      <c r="E33" s="6" t="s">
        <v>71</v>
      </c>
      <c r="F33" s="6" t="s">
        <v>71</v>
      </c>
      <c r="G33" s="6" t="s">
        <v>71</v>
      </c>
      <c r="H33" s="6" t="s">
        <v>71</v>
      </c>
      <c r="I33" s="6" t="s">
        <v>71</v>
      </c>
      <c r="J33" s="6" t="s">
        <v>71</v>
      </c>
      <c r="K33" s="10" t="s">
        <v>71</v>
      </c>
      <c r="L33" s="10" t="s">
        <v>71</v>
      </c>
      <c r="M33" s="10" t="s">
        <v>71</v>
      </c>
      <c r="N33" s="10" t="s">
        <v>71</v>
      </c>
      <c r="O33" s="10" t="s">
        <v>71</v>
      </c>
      <c r="P33" s="10" t="s">
        <v>71</v>
      </c>
    </row>
    <row r="34" spans="1:17" s="1" customFormat="1" ht="15" customHeight="1" x14ac:dyDescent="0.35">
      <c r="A34" s="17" t="s">
        <v>72</v>
      </c>
      <c r="B34" s="68"/>
      <c r="C34" s="6" t="s">
        <v>73</v>
      </c>
      <c r="D34" s="15" t="s">
        <v>74</v>
      </c>
      <c r="E34" s="6" t="s">
        <v>75</v>
      </c>
      <c r="F34" s="6" t="s">
        <v>76</v>
      </c>
      <c r="G34" s="6" t="s">
        <v>75</v>
      </c>
      <c r="H34" s="6" t="s">
        <v>75</v>
      </c>
      <c r="I34" s="6" t="s">
        <v>75</v>
      </c>
      <c r="J34" s="6" t="s">
        <v>71</v>
      </c>
      <c r="K34" s="10" t="s">
        <v>71</v>
      </c>
      <c r="L34" s="10" t="s">
        <v>71</v>
      </c>
      <c r="M34" s="10" t="s">
        <v>71</v>
      </c>
      <c r="N34" s="10" t="s">
        <v>71</v>
      </c>
      <c r="O34" s="10" t="s">
        <v>71</v>
      </c>
      <c r="P34" s="10" t="s">
        <v>71</v>
      </c>
    </row>
    <row r="35" spans="1:17" s="1" customFormat="1" ht="15" customHeight="1" x14ac:dyDescent="0.35">
      <c r="A35" s="17" t="s">
        <v>77</v>
      </c>
      <c r="B35" s="68"/>
      <c r="C35" s="6" t="s">
        <v>78</v>
      </c>
      <c r="D35" s="10" t="s">
        <v>79</v>
      </c>
      <c r="E35" s="6" t="s">
        <v>11</v>
      </c>
      <c r="F35" s="6" t="s">
        <v>11</v>
      </c>
      <c r="G35" s="6" t="s">
        <v>11</v>
      </c>
      <c r="H35" s="26">
        <v>80690</v>
      </c>
      <c r="I35" s="26">
        <v>83807</v>
      </c>
      <c r="J35" s="26">
        <v>101943</v>
      </c>
      <c r="K35" s="37">
        <v>94521</v>
      </c>
      <c r="L35" s="37">
        <v>105000</v>
      </c>
      <c r="M35" s="37">
        <v>105000</v>
      </c>
      <c r="N35" s="37">
        <v>100000</v>
      </c>
      <c r="O35" s="37">
        <v>100000</v>
      </c>
      <c r="P35" s="37">
        <v>100000</v>
      </c>
      <c r="Q35" s="14"/>
    </row>
    <row r="36" spans="1:17" s="1" customFormat="1" ht="54" customHeight="1" x14ac:dyDescent="0.35">
      <c r="A36" s="17" t="s">
        <v>80</v>
      </c>
      <c r="B36" s="69"/>
      <c r="C36" s="6" t="s">
        <v>81</v>
      </c>
      <c r="D36" s="10" t="s">
        <v>82</v>
      </c>
      <c r="E36" s="10" t="s">
        <v>75</v>
      </c>
      <c r="F36" s="10" t="s">
        <v>75</v>
      </c>
      <c r="G36" s="10" t="s">
        <v>75</v>
      </c>
      <c r="H36" s="10" t="s">
        <v>75</v>
      </c>
      <c r="I36" s="10" t="s">
        <v>75</v>
      </c>
      <c r="J36" s="10" t="s">
        <v>71</v>
      </c>
      <c r="K36" s="6" t="s">
        <v>71</v>
      </c>
      <c r="L36" s="6" t="s">
        <v>71</v>
      </c>
      <c r="M36" s="6" t="s">
        <v>71</v>
      </c>
      <c r="N36" s="6" t="s">
        <v>71</v>
      </c>
      <c r="O36" s="6" t="s">
        <v>71</v>
      </c>
      <c r="P36" s="6" t="s">
        <v>71</v>
      </c>
    </row>
    <row r="37" spans="1:17" s="1" customFormat="1" ht="30" customHeight="1" x14ac:dyDescent="0.35">
      <c r="A37" s="70" t="s">
        <v>83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6"/>
    </row>
    <row r="38" spans="1:17" s="1" customFormat="1" ht="289" customHeight="1" x14ac:dyDescent="0.35">
      <c r="A38" s="17" t="s">
        <v>84</v>
      </c>
      <c r="B38" s="19"/>
      <c r="C38" s="19" t="s">
        <v>132</v>
      </c>
      <c r="D38" s="59" t="s">
        <v>129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39" t="s">
        <v>85</v>
      </c>
      <c r="L38" s="40" t="s">
        <v>133</v>
      </c>
      <c r="M38" s="39" t="s">
        <v>134</v>
      </c>
      <c r="N38" s="39" t="s">
        <v>134</v>
      </c>
      <c r="O38" s="39" t="s">
        <v>134</v>
      </c>
      <c r="P38" s="39" t="s">
        <v>134</v>
      </c>
    </row>
    <row r="39" spans="1:17" s="1" customFormat="1" ht="47" customHeight="1" x14ac:dyDescent="0.35">
      <c r="A39" s="71" t="s">
        <v>130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</row>
    <row r="40" spans="1:17" s="1" customFormat="1" ht="33" customHeight="1" x14ac:dyDescent="0.35">
      <c r="A40" s="17" t="s">
        <v>86</v>
      </c>
      <c r="B40" s="73" t="s">
        <v>87</v>
      </c>
      <c r="C40" s="38" t="s">
        <v>88</v>
      </c>
      <c r="D40" s="6" t="s">
        <v>89</v>
      </c>
      <c r="E40" s="41">
        <f>1642891/3286450</f>
        <v>0.49989837058223918</v>
      </c>
      <c r="F40" s="41">
        <f>1114961/3309124</f>
        <v>0.3369353943823199</v>
      </c>
      <c r="G40" s="41">
        <f>848019/3046477</f>
        <v>0.2783605456400951</v>
      </c>
      <c r="H40" s="41">
        <f>1613839/3358268</f>
        <v>0.48055694185216902</v>
      </c>
      <c r="I40" s="41">
        <f>1931664/3970447</f>
        <v>0.48651046091283928</v>
      </c>
      <c r="J40" s="41">
        <f>1834338/3938854</f>
        <v>0.46570347618875946</v>
      </c>
      <c r="K40" s="11">
        <v>0.46</v>
      </c>
      <c r="L40" s="11">
        <v>0.48</v>
      </c>
      <c r="M40" s="11">
        <v>0.48</v>
      </c>
      <c r="N40" s="11">
        <v>0.48</v>
      </c>
      <c r="O40" s="11">
        <v>0.48</v>
      </c>
      <c r="P40" s="11">
        <v>0.48</v>
      </c>
    </row>
    <row r="41" spans="1:17" s="1" customFormat="1" ht="47" customHeight="1" x14ac:dyDescent="0.35">
      <c r="A41" s="17" t="s">
        <v>90</v>
      </c>
      <c r="B41" s="73"/>
      <c r="C41" s="38" t="s">
        <v>91</v>
      </c>
      <c r="D41" s="6" t="s">
        <v>89</v>
      </c>
      <c r="E41" s="7">
        <f>1643137/1642891</f>
        <v>1.0001497360445701</v>
      </c>
      <c r="F41" s="7">
        <f>2184425/1114961</f>
        <v>1.9591940884030921</v>
      </c>
      <c r="G41" s="7">
        <f>2120541/848019</f>
        <v>2.5005819445083186</v>
      </c>
      <c r="H41" s="7">
        <f>1744235/1613839</f>
        <v>1.080798642243743</v>
      </c>
      <c r="I41" s="7">
        <f>2037040/1931664</f>
        <v>1.0545519303564181</v>
      </c>
      <c r="J41" s="7">
        <f>2104146/1834338</f>
        <v>1.1470873961069334</v>
      </c>
      <c r="K41" s="11">
        <v>1.17</v>
      </c>
      <c r="L41" s="11">
        <v>1.1000000000000001</v>
      </c>
      <c r="M41" s="11">
        <v>1.1000000000000001</v>
      </c>
      <c r="N41" s="11">
        <v>1.1000000000000001</v>
      </c>
      <c r="O41" s="11">
        <v>1.1000000000000001</v>
      </c>
      <c r="P41" s="11">
        <v>1.1000000000000001</v>
      </c>
    </row>
    <row r="42" spans="1:17" s="1" customFormat="1" ht="30" customHeight="1" x14ac:dyDescent="0.35">
      <c r="A42" s="17" t="s">
        <v>92</v>
      </c>
      <c r="B42" s="73"/>
      <c r="C42" s="38" t="s">
        <v>93</v>
      </c>
      <c r="D42" s="6" t="s">
        <v>89</v>
      </c>
      <c r="E42" s="42">
        <f>1000/3286450</f>
        <v>3.0427969389462792E-4</v>
      </c>
      <c r="F42" s="43">
        <f>11930/3309124</f>
        <v>3.6051837283824963E-3</v>
      </c>
      <c r="G42" s="42">
        <f>10000/3046477</f>
        <v>3.2824800581130269E-3</v>
      </c>
      <c r="H42" s="42">
        <f>15670/3358268</f>
        <v>4.6660957374456118E-3</v>
      </c>
      <c r="I42" s="42">
        <f>10000/3970447</f>
        <v>2.5186081063416788E-3</v>
      </c>
      <c r="J42" s="42">
        <f>10000/3938854</f>
        <v>2.5388095115990591E-3</v>
      </c>
      <c r="K42" s="44" t="s">
        <v>94</v>
      </c>
      <c r="L42" s="42">
        <f>10000/3938854</f>
        <v>2.5388095115990591E-3</v>
      </c>
      <c r="M42" s="42">
        <f t="shared" ref="M42:P42" si="1">10000/3938854</f>
        <v>2.5388095115990591E-3</v>
      </c>
      <c r="N42" s="42">
        <f t="shared" si="1"/>
        <v>2.5388095115990591E-3</v>
      </c>
      <c r="O42" s="42">
        <f t="shared" si="1"/>
        <v>2.5388095115990591E-3</v>
      </c>
      <c r="P42" s="42">
        <f t="shared" si="1"/>
        <v>2.5388095115990591E-3</v>
      </c>
      <c r="Q42" s="45"/>
    </row>
    <row r="43" spans="1:17" s="1" customFormat="1" ht="30" customHeight="1" x14ac:dyDescent="0.35">
      <c r="A43" s="17" t="s">
        <v>95</v>
      </c>
      <c r="B43" s="73"/>
      <c r="C43" s="4" t="s">
        <v>96</v>
      </c>
      <c r="D43" s="6" t="s">
        <v>15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4">
        <v>0</v>
      </c>
      <c r="L43" s="42">
        <v>1E-3</v>
      </c>
      <c r="M43" s="42">
        <v>2E-3</v>
      </c>
      <c r="N43" s="42">
        <v>2E-3</v>
      </c>
      <c r="O43" s="42">
        <v>3.0000000000000001E-3</v>
      </c>
      <c r="P43" s="42">
        <v>3.0000000000000001E-3</v>
      </c>
    </row>
    <row r="44" spans="1:17" s="1" customFormat="1" ht="20.5" customHeight="1" x14ac:dyDescent="0.35">
      <c r="A44" s="17" t="s">
        <v>97</v>
      </c>
      <c r="B44" s="73"/>
      <c r="C44" s="38" t="s">
        <v>98</v>
      </c>
      <c r="D44" s="6" t="s">
        <v>89</v>
      </c>
      <c r="E44" s="47">
        <f>407965/356276</f>
        <v>1.1450813414319236</v>
      </c>
      <c r="F44" s="47">
        <f>481831/242237</f>
        <v>1.989089197769127</v>
      </c>
      <c r="G44" s="47">
        <f>501040/237079</f>
        <v>2.1133883642161475</v>
      </c>
      <c r="H44" s="47">
        <f>615918/375849</f>
        <v>1.6387378974002857</v>
      </c>
      <c r="I44" s="47">
        <f>845461/478337</f>
        <v>1.767500736928149</v>
      </c>
      <c r="J44" s="47">
        <f>1476284/950316</f>
        <v>1.5534664259046465</v>
      </c>
      <c r="K44" s="6" t="s">
        <v>99</v>
      </c>
      <c r="L44" s="6" t="s">
        <v>100</v>
      </c>
      <c r="M44" s="6" t="s">
        <v>100</v>
      </c>
      <c r="N44" s="6" t="s">
        <v>100</v>
      </c>
      <c r="O44" s="6" t="s">
        <v>101</v>
      </c>
      <c r="P44" s="6" t="s">
        <v>102</v>
      </c>
    </row>
    <row r="45" spans="1:17" s="1" customFormat="1" ht="57" customHeight="1" x14ac:dyDescent="0.35">
      <c r="A45" s="17" t="s">
        <v>103</v>
      </c>
      <c r="B45" s="73" t="s">
        <v>104</v>
      </c>
      <c r="C45" s="38" t="s">
        <v>105</v>
      </c>
      <c r="D45" s="6" t="s">
        <v>89</v>
      </c>
      <c r="E45" s="47">
        <f>1161389/E20</f>
        <v>13.058998808104887</v>
      </c>
      <c r="F45" s="47">
        <f>963635/F20</f>
        <v>16.254280172050265</v>
      </c>
      <c r="G45" s="47">
        <f>952718/G20</f>
        <v>22.217718803199553</v>
      </c>
      <c r="H45" s="47">
        <f>1166095/H20</f>
        <v>15.501222981415999</v>
      </c>
      <c r="I45" s="47">
        <f>1257093/I20</f>
        <v>14.682406942384285</v>
      </c>
      <c r="J45" s="47">
        <f>1242765/J20</f>
        <v>15.978977820636452</v>
      </c>
      <c r="K45" s="6">
        <v>16.670000000000002</v>
      </c>
      <c r="L45" s="60">
        <v>17</v>
      </c>
      <c r="M45" s="60">
        <v>17.8</v>
      </c>
      <c r="N45" s="60">
        <v>18</v>
      </c>
      <c r="O45" s="60">
        <v>18.5</v>
      </c>
      <c r="P45" s="60">
        <v>19</v>
      </c>
    </row>
    <row r="46" spans="1:17" s="1" customFormat="1" ht="46.5" customHeight="1" x14ac:dyDescent="0.35">
      <c r="A46" s="17" t="s">
        <v>106</v>
      </c>
      <c r="B46" s="73"/>
      <c r="C46" s="38" t="s">
        <v>107</v>
      </c>
      <c r="D46" s="6" t="s">
        <v>89</v>
      </c>
      <c r="E46" s="5">
        <f>ROUND((1642546/E20),2)</f>
        <v>18.47</v>
      </c>
      <c r="F46" s="5">
        <f>ROUND((2181492/F20),2)</f>
        <v>36.799999999999997</v>
      </c>
      <c r="G46" s="5">
        <f>ROUND((2120541/G20),2)</f>
        <v>49.45</v>
      </c>
      <c r="H46" s="5">
        <f>ROUND((1744235/H20),2)</f>
        <v>23.19</v>
      </c>
      <c r="I46" s="5">
        <f>ROUND((2037040/I20),2)</f>
        <v>23.79</v>
      </c>
      <c r="J46" s="5">
        <f>ROUND(((2104146-496893)/J20),2)</f>
        <v>20.67</v>
      </c>
      <c r="K46" s="6">
        <v>25.06</v>
      </c>
      <c r="L46" s="60">
        <v>25</v>
      </c>
      <c r="M46" s="60">
        <v>25</v>
      </c>
      <c r="N46" s="60">
        <v>25</v>
      </c>
      <c r="O46" s="60">
        <v>25</v>
      </c>
      <c r="P46" s="60">
        <v>25.5</v>
      </c>
    </row>
    <row r="47" spans="1:17" s="1" customFormat="1" ht="57" customHeight="1" x14ac:dyDescent="0.35">
      <c r="A47" s="17" t="s">
        <v>108</v>
      </c>
      <c r="B47" s="73"/>
      <c r="C47" s="38" t="s">
        <v>109</v>
      </c>
      <c r="D47" s="6" t="s">
        <v>89</v>
      </c>
      <c r="E47" s="28">
        <f>1642891/92.5</f>
        <v>17760.983783783784</v>
      </c>
      <c r="F47" s="28">
        <f>1114961/92.5</f>
        <v>12053.632432432432</v>
      </c>
      <c r="G47" s="28">
        <f>848019/88.9</f>
        <v>9539.0213723284578</v>
      </c>
      <c r="H47" s="28">
        <f>1613839/93.9</f>
        <v>17186.783812566558</v>
      </c>
      <c r="I47" s="28">
        <f>1931664/92.5</f>
        <v>20882.854054054053</v>
      </c>
      <c r="J47" s="28">
        <f>1834338/93</f>
        <v>19724.064516129034</v>
      </c>
      <c r="K47" s="26">
        <v>23714</v>
      </c>
      <c r="L47" s="61">
        <v>19000</v>
      </c>
      <c r="M47" s="61">
        <v>19500</v>
      </c>
      <c r="N47" s="61">
        <v>19500</v>
      </c>
      <c r="O47" s="61">
        <v>19500</v>
      </c>
      <c r="P47" s="61">
        <v>19500</v>
      </c>
    </row>
    <row r="48" spans="1:17" s="1" customFormat="1" ht="34" customHeight="1" x14ac:dyDescent="0.35">
      <c r="A48" s="17" t="s">
        <v>110</v>
      </c>
      <c r="B48" s="73"/>
      <c r="C48" s="4" t="s">
        <v>111</v>
      </c>
      <c r="D48" s="6" t="s">
        <v>112</v>
      </c>
      <c r="E48" s="28">
        <f>-562899+564163</f>
        <v>1264</v>
      </c>
      <c r="F48" s="28">
        <f>-276897+569602</f>
        <v>292705</v>
      </c>
      <c r="G48" s="28">
        <f>-564595+602652</f>
        <v>38057</v>
      </c>
      <c r="H48" s="28">
        <f>-536022+511046</f>
        <v>-24976</v>
      </c>
      <c r="I48" s="28">
        <f>-438566+520323</f>
        <v>81757</v>
      </c>
      <c r="J48" s="28">
        <f>-381114+462759</f>
        <v>81645</v>
      </c>
      <c r="K48" s="26">
        <v>242984</v>
      </c>
      <c r="L48" s="60" t="s">
        <v>113</v>
      </c>
      <c r="M48" s="60" t="s">
        <v>113</v>
      </c>
      <c r="N48" s="60" t="s">
        <v>113</v>
      </c>
      <c r="O48" s="60" t="s">
        <v>113</v>
      </c>
      <c r="P48" s="60" t="s">
        <v>113</v>
      </c>
    </row>
    <row r="49" spans="1:17" s="1" customFormat="1" ht="47" customHeight="1" x14ac:dyDescent="0.35">
      <c r="A49" s="62" t="s">
        <v>131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</row>
    <row r="50" spans="1:17" s="1" customFormat="1" ht="84.5" customHeight="1" x14ac:dyDescent="0.35">
      <c r="A50" s="6">
        <v>32</v>
      </c>
      <c r="B50" s="48" t="s">
        <v>114</v>
      </c>
      <c r="C50" s="6" t="s">
        <v>115</v>
      </c>
      <c r="D50" s="6" t="s">
        <v>116</v>
      </c>
      <c r="E50" s="6" t="s">
        <v>71</v>
      </c>
      <c r="F50" s="6" t="s">
        <v>75</v>
      </c>
      <c r="G50" s="6" t="s">
        <v>75</v>
      </c>
      <c r="H50" s="6" t="s">
        <v>75</v>
      </c>
      <c r="I50" s="6" t="s">
        <v>75</v>
      </c>
      <c r="J50" s="5" t="s">
        <v>75</v>
      </c>
      <c r="K50" s="6" t="s">
        <v>75</v>
      </c>
      <c r="L50" s="6" t="s">
        <v>75</v>
      </c>
      <c r="M50" s="6" t="s">
        <v>75</v>
      </c>
      <c r="N50" s="6" t="s">
        <v>71</v>
      </c>
      <c r="O50" s="6" t="s">
        <v>75</v>
      </c>
      <c r="P50" s="6" t="s">
        <v>71</v>
      </c>
    </row>
    <row r="51" spans="1:17" s="1" customFormat="1" ht="35" customHeight="1" x14ac:dyDescent="0.35">
      <c r="A51" s="49"/>
      <c r="B51" s="19"/>
      <c r="C51" s="19" t="s">
        <v>117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s="1" customFormat="1" ht="30" customHeight="1" x14ac:dyDescent="0.35">
      <c r="A52" s="17"/>
      <c r="B52" s="4"/>
      <c r="C52" s="6" t="s">
        <v>118</v>
      </c>
      <c r="D52" s="15" t="s">
        <v>116</v>
      </c>
      <c r="E52" s="6" t="s">
        <v>11</v>
      </c>
      <c r="F52" s="6" t="s">
        <v>11</v>
      </c>
      <c r="G52" s="6" t="s">
        <v>11</v>
      </c>
      <c r="H52" s="6" t="s">
        <v>11</v>
      </c>
      <c r="I52" s="6" t="s">
        <v>11</v>
      </c>
      <c r="J52" s="5" t="s">
        <v>71</v>
      </c>
      <c r="K52" s="6" t="s">
        <v>71</v>
      </c>
      <c r="L52" s="6" t="s">
        <v>71</v>
      </c>
      <c r="M52" s="6" t="s">
        <v>71</v>
      </c>
      <c r="N52" s="6" t="s">
        <v>71</v>
      </c>
      <c r="O52" s="6" t="s">
        <v>71</v>
      </c>
      <c r="P52" s="6" t="s">
        <v>71</v>
      </c>
    </row>
    <row r="53" spans="1:17" s="1" customFormat="1" ht="45" customHeight="1" x14ac:dyDescent="0.35">
      <c r="A53" s="17"/>
      <c r="B53" s="4"/>
      <c r="C53" s="15" t="s">
        <v>119</v>
      </c>
      <c r="D53" s="15" t="s">
        <v>120</v>
      </c>
      <c r="E53" s="6" t="s">
        <v>11</v>
      </c>
      <c r="F53" s="6" t="s">
        <v>11</v>
      </c>
      <c r="G53" s="6" t="s">
        <v>11</v>
      </c>
      <c r="H53" s="6" t="s">
        <v>11</v>
      </c>
      <c r="I53" s="6" t="s">
        <v>11</v>
      </c>
      <c r="J53" s="5" t="s">
        <v>11</v>
      </c>
      <c r="K53" s="5" t="s">
        <v>11</v>
      </c>
      <c r="L53" s="6" t="s">
        <v>71</v>
      </c>
      <c r="M53" s="6" t="s">
        <v>71</v>
      </c>
      <c r="N53" s="6" t="s">
        <v>71</v>
      </c>
      <c r="O53" s="6" t="s">
        <v>71</v>
      </c>
      <c r="P53" s="6" t="s">
        <v>71</v>
      </c>
    </row>
    <row r="54" spans="1:17" s="1" customFormat="1" ht="120" customHeight="1" x14ac:dyDescent="0.35">
      <c r="A54" s="6">
        <v>33</v>
      </c>
      <c r="B54" s="3" t="s">
        <v>121</v>
      </c>
      <c r="C54" s="6" t="s">
        <v>137</v>
      </c>
      <c r="D54" s="6" t="s">
        <v>122</v>
      </c>
      <c r="E54" s="6" t="s">
        <v>11</v>
      </c>
      <c r="F54" s="6" t="s">
        <v>11</v>
      </c>
      <c r="G54" s="6" t="s">
        <v>11</v>
      </c>
      <c r="H54" s="6" t="s">
        <v>11</v>
      </c>
      <c r="I54" s="51">
        <v>0.66669999999999996</v>
      </c>
      <c r="J54" s="52">
        <v>0.4839</v>
      </c>
      <c r="K54" s="11">
        <v>0.52</v>
      </c>
      <c r="L54" s="11">
        <v>0.95</v>
      </c>
      <c r="M54" s="11">
        <v>0.95</v>
      </c>
      <c r="N54" s="11">
        <v>0.95</v>
      </c>
      <c r="O54" s="11">
        <v>0.95</v>
      </c>
      <c r="P54" s="11">
        <v>0.95</v>
      </c>
    </row>
    <row r="55" spans="1:17" s="1" customFormat="1" ht="75" customHeight="1" x14ac:dyDescent="0.35">
      <c r="A55" s="6">
        <v>34</v>
      </c>
      <c r="B55" s="3" t="s">
        <v>123</v>
      </c>
      <c r="C55" s="6" t="s">
        <v>124</v>
      </c>
      <c r="D55" s="6" t="s">
        <v>116</v>
      </c>
      <c r="E55" s="6" t="s">
        <v>11</v>
      </c>
      <c r="F55" s="6" t="s">
        <v>11</v>
      </c>
      <c r="G55" s="6" t="s">
        <v>11</v>
      </c>
      <c r="H55" s="6" t="s">
        <v>11</v>
      </c>
      <c r="I55" s="6" t="s">
        <v>11</v>
      </c>
      <c r="J55" s="5" t="s">
        <v>11</v>
      </c>
      <c r="K55" s="6" t="s">
        <v>11</v>
      </c>
      <c r="L55" s="6" t="s">
        <v>13</v>
      </c>
      <c r="M55" s="6" t="s">
        <v>71</v>
      </c>
      <c r="N55" s="6" t="s">
        <v>71</v>
      </c>
      <c r="O55" s="6" t="s">
        <v>71</v>
      </c>
      <c r="P55" s="6" t="s">
        <v>71</v>
      </c>
      <c r="Q55" s="53"/>
    </row>
  </sheetData>
  <mergeCells count="20">
    <mergeCell ref="A28:P28"/>
    <mergeCell ref="A2:P2"/>
    <mergeCell ref="B3:B7"/>
    <mergeCell ref="A8:P8"/>
    <mergeCell ref="A9:P9"/>
    <mergeCell ref="A13:P13"/>
    <mergeCell ref="A15:A16"/>
    <mergeCell ref="B15:B16"/>
    <mergeCell ref="A18:A20"/>
    <mergeCell ref="B18:B20"/>
    <mergeCell ref="A24:P24"/>
    <mergeCell ref="A25:A27"/>
    <mergeCell ref="B25:B27"/>
    <mergeCell ref="A49:P49"/>
    <mergeCell ref="A30:P30"/>
    <mergeCell ref="B31:B36"/>
    <mergeCell ref="A37:P37"/>
    <mergeCell ref="A39:P39"/>
    <mergeCell ref="B40:B44"/>
    <mergeCell ref="B45:B4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Merju Künnapuu - KUM</dc:creator>
  <cp:lastModifiedBy>Merju Künnapuu - KUM</cp:lastModifiedBy>
  <dcterms:created xsi:type="dcterms:W3CDTF">2026-06-09T09:53:19Z</dcterms:created>
  <dcterms:modified xsi:type="dcterms:W3CDTF">2026-07-10T08:17:34Z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2026-06-09T09:55:03Z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c4664837-4771-4850-8895-921faef907a0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