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egovg01.sharepoint.com/sites/EAO_MKM/DOKUMENDID/Eelarve/2026 ea seadus/Ülekantavad/"/>
    </mc:Choice>
  </mc:AlternateContent>
  <xr:revisionPtr revIDLastSave="1056" documentId="8_{F31456E4-88A2-4168-9EB4-BDFB382E6E7B}" xr6:coauthVersionLast="47" xr6:coauthVersionMax="47" xr10:uidLastSave="{D03C40BF-6878-4B1C-AEBD-74BCD11488C5}"/>
  <bookViews>
    <workbookView xWindow="-103" yWindow="-103" windowWidth="16663" windowHeight="9772" xr2:uid="{6740F4C7-E600-43FD-9D76-9454882B2AAF}"/>
  </bookViews>
  <sheets>
    <sheet name="Val-ala_14.04.26" sheetId="1" r:id="rId1"/>
  </sheets>
  <definedNames>
    <definedName name="_xlnm._FilterDatabase" localSheetId="0" hidden="1">'Val-ala_14.04.26'!$A$8:$W$143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6" i="1" l="1"/>
  <c r="M6" i="1"/>
  <c r="Q122" i="1" l="1"/>
  <c r="P122" i="1"/>
  <c r="L122" i="1"/>
  <c r="L105" i="1"/>
  <c r="Q100" i="1"/>
  <c r="P100" i="1"/>
  <c r="L100" i="1"/>
  <c r="Q92" i="1"/>
  <c r="P92" i="1"/>
  <c r="L92" i="1"/>
  <c r="P87" i="1"/>
  <c r="L87" i="1"/>
  <c r="P78" i="1"/>
  <c r="L78" i="1"/>
  <c r="Q65" i="1"/>
  <c r="P65" i="1"/>
  <c r="L65" i="1"/>
  <c r="Q52" i="1"/>
  <c r="P52" i="1"/>
  <c r="L52" i="1"/>
  <c r="Q49" i="1"/>
  <c r="P49" i="1"/>
  <c r="L49" i="1"/>
  <c r="Q19" i="1"/>
  <c r="P19" i="1"/>
  <c r="L19" i="1"/>
  <c r="Q12" i="1"/>
  <c r="P12" i="1"/>
  <c r="L12" i="1"/>
  <c r="Q98" i="1" l="1"/>
  <c r="Q128" i="1" l="1"/>
  <c r="Q113" i="1"/>
  <c r="Q70" i="1" l="1"/>
  <c r="Q57" i="1" l="1"/>
  <c r="S45" i="1" l="1"/>
  <c r="T45" i="1" s="1"/>
  <c r="O45" i="1"/>
  <c r="W45" i="1" s="1"/>
  <c r="S44" i="1"/>
  <c r="T44" i="1" s="1"/>
  <c r="O44" i="1"/>
  <c r="W44" i="1" s="1"/>
  <c r="S43" i="1"/>
  <c r="T43" i="1" s="1"/>
  <c r="N43" i="1"/>
  <c r="O43" i="1" s="1"/>
  <c r="W43" i="1" s="1"/>
  <c r="S42" i="1"/>
  <c r="T42" i="1" s="1"/>
  <c r="O42" i="1"/>
  <c r="W42" i="1" s="1"/>
  <c r="S41" i="1"/>
  <c r="T41" i="1" s="1"/>
  <c r="O41" i="1"/>
  <c r="W41" i="1" s="1"/>
  <c r="S40" i="1"/>
  <c r="T40" i="1" s="1"/>
  <c r="O40" i="1"/>
  <c r="W40" i="1" s="1"/>
  <c r="S39" i="1"/>
  <c r="T39" i="1" s="1"/>
  <c r="O39" i="1"/>
  <c r="W39" i="1" s="1"/>
  <c r="S38" i="1"/>
  <c r="T38" i="1" s="1"/>
  <c r="O38" i="1"/>
  <c r="W38" i="1" s="1"/>
  <c r="S37" i="1"/>
  <c r="T37" i="1" s="1"/>
  <c r="O37" i="1"/>
  <c r="W37" i="1" s="1"/>
  <c r="S36" i="1"/>
  <c r="T36" i="1" s="1"/>
  <c r="N36" i="1"/>
  <c r="S35" i="1"/>
  <c r="T35" i="1" s="1"/>
  <c r="O35" i="1"/>
  <c r="W35" i="1" s="1"/>
  <c r="S34" i="1"/>
  <c r="T34" i="1" s="1"/>
  <c r="O34" i="1"/>
  <c r="W34" i="1" s="1"/>
  <c r="S33" i="1"/>
  <c r="T33" i="1" s="1"/>
  <c r="O33" i="1"/>
  <c r="W33" i="1" s="1"/>
  <c r="S32" i="1"/>
  <c r="T32" i="1" s="1"/>
  <c r="O32" i="1"/>
  <c r="W32" i="1" s="1"/>
  <c r="S31" i="1"/>
  <c r="T31" i="1" s="1"/>
  <c r="O31" i="1"/>
  <c r="W31" i="1" s="1"/>
  <c r="S30" i="1"/>
  <c r="T30" i="1" s="1"/>
  <c r="O30" i="1"/>
  <c r="W30" i="1" s="1"/>
  <c r="S29" i="1"/>
  <c r="T29" i="1" s="1"/>
  <c r="O29" i="1"/>
  <c r="W29" i="1" s="1"/>
  <c r="S28" i="1"/>
  <c r="T28" i="1" s="1"/>
  <c r="O28" i="1"/>
  <c r="W28" i="1" s="1"/>
  <c r="S27" i="1"/>
  <c r="T27" i="1" s="1"/>
  <c r="O27" i="1"/>
  <c r="W27" i="1" s="1"/>
  <c r="S26" i="1"/>
  <c r="T26" i="1" s="1"/>
  <c r="O26" i="1"/>
  <c r="W26" i="1" s="1"/>
  <c r="S25" i="1"/>
  <c r="T25" i="1" s="1"/>
  <c r="O25" i="1"/>
  <c r="W25" i="1" s="1"/>
  <c r="S24" i="1"/>
  <c r="T24" i="1" s="1"/>
  <c r="O24" i="1"/>
  <c r="W24" i="1" s="1"/>
  <c r="S23" i="1"/>
  <c r="T23" i="1" s="1"/>
  <c r="O23" i="1"/>
  <c r="W23" i="1" s="1"/>
  <c r="S17" i="1"/>
  <c r="T17" i="1" s="1"/>
  <c r="O17" i="1"/>
  <c r="W17" i="1" s="1"/>
  <c r="S16" i="1"/>
  <c r="T16" i="1" s="1"/>
  <c r="O16" i="1"/>
  <c r="W16" i="1" s="1"/>
  <c r="S140" i="1"/>
  <c r="T140" i="1" s="1"/>
  <c r="O140" i="1"/>
  <c r="W140" i="1" s="1"/>
  <c r="S139" i="1"/>
  <c r="T139" i="1" s="1"/>
  <c r="O139" i="1"/>
  <c r="W139" i="1" s="1"/>
  <c r="S73" i="1"/>
  <c r="T73" i="1" s="1"/>
  <c r="O73" i="1"/>
  <c r="W73" i="1" s="1"/>
  <c r="S72" i="1"/>
  <c r="T72" i="1" s="1"/>
  <c r="O72" i="1"/>
  <c r="W72" i="1" s="1"/>
  <c r="S71" i="1"/>
  <c r="T71" i="1" s="1"/>
  <c r="O71" i="1"/>
  <c r="W71" i="1" s="1"/>
  <c r="S70" i="1"/>
  <c r="P70" i="1"/>
  <c r="L70" i="1"/>
  <c r="O70" i="1" s="1"/>
  <c r="S69" i="1"/>
  <c r="T69" i="1" s="1"/>
  <c r="O69" i="1"/>
  <c r="W69" i="1" s="1"/>
  <c r="S62" i="1"/>
  <c r="T62" i="1" s="1"/>
  <c r="O62" i="1"/>
  <c r="W62" i="1" s="1"/>
  <c r="S61" i="1"/>
  <c r="T61" i="1" s="1"/>
  <c r="O61" i="1"/>
  <c r="W61" i="1" s="1"/>
  <c r="S60" i="1"/>
  <c r="T60" i="1" s="1"/>
  <c r="O60" i="1"/>
  <c r="W60" i="1" s="1"/>
  <c r="S59" i="1"/>
  <c r="T59" i="1" s="1"/>
  <c r="O59" i="1"/>
  <c r="W59" i="1" s="1"/>
  <c r="S58" i="1"/>
  <c r="T58" i="1" s="1"/>
  <c r="O58" i="1"/>
  <c r="W58" i="1" s="1"/>
  <c r="S57" i="1"/>
  <c r="P57" i="1"/>
  <c r="L57" i="1"/>
  <c r="S56" i="1"/>
  <c r="T56" i="1" s="1"/>
  <c r="O56" i="1"/>
  <c r="W56" i="1" s="1"/>
  <c r="S133" i="1"/>
  <c r="T133" i="1" s="1"/>
  <c r="O133" i="1"/>
  <c r="W133" i="1" s="1"/>
  <c r="S132" i="1"/>
  <c r="T132" i="1" s="1"/>
  <c r="O132" i="1"/>
  <c r="W132" i="1" s="1"/>
  <c r="S131" i="1"/>
  <c r="T131" i="1" s="1"/>
  <c r="O131" i="1"/>
  <c r="W131" i="1" s="1"/>
  <c r="S130" i="1"/>
  <c r="T130" i="1" s="1"/>
  <c r="O130" i="1"/>
  <c r="W130" i="1" s="1"/>
  <c r="S129" i="1"/>
  <c r="T129" i="1" s="1"/>
  <c r="O129" i="1"/>
  <c r="W129" i="1" s="1"/>
  <c r="S128" i="1"/>
  <c r="P128" i="1"/>
  <c r="L128" i="1"/>
  <c r="O128" i="1" s="1"/>
  <c r="W128" i="1" s="1"/>
  <c r="S127" i="1"/>
  <c r="T127" i="1" s="1"/>
  <c r="O127" i="1"/>
  <c r="W127" i="1" s="1"/>
  <c r="S116" i="1"/>
  <c r="T116" i="1" s="1"/>
  <c r="O116" i="1"/>
  <c r="W116" i="1" s="1"/>
  <c r="S115" i="1"/>
  <c r="T115" i="1" s="1"/>
  <c r="O115" i="1"/>
  <c r="W115" i="1" s="1"/>
  <c r="S114" i="1"/>
  <c r="T114" i="1" s="1"/>
  <c r="O114" i="1"/>
  <c r="W114" i="1" s="1"/>
  <c r="S113" i="1"/>
  <c r="P113" i="1"/>
  <c r="L113" i="1"/>
  <c r="O113" i="1" s="1"/>
  <c r="S112" i="1"/>
  <c r="T112" i="1" s="1"/>
  <c r="O112" i="1"/>
  <c r="W112" i="1" s="1"/>
  <c r="S138" i="1"/>
  <c r="T138" i="1" s="1"/>
  <c r="O138" i="1"/>
  <c r="W138" i="1" s="1"/>
  <c r="S137" i="1"/>
  <c r="T137" i="1" s="1"/>
  <c r="O137" i="1"/>
  <c r="W137" i="1" s="1"/>
  <c r="S136" i="1"/>
  <c r="T136" i="1" s="1"/>
  <c r="O136" i="1"/>
  <c r="W136" i="1" s="1"/>
  <c r="S135" i="1"/>
  <c r="T135" i="1" s="1"/>
  <c r="O135" i="1"/>
  <c r="W135" i="1" s="1"/>
  <c r="S89" i="1"/>
  <c r="T89" i="1" s="1"/>
  <c r="O89" i="1"/>
  <c r="W89" i="1" s="1"/>
  <c r="S88" i="1"/>
  <c r="T88" i="1" s="1"/>
  <c r="O88" i="1"/>
  <c r="W88" i="1" s="1"/>
  <c r="S87" i="1"/>
  <c r="O87" i="1"/>
  <c r="W87" i="1" s="1"/>
  <c r="S86" i="1"/>
  <c r="T86" i="1" s="1"/>
  <c r="O86" i="1"/>
  <c r="W86" i="1" s="1"/>
  <c r="S85" i="1"/>
  <c r="T85" i="1" s="1"/>
  <c r="O85" i="1"/>
  <c r="W85" i="1" s="1"/>
  <c r="S84" i="1"/>
  <c r="T84" i="1" s="1"/>
  <c r="O84" i="1"/>
  <c r="W84" i="1" s="1"/>
  <c r="S83" i="1"/>
  <c r="T83" i="1" s="1"/>
  <c r="O83" i="1"/>
  <c r="W83" i="1" s="1"/>
  <c r="S82" i="1"/>
  <c r="T82" i="1" s="1"/>
  <c r="O82" i="1"/>
  <c r="W82" i="1" s="1"/>
  <c r="S81" i="1"/>
  <c r="T81" i="1" s="1"/>
  <c r="O81" i="1"/>
  <c r="W81" i="1" s="1"/>
  <c r="S80" i="1"/>
  <c r="T80" i="1" s="1"/>
  <c r="O80" i="1"/>
  <c r="W80" i="1" s="1"/>
  <c r="S79" i="1"/>
  <c r="T79" i="1" s="1"/>
  <c r="O79" i="1"/>
  <c r="W79" i="1" s="1"/>
  <c r="S78" i="1"/>
  <c r="O78" i="1"/>
  <c r="W78" i="1" s="1"/>
  <c r="S77" i="1"/>
  <c r="T77" i="1" s="1"/>
  <c r="O77" i="1"/>
  <c r="W77" i="1" s="1"/>
  <c r="S76" i="1"/>
  <c r="T76" i="1" s="1"/>
  <c r="O76" i="1"/>
  <c r="W76" i="1" s="1"/>
  <c r="S75" i="1"/>
  <c r="T75" i="1" s="1"/>
  <c r="O75" i="1"/>
  <c r="W75" i="1" s="1"/>
  <c r="S74" i="1"/>
  <c r="T74" i="1" s="1"/>
  <c r="O74" i="1"/>
  <c r="W74" i="1" s="1"/>
  <c r="S126" i="1"/>
  <c r="T126" i="1" s="1"/>
  <c r="O126" i="1"/>
  <c r="W126" i="1" s="1"/>
  <c r="S125" i="1"/>
  <c r="T125" i="1" s="1"/>
  <c r="O125" i="1"/>
  <c r="W125" i="1" s="1"/>
  <c r="S124" i="1"/>
  <c r="T124" i="1" s="1"/>
  <c r="O124" i="1"/>
  <c r="W124" i="1" s="1"/>
  <c r="S123" i="1"/>
  <c r="T123" i="1" s="1"/>
  <c r="O123" i="1"/>
  <c r="W123" i="1" s="1"/>
  <c r="S122" i="1"/>
  <c r="O122" i="1"/>
  <c r="W122" i="1" s="1"/>
  <c r="S121" i="1"/>
  <c r="T121" i="1" s="1"/>
  <c r="O121" i="1"/>
  <c r="W121" i="1" s="1"/>
  <c r="S120" i="1"/>
  <c r="T120" i="1" s="1"/>
  <c r="L120" i="1"/>
  <c r="O120" i="1" s="1"/>
  <c r="W120" i="1" s="1"/>
  <c r="S119" i="1"/>
  <c r="T119" i="1" s="1"/>
  <c r="O119" i="1"/>
  <c r="W119" i="1" s="1"/>
  <c r="S118" i="1"/>
  <c r="T118" i="1" s="1"/>
  <c r="O118" i="1"/>
  <c r="W118" i="1" s="1"/>
  <c r="S117" i="1"/>
  <c r="O117" i="1"/>
  <c r="W117" i="1" s="1"/>
  <c r="S111" i="1"/>
  <c r="T111" i="1" s="1"/>
  <c r="O111" i="1"/>
  <c r="W111" i="1" s="1"/>
  <c r="S110" i="1"/>
  <c r="T110" i="1" s="1"/>
  <c r="O110" i="1"/>
  <c r="W110" i="1" s="1"/>
  <c r="S109" i="1"/>
  <c r="T109" i="1" s="1"/>
  <c r="O109" i="1"/>
  <c r="W109" i="1" s="1"/>
  <c r="S108" i="1"/>
  <c r="T108" i="1" s="1"/>
  <c r="O108" i="1"/>
  <c r="W108" i="1" s="1"/>
  <c r="S107" i="1"/>
  <c r="T107" i="1" s="1"/>
  <c r="O107" i="1"/>
  <c r="W107" i="1" s="1"/>
  <c r="S106" i="1"/>
  <c r="T106" i="1" s="1"/>
  <c r="O106" i="1"/>
  <c r="W106" i="1" s="1"/>
  <c r="O105" i="1"/>
  <c r="S104" i="1"/>
  <c r="T104" i="1" s="1"/>
  <c r="O104" i="1"/>
  <c r="W104" i="1" s="1"/>
  <c r="S103" i="1"/>
  <c r="T103" i="1" s="1"/>
  <c r="O103" i="1"/>
  <c r="W103" i="1" s="1"/>
  <c r="S102" i="1"/>
  <c r="T102" i="1" s="1"/>
  <c r="O102" i="1"/>
  <c r="W102" i="1" s="1"/>
  <c r="S101" i="1"/>
  <c r="T101" i="1" s="1"/>
  <c r="O101" i="1"/>
  <c r="W101" i="1" s="1"/>
  <c r="S100" i="1"/>
  <c r="O100" i="1"/>
  <c r="W100" i="1" s="1"/>
  <c r="S99" i="1"/>
  <c r="T99" i="1" s="1"/>
  <c r="O99" i="1"/>
  <c r="W99" i="1" s="1"/>
  <c r="S98" i="1"/>
  <c r="T98" i="1" s="1"/>
  <c r="O98" i="1"/>
  <c r="W98" i="1" s="1"/>
  <c r="S97" i="1"/>
  <c r="T97" i="1" s="1"/>
  <c r="O97" i="1"/>
  <c r="W97" i="1" s="1"/>
  <c r="S96" i="1"/>
  <c r="T96" i="1" s="1"/>
  <c r="O96" i="1"/>
  <c r="W96" i="1" s="1"/>
  <c r="S95" i="1"/>
  <c r="T95" i="1" s="1"/>
  <c r="O95" i="1"/>
  <c r="W95" i="1" s="1"/>
  <c r="S94" i="1"/>
  <c r="T94" i="1" s="1"/>
  <c r="O94" i="1"/>
  <c r="W94" i="1" s="1"/>
  <c r="S93" i="1"/>
  <c r="T93" i="1" s="1"/>
  <c r="O93" i="1"/>
  <c r="W93" i="1" s="1"/>
  <c r="S92" i="1"/>
  <c r="O92" i="1"/>
  <c r="W92" i="1" s="1"/>
  <c r="S91" i="1"/>
  <c r="T91" i="1" s="1"/>
  <c r="O91" i="1"/>
  <c r="W91" i="1" s="1"/>
  <c r="S90" i="1"/>
  <c r="O90" i="1"/>
  <c r="S68" i="1"/>
  <c r="T68" i="1" s="1"/>
  <c r="O68" i="1"/>
  <c r="W68" i="1" s="1"/>
  <c r="S67" i="1"/>
  <c r="T67" i="1" s="1"/>
  <c r="O67" i="1"/>
  <c r="W67" i="1" s="1"/>
  <c r="S66" i="1"/>
  <c r="T66" i="1" s="1"/>
  <c r="O66" i="1"/>
  <c r="W66" i="1" s="1"/>
  <c r="S65" i="1"/>
  <c r="O65" i="1"/>
  <c r="W65" i="1" s="1"/>
  <c r="S64" i="1"/>
  <c r="T64" i="1" s="1"/>
  <c r="O64" i="1"/>
  <c r="W64" i="1" s="1"/>
  <c r="S63" i="1"/>
  <c r="T63" i="1" s="1"/>
  <c r="O63" i="1"/>
  <c r="W63" i="1" s="1"/>
  <c r="S55" i="1"/>
  <c r="T55" i="1" s="1"/>
  <c r="O55" i="1"/>
  <c r="W55" i="1" s="1"/>
  <c r="S54" i="1"/>
  <c r="T54" i="1" s="1"/>
  <c r="O54" i="1"/>
  <c r="W54" i="1" s="1"/>
  <c r="S53" i="1"/>
  <c r="T53" i="1" s="1"/>
  <c r="O53" i="1"/>
  <c r="W53" i="1" s="1"/>
  <c r="S52" i="1"/>
  <c r="O52" i="1"/>
  <c r="W52" i="1" s="1"/>
  <c r="S51" i="1"/>
  <c r="T51" i="1" s="1"/>
  <c r="O51" i="1"/>
  <c r="W51" i="1" s="1"/>
  <c r="S50" i="1"/>
  <c r="T50" i="1" s="1"/>
  <c r="O50" i="1"/>
  <c r="W50" i="1" s="1"/>
  <c r="S49" i="1"/>
  <c r="O49" i="1"/>
  <c r="W49" i="1" s="1"/>
  <c r="S48" i="1"/>
  <c r="T48" i="1" s="1"/>
  <c r="O48" i="1"/>
  <c r="W48" i="1" s="1"/>
  <c r="S47" i="1"/>
  <c r="T47" i="1" s="1"/>
  <c r="O47" i="1"/>
  <c r="W47" i="1" s="1"/>
  <c r="S46" i="1"/>
  <c r="T46" i="1" s="1"/>
  <c r="O46" i="1"/>
  <c r="W46" i="1" s="1"/>
  <c r="S22" i="1"/>
  <c r="T22" i="1" s="1"/>
  <c r="O22" i="1"/>
  <c r="W22" i="1" s="1"/>
  <c r="S21" i="1"/>
  <c r="T21" i="1" s="1"/>
  <c r="O21" i="1"/>
  <c r="W21" i="1" s="1"/>
  <c r="S20" i="1"/>
  <c r="T20" i="1" s="1"/>
  <c r="O20" i="1"/>
  <c r="W20" i="1" s="1"/>
  <c r="S19" i="1"/>
  <c r="O19" i="1"/>
  <c r="W19" i="1" s="1"/>
  <c r="S18" i="1"/>
  <c r="T18" i="1" s="1"/>
  <c r="O18" i="1"/>
  <c r="W18" i="1" s="1"/>
  <c r="S15" i="1"/>
  <c r="T15" i="1" s="1"/>
  <c r="O15" i="1"/>
  <c r="W15" i="1" s="1"/>
  <c r="S14" i="1"/>
  <c r="T14" i="1" s="1"/>
  <c r="O14" i="1"/>
  <c r="W14" i="1" s="1"/>
  <c r="S13" i="1"/>
  <c r="T13" i="1" s="1"/>
  <c r="O13" i="1"/>
  <c r="W13" i="1" s="1"/>
  <c r="S12" i="1"/>
  <c r="O12" i="1"/>
  <c r="W12" i="1" s="1"/>
  <c r="S11" i="1"/>
  <c r="T11" i="1" s="1"/>
  <c r="O11" i="1"/>
  <c r="W11" i="1" s="1"/>
  <c r="S10" i="1"/>
  <c r="T10" i="1" s="1"/>
  <c r="O10" i="1"/>
  <c r="W10" i="1" s="1"/>
  <c r="S134" i="1"/>
  <c r="T134" i="1" s="1"/>
  <c r="O134" i="1"/>
  <c r="W134" i="1" s="1"/>
  <c r="S143" i="1"/>
  <c r="T143" i="1" s="1"/>
  <c r="O143" i="1"/>
  <c r="W143" i="1" s="1"/>
  <c r="S142" i="1"/>
  <c r="T142" i="1" s="1"/>
  <c r="O142" i="1"/>
  <c r="W142" i="1" s="1"/>
  <c r="S141" i="1"/>
  <c r="T141" i="1" s="1"/>
  <c r="O141" i="1"/>
  <c r="W141" i="1" s="1"/>
  <c r="T117" i="1" l="1"/>
  <c r="W113" i="1"/>
  <c r="W70" i="1"/>
  <c r="O36" i="1"/>
  <c r="W36" i="1" s="1"/>
  <c r="N6" i="1"/>
  <c r="O57" i="1"/>
  <c r="W57" i="1" s="1"/>
  <c r="L6" i="1"/>
  <c r="T90" i="1"/>
  <c r="W90" i="1"/>
  <c r="O6" i="1"/>
  <c r="P105" i="1"/>
  <c r="T100" i="1"/>
  <c r="T113" i="1"/>
  <c r="T65" i="1"/>
  <c r="T57" i="1"/>
  <c r="T49" i="1"/>
  <c r="T122" i="1"/>
  <c r="T19" i="1"/>
  <c r="T70" i="1"/>
  <c r="T78" i="1"/>
  <c r="T128" i="1"/>
  <c r="T87" i="1"/>
  <c r="T12" i="1"/>
  <c r="T92" i="1"/>
  <c r="T52" i="1"/>
  <c r="W105" i="1" l="1"/>
  <c r="P6" i="1"/>
  <c r="W6" i="1"/>
  <c r="Q105" i="1"/>
  <c r="S105" i="1" l="1"/>
  <c r="S6" i="1" s="1"/>
  <c r="Q6" i="1"/>
  <c r="T105" i="1" l="1"/>
  <c r="T6" i="1" s="1"/>
</calcChain>
</file>

<file path=xl/sharedStrings.xml><?xml version="1.0" encoding="utf-8"?>
<sst xmlns="http://schemas.openxmlformats.org/spreadsheetml/2006/main" count="1531" uniqueCount="157">
  <si>
    <t>2025. aasta riigieelarve jäägid</t>
  </si>
  <si>
    <t>Jääkide 2026. aastasse üle viimine</t>
  </si>
  <si>
    <t xml:space="preserve">Ei taotle üle kanda
</t>
  </si>
  <si>
    <t>Aktiga teisele valitsemisalale üle antud vahendid</t>
  </si>
  <si>
    <t>Valitsemisala*</t>
  </si>
  <si>
    <t>Majanduslik sisu (K; I; F)</t>
  </si>
  <si>
    <t>Tulemusvaldkond -nimi</t>
  </si>
  <si>
    <t>Programm - nimi</t>
  </si>
  <si>
    <t>Programmi tegevuse kood</t>
  </si>
  <si>
    <t>Programmi tegevuse nimi</t>
  </si>
  <si>
    <t>Asutuse nimi</t>
  </si>
  <si>
    <r>
      <t xml:space="preserve">Konto nimi </t>
    </r>
    <r>
      <rPr>
        <sz val="10"/>
        <rFont val="Times New Roman"/>
        <family val="1"/>
        <charset val="186"/>
      </rPr>
      <t>(minimaalselt eelarveklassifikaatori määruse lisas toodud detailsuses)</t>
    </r>
  </si>
  <si>
    <t>Eelarve objekti kood</t>
  </si>
  <si>
    <t>Objekti nimi</t>
  </si>
  <si>
    <t>Lõplik eelarve</t>
  </si>
  <si>
    <t>Sh üle toodud eelnevast aastast</t>
  </si>
  <si>
    <t xml:space="preserve">Täitmine </t>
  </si>
  <si>
    <t>Kasutamata eelarve jääk</t>
  </si>
  <si>
    <t>Võimalik üle viia järgnevasse aastasse</t>
  </si>
  <si>
    <t>Korraline ülekandmine</t>
  </si>
  <si>
    <t>Erakorraline ülekandmine</t>
  </si>
  <si>
    <t>Ülekandmine kokku</t>
  </si>
  <si>
    <t>(1)</t>
  </si>
  <si>
    <t>(2)</t>
  </si>
  <si>
    <t>(3)</t>
  </si>
  <si>
    <t>(4)=(1)-(3)</t>
  </si>
  <si>
    <t>(5)</t>
  </si>
  <si>
    <t>(6)</t>
  </si>
  <si>
    <t>(7)</t>
  </si>
  <si>
    <t>(8)=(6)+(7)</t>
  </si>
  <si>
    <t>(9)=(5)-(8)</t>
  </si>
  <si>
    <t>Majandus- ja Kommunikatsiooniministeeriumi valitsemisala</t>
  </si>
  <si>
    <t>Finantseerimistehingud</t>
  </si>
  <si>
    <t/>
  </si>
  <si>
    <t>Majandus- ja Kommunikatsiooniministeerium</t>
  </si>
  <si>
    <t>Antud sihtfinantseerimine</t>
  </si>
  <si>
    <t>20</t>
  </si>
  <si>
    <t>SE000037</t>
  </si>
  <si>
    <t>Fondide haldamine</t>
  </si>
  <si>
    <t>Pikaajalised finantsinvesteeringud</t>
  </si>
  <si>
    <t>None</t>
  </si>
  <si>
    <t>Osalused avaliku sektori ja sidusüksuste</t>
  </si>
  <si>
    <t>Investeeringud</t>
  </si>
  <si>
    <t>Materiaalsete ja immateriaalsete vara soetamine/renoveerimin</t>
  </si>
  <si>
    <t>IN002000</t>
  </si>
  <si>
    <t>IT investeeringud</t>
  </si>
  <si>
    <t>Kulud</t>
  </si>
  <si>
    <t>Elukeskkond, liikuvus ja merendus</t>
  </si>
  <si>
    <t>Maa ja ruumiloome programm</t>
  </si>
  <si>
    <t>ELMR0101</t>
  </si>
  <si>
    <t>Ruumilise planeerimise poliitika kujundamine ja korraldamine</t>
  </si>
  <si>
    <t>Muud antud toetused ja ülekanded</t>
  </si>
  <si>
    <t>Tööjõukulud</t>
  </si>
  <si>
    <t>Majandamiskulud</t>
  </si>
  <si>
    <t>SE000003</t>
  </si>
  <si>
    <t>Liikmemaksud</t>
  </si>
  <si>
    <t>SE000060</t>
  </si>
  <si>
    <t>RRF</t>
  </si>
  <si>
    <t>ELMR0102</t>
  </si>
  <si>
    <t>Maakasutuspoliitika kujundamine ja elluviimine</t>
  </si>
  <si>
    <t>Heaolu</t>
  </si>
  <si>
    <t>Tööturuprogramm</t>
  </si>
  <si>
    <t>HE010102</t>
  </si>
  <si>
    <t>Tööhõive toetamine ja areng</t>
  </si>
  <si>
    <t>HE010103</t>
  </si>
  <si>
    <t>Kvaliteetse tööelu tagamine ja areng</t>
  </si>
  <si>
    <t>Soolise võrdsuse ja võrdse kohtlemise programm</t>
  </si>
  <si>
    <t>HE090301</t>
  </si>
  <si>
    <t>Soolise võrdsuse ja vähemuste võrdsete võimaluste edendamine</t>
  </si>
  <si>
    <t>Teadus- ja arendustegevus ning ettevõtlus</t>
  </si>
  <si>
    <t>Ettevõtluskeskkonna programm</t>
  </si>
  <si>
    <t>TIEK0102</t>
  </si>
  <si>
    <t>Ettevõtete konkurentsivõime ja rahvusvahelistumise toetamine</t>
  </si>
  <si>
    <t>TIEK0103</t>
  </si>
  <si>
    <t>Tehnoloogia- ja arendusmahukate investeeringute soodustamine</t>
  </si>
  <si>
    <t>IN005001</t>
  </si>
  <si>
    <t>Suurinvestori investeeringutoetus</t>
  </si>
  <si>
    <t>TIEK0105</t>
  </si>
  <si>
    <t>Ettevõtluskeskkonna ja ettevõtlikkuse edendamine</t>
  </si>
  <si>
    <t>Muud tegevuskulud</t>
  </si>
  <si>
    <t>SR070088</t>
  </si>
  <si>
    <t>Välistoetuste mitteabikõlblikud kulud 2025</t>
  </si>
  <si>
    <t>TIEK0106</t>
  </si>
  <si>
    <t>Taristu valdkonna ohuennetus ja tegevuslubade andmine</t>
  </si>
  <si>
    <t>SE070004</t>
  </si>
  <si>
    <t>Ohutusjuurdluse keskus</t>
  </si>
  <si>
    <t>VR070021</t>
  </si>
  <si>
    <t>Reisiparvlaev Estonia uuringute jätkam</t>
  </si>
  <si>
    <t>SE000028</t>
  </si>
  <si>
    <t>Vahendid Riigi Kinnisvara Aktsiaseltsile</t>
  </si>
  <si>
    <t>Teadmussiirde programm</t>
  </si>
  <si>
    <t>TI020101</t>
  </si>
  <si>
    <t>Ettevõtete arendustegevuse ja innovatsiooni toetamine</t>
  </si>
  <si>
    <t>Sotsiaaltoetused</t>
  </si>
  <si>
    <t>IN005000</t>
  </si>
  <si>
    <t>Muud investeeringud</t>
  </si>
  <si>
    <t>TI020102</t>
  </si>
  <si>
    <t>Teadus- ja tehnoloogiamahuka iduettevõtluse arendamine</t>
  </si>
  <si>
    <t>Tarbijakaitse ja Tehnilise Järelevalve Amet</t>
  </si>
  <si>
    <t>SR070091</t>
  </si>
  <si>
    <t>Küberturvalisuse taseme tõstmine</t>
  </si>
  <si>
    <t>SR070097</t>
  </si>
  <si>
    <t>Laiapindne riigikaitse 2025</t>
  </si>
  <si>
    <t>SR070066</t>
  </si>
  <si>
    <t>Nimemärgiste register, andmebaasi litsents</t>
  </si>
  <si>
    <t>SR070072</t>
  </si>
  <si>
    <t>Küberturvalisuse tugevdamise kulud</t>
  </si>
  <si>
    <t>Tööinspektsioon</t>
  </si>
  <si>
    <t>SR070054</t>
  </si>
  <si>
    <t>UA põgenike töövaidluste ennetamine</t>
  </si>
  <si>
    <t>Riikliku Lepitaja Kantselei</t>
  </si>
  <si>
    <t>HE090302</t>
  </si>
  <si>
    <t>Soolise võrdõiguslikkuse ja võrdse kohtlemise volinik</t>
  </si>
  <si>
    <t>Soolise Võrdõiguslikkuse ja Võrdse Kohtlemise Voliniku Kantselei</t>
  </si>
  <si>
    <t>Maa- ja Ruumiamet</t>
  </si>
  <si>
    <t>OR070108</t>
  </si>
  <si>
    <t>Mõõdistuslennuki kapitaalremont</t>
  </si>
  <si>
    <t>OR070016</t>
  </si>
  <si>
    <t>Hoonestusõiguse seadmine</t>
  </si>
  <si>
    <t>OR070455</t>
  </si>
  <si>
    <t>Maareform ja ettevõtluse arendamine</t>
  </si>
  <si>
    <t>OR070247</t>
  </si>
  <si>
    <t>Maareformi elluviim ja ettevõtl arendam</t>
  </si>
  <si>
    <t>OR070165</t>
  </si>
  <si>
    <t>Maareformi kulutuste katteks</t>
  </si>
  <si>
    <t>OR070065</t>
  </si>
  <si>
    <t>OR070135</t>
  </si>
  <si>
    <t>Õigusvastaselt võõrandatud maa tagastami</t>
  </si>
  <si>
    <t>ELMR0103</t>
  </si>
  <si>
    <t>Ruumiandmete hõive, analüüsid ja kättesaadavaks tegemine</t>
  </si>
  <si>
    <t>SR070110</t>
  </si>
  <si>
    <t>Maa-ameti ümberkorraldamise kulud</t>
  </si>
  <si>
    <t>ELMR0106</t>
  </si>
  <si>
    <t>Maaparanduse poliitika rakendamine</t>
  </si>
  <si>
    <t>Ei ole võimalik üle kanda</t>
  </si>
  <si>
    <t>Märkused (sh viide seletuskirjas olevale vastavale põhjendusele)</t>
  </si>
  <si>
    <t>Eelarve liik</t>
  </si>
  <si>
    <t>Lisa</t>
  </si>
  <si>
    <t>eurodes</t>
  </si>
  <si>
    <t>majandus- ja tööstusministri käskkirja  "Majandus- ja Kommunikatsiooniministeeriumi valitsemisala 2025. eelarveaastal kasutamata jäänud vahendite 2026. eelarveaastasse ülekandmine" juurde (muudetud sõnastuses)</t>
  </si>
  <si>
    <t>seletuskirjas lk 4</t>
  </si>
  <si>
    <t>seletuskirjas lk 5</t>
  </si>
  <si>
    <t>seletuskirjas lk 7</t>
  </si>
  <si>
    <t>seletuskirjas lk 7-8</t>
  </si>
  <si>
    <t>seletuskirjas lk 8</t>
  </si>
  <si>
    <t>seletuskirjas lk 8-9</t>
  </si>
  <si>
    <t>seletuskirjas lk 10-11</t>
  </si>
  <si>
    <t>seletuskirjas lk 11</t>
  </si>
  <si>
    <t>seletuskirjas lk 12</t>
  </si>
  <si>
    <t>seletuskirjas lk 12-13, 2026. aastal muutus EA objekti kood, uus kood on IN075001</t>
  </si>
  <si>
    <t>seletuskirjas lk 13</t>
  </si>
  <si>
    <t>seletuskirjas lk 14</t>
  </si>
  <si>
    <t>seletuskirjas lk 14-15</t>
  </si>
  <si>
    <t>seletuskirjas lk 15</t>
  </si>
  <si>
    <t>seletuskirjas lk 16-17</t>
  </si>
  <si>
    <t>seletuskirjas lk 4-5</t>
  </si>
  <si>
    <t>seletuskirjas lk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</si>
</sst>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charset val="186"/>
      <scheme val="minor"/>
    </font>
    <font>
      <sz val="11"/>
      <color indexed="8"/>
      <name val="Aptos Narrow"/>
      <family val="2"/>
      <scheme val="minor"/>
    </font>
    <font>
      <sz val="10"/>
      <color indexed="8"/>
      <name val="Times New Roman"/>
      <family val="1"/>
      <charset val="186"/>
    </font>
    <font>
      <b/>
      <sz val="10"/>
      <color indexed="8"/>
      <name val="Times New Roman"/>
      <family val="1"/>
      <charset val="186"/>
    </font>
    <font>
      <sz val="11"/>
      <color rgb="FF00B050"/>
      <name val="Aptos Narrow"/>
      <family val="2"/>
      <charset val="186"/>
      <scheme val="minor"/>
    </font>
    <font>
      <b/>
      <sz val="11"/>
      <color theme="1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color indexed="8"/>
      <name val="Aptos Narrow"/>
      <family val="2"/>
      <scheme val="minor"/>
    </font>
    <font>
      <sz val="10"/>
      <name val="Times New Roman"/>
      <family val="1"/>
      <charset val="186"/>
    </font>
    <font>
      <sz val="11"/>
      <color indexed="8"/>
      <name val="Times New Roman"/>
      <family val="1"/>
      <charset val="186"/>
    </font>
    <font>
      <sz val="11"/>
      <name val="Times New Roman"/>
      <family val="1"/>
      <charset val="186"/>
    </font>
    <font>
      <sz val="11"/>
      <color rgb="FFFF0000"/>
      <name val="Times New Roman"/>
      <family val="1"/>
      <charset val="186"/>
    </font>
    <font>
      <b/>
      <sz val="11"/>
      <color rgb="FFFF0000"/>
      <name val="Times New Roman"/>
      <family val="1"/>
      <charset val="186"/>
    </font>
    <font>
      <b/>
      <sz val="11"/>
      <color indexed="8"/>
      <name val="Times New Roman"/>
      <family val="1"/>
      <charset val="186"/>
    </font>
  </fonts>
  <fills count="10">
    <fill>
      <patternFill patternType="none"/>
    </fill>
    <fill>
      <patternFill patternType="gray125"/>
    </fill>
    <fill>
      <patternFill patternType="solid">
        <fgColor theme="4" tint="0.39997558519241921"/>
        <bgColor indexed="65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D096C8"/>
        <bgColor indexed="64"/>
      </patternFill>
    </fill>
    <fill>
      <patternFill patternType="solid">
        <fgColor theme="2" tint="-0.249977111117893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9" fontId="2" fillId="0" borderId="0" applyFont="0" applyFill="0" applyBorder="0" applyAlignment="0" applyProtection="0"/>
    <xf numFmtId="0" fontId="2" fillId="0" borderId="0"/>
    <xf numFmtId="0" fontId="1" fillId="0" borderId="0"/>
  </cellStyleXfs>
  <cellXfs count="60">
    <xf numFmtId="0" fontId="0" fillId="0" borderId="0" xfId="0"/>
    <xf numFmtId="0" fontId="3" fillId="0" borderId="0" xfId="0" applyFont="1"/>
    <xf numFmtId="9" fontId="3" fillId="0" borderId="0" xfId="1" applyFont="1"/>
    <xf numFmtId="3" fontId="4" fillId="0" borderId="0" xfId="0" applyNumberFormat="1" applyFont="1"/>
    <xf numFmtId="0" fontId="0" fillId="0" borderId="0" xfId="0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0" fontId="6" fillId="0" borderId="0" xfId="2" applyFont="1" applyAlignment="1">
      <alignment horizontal="center" vertical="top" wrapText="1"/>
    </xf>
    <xf numFmtId="0" fontId="9" fillId="0" borderId="0" xfId="0" applyFont="1"/>
    <xf numFmtId="0" fontId="8" fillId="2" borderId="8" xfId="0" applyFont="1" applyFill="1" applyBorder="1" applyAlignment="1">
      <alignment horizontal="center" vertical="top" wrapText="1"/>
    </xf>
    <xf numFmtId="0" fontId="8" fillId="2" borderId="9" xfId="0" applyFont="1" applyFill="1" applyBorder="1" applyAlignment="1">
      <alignment horizontal="center" vertical="top" wrapText="1"/>
    </xf>
    <xf numFmtId="0" fontId="8" fillId="7" borderId="9" xfId="0" applyFont="1" applyFill="1" applyBorder="1" applyAlignment="1">
      <alignment horizontal="center" vertical="top" wrapText="1"/>
    </xf>
    <xf numFmtId="3" fontId="8" fillId="3" borderId="9" xfId="3" applyNumberFormat="1" applyFont="1" applyFill="1" applyBorder="1" applyAlignment="1" applyProtection="1">
      <alignment horizontal="center" vertical="top" wrapText="1"/>
      <protection locked="0"/>
    </xf>
    <xf numFmtId="4" fontId="8" fillId="4" borderId="10" xfId="2" applyNumberFormat="1" applyFont="1" applyFill="1" applyBorder="1" applyAlignment="1">
      <alignment horizontal="center" vertical="top" wrapText="1"/>
    </xf>
    <xf numFmtId="4" fontId="8" fillId="4" borderId="11" xfId="2" applyNumberFormat="1" applyFont="1" applyFill="1" applyBorder="1" applyAlignment="1">
      <alignment horizontal="center" vertical="top" wrapText="1"/>
    </xf>
    <xf numFmtId="0" fontId="3" fillId="0" borderId="15" xfId="0" applyFont="1" applyBorder="1"/>
    <xf numFmtId="0" fontId="10" fillId="0" borderId="15" xfId="0" applyFont="1" applyBorder="1" applyAlignment="1">
      <alignment horizontal="center"/>
    </xf>
    <xf numFmtId="0" fontId="10" fillId="0" borderId="15" xfId="0" quotePrefix="1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5" xfId="0" applyFont="1" applyBorder="1" applyAlignment="1">
      <alignment horizontal="right"/>
    </xf>
    <xf numFmtId="0" fontId="11" fillId="0" borderId="0" xfId="0" applyFont="1"/>
    <xf numFmtId="3" fontId="11" fillId="0" borderId="0" xfId="0" applyNumberFormat="1" applyFont="1"/>
    <xf numFmtId="3" fontId="12" fillId="0" borderId="0" xfId="0" applyNumberFormat="1" applyFont="1"/>
    <xf numFmtId="0" fontId="12" fillId="0" borderId="0" xfId="0" applyFont="1"/>
    <xf numFmtId="0" fontId="14" fillId="0" borderId="0" xfId="0" applyFont="1"/>
    <xf numFmtId="0" fontId="7" fillId="9" borderId="15" xfId="0" applyFont="1" applyFill="1" applyBorder="1" applyAlignment="1">
      <alignment horizontal="center" vertical="top" wrapText="1"/>
    </xf>
    <xf numFmtId="0" fontId="11" fillId="0" borderId="0" xfId="0" applyFont="1" applyAlignment="1">
      <alignment horizontal="right" wrapText="1"/>
    </xf>
    <xf numFmtId="0" fontId="3" fillId="0" borderId="0" xfId="0" applyFont="1" applyAlignment="1">
      <alignment horizontal="right" wrapText="1"/>
    </xf>
    <xf numFmtId="0" fontId="15" fillId="0" borderId="0" xfId="0" applyFont="1" applyAlignment="1">
      <alignment horizontal="right"/>
    </xf>
    <xf numFmtId="0" fontId="11" fillId="0" borderId="15" xfId="0" applyFont="1" applyBorder="1"/>
    <xf numFmtId="3" fontId="11" fillId="0" borderId="15" xfId="0" applyNumberFormat="1" applyFont="1" applyBorder="1"/>
    <xf numFmtId="3" fontId="12" fillId="0" borderId="15" xfId="0" applyNumberFormat="1" applyFont="1" applyBorder="1"/>
    <xf numFmtId="0" fontId="12" fillId="0" borderId="15" xfId="0" applyFont="1" applyBorder="1"/>
    <xf numFmtId="3" fontId="13" fillId="0" borderId="15" xfId="0" applyNumberFormat="1" applyFont="1" applyBorder="1"/>
    <xf numFmtId="3" fontId="11" fillId="0" borderId="15" xfId="0" applyNumberFormat="1" applyFont="1" applyBorder="1" applyAlignment="1">
      <alignment vertical="center"/>
    </xf>
    <xf numFmtId="0" fontId="0" fillId="0" borderId="15" xfId="0" applyBorder="1" applyAlignment="1">
      <alignment vertical="center"/>
    </xf>
    <xf numFmtId="3" fontId="11" fillId="0" borderId="16" xfId="0" applyNumberFormat="1" applyFont="1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10" xfId="0" applyBorder="1"/>
    <xf numFmtId="0" fontId="0" fillId="0" borderId="17" xfId="0" applyBorder="1"/>
    <xf numFmtId="3" fontId="11" fillId="0" borderId="15" xfId="0" applyNumberFormat="1" applyFont="1" applyBorder="1" applyAlignment="1">
      <alignment vertical="center"/>
    </xf>
    <xf numFmtId="0" fontId="0" fillId="0" borderId="15" xfId="0" applyBorder="1" applyAlignment="1">
      <alignment vertical="center"/>
    </xf>
    <xf numFmtId="0" fontId="11" fillId="0" borderId="15" xfId="0" applyFont="1" applyBorder="1" applyAlignment="1">
      <alignment vertical="center"/>
    </xf>
    <xf numFmtId="0" fontId="11" fillId="0" borderId="16" xfId="0" applyFont="1" applyBorder="1" applyAlignment="1">
      <alignment vertical="center"/>
    </xf>
    <xf numFmtId="3" fontId="11" fillId="0" borderId="16" xfId="0" applyNumberFormat="1" applyFont="1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17" xfId="0" applyBorder="1" applyAlignment="1">
      <alignment vertical="center" wrapText="1"/>
    </xf>
    <xf numFmtId="0" fontId="11" fillId="0" borderId="10" xfId="0" applyFont="1" applyBorder="1" applyAlignment="1">
      <alignment vertical="center"/>
    </xf>
    <xf numFmtId="0" fontId="11" fillId="0" borderId="17" xfId="0" applyFont="1" applyBorder="1" applyAlignment="1">
      <alignment vertical="center"/>
    </xf>
    <xf numFmtId="0" fontId="3" fillId="0" borderId="0" xfId="0" applyFont="1" applyAlignment="1">
      <alignment horizontal="right" vertical="center" wrapText="1"/>
    </xf>
    <xf numFmtId="0" fontId="7" fillId="3" borderId="1" xfId="2" applyFont="1" applyFill="1" applyBorder="1" applyAlignment="1">
      <alignment horizontal="center" vertical="top" wrapText="1"/>
    </xf>
    <xf numFmtId="3" fontId="7" fillId="4" borderId="2" xfId="2" applyNumberFormat="1" applyFont="1" applyFill="1" applyBorder="1" applyAlignment="1">
      <alignment horizontal="center" vertical="top" wrapText="1"/>
    </xf>
    <xf numFmtId="3" fontId="7" fillId="4" borderId="3" xfId="2" applyNumberFormat="1" applyFont="1" applyFill="1" applyBorder="1" applyAlignment="1">
      <alignment horizontal="center" vertical="top" wrapText="1"/>
    </xf>
    <xf numFmtId="3" fontId="7" fillId="4" borderId="4" xfId="2" applyNumberFormat="1" applyFont="1" applyFill="1" applyBorder="1" applyAlignment="1">
      <alignment horizontal="center" vertical="top" wrapText="1"/>
    </xf>
    <xf numFmtId="3" fontId="7" fillId="5" borderId="5" xfId="0" applyNumberFormat="1" applyFont="1" applyFill="1" applyBorder="1" applyAlignment="1">
      <alignment horizontal="center" vertical="top" wrapText="1"/>
    </xf>
    <xf numFmtId="3" fontId="7" fillId="5" borderId="12" xfId="0" applyNumberFormat="1" applyFont="1" applyFill="1" applyBorder="1" applyAlignment="1">
      <alignment horizontal="center" vertical="top" wrapText="1"/>
    </xf>
    <xf numFmtId="3" fontId="7" fillId="6" borderId="6" xfId="0" applyNumberFormat="1" applyFont="1" applyFill="1" applyBorder="1" applyAlignment="1">
      <alignment horizontal="center" vertical="top" wrapText="1"/>
    </xf>
    <xf numFmtId="3" fontId="7" fillId="6" borderId="13" xfId="0" applyNumberFormat="1" applyFont="1" applyFill="1" applyBorder="1" applyAlignment="1">
      <alignment horizontal="center" vertical="top" wrapText="1"/>
    </xf>
    <xf numFmtId="3" fontId="7" fillId="8" borderId="7" xfId="0" applyNumberFormat="1" applyFont="1" applyFill="1" applyBorder="1" applyAlignment="1">
      <alignment horizontal="center" vertical="top" wrapText="1"/>
    </xf>
    <xf numFmtId="3" fontId="7" fillId="8" borderId="14" xfId="0" applyNumberFormat="1" applyFont="1" applyFill="1" applyBorder="1" applyAlignment="1">
      <alignment horizontal="center" vertical="top" wrapText="1"/>
    </xf>
  </cellXfs>
  <cellStyles count="4">
    <cellStyle name="Normaallaad" xfId="0" builtinId="0"/>
    <cellStyle name="Normaallaad 2" xfId="2" xr:uid="{924C7624-5496-46C6-AF54-C64082111D14}"/>
    <cellStyle name="Normal 25 9" xfId="3" xr:uid="{BE797439-1E14-4553-8154-7F19669FEAAF}"/>
    <cellStyle name="Prots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8EC939-31A6-4E2F-853E-98184D04CBE9}">
  <dimension ref="A1:X143"/>
  <sheetViews>
    <sheetView tabSelected="1" topLeftCell="F1" zoomScaleNormal="100" workbookViewId="0">
      <selection activeCell="V10" sqref="V10:V15"/>
    </sheetView>
  </sheetViews>
  <sheetFormatPr defaultRowHeight="12.9" x14ac:dyDescent="0.35"/>
  <cols>
    <col min="1" max="1" width="18.07421875" style="7" customWidth="1"/>
    <col min="2" max="2" width="8.07421875" style="7" customWidth="1"/>
    <col min="3" max="3" width="10.53515625" style="7" customWidth="1"/>
    <col min="4" max="4" width="16.4609375" style="7" bestFit="1" customWidth="1"/>
    <col min="5" max="5" width="10.69140625" style="7" customWidth="1"/>
    <col min="6" max="6" width="15.15234375" style="7" customWidth="1"/>
    <col min="7" max="7" width="16.3046875" style="7" customWidth="1"/>
    <col min="8" max="8" width="15.3828125" style="7" customWidth="1"/>
    <col min="9" max="9" width="6.69140625" style="7" customWidth="1"/>
    <col min="10" max="10" width="10.23046875" style="7" customWidth="1"/>
    <col min="11" max="11" width="15" style="7" customWidth="1"/>
    <col min="12" max="12" width="13.15234375" style="7" customWidth="1"/>
    <col min="13" max="13" width="10.61328125" style="7" customWidth="1"/>
    <col min="14" max="14" width="11.07421875" style="7" customWidth="1"/>
    <col min="15" max="15" width="10.921875" style="7" customWidth="1"/>
    <col min="16" max="16" width="11.61328125" style="7" customWidth="1"/>
    <col min="17" max="17" width="12.765625" style="7" customWidth="1"/>
    <col min="18" max="18" width="11.4609375" style="7" customWidth="1"/>
    <col min="19" max="20" width="12" style="7" customWidth="1"/>
    <col min="21" max="21" width="13.15234375" style="7" hidden="1" customWidth="1"/>
    <col min="22" max="22" width="18.15234375" style="7" customWidth="1"/>
    <col min="23" max="23" width="11.15234375" style="7" hidden="1" customWidth="1"/>
    <col min="24" max="16384" width="9.23046875" style="7"/>
  </cols>
  <sheetData>
    <row r="1" spans="1:23" ht="14.15" x14ac:dyDescent="0.35">
      <c r="O1" s="1"/>
      <c r="P1" s="1"/>
      <c r="Q1" s="1"/>
      <c r="R1" s="1"/>
      <c r="S1" s="1"/>
      <c r="T1" s="1"/>
      <c r="U1" s="1"/>
      <c r="V1" s="27" t="s">
        <v>137</v>
      </c>
    </row>
    <row r="2" spans="1:23" x14ac:dyDescent="0.35">
      <c r="O2" s="49" t="s">
        <v>139</v>
      </c>
      <c r="P2" s="49"/>
      <c r="Q2" s="49"/>
      <c r="R2" s="49"/>
      <c r="S2" s="49"/>
      <c r="T2" s="49"/>
      <c r="U2" s="49"/>
      <c r="V2" s="49"/>
    </row>
    <row r="3" spans="1:23" ht="14.6" customHeight="1" x14ac:dyDescent="0.35">
      <c r="O3" s="49"/>
      <c r="P3" s="49"/>
      <c r="Q3" s="49"/>
      <c r="R3" s="49"/>
      <c r="S3" s="49"/>
      <c r="T3" s="49"/>
      <c r="U3" s="49"/>
      <c r="V3" s="49"/>
    </row>
    <row r="4" spans="1:23" ht="14.15" x14ac:dyDescent="0.35">
      <c r="O4" s="25"/>
      <c r="P4" s="25"/>
      <c r="Q4" s="25"/>
      <c r="R4" s="25"/>
      <c r="S4" s="25"/>
      <c r="T4" s="25"/>
      <c r="U4" s="25"/>
      <c r="V4" s="26" t="s">
        <v>138</v>
      </c>
    </row>
    <row r="6" spans="1:23" s="1" customFormat="1" ht="13.3" thickBot="1" x14ac:dyDescent="0.4">
      <c r="J6" s="2"/>
      <c r="K6" s="2"/>
      <c r="L6" s="3">
        <f>ROUND(+SUBTOTAL(9,L10:L143),0)-1</f>
        <v>-270902408</v>
      </c>
      <c r="M6" s="3">
        <f>ROUND(+SUBTOTAL(9,M10:M143),0)</f>
        <v>-48286037</v>
      </c>
      <c r="N6" s="3">
        <f t="shared" ref="N6:W6" si="0">ROUND(+SUBTOTAL(9,N10:N143),0)</f>
        <v>-232274475</v>
      </c>
      <c r="O6" s="3">
        <f>ROUND(+SUBTOTAL(9,O10:O143),0)-1</f>
        <v>-38627933</v>
      </c>
      <c r="P6" s="3">
        <f t="shared" si="0"/>
        <v>-36409868</v>
      </c>
      <c r="Q6" s="3">
        <f t="shared" si="0"/>
        <v>-19951290</v>
      </c>
      <c r="R6" s="3">
        <f t="shared" si="0"/>
        <v>-3188679</v>
      </c>
      <c r="S6" s="3">
        <f>ROUND(S5+SUBTOTAL(9,S10:S143),0)</f>
        <v>-23139969</v>
      </c>
      <c r="T6" s="3">
        <f>ROUND(+SUBTOTAL(9,T10:T143),0)</f>
        <v>-13269899</v>
      </c>
      <c r="U6" s="3"/>
      <c r="V6" s="3"/>
      <c r="W6" s="3">
        <f t="shared" si="0"/>
        <v>-2218065</v>
      </c>
    </row>
    <row r="7" spans="1:23" customFormat="1" ht="15" customHeight="1" thickBot="1" x14ac:dyDescent="0.45">
      <c r="A7" s="4"/>
      <c r="B7" s="5"/>
      <c r="C7" s="4"/>
      <c r="D7" s="4"/>
      <c r="E7" s="4"/>
      <c r="F7" s="6"/>
      <c r="G7" s="5"/>
      <c r="H7" s="4"/>
      <c r="I7" s="4"/>
      <c r="J7" s="6"/>
      <c r="K7" s="6"/>
      <c r="L7" s="50" t="s">
        <v>0</v>
      </c>
      <c r="M7" s="50"/>
      <c r="N7" s="50"/>
      <c r="O7" s="50"/>
      <c r="P7" s="50"/>
      <c r="Q7" s="51" t="s">
        <v>1</v>
      </c>
      <c r="R7" s="52"/>
      <c r="S7" s="53"/>
      <c r="T7" s="54" t="s">
        <v>2</v>
      </c>
      <c r="U7" s="56" t="s">
        <v>3</v>
      </c>
      <c r="V7" s="58" t="s">
        <v>135</v>
      </c>
      <c r="W7" s="7"/>
    </row>
    <row r="8" spans="1:23" ht="66" customHeight="1" x14ac:dyDescent="0.35">
      <c r="A8" s="8" t="s">
        <v>4</v>
      </c>
      <c r="B8" s="9" t="s">
        <v>5</v>
      </c>
      <c r="C8" s="9" t="s">
        <v>6</v>
      </c>
      <c r="D8" s="10" t="s">
        <v>7</v>
      </c>
      <c r="E8" s="10" t="s">
        <v>8</v>
      </c>
      <c r="F8" s="10" t="s">
        <v>9</v>
      </c>
      <c r="G8" s="10" t="s">
        <v>10</v>
      </c>
      <c r="H8" s="9" t="s">
        <v>11</v>
      </c>
      <c r="I8" s="9" t="s">
        <v>136</v>
      </c>
      <c r="J8" s="9" t="s">
        <v>12</v>
      </c>
      <c r="K8" s="9" t="s">
        <v>13</v>
      </c>
      <c r="L8" s="11" t="s">
        <v>14</v>
      </c>
      <c r="M8" s="11" t="s">
        <v>15</v>
      </c>
      <c r="N8" s="11" t="s">
        <v>16</v>
      </c>
      <c r="O8" s="11" t="s">
        <v>17</v>
      </c>
      <c r="P8" s="11" t="s">
        <v>18</v>
      </c>
      <c r="Q8" s="12" t="s">
        <v>19</v>
      </c>
      <c r="R8" s="12" t="s">
        <v>20</v>
      </c>
      <c r="S8" s="13" t="s">
        <v>21</v>
      </c>
      <c r="T8" s="55"/>
      <c r="U8" s="57"/>
      <c r="V8" s="59"/>
      <c r="W8" s="24" t="s">
        <v>134</v>
      </c>
    </row>
    <row r="9" spans="1:23" s="1" customFormat="1" x14ac:dyDescent="0.35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  <c r="L9" s="15" t="s">
        <v>22</v>
      </c>
      <c r="M9" s="15" t="s">
        <v>23</v>
      </c>
      <c r="N9" s="16" t="s">
        <v>24</v>
      </c>
      <c r="O9" s="15" t="s">
        <v>25</v>
      </c>
      <c r="P9" s="16" t="s">
        <v>26</v>
      </c>
      <c r="Q9" s="16" t="s">
        <v>27</v>
      </c>
      <c r="R9" s="16" t="s">
        <v>28</v>
      </c>
      <c r="S9" s="15" t="s">
        <v>29</v>
      </c>
      <c r="T9" s="17" t="s">
        <v>30</v>
      </c>
      <c r="U9" s="14"/>
      <c r="V9" s="14"/>
      <c r="W9" s="18"/>
    </row>
    <row r="10" spans="1:23" s="19" customFormat="1" ht="14.15" x14ac:dyDescent="0.35">
      <c r="A10" s="28" t="s">
        <v>31</v>
      </c>
      <c r="B10" s="28" t="s">
        <v>46</v>
      </c>
      <c r="C10" s="28" t="s">
        <v>47</v>
      </c>
      <c r="D10" s="28" t="s">
        <v>48</v>
      </c>
      <c r="E10" s="28" t="s">
        <v>49</v>
      </c>
      <c r="F10" s="28" t="s">
        <v>50</v>
      </c>
      <c r="G10" s="28" t="s">
        <v>34</v>
      </c>
      <c r="H10" s="28" t="s">
        <v>51</v>
      </c>
      <c r="I10" s="28" t="s">
        <v>36</v>
      </c>
      <c r="J10" s="28" t="s">
        <v>40</v>
      </c>
      <c r="K10" s="28" t="s">
        <v>40</v>
      </c>
      <c r="L10" s="29">
        <v>-5000</v>
      </c>
      <c r="M10" s="29">
        <v>0</v>
      </c>
      <c r="N10" s="29">
        <v>-5000</v>
      </c>
      <c r="O10" s="29">
        <f t="shared" ref="O10:O41" si="1">+L10-N10</f>
        <v>0</v>
      </c>
      <c r="P10" s="29">
        <v>0</v>
      </c>
      <c r="Q10" s="29">
        <v>0</v>
      </c>
      <c r="R10" s="29">
        <v>0</v>
      </c>
      <c r="S10" s="29">
        <f t="shared" ref="S10:S41" si="2">+Q10+R10</f>
        <v>0</v>
      </c>
      <c r="T10" s="29">
        <f t="shared" ref="T10:T41" si="3">+P10-S10</f>
        <v>0</v>
      </c>
      <c r="U10" s="29"/>
      <c r="V10" s="35" t="s">
        <v>140</v>
      </c>
      <c r="W10" s="20">
        <f>+O10-P10</f>
        <v>0</v>
      </c>
    </row>
    <row r="11" spans="1:23" s="19" customFormat="1" ht="14.15" x14ac:dyDescent="0.35">
      <c r="A11" s="28" t="s">
        <v>31</v>
      </c>
      <c r="B11" s="28" t="s">
        <v>46</v>
      </c>
      <c r="C11" s="28" t="s">
        <v>47</v>
      </c>
      <c r="D11" s="28" t="s">
        <v>48</v>
      </c>
      <c r="E11" s="28" t="s">
        <v>49</v>
      </c>
      <c r="F11" s="28" t="s">
        <v>50</v>
      </c>
      <c r="G11" s="28" t="s">
        <v>34</v>
      </c>
      <c r="H11" s="28" t="s">
        <v>52</v>
      </c>
      <c r="I11" s="28" t="s">
        <v>36</v>
      </c>
      <c r="J11" s="28" t="s">
        <v>40</v>
      </c>
      <c r="K11" s="28" t="s">
        <v>40</v>
      </c>
      <c r="L11" s="29">
        <v>-801762.72316929488</v>
      </c>
      <c r="M11" s="29">
        <v>-10838</v>
      </c>
      <c r="N11" s="29">
        <v>-733638.31939844112</v>
      </c>
      <c r="O11" s="29">
        <f t="shared" si="1"/>
        <v>-68124.403770853765</v>
      </c>
      <c r="P11" s="29">
        <v>-68124.403770853765</v>
      </c>
      <c r="Q11" s="29">
        <v>-68124.403770853765</v>
      </c>
      <c r="R11" s="29">
        <v>0</v>
      </c>
      <c r="S11" s="29">
        <f t="shared" si="2"/>
        <v>-68124.403770853765</v>
      </c>
      <c r="T11" s="29">
        <f t="shared" si="3"/>
        <v>0</v>
      </c>
      <c r="U11" s="29"/>
      <c r="V11" s="36"/>
      <c r="W11" s="20">
        <f t="shared" ref="W11:W74" si="4">+O11-P11</f>
        <v>0</v>
      </c>
    </row>
    <row r="12" spans="1:23" s="19" customFormat="1" ht="14.15" x14ac:dyDescent="0.35">
      <c r="A12" s="28" t="s">
        <v>31</v>
      </c>
      <c r="B12" s="28" t="s">
        <v>46</v>
      </c>
      <c r="C12" s="28" t="s">
        <v>47</v>
      </c>
      <c r="D12" s="28" t="s">
        <v>48</v>
      </c>
      <c r="E12" s="28" t="s">
        <v>49</v>
      </c>
      <c r="F12" s="28" t="s">
        <v>50</v>
      </c>
      <c r="G12" s="28" t="s">
        <v>34</v>
      </c>
      <c r="H12" s="28" t="s">
        <v>53</v>
      </c>
      <c r="I12" s="28" t="s">
        <v>36</v>
      </c>
      <c r="J12" s="28" t="s">
        <v>40</v>
      </c>
      <c r="K12" s="28" t="s">
        <v>40</v>
      </c>
      <c r="L12" s="29">
        <f>-940348.033599167-1761+83</f>
        <v>-942026.03359916701</v>
      </c>
      <c r="M12" s="29">
        <v>-851114.99990000005</v>
      </c>
      <c r="N12" s="29">
        <v>-785875.93925568834</v>
      </c>
      <c r="O12" s="29">
        <f t="shared" si="1"/>
        <v>-156150.09434347868</v>
      </c>
      <c r="P12" s="29">
        <f>-89233.0336991672-1761+83</f>
        <v>-90911.033699167194</v>
      </c>
      <c r="Q12" s="29">
        <f>-89233.0336991672-1761+83</f>
        <v>-90911.033699167194</v>
      </c>
      <c r="R12" s="29">
        <v>0</v>
      </c>
      <c r="S12" s="29">
        <f t="shared" si="2"/>
        <v>-90911.033699167194</v>
      </c>
      <c r="T12" s="29">
        <f t="shared" si="3"/>
        <v>0</v>
      </c>
      <c r="U12" s="29"/>
      <c r="V12" s="36"/>
      <c r="W12" s="20">
        <f t="shared" si="4"/>
        <v>-65239.060644311481</v>
      </c>
    </row>
    <row r="13" spans="1:23" s="19" customFormat="1" ht="14.15" x14ac:dyDescent="0.35">
      <c r="A13" s="28" t="s">
        <v>31</v>
      </c>
      <c r="B13" s="28" t="s">
        <v>46</v>
      </c>
      <c r="C13" s="28" t="s">
        <v>47</v>
      </c>
      <c r="D13" s="28" t="s">
        <v>48</v>
      </c>
      <c r="E13" s="28" t="s">
        <v>49</v>
      </c>
      <c r="F13" s="28" t="s">
        <v>50</v>
      </c>
      <c r="G13" s="28" t="s">
        <v>34</v>
      </c>
      <c r="H13" s="28" t="s">
        <v>51</v>
      </c>
      <c r="I13" s="28" t="s">
        <v>36</v>
      </c>
      <c r="J13" s="28" t="s">
        <v>54</v>
      </c>
      <c r="K13" s="28" t="s">
        <v>55</v>
      </c>
      <c r="L13" s="29">
        <v>-14799.078800000001</v>
      </c>
      <c r="M13" s="29">
        <v>0</v>
      </c>
      <c r="N13" s="29">
        <v>-14799</v>
      </c>
      <c r="O13" s="29">
        <f t="shared" si="1"/>
        <v>-7.880000000113796E-2</v>
      </c>
      <c r="P13" s="29">
        <v>-7.880000000113796E-2</v>
      </c>
      <c r="Q13" s="29">
        <v>0</v>
      </c>
      <c r="R13" s="29">
        <v>0</v>
      </c>
      <c r="S13" s="29">
        <f t="shared" si="2"/>
        <v>0</v>
      </c>
      <c r="T13" s="29">
        <f t="shared" si="3"/>
        <v>-7.880000000113796E-2</v>
      </c>
      <c r="U13" s="29"/>
      <c r="V13" s="36"/>
      <c r="W13" s="20">
        <f t="shared" si="4"/>
        <v>0</v>
      </c>
    </row>
    <row r="14" spans="1:23" s="19" customFormat="1" ht="14.15" x14ac:dyDescent="0.35">
      <c r="A14" s="28" t="s">
        <v>31</v>
      </c>
      <c r="B14" s="28" t="s">
        <v>46</v>
      </c>
      <c r="C14" s="28" t="s">
        <v>47</v>
      </c>
      <c r="D14" s="28" t="s">
        <v>48</v>
      </c>
      <c r="E14" s="28" t="s">
        <v>49</v>
      </c>
      <c r="F14" s="28" t="s">
        <v>50</v>
      </c>
      <c r="G14" s="28" t="s">
        <v>34</v>
      </c>
      <c r="H14" s="28" t="s">
        <v>52</v>
      </c>
      <c r="I14" s="28" t="s">
        <v>36</v>
      </c>
      <c r="J14" s="28" t="s">
        <v>56</v>
      </c>
      <c r="K14" s="28" t="s">
        <v>57</v>
      </c>
      <c r="L14" s="29">
        <v>-2466.8220000000001</v>
      </c>
      <c r="M14" s="29">
        <v>0</v>
      </c>
      <c r="N14" s="29">
        <v>-1890.7985015384616</v>
      </c>
      <c r="O14" s="29">
        <f t="shared" si="1"/>
        <v>-576.02349846153857</v>
      </c>
      <c r="P14" s="29">
        <v>-576.02349846153902</v>
      </c>
      <c r="Q14" s="29">
        <v>-576.02349846153902</v>
      </c>
      <c r="R14" s="29">
        <v>0</v>
      </c>
      <c r="S14" s="29">
        <f t="shared" si="2"/>
        <v>-576.02349846153902</v>
      </c>
      <c r="T14" s="29">
        <f t="shared" si="3"/>
        <v>0</v>
      </c>
      <c r="U14" s="29"/>
      <c r="V14" s="36"/>
      <c r="W14" s="20">
        <f t="shared" si="4"/>
        <v>0</v>
      </c>
    </row>
    <row r="15" spans="1:23" s="19" customFormat="1" ht="14.15" x14ac:dyDescent="0.35">
      <c r="A15" s="28" t="s">
        <v>31</v>
      </c>
      <c r="B15" s="28" t="s">
        <v>46</v>
      </c>
      <c r="C15" s="28" t="s">
        <v>47</v>
      </c>
      <c r="D15" s="28" t="s">
        <v>48</v>
      </c>
      <c r="E15" s="28" t="s">
        <v>49</v>
      </c>
      <c r="F15" s="28" t="s">
        <v>50</v>
      </c>
      <c r="G15" s="28" t="s">
        <v>34</v>
      </c>
      <c r="H15" s="28" t="s">
        <v>53</v>
      </c>
      <c r="I15" s="28" t="s">
        <v>36</v>
      </c>
      <c r="J15" s="28" t="s">
        <v>56</v>
      </c>
      <c r="K15" s="28" t="s">
        <v>57</v>
      </c>
      <c r="L15" s="29">
        <v>-76.471000000000004</v>
      </c>
      <c r="M15" s="29">
        <v>0</v>
      </c>
      <c r="N15" s="29">
        <v>0</v>
      </c>
      <c r="O15" s="29">
        <f t="shared" si="1"/>
        <v>-76.471000000000004</v>
      </c>
      <c r="P15" s="29">
        <v>-76.471000000000004</v>
      </c>
      <c r="Q15" s="29">
        <v>-76.471000000000004</v>
      </c>
      <c r="R15" s="29">
        <v>0</v>
      </c>
      <c r="S15" s="29">
        <f t="shared" si="2"/>
        <v>-76.471000000000004</v>
      </c>
      <c r="T15" s="29">
        <f t="shared" si="3"/>
        <v>0</v>
      </c>
      <c r="U15" s="29"/>
      <c r="V15" s="37"/>
      <c r="W15" s="20">
        <f t="shared" si="4"/>
        <v>0</v>
      </c>
    </row>
    <row r="16" spans="1:23" s="19" customFormat="1" ht="14.15" x14ac:dyDescent="0.35">
      <c r="A16" s="28" t="s">
        <v>31</v>
      </c>
      <c r="B16" s="28" t="s">
        <v>46</v>
      </c>
      <c r="C16" s="28" t="s">
        <v>47</v>
      </c>
      <c r="D16" s="28" t="s">
        <v>48</v>
      </c>
      <c r="E16" s="28" t="s">
        <v>49</v>
      </c>
      <c r="F16" s="28" t="s">
        <v>50</v>
      </c>
      <c r="G16" s="28" t="s">
        <v>114</v>
      </c>
      <c r="H16" s="28" t="s">
        <v>52</v>
      </c>
      <c r="I16" s="28" t="s">
        <v>36</v>
      </c>
      <c r="J16" s="28" t="s">
        <v>40</v>
      </c>
      <c r="K16" s="28" t="s">
        <v>40</v>
      </c>
      <c r="L16" s="29">
        <v>-612305</v>
      </c>
      <c r="M16" s="29">
        <v>0</v>
      </c>
      <c r="N16" s="29">
        <v>-524847.03989999997</v>
      </c>
      <c r="O16" s="29">
        <f t="shared" si="1"/>
        <v>-87457.960100000026</v>
      </c>
      <c r="P16" s="29">
        <v>-87457.960099999967</v>
      </c>
      <c r="Q16" s="29">
        <v>-87457.960099999967</v>
      </c>
      <c r="R16" s="29">
        <v>0</v>
      </c>
      <c r="S16" s="29">
        <f t="shared" si="2"/>
        <v>-87457.960099999967</v>
      </c>
      <c r="T16" s="29">
        <f t="shared" si="3"/>
        <v>0</v>
      </c>
      <c r="U16" s="29"/>
      <c r="V16" s="35" t="s">
        <v>140</v>
      </c>
      <c r="W16" s="20">
        <f t="shared" si="4"/>
        <v>0</v>
      </c>
    </row>
    <row r="17" spans="1:23" s="19" customFormat="1" ht="14.15" x14ac:dyDescent="0.35">
      <c r="A17" s="28" t="s">
        <v>31</v>
      </c>
      <c r="B17" s="28" t="s">
        <v>46</v>
      </c>
      <c r="C17" s="28" t="s">
        <v>47</v>
      </c>
      <c r="D17" s="28" t="s">
        <v>48</v>
      </c>
      <c r="E17" s="28" t="s">
        <v>49</v>
      </c>
      <c r="F17" s="28" t="s">
        <v>50</v>
      </c>
      <c r="G17" s="28" t="s">
        <v>114</v>
      </c>
      <c r="H17" s="28" t="s">
        <v>53</v>
      </c>
      <c r="I17" s="28" t="s">
        <v>36</v>
      </c>
      <c r="J17" s="28" t="s">
        <v>40</v>
      </c>
      <c r="K17" s="28" t="s">
        <v>40</v>
      </c>
      <c r="L17" s="29">
        <v>-108656</v>
      </c>
      <c r="M17" s="29">
        <v>0</v>
      </c>
      <c r="N17" s="29">
        <v>-8856.17</v>
      </c>
      <c r="O17" s="29">
        <f t="shared" si="1"/>
        <v>-99799.83</v>
      </c>
      <c r="P17" s="29">
        <v>-99799.829999999987</v>
      </c>
      <c r="Q17" s="29">
        <v>-99799.829999999987</v>
      </c>
      <c r="R17" s="29">
        <v>0</v>
      </c>
      <c r="S17" s="29">
        <f t="shared" si="2"/>
        <v>-99799.829999999987</v>
      </c>
      <c r="T17" s="29">
        <f t="shared" si="3"/>
        <v>0</v>
      </c>
      <c r="U17" s="29"/>
      <c r="V17" s="37"/>
      <c r="W17" s="20">
        <f t="shared" si="4"/>
        <v>0</v>
      </c>
    </row>
    <row r="18" spans="1:23" s="19" customFormat="1" ht="14.15" x14ac:dyDescent="0.35">
      <c r="A18" s="28" t="s">
        <v>31</v>
      </c>
      <c r="B18" s="28" t="s">
        <v>46</v>
      </c>
      <c r="C18" s="28" t="s">
        <v>47</v>
      </c>
      <c r="D18" s="28" t="s">
        <v>48</v>
      </c>
      <c r="E18" s="28" t="s">
        <v>58</v>
      </c>
      <c r="F18" s="28" t="s">
        <v>59</v>
      </c>
      <c r="G18" s="28" t="s">
        <v>34</v>
      </c>
      <c r="H18" s="28" t="s">
        <v>52</v>
      </c>
      <c r="I18" s="28" t="s">
        <v>36</v>
      </c>
      <c r="J18" s="28" t="s">
        <v>40</v>
      </c>
      <c r="K18" s="28" t="s">
        <v>40</v>
      </c>
      <c r="L18" s="29">
        <v>-366132.12316929473</v>
      </c>
      <c r="M18" s="29">
        <v>0</v>
      </c>
      <c r="N18" s="29">
        <v>-345114.68668034102</v>
      </c>
      <c r="O18" s="29">
        <f t="shared" si="1"/>
        <v>-21017.43648895371</v>
      </c>
      <c r="P18" s="29">
        <v>-21017.43648895371</v>
      </c>
      <c r="Q18" s="29">
        <v>-21017.43648895371</v>
      </c>
      <c r="R18" s="29">
        <v>0</v>
      </c>
      <c r="S18" s="29">
        <f t="shared" si="2"/>
        <v>-21017.43648895371</v>
      </c>
      <c r="T18" s="29">
        <f t="shared" si="3"/>
        <v>0</v>
      </c>
      <c r="U18" s="29"/>
      <c r="V18" s="35" t="s">
        <v>155</v>
      </c>
      <c r="W18" s="20">
        <f t="shared" si="4"/>
        <v>0</v>
      </c>
    </row>
    <row r="19" spans="1:23" s="19" customFormat="1" ht="14.15" x14ac:dyDescent="0.35">
      <c r="A19" s="28" t="s">
        <v>31</v>
      </c>
      <c r="B19" s="28" t="s">
        <v>46</v>
      </c>
      <c r="C19" s="28" t="s">
        <v>47</v>
      </c>
      <c r="D19" s="28" t="s">
        <v>48</v>
      </c>
      <c r="E19" s="28" t="s">
        <v>58</v>
      </c>
      <c r="F19" s="28" t="s">
        <v>59</v>
      </c>
      <c r="G19" s="28" t="s">
        <v>34</v>
      </c>
      <c r="H19" s="28" t="s">
        <v>53</v>
      </c>
      <c r="I19" s="28" t="s">
        <v>36</v>
      </c>
      <c r="J19" s="28" t="s">
        <v>40</v>
      </c>
      <c r="K19" s="28" t="s">
        <v>40</v>
      </c>
      <c r="L19" s="29">
        <f>-21918.8847991667-508+30</f>
        <v>-22396.884799166699</v>
      </c>
      <c r="M19" s="29">
        <v>0</v>
      </c>
      <c r="N19" s="29">
        <v>-18615.526726298791</v>
      </c>
      <c r="O19" s="29">
        <f t="shared" si="1"/>
        <v>-3781.358072867908</v>
      </c>
      <c r="P19" s="29">
        <f>-3303.35807286788-508+30</f>
        <v>-3781.3580728678799</v>
      </c>
      <c r="Q19" s="29">
        <f>-3303.35807286788-508+30</f>
        <v>-3781.3580728678799</v>
      </c>
      <c r="R19" s="29">
        <v>0</v>
      </c>
      <c r="S19" s="29">
        <f t="shared" si="2"/>
        <v>-3781.3580728678799</v>
      </c>
      <c r="T19" s="29">
        <f t="shared" si="3"/>
        <v>0</v>
      </c>
      <c r="U19" s="29"/>
      <c r="V19" s="36"/>
      <c r="W19" s="20">
        <f t="shared" si="4"/>
        <v>-2.8194335754960775E-11</v>
      </c>
    </row>
    <row r="20" spans="1:23" s="19" customFormat="1" ht="14.15" x14ac:dyDescent="0.35">
      <c r="A20" s="28" t="s">
        <v>31</v>
      </c>
      <c r="B20" s="28" t="s">
        <v>46</v>
      </c>
      <c r="C20" s="28" t="s">
        <v>47</v>
      </c>
      <c r="D20" s="28" t="s">
        <v>48</v>
      </c>
      <c r="E20" s="28" t="s">
        <v>58</v>
      </c>
      <c r="F20" s="28" t="s">
        <v>59</v>
      </c>
      <c r="G20" s="28" t="s">
        <v>34</v>
      </c>
      <c r="H20" s="28" t="s">
        <v>51</v>
      </c>
      <c r="I20" s="28" t="s">
        <v>36</v>
      </c>
      <c r="J20" s="28" t="s">
        <v>54</v>
      </c>
      <c r="K20" s="28" t="s">
        <v>55</v>
      </c>
      <c r="L20" s="29">
        <v>-10444.921200000001</v>
      </c>
      <c r="M20" s="29">
        <v>0</v>
      </c>
      <c r="N20" s="29">
        <v>-10209.239999999998</v>
      </c>
      <c r="O20" s="29">
        <f t="shared" si="1"/>
        <v>-235.68120000000272</v>
      </c>
      <c r="P20" s="29">
        <v>-235.6812000000009</v>
      </c>
      <c r="Q20" s="29">
        <v>-235.6812000000009</v>
      </c>
      <c r="R20" s="29">
        <v>0</v>
      </c>
      <c r="S20" s="29">
        <f t="shared" si="2"/>
        <v>-235.6812000000009</v>
      </c>
      <c r="T20" s="29">
        <f t="shared" si="3"/>
        <v>0</v>
      </c>
      <c r="U20" s="29"/>
      <c r="V20" s="36"/>
      <c r="W20" s="20">
        <f t="shared" si="4"/>
        <v>-1.8189894035458565E-12</v>
      </c>
    </row>
    <row r="21" spans="1:23" s="19" customFormat="1" ht="14.15" x14ac:dyDescent="0.35">
      <c r="A21" s="28" t="s">
        <v>31</v>
      </c>
      <c r="B21" s="28" t="s">
        <v>46</v>
      </c>
      <c r="C21" s="28" t="s">
        <v>47</v>
      </c>
      <c r="D21" s="28" t="s">
        <v>48</v>
      </c>
      <c r="E21" s="28" t="s">
        <v>58</v>
      </c>
      <c r="F21" s="28" t="s">
        <v>59</v>
      </c>
      <c r="G21" s="28" t="s">
        <v>34</v>
      </c>
      <c r="H21" s="28" t="s">
        <v>52</v>
      </c>
      <c r="I21" s="28" t="s">
        <v>36</v>
      </c>
      <c r="J21" s="28" t="s">
        <v>56</v>
      </c>
      <c r="K21" s="28" t="s">
        <v>57</v>
      </c>
      <c r="L21" s="29">
        <v>-2466.8220000000001</v>
      </c>
      <c r="M21" s="29">
        <v>0</v>
      </c>
      <c r="N21" s="29">
        <v>-1890.7985015384616</v>
      </c>
      <c r="O21" s="29">
        <f t="shared" si="1"/>
        <v>-576.02349846153857</v>
      </c>
      <c r="P21" s="29">
        <v>-576.02349846153845</v>
      </c>
      <c r="Q21" s="29">
        <v>-576.02349846153845</v>
      </c>
      <c r="R21" s="29">
        <v>0</v>
      </c>
      <c r="S21" s="29">
        <f t="shared" si="2"/>
        <v>-576.02349846153845</v>
      </c>
      <c r="T21" s="29">
        <f t="shared" si="3"/>
        <v>0</v>
      </c>
      <c r="U21" s="29"/>
      <c r="V21" s="36"/>
      <c r="W21" s="20">
        <f t="shared" si="4"/>
        <v>0</v>
      </c>
    </row>
    <row r="22" spans="1:23" s="19" customFormat="1" ht="14.15" x14ac:dyDescent="0.35">
      <c r="A22" s="28" t="s">
        <v>31</v>
      </c>
      <c r="B22" s="28" t="s">
        <v>46</v>
      </c>
      <c r="C22" s="28" t="s">
        <v>47</v>
      </c>
      <c r="D22" s="28" t="s">
        <v>48</v>
      </c>
      <c r="E22" s="28" t="s">
        <v>58</v>
      </c>
      <c r="F22" s="28" t="s">
        <v>59</v>
      </c>
      <c r="G22" s="28" t="s">
        <v>34</v>
      </c>
      <c r="H22" s="28" t="s">
        <v>53</v>
      </c>
      <c r="I22" s="28" t="s">
        <v>36</v>
      </c>
      <c r="J22" s="28" t="s">
        <v>56</v>
      </c>
      <c r="K22" s="28" t="s">
        <v>57</v>
      </c>
      <c r="L22" s="29">
        <v>-76.471000000000004</v>
      </c>
      <c r="M22" s="29">
        <v>0</v>
      </c>
      <c r="N22" s="29">
        <v>0</v>
      </c>
      <c r="O22" s="29">
        <f t="shared" si="1"/>
        <v>-76.471000000000004</v>
      </c>
      <c r="P22" s="29">
        <v>-76.471000000000004</v>
      </c>
      <c r="Q22" s="29">
        <v>-76.471000000000004</v>
      </c>
      <c r="R22" s="29">
        <v>0</v>
      </c>
      <c r="S22" s="29">
        <f t="shared" si="2"/>
        <v>-76.471000000000004</v>
      </c>
      <c r="T22" s="29">
        <f t="shared" si="3"/>
        <v>0</v>
      </c>
      <c r="U22" s="29"/>
      <c r="V22" s="37"/>
      <c r="W22" s="20">
        <f t="shared" si="4"/>
        <v>0</v>
      </c>
    </row>
    <row r="23" spans="1:23" s="19" customFormat="1" ht="14.15" x14ac:dyDescent="0.35">
      <c r="A23" s="28" t="s">
        <v>31</v>
      </c>
      <c r="B23" s="28" t="s">
        <v>46</v>
      </c>
      <c r="C23" s="28" t="s">
        <v>47</v>
      </c>
      <c r="D23" s="28" t="s">
        <v>48</v>
      </c>
      <c r="E23" s="28" t="s">
        <v>58</v>
      </c>
      <c r="F23" s="28" t="s">
        <v>59</v>
      </c>
      <c r="G23" s="28" t="s">
        <v>114</v>
      </c>
      <c r="H23" s="28" t="s">
        <v>51</v>
      </c>
      <c r="I23" s="28" t="s">
        <v>36</v>
      </c>
      <c r="J23" s="28" t="s">
        <v>40</v>
      </c>
      <c r="K23" s="28" t="s">
        <v>40</v>
      </c>
      <c r="L23" s="29">
        <v>-20969</v>
      </c>
      <c r="M23" s="29">
        <v>-969</v>
      </c>
      <c r="N23" s="29">
        <v>-20969</v>
      </c>
      <c r="O23" s="29">
        <f t="shared" si="1"/>
        <v>0</v>
      </c>
      <c r="P23" s="29">
        <v>0</v>
      </c>
      <c r="Q23" s="29">
        <v>0</v>
      </c>
      <c r="R23" s="29">
        <v>0</v>
      </c>
      <c r="S23" s="29">
        <f t="shared" si="2"/>
        <v>0</v>
      </c>
      <c r="T23" s="29">
        <f t="shared" si="3"/>
        <v>0</v>
      </c>
      <c r="U23" s="29"/>
      <c r="V23" s="35" t="s">
        <v>141</v>
      </c>
      <c r="W23" s="20">
        <f t="shared" si="4"/>
        <v>0</v>
      </c>
    </row>
    <row r="24" spans="1:23" s="19" customFormat="1" ht="14.15" x14ac:dyDescent="0.35">
      <c r="A24" s="28" t="s">
        <v>31</v>
      </c>
      <c r="B24" s="28" t="s">
        <v>46</v>
      </c>
      <c r="C24" s="28" t="s">
        <v>47</v>
      </c>
      <c r="D24" s="28" t="s">
        <v>48</v>
      </c>
      <c r="E24" s="28" t="s">
        <v>58</v>
      </c>
      <c r="F24" s="28" t="s">
        <v>59</v>
      </c>
      <c r="G24" s="28" t="s">
        <v>114</v>
      </c>
      <c r="H24" s="28" t="s">
        <v>52</v>
      </c>
      <c r="I24" s="28" t="s">
        <v>36</v>
      </c>
      <c r="J24" s="28" t="s">
        <v>40</v>
      </c>
      <c r="K24" s="28" t="s">
        <v>40</v>
      </c>
      <c r="L24" s="29">
        <v>-3251463.8593279291</v>
      </c>
      <c r="M24" s="29">
        <v>-6859.9999999999991</v>
      </c>
      <c r="N24" s="29">
        <v>-3246305.1089505786</v>
      </c>
      <c r="O24" s="29">
        <f t="shared" si="1"/>
        <v>-5158.7503773504868</v>
      </c>
      <c r="P24" s="29">
        <v>-5158.7503773504868</v>
      </c>
      <c r="Q24" s="29">
        <v>-5158.7503773504868</v>
      </c>
      <c r="R24" s="29">
        <v>0</v>
      </c>
      <c r="S24" s="29">
        <f t="shared" si="2"/>
        <v>-5158.7503773504868</v>
      </c>
      <c r="T24" s="29">
        <f t="shared" si="3"/>
        <v>0</v>
      </c>
      <c r="U24" s="29"/>
      <c r="V24" s="36"/>
      <c r="W24" s="20">
        <f t="shared" si="4"/>
        <v>0</v>
      </c>
    </row>
    <row r="25" spans="1:23" s="19" customFormat="1" ht="14.15" x14ac:dyDescent="0.35">
      <c r="A25" s="28" t="s">
        <v>31</v>
      </c>
      <c r="B25" s="28" t="s">
        <v>46</v>
      </c>
      <c r="C25" s="28" t="s">
        <v>47</v>
      </c>
      <c r="D25" s="28" t="s">
        <v>48</v>
      </c>
      <c r="E25" s="28" t="s">
        <v>58</v>
      </c>
      <c r="F25" s="28" t="s">
        <v>59</v>
      </c>
      <c r="G25" s="28" t="s">
        <v>114</v>
      </c>
      <c r="H25" s="28" t="s">
        <v>53</v>
      </c>
      <c r="I25" s="28" t="s">
        <v>36</v>
      </c>
      <c r="J25" s="28" t="s">
        <v>40</v>
      </c>
      <c r="K25" s="28" t="s">
        <v>40</v>
      </c>
      <c r="L25" s="29">
        <v>-554563.11042471009</v>
      </c>
      <c r="M25" s="29">
        <v>-37473</v>
      </c>
      <c r="N25" s="29">
        <v>-210980.99467799216</v>
      </c>
      <c r="O25" s="29">
        <f t="shared" si="1"/>
        <v>-343582.1157467179</v>
      </c>
      <c r="P25" s="29">
        <v>-343582.11574671802</v>
      </c>
      <c r="Q25" s="29">
        <v>-343582.11574671802</v>
      </c>
      <c r="R25" s="29">
        <v>0</v>
      </c>
      <c r="S25" s="29">
        <f t="shared" si="2"/>
        <v>-343582.11574671802</v>
      </c>
      <c r="T25" s="29">
        <f t="shared" si="3"/>
        <v>0</v>
      </c>
      <c r="U25" s="29"/>
      <c r="V25" s="36"/>
      <c r="W25" s="20">
        <f t="shared" si="4"/>
        <v>0</v>
      </c>
    </row>
    <row r="26" spans="1:23" s="19" customFormat="1" ht="14.15" x14ac:dyDescent="0.35">
      <c r="A26" s="28" t="s">
        <v>31</v>
      </c>
      <c r="B26" s="28" t="s">
        <v>46</v>
      </c>
      <c r="C26" s="28" t="s">
        <v>47</v>
      </c>
      <c r="D26" s="28" t="s">
        <v>48</v>
      </c>
      <c r="E26" s="28" t="s">
        <v>58</v>
      </c>
      <c r="F26" s="28" t="s">
        <v>59</v>
      </c>
      <c r="G26" s="28" t="s">
        <v>114</v>
      </c>
      <c r="H26" s="28" t="s">
        <v>79</v>
      </c>
      <c r="I26" s="28" t="s">
        <v>36</v>
      </c>
      <c r="J26" s="28" t="s">
        <v>40</v>
      </c>
      <c r="K26" s="28" t="s">
        <v>40</v>
      </c>
      <c r="L26" s="29">
        <v>-1592.6640926640916</v>
      </c>
      <c r="M26" s="29">
        <v>0</v>
      </c>
      <c r="N26" s="29">
        <v>-1094.3773648648639</v>
      </c>
      <c r="O26" s="29">
        <f t="shared" si="1"/>
        <v>-498.28672779922772</v>
      </c>
      <c r="P26" s="29">
        <v>-498.28672779922749</v>
      </c>
      <c r="Q26" s="29">
        <v>-498.28672779922749</v>
      </c>
      <c r="R26" s="29">
        <v>0</v>
      </c>
      <c r="S26" s="29">
        <f t="shared" si="2"/>
        <v>-498.28672779922749</v>
      </c>
      <c r="T26" s="29">
        <f t="shared" si="3"/>
        <v>0</v>
      </c>
      <c r="U26" s="29"/>
      <c r="V26" s="36"/>
      <c r="W26" s="20">
        <f t="shared" si="4"/>
        <v>0</v>
      </c>
    </row>
    <row r="27" spans="1:23" s="19" customFormat="1" ht="14.15" x14ac:dyDescent="0.35">
      <c r="A27" s="28" t="s">
        <v>31</v>
      </c>
      <c r="B27" s="28" t="s">
        <v>46</v>
      </c>
      <c r="C27" s="28" t="s">
        <v>47</v>
      </c>
      <c r="D27" s="28" t="s">
        <v>48</v>
      </c>
      <c r="E27" s="28" t="s">
        <v>58</v>
      </c>
      <c r="F27" s="28" t="s">
        <v>59</v>
      </c>
      <c r="G27" s="28" t="s">
        <v>114</v>
      </c>
      <c r="H27" s="28" t="s">
        <v>53</v>
      </c>
      <c r="I27" s="28" t="s">
        <v>36</v>
      </c>
      <c r="J27" s="28" t="s">
        <v>117</v>
      </c>
      <c r="K27" s="28" t="s">
        <v>118</v>
      </c>
      <c r="L27" s="29">
        <v>-255364.24</v>
      </c>
      <c r="M27" s="29">
        <v>-255364.24</v>
      </c>
      <c r="N27" s="29">
        <v>-3175.64</v>
      </c>
      <c r="O27" s="29">
        <f t="shared" si="1"/>
        <v>-252188.59999999998</v>
      </c>
      <c r="P27" s="29">
        <v>-252188.59999999998</v>
      </c>
      <c r="Q27" s="29">
        <v>0</v>
      </c>
      <c r="R27" s="29">
        <v>-252188</v>
      </c>
      <c r="S27" s="29">
        <f t="shared" si="2"/>
        <v>-252188</v>
      </c>
      <c r="T27" s="29">
        <f t="shared" si="3"/>
        <v>-0.59999999997671694</v>
      </c>
      <c r="U27" s="29"/>
      <c r="V27" s="36"/>
      <c r="W27" s="20">
        <f t="shared" si="4"/>
        <v>0</v>
      </c>
    </row>
    <row r="28" spans="1:23" s="19" customFormat="1" ht="14.15" x14ac:dyDescent="0.35">
      <c r="A28" s="28" t="s">
        <v>31</v>
      </c>
      <c r="B28" s="28" t="s">
        <v>46</v>
      </c>
      <c r="C28" s="28" t="s">
        <v>47</v>
      </c>
      <c r="D28" s="28" t="s">
        <v>48</v>
      </c>
      <c r="E28" s="28" t="s">
        <v>58</v>
      </c>
      <c r="F28" s="28" t="s">
        <v>59</v>
      </c>
      <c r="G28" s="28" t="s">
        <v>114</v>
      </c>
      <c r="H28" s="28" t="s">
        <v>53</v>
      </c>
      <c r="I28" s="28" t="s">
        <v>36</v>
      </c>
      <c r="J28" s="28" t="s">
        <v>119</v>
      </c>
      <c r="K28" s="28" t="s">
        <v>120</v>
      </c>
      <c r="L28" s="29">
        <v>-39690.75</v>
      </c>
      <c r="M28" s="29">
        <v>-39690.75</v>
      </c>
      <c r="N28" s="29">
        <v>-39690.75</v>
      </c>
      <c r="O28" s="29">
        <f t="shared" si="1"/>
        <v>0</v>
      </c>
      <c r="P28" s="29">
        <v>-1.8189894035458565E-12</v>
      </c>
      <c r="Q28" s="29">
        <v>0</v>
      </c>
      <c r="R28" s="29">
        <v>0</v>
      </c>
      <c r="S28" s="29">
        <f t="shared" si="2"/>
        <v>0</v>
      </c>
      <c r="T28" s="29">
        <f t="shared" si="3"/>
        <v>-1.8189894035458565E-12</v>
      </c>
      <c r="U28" s="29"/>
      <c r="V28" s="36"/>
      <c r="W28" s="20">
        <f t="shared" si="4"/>
        <v>1.8189894035458565E-12</v>
      </c>
    </row>
    <row r="29" spans="1:23" s="19" customFormat="1" ht="14.15" x14ac:dyDescent="0.35">
      <c r="A29" s="28" t="s">
        <v>31</v>
      </c>
      <c r="B29" s="28" t="s">
        <v>46</v>
      </c>
      <c r="C29" s="28" t="s">
        <v>47</v>
      </c>
      <c r="D29" s="28" t="s">
        <v>48</v>
      </c>
      <c r="E29" s="28" t="s">
        <v>58</v>
      </c>
      <c r="F29" s="28" t="s">
        <v>59</v>
      </c>
      <c r="G29" s="28" t="s">
        <v>114</v>
      </c>
      <c r="H29" s="28" t="s">
        <v>52</v>
      </c>
      <c r="I29" s="28" t="s">
        <v>36</v>
      </c>
      <c r="J29" s="28" t="s">
        <v>119</v>
      </c>
      <c r="K29" s="28" t="s">
        <v>120</v>
      </c>
      <c r="L29" s="29">
        <v>-194615.13</v>
      </c>
      <c r="M29" s="29">
        <v>-194615.13</v>
      </c>
      <c r="N29" s="29">
        <v>0</v>
      </c>
      <c r="O29" s="29">
        <f t="shared" si="1"/>
        <v>-194615.13</v>
      </c>
      <c r="P29" s="29">
        <v>-194615.13</v>
      </c>
      <c r="Q29" s="29">
        <v>0</v>
      </c>
      <c r="R29" s="29">
        <v>-194615</v>
      </c>
      <c r="S29" s="29">
        <f t="shared" si="2"/>
        <v>-194615</v>
      </c>
      <c r="T29" s="29">
        <f t="shared" si="3"/>
        <v>-0.13000000000465661</v>
      </c>
      <c r="U29" s="29"/>
      <c r="V29" s="36"/>
      <c r="W29" s="20">
        <f t="shared" si="4"/>
        <v>0</v>
      </c>
    </row>
    <row r="30" spans="1:23" s="19" customFormat="1" ht="14.15" x14ac:dyDescent="0.35">
      <c r="A30" s="28" t="s">
        <v>31</v>
      </c>
      <c r="B30" s="28" t="s">
        <v>46</v>
      </c>
      <c r="C30" s="28" t="s">
        <v>47</v>
      </c>
      <c r="D30" s="28" t="s">
        <v>48</v>
      </c>
      <c r="E30" s="28" t="s">
        <v>58</v>
      </c>
      <c r="F30" s="28" t="s">
        <v>59</v>
      </c>
      <c r="G30" s="28" t="s">
        <v>114</v>
      </c>
      <c r="H30" s="28" t="s">
        <v>53</v>
      </c>
      <c r="I30" s="28" t="s">
        <v>36</v>
      </c>
      <c r="J30" s="28" t="s">
        <v>121</v>
      </c>
      <c r="K30" s="28" t="s">
        <v>122</v>
      </c>
      <c r="L30" s="29">
        <v>-270302.60617760598</v>
      </c>
      <c r="M30" s="29">
        <v>0</v>
      </c>
      <c r="N30" s="29">
        <v>-99736.124517374454</v>
      </c>
      <c r="O30" s="29">
        <f t="shared" si="1"/>
        <v>-170566.48166023154</v>
      </c>
      <c r="P30" s="29">
        <v>-170566.48166023154</v>
      </c>
      <c r="Q30" s="29">
        <v>0</v>
      </c>
      <c r="R30" s="29">
        <v>-170566.60231660216</v>
      </c>
      <c r="S30" s="29">
        <f t="shared" si="2"/>
        <v>-170566.60231660216</v>
      </c>
      <c r="T30" s="29">
        <f t="shared" si="3"/>
        <v>0.12065637062187307</v>
      </c>
      <c r="U30" s="29"/>
      <c r="V30" s="36"/>
      <c r="W30" s="20">
        <f t="shared" si="4"/>
        <v>0</v>
      </c>
    </row>
    <row r="31" spans="1:23" s="19" customFormat="1" ht="14.15" x14ac:dyDescent="0.35">
      <c r="A31" s="28" t="s">
        <v>31</v>
      </c>
      <c r="B31" s="28" t="s">
        <v>46</v>
      </c>
      <c r="C31" s="28" t="s">
        <v>47</v>
      </c>
      <c r="D31" s="28" t="s">
        <v>48</v>
      </c>
      <c r="E31" s="28" t="s">
        <v>58</v>
      </c>
      <c r="F31" s="28" t="s">
        <v>59</v>
      </c>
      <c r="G31" s="28" t="s">
        <v>114</v>
      </c>
      <c r="H31" s="28" t="s">
        <v>52</v>
      </c>
      <c r="I31" s="28" t="s">
        <v>36</v>
      </c>
      <c r="J31" s="28" t="s">
        <v>121</v>
      </c>
      <c r="K31" s="28" t="s">
        <v>122</v>
      </c>
      <c r="L31" s="29">
        <v>-396203.18532818544</v>
      </c>
      <c r="M31" s="29">
        <v>0</v>
      </c>
      <c r="N31" s="29">
        <v>-355014.00096525112</v>
      </c>
      <c r="O31" s="29">
        <f t="shared" si="1"/>
        <v>-41189.18436293432</v>
      </c>
      <c r="P31" s="29">
        <v>-41189.18436293432</v>
      </c>
      <c r="Q31" s="29">
        <v>0</v>
      </c>
      <c r="R31" s="29">
        <v>-41189.189189189201</v>
      </c>
      <c r="S31" s="29">
        <f t="shared" si="2"/>
        <v>-41189.189189189201</v>
      </c>
      <c r="T31" s="29">
        <f t="shared" si="3"/>
        <v>4.8262548807542771E-3</v>
      </c>
      <c r="U31" s="29"/>
      <c r="V31" s="36"/>
      <c r="W31" s="20">
        <f t="shared" si="4"/>
        <v>0</v>
      </c>
    </row>
    <row r="32" spans="1:23" s="19" customFormat="1" ht="14.15" x14ac:dyDescent="0.35">
      <c r="A32" s="28" t="s">
        <v>31</v>
      </c>
      <c r="B32" s="28" t="s">
        <v>46</v>
      </c>
      <c r="C32" s="28" t="s">
        <v>47</v>
      </c>
      <c r="D32" s="28" t="s">
        <v>48</v>
      </c>
      <c r="E32" s="28" t="s">
        <v>58</v>
      </c>
      <c r="F32" s="28" t="s">
        <v>59</v>
      </c>
      <c r="G32" s="28" t="s">
        <v>114</v>
      </c>
      <c r="H32" s="28" t="s">
        <v>53</v>
      </c>
      <c r="I32" s="28" t="s">
        <v>36</v>
      </c>
      <c r="J32" s="28" t="s">
        <v>123</v>
      </c>
      <c r="K32" s="28" t="s">
        <v>124</v>
      </c>
      <c r="L32" s="29">
        <v>-94064</v>
      </c>
      <c r="M32" s="29">
        <v>-94064</v>
      </c>
      <c r="N32" s="29">
        <v>-2300</v>
      </c>
      <c r="O32" s="29">
        <f t="shared" si="1"/>
        <v>-91764</v>
      </c>
      <c r="P32" s="29">
        <v>-91764</v>
      </c>
      <c r="Q32" s="29">
        <v>0</v>
      </c>
      <c r="R32" s="29">
        <v>-91763.999999999985</v>
      </c>
      <c r="S32" s="29">
        <f t="shared" si="2"/>
        <v>-91763.999999999985</v>
      </c>
      <c r="T32" s="29">
        <f t="shared" si="3"/>
        <v>0</v>
      </c>
      <c r="U32" s="29"/>
      <c r="V32" s="36"/>
      <c r="W32" s="20">
        <f t="shared" si="4"/>
        <v>0</v>
      </c>
    </row>
    <row r="33" spans="1:23" s="19" customFormat="1" ht="14.15" x14ac:dyDescent="0.35">
      <c r="A33" s="28" t="s">
        <v>31</v>
      </c>
      <c r="B33" s="28" t="s">
        <v>46</v>
      </c>
      <c r="C33" s="28" t="s">
        <v>47</v>
      </c>
      <c r="D33" s="28" t="s">
        <v>48</v>
      </c>
      <c r="E33" s="28" t="s">
        <v>58</v>
      </c>
      <c r="F33" s="28" t="s">
        <v>59</v>
      </c>
      <c r="G33" s="28" t="s">
        <v>114</v>
      </c>
      <c r="H33" s="28" t="s">
        <v>53</v>
      </c>
      <c r="I33" s="28" t="s">
        <v>36</v>
      </c>
      <c r="J33" s="28" t="s">
        <v>125</v>
      </c>
      <c r="K33" s="28" t="s">
        <v>124</v>
      </c>
      <c r="L33" s="29">
        <v>-21937.62</v>
      </c>
      <c r="M33" s="29">
        <v>-21937.62</v>
      </c>
      <c r="N33" s="29">
        <v>-1925.81</v>
      </c>
      <c r="O33" s="29">
        <f t="shared" si="1"/>
        <v>-20011.809999999998</v>
      </c>
      <c r="P33" s="29">
        <v>-20011.809999999998</v>
      </c>
      <c r="Q33" s="29">
        <v>0</v>
      </c>
      <c r="R33" s="29">
        <v>-20012</v>
      </c>
      <c r="S33" s="29">
        <f t="shared" si="2"/>
        <v>-20012</v>
      </c>
      <c r="T33" s="29">
        <f t="shared" si="3"/>
        <v>0.19000000000232831</v>
      </c>
      <c r="U33" s="29"/>
      <c r="V33" s="36"/>
      <c r="W33" s="20">
        <f t="shared" si="4"/>
        <v>0</v>
      </c>
    </row>
    <row r="34" spans="1:23" s="19" customFormat="1" ht="14.15" x14ac:dyDescent="0.35">
      <c r="A34" s="28" t="s">
        <v>31</v>
      </c>
      <c r="B34" s="28" t="s">
        <v>46</v>
      </c>
      <c r="C34" s="28" t="s">
        <v>47</v>
      </c>
      <c r="D34" s="28" t="s">
        <v>48</v>
      </c>
      <c r="E34" s="28" t="s">
        <v>58</v>
      </c>
      <c r="F34" s="28" t="s">
        <v>59</v>
      </c>
      <c r="G34" s="28" t="s">
        <v>114</v>
      </c>
      <c r="H34" s="28" t="s">
        <v>53</v>
      </c>
      <c r="I34" s="28" t="s">
        <v>36</v>
      </c>
      <c r="J34" s="28" t="s">
        <v>126</v>
      </c>
      <c r="K34" s="28" t="s">
        <v>127</v>
      </c>
      <c r="L34" s="29">
        <v>-33455.64</v>
      </c>
      <c r="M34" s="29">
        <v>-33455.64</v>
      </c>
      <c r="N34" s="29">
        <v>-549</v>
      </c>
      <c r="O34" s="29">
        <f t="shared" si="1"/>
        <v>-32906.639999999999</v>
      </c>
      <c r="P34" s="29">
        <v>-32906.639999999999</v>
      </c>
      <c r="Q34" s="29">
        <v>0</v>
      </c>
      <c r="R34" s="29">
        <v>-32907</v>
      </c>
      <c r="S34" s="29">
        <f t="shared" si="2"/>
        <v>-32907</v>
      </c>
      <c r="T34" s="29">
        <f t="shared" si="3"/>
        <v>0.36000000000058208</v>
      </c>
      <c r="U34" s="29"/>
      <c r="V34" s="36"/>
      <c r="W34" s="20">
        <f t="shared" si="4"/>
        <v>0</v>
      </c>
    </row>
    <row r="35" spans="1:23" s="19" customFormat="1" ht="14.15" x14ac:dyDescent="0.35">
      <c r="A35" s="28" t="s">
        <v>31</v>
      </c>
      <c r="B35" s="28" t="s">
        <v>46</v>
      </c>
      <c r="C35" s="28" t="s">
        <v>47</v>
      </c>
      <c r="D35" s="28" t="s">
        <v>48</v>
      </c>
      <c r="E35" s="28" t="s">
        <v>58</v>
      </c>
      <c r="F35" s="28" t="s">
        <v>59</v>
      </c>
      <c r="G35" s="28" t="s">
        <v>114</v>
      </c>
      <c r="H35" s="28" t="s">
        <v>53</v>
      </c>
      <c r="I35" s="28" t="s">
        <v>36</v>
      </c>
      <c r="J35" s="28" t="s">
        <v>88</v>
      </c>
      <c r="K35" s="28" t="s">
        <v>89</v>
      </c>
      <c r="L35" s="29">
        <v>-577431.29115057865</v>
      </c>
      <c r="M35" s="29">
        <v>0</v>
      </c>
      <c r="N35" s="29">
        <v>-541912.48059845529</v>
      </c>
      <c r="O35" s="29">
        <f t="shared" si="1"/>
        <v>-35518.810552123352</v>
      </c>
      <c r="P35" s="29">
        <v>0</v>
      </c>
      <c r="Q35" s="29">
        <v>0</v>
      </c>
      <c r="R35" s="29">
        <v>0</v>
      </c>
      <c r="S35" s="29">
        <f t="shared" si="2"/>
        <v>0</v>
      </c>
      <c r="T35" s="29">
        <f t="shared" si="3"/>
        <v>0</v>
      </c>
      <c r="U35" s="29"/>
      <c r="V35" s="37"/>
      <c r="W35" s="20">
        <f t="shared" si="4"/>
        <v>-35518.810552123352</v>
      </c>
    </row>
    <row r="36" spans="1:23" s="19" customFormat="1" ht="14.15" x14ac:dyDescent="0.35">
      <c r="A36" s="28" t="s">
        <v>31</v>
      </c>
      <c r="B36" s="28" t="s">
        <v>46</v>
      </c>
      <c r="C36" s="28" t="s">
        <v>47</v>
      </c>
      <c r="D36" s="28" t="s">
        <v>48</v>
      </c>
      <c r="E36" s="28" t="s">
        <v>128</v>
      </c>
      <c r="F36" s="28" t="s">
        <v>129</v>
      </c>
      <c r="G36" s="28" t="s">
        <v>114</v>
      </c>
      <c r="H36" s="28" t="s">
        <v>52</v>
      </c>
      <c r="I36" s="28" t="s">
        <v>36</v>
      </c>
      <c r="J36" s="28" t="s">
        <v>40</v>
      </c>
      <c r="K36" s="28" t="s">
        <v>40</v>
      </c>
      <c r="L36" s="29">
        <v>-5495634.1307692714</v>
      </c>
      <c r="M36" s="29">
        <v>-86467</v>
      </c>
      <c r="N36" s="29">
        <f>-4796574.93594942-26380</f>
        <v>-4822954.9359494196</v>
      </c>
      <c r="O36" s="29">
        <f t="shared" si="1"/>
        <v>-672679.19481985178</v>
      </c>
      <c r="P36" s="29">
        <v>-672679.19481985178</v>
      </c>
      <c r="Q36" s="29">
        <v>-672679.19481985178</v>
      </c>
      <c r="R36" s="29">
        <v>0</v>
      </c>
      <c r="S36" s="29">
        <f t="shared" si="2"/>
        <v>-672679.19481985178</v>
      </c>
      <c r="T36" s="29">
        <f t="shared" si="3"/>
        <v>0</v>
      </c>
      <c r="U36" s="29"/>
      <c r="V36" s="35" t="s">
        <v>141</v>
      </c>
      <c r="W36" s="20">
        <f t="shared" si="4"/>
        <v>0</v>
      </c>
    </row>
    <row r="37" spans="1:23" s="19" customFormat="1" ht="14.15" x14ac:dyDescent="0.35">
      <c r="A37" s="28" t="s">
        <v>31</v>
      </c>
      <c r="B37" s="28" t="s">
        <v>46</v>
      </c>
      <c r="C37" s="28" t="s">
        <v>47</v>
      </c>
      <c r="D37" s="28" t="s">
        <v>48</v>
      </c>
      <c r="E37" s="28" t="s">
        <v>128</v>
      </c>
      <c r="F37" s="28" t="s">
        <v>129</v>
      </c>
      <c r="G37" s="28" t="s">
        <v>114</v>
      </c>
      <c r="H37" s="28" t="s">
        <v>53</v>
      </c>
      <c r="I37" s="28" t="s">
        <v>36</v>
      </c>
      <c r="J37" s="28" t="s">
        <v>40</v>
      </c>
      <c r="K37" s="28" t="s">
        <v>40</v>
      </c>
      <c r="L37" s="29">
        <v>-713601.79787528957</v>
      </c>
      <c r="M37" s="29">
        <v>-99977</v>
      </c>
      <c r="N37" s="29">
        <v>-381698.59072200762</v>
      </c>
      <c r="O37" s="29">
        <f t="shared" si="1"/>
        <v>-331903.20715328195</v>
      </c>
      <c r="P37" s="29">
        <v>-331903.20715328201</v>
      </c>
      <c r="Q37" s="29">
        <v>-331903.20715328201</v>
      </c>
      <c r="R37" s="29">
        <v>0</v>
      </c>
      <c r="S37" s="29">
        <f t="shared" si="2"/>
        <v>-331903.20715328201</v>
      </c>
      <c r="T37" s="29">
        <f t="shared" si="3"/>
        <v>0</v>
      </c>
      <c r="U37" s="29"/>
      <c r="V37" s="36"/>
      <c r="W37" s="20">
        <f t="shared" si="4"/>
        <v>0</v>
      </c>
    </row>
    <row r="38" spans="1:23" s="19" customFormat="1" ht="14.15" x14ac:dyDescent="0.35">
      <c r="A38" s="28" t="s">
        <v>31</v>
      </c>
      <c r="B38" s="28" t="s">
        <v>46</v>
      </c>
      <c r="C38" s="28" t="s">
        <v>47</v>
      </c>
      <c r="D38" s="28" t="s">
        <v>48</v>
      </c>
      <c r="E38" s="28" t="s">
        <v>128</v>
      </c>
      <c r="F38" s="28" t="s">
        <v>129</v>
      </c>
      <c r="G38" s="28" t="s">
        <v>114</v>
      </c>
      <c r="H38" s="28" t="s">
        <v>79</v>
      </c>
      <c r="I38" s="28" t="s">
        <v>36</v>
      </c>
      <c r="J38" s="28" t="s">
        <v>40</v>
      </c>
      <c r="K38" s="28" t="s">
        <v>40</v>
      </c>
      <c r="L38" s="29">
        <v>-1707.335907335907</v>
      </c>
      <c r="M38" s="29">
        <v>0</v>
      </c>
      <c r="N38" s="29">
        <v>-1151.7325351351349</v>
      </c>
      <c r="O38" s="29">
        <f t="shared" si="1"/>
        <v>-555.60337220077213</v>
      </c>
      <c r="P38" s="29">
        <v>-555.60337220077224</v>
      </c>
      <c r="Q38" s="29">
        <v>-555.60337220077224</v>
      </c>
      <c r="R38" s="29">
        <v>0</v>
      </c>
      <c r="S38" s="29">
        <f t="shared" si="2"/>
        <v>-555.60337220077224</v>
      </c>
      <c r="T38" s="29">
        <f t="shared" si="3"/>
        <v>0</v>
      </c>
      <c r="U38" s="29"/>
      <c r="V38" s="36"/>
      <c r="W38" s="20">
        <f t="shared" si="4"/>
        <v>0</v>
      </c>
    </row>
    <row r="39" spans="1:23" s="19" customFormat="1" ht="14.15" x14ac:dyDescent="0.35">
      <c r="A39" s="28" t="s">
        <v>31</v>
      </c>
      <c r="B39" s="28" t="s">
        <v>46</v>
      </c>
      <c r="C39" s="28" t="s">
        <v>47</v>
      </c>
      <c r="D39" s="28" t="s">
        <v>48</v>
      </c>
      <c r="E39" s="28" t="s">
        <v>128</v>
      </c>
      <c r="F39" s="28" t="s">
        <v>129</v>
      </c>
      <c r="G39" s="28" t="s">
        <v>114</v>
      </c>
      <c r="H39" s="28" t="s">
        <v>53</v>
      </c>
      <c r="I39" s="28" t="s">
        <v>36</v>
      </c>
      <c r="J39" s="28" t="s">
        <v>130</v>
      </c>
      <c r="K39" s="28" t="s">
        <v>131</v>
      </c>
      <c r="L39" s="29">
        <v>-1991</v>
      </c>
      <c r="M39" s="29">
        <v>-1991</v>
      </c>
      <c r="N39" s="29">
        <v>-1991</v>
      </c>
      <c r="O39" s="29">
        <f t="shared" si="1"/>
        <v>0</v>
      </c>
      <c r="P39" s="29">
        <v>0</v>
      </c>
      <c r="Q39" s="29">
        <v>0</v>
      </c>
      <c r="R39" s="29">
        <v>0</v>
      </c>
      <c r="S39" s="29">
        <f t="shared" si="2"/>
        <v>0</v>
      </c>
      <c r="T39" s="29">
        <f t="shared" si="3"/>
        <v>0</v>
      </c>
      <c r="U39" s="29"/>
      <c r="V39" s="36"/>
      <c r="W39" s="20">
        <f t="shared" si="4"/>
        <v>0</v>
      </c>
    </row>
    <row r="40" spans="1:23" s="19" customFormat="1" ht="14.15" x14ac:dyDescent="0.35">
      <c r="A40" s="28" t="s">
        <v>31</v>
      </c>
      <c r="B40" s="28" t="s">
        <v>46</v>
      </c>
      <c r="C40" s="28" t="s">
        <v>47</v>
      </c>
      <c r="D40" s="28" t="s">
        <v>48</v>
      </c>
      <c r="E40" s="28" t="s">
        <v>128</v>
      </c>
      <c r="F40" s="28" t="s">
        <v>129</v>
      </c>
      <c r="G40" s="28" t="s">
        <v>114</v>
      </c>
      <c r="H40" s="28" t="s">
        <v>53</v>
      </c>
      <c r="I40" s="28" t="s">
        <v>36</v>
      </c>
      <c r="J40" s="28" t="s">
        <v>121</v>
      </c>
      <c r="K40" s="28" t="s">
        <v>122</v>
      </c>
      <c r="L40" s="29">
        <v>-289764.39382239379</v>
      </c>
      <c r="M40" s="29">
        <v>0</v>
      </c>
      <c r="N40" s="29">
        <v>-106917.12548262549</v>
      </c>
      <c r="O40" s="29">
        <f t="shared" si="1"/>
        <v>-182847.26833976828</v>
      </c>
      <c r="P40" s="29">
        <v>-182847.26833976828</v>
      </c>
      <c r="Q40" s="29">
        <v>0</v>
      </c>
      <c r="R40" s="29">
        <v>-182847.39768339763</v>
      </c>
      <c r="S40" s="29">
        <f t="shared" si="2"/>
        <v>-182847.39768339763</v>
      </c>
      <c r="T40" s="29">
        <f t="shared" si="3"/>
        <v>0.1293436293490231</v>
      </c>
      <c r="U40" s="29"/>
      <c r="V40" s="36"/>
      <c r="W40" s="20">
        <f t="shared" si="4"/>
        <v>0</v>
      </c>
    </row>
    <row r="41" spans="1:23" s="19" customFormat="1" ht="14.15" x14ac:dyDescent="0.35">
      <c r="A41" s="28" t="s">
        <v>31</v>
      </c>
      <c r="B41" s="28" t="s">
        <v>46</v>
      </c>
      <c r="C41" s="28" t="s">
        <v>47</v>
      </c>
      <c r="D41" s="28" t="s">
        <v>48</v>
      </c>
      <c r="E41" s="28" t="s">
        <v>128</v>
      </c>
      <c r="F41" s="28" t="s">
        <v>129</v>
      </c>
      <c r="G41" s="28" t="s">
        <v>114</v>
      </c>
      <c r="H41" s="28" t="s">
        <v>52</v>
      </c>
      <c r="I41" s="28" t="s">
        <v>36</v>
      </c>
      <c r="J41" s="28" t="s">
        <v>121</v>
      </c>
      <c r="K41" s="28" t="s">
        <v>122</v>
      </c>
      <c r="L41" s="29">
        <v>-424729.81467181444</v>
      </c>
      <c r="M41" s="29">
        <v>0</v>
      </c>
      <c r="N41" s="29">
        <v>-380575.00903474895</v>
      </c>
      <c r="O41" s="29">
        <f t="shared" si="1"/>
        <v>-44154.805637065496</v>
      </c>
      <c r="P41" s="29">
        <v>-44154.805637065503</v>
      </c>
      <c r="Q41" s="29">
        <v>0</v>
      </c>
      <c r="R41" s="29">
        <v>-44154.810810810799</v>
      </c>
      <c r="S41" s="29">
        <f t="shared" si="2"/>
        <v>-44154.810810810799</v>
      </c>
      <c r="T41" s="29">
        <f t="shared" si="3"/>
        <v>5.1737452959059738E-3</v>
      </c>
      <c r="U41" s="29"/>
      <c r="V41" s="36"/>
      <c r="W41" s="20">
        <f t="shared" si="4"/>
        <v>0</v>
      </c>
    </row>
    <row r="42" spans="1:23" s="19" customFormat="1" ht="14.15" x14ac:dyDescent="0.35">
      <c r="A42" s="28" t="s">
        <v>31</v>
      </c>
      <c r="B42" s="28" t="s">
        <v>46</v>
      </c>
      <c r="C42" s="28" t="s">
        <v>47</v>
      </c>
      <c r="D42" s="28" t="s">
        <v>48</v>
      </c>
      <c r="E42" s="28" t="s">
        <v>128</v>
      </c>
      <c r="F42" s="28" t="s">
        <v>129</v>
      </c>
      <c r="G42" s="28" t="s">
        <v>114</v>
      </c>
      <c r="H42" s="28" t="s">
        <v>53</v>
      </c>
      <c r="I42" s="28" t="s">
        <v>36</v>
      </c>
      <c r="J42" s="28" t="s">
        <v>88</v>
      </c>
      <c r="K42" s="28" t="s">
        <v>89</v>
      </c>
      <c r="L42" s="29">
        <v>-619006.34411342093</v>
      </c>
      <c r="M42" s="29">
        <v>0</v>
      </c>
      <c r="N42" s="29">
        <v>-580930.17920154426</v>
      </c>
      <c r="O42" s="29">
        <f t="shared" ref="O42:O73" si="5">+L42-N42</f>
        <v>-38076.164911876665</v>
      </c>
      <c r="P42" s="29">
        <v>0</v>
      </c>
      <c r="Q42" s="29">
        <v>0</v>
      </c>
      <c r="R42" s="29">
        <v>0</v>
      </c>
      <c r="S42" s="29">
        <f t="shared" ref="S42:S73" si="6">+Q42+R42</f>
        <v>0</v>
      </c>
      <c r="T42" s="29">
        <f t="shared" ref="T42:T73" si="7">+P42-S42</f>
        <v>0</v>
      </c>
      <c r="U42" s="29"/>
      <c r="V42" s="37"/>
      <c r="W42" s="20">
        <f t="shared" si="4"/>
        <v>-38076.164911876665</v>
      </c>
    </row>
    <row r="43" spans="1:23" s="19" customFormat="1" ht="14.15" x14ac:dyDescent="0.35">
      <c r="A43" s="28" t="s">
        <v>31</v>
      </c>
      <c r="B43" s="28" t="s">
        <v>46</v>
      </c>
      <c r="C43" s="28" t="s">
        <v>47</v>
      </c>
      <c r="D43" s="28" t="s">
        <v>48</v>
      </c>
      <c r="E43" s="28" t="s">
        <v>132</v>
      </c>
      <c r="F43" s="28" t="s">
        <v>133</v>
      </c>
      <c r="G43" s="28" t="s">
        <v>114</v>
      </c>
      <c r="H43" s="28" t="s">
        <v>52</v>
      </c>
      <c r="I43" s="28" t="s">
        <v>36</v>
      </c>
      <c r="J43" s="28" t="s">
        <v>40</v>
      </c>
      <c r="K43" s="28" t="s">
        <v>40</v>
      </c>
      <c r="L43" s="29">
        <v>-1692691.2393999998</v>
      </c>
      <c r="M43" s="29">
        <v>0</v>
      </c>
      <c r="N43" s="29">
        <f>-1696679.6241+26380</f>
        <v>-1670299.6240999999</v>
      </c>
      <c r="O43" s="30">
        <f t="shared" si="5"/>
        <v>-22391.615299999947</v>
      </c>
      <c r="P43" s="30">
        <v>-22391.615299999947</v>
      </c>
      <c r="Q43" s="30">
        <v>-22391.615299999947</v>
      </c>
      <c r="R43" s="29">
        <v>0</v>
      </c>
      <c r="S43" s="29">
        <f t="shared" si="6"/>
        <v>-22391.615299999947</v>
      </c>
      <c r="T43" s="29">
        <f t="shared" si="7"/>
        <v>0</v>
      </c>
      <c r="U43" s="29"/>
      <c r="V43" s="35" t="s">
        <v>156</v>
      </c>
      <c r="W43" s="20">
        <f t="shared" si="4"/>
        <v>0</v>
      </c>
    </row>
    <row r="44" spans="1:23" s="19" customFormat="1" ht="14.15" x14ac:dyDescent="0.35">
      <c r="A44" s="28" t="s">
        <v>31</v>
      </c>
      <c r="B44" s="28" t="s">
        <v>46</v>
      </c>
      <c r="C44" s="28" t="s">
        <v>47</v>
      </c>
      <c r="D44" s="28" t="s">
        <v>48</v>
      </c>
      <c r="E44" s="28" t="s">
        <v>132</v>
      </c>
      <c r="F44" s="28" t="s">
        <v>133</v>
      </c>
      <c r="G44" s="28" t="s">
        <v>114</v>
      </c>
      <c r="H44" s="28" t="s">
        <v>53</v>
      </c>
      <c r="I44" s="28" t="s">
        <v>36</v>
      </c>
      <c r="J44" s="28" t="s">
        <v>40</v>
      </c>
      <c r="K44" s="28" t="s">
        <v>40</v>
      </c>
      <c r="L44" s="29">
        <v>-733203.99724754994</v>
      </c>
      <c r="M44" s="29">
        <v>0</v>
      </c>
      <c r="N44" s="29">
        <v>-564981.26949999994</v>
      </c>
      <c r="O44" s="29">
        <f t="shared" si="5"/>
        <v>-168222.72774755</v>
      </c>
      <c r="P44" s="29">
        <v>-168222.72774755009</v>
      </c>
      <c r="Q44" s="29">
        <v>-168222.72774755009</v>
      </c>
      <c r="R44" s="29">
        <v>0</v>
      </c>
      <c r="S44" s="29">
        <f t="shared" si="6"/>
        <v>-168222.72774755009</v>
      </c>
      <c r="T44" s="29">
        <f t="shared" si="7"/>
        <v>0</v>
      </c>
      <c r="U44" s="29"/>
      <c r="V44" s="36"/>
      <c r="W44" s="20">
        <f t="shared" si="4"/>
        <v>0</v>
      </c>
    </row>
    <row r="45" spans="1:23" s="19" customFormat="1" ht="14.15" x14ac:dyDescent="0.35">
      <c r="A45" s="28" t="s">
        <v>31</v>
      </c>
      <c r="B45" s="28" t="s">
        <v>46</v>
      </c>
      <c r="C45" s="28" t="s">
        <v>47</v>
      </c>
      <c r="D45" s="28" t="s">
        <v>48</v>
      </c>
      <c r="E45" s="28" t="s">
        <v>132</v>
      </c>
      <c r="F45" s="28" t="s">
        <v>133</v>
      </c>
      <c r="G45" s="28" t="s">
        <v>114</v>
      </c>
      <c r="H45" s="28" t="s">
        <v>53</v>
      </c>
      <c r="I45" s="28" t="s">
        <v>36</v>
      </c>
      <c r="J45" s="28" t="s">
        <v>88</v>
      </c>
      <c r="K45" s="28" t="s">
        <v>89</v>
      </c>
      <c r="L45" s="29">
        <v>-92160</v>
      </c>
      <c r="M45" s="29">
        <v>0</v>
      </c>
      <c r="N45" s="29">
        <v>0</v>
      </c>
      <c r="O45" s="29">
        <f t="shared" si="5"/>
        <v>-92160</v>
      </c>
      <c r="P45" s="29">
        <v>0</v>
      </c>
      <c r="Q45" s="29">
        <v>0</v>
      </c>
      <c r="R45" s="29">
        <v>0</v>
      </c>
      <c r="S45" s="29">
        <f t="shared" si="6"/>
        <v>0</v>
      </c>
      <c r="T45" s="29">
        <f t="shared" si="7"/>
        <v>0</v>
      </c>
      <c r="U45" s="29"/>
      <c r="V45" s="37"/>
      <c r="W45" s="20">
        <f t="shared" si="4"/>
        <v>-92160</v>
      </c>
    </row>
    <row r="46" spans="1:23" s="19" customFormat="1" ht="14.15" x14ac:dyDescent="0.35">
      <c r="A46" s="28" t="s">
        <v>31</v>
      </c>
      <c r="B46" s="28" t="s">
        <v>46</v>
      </c>
      <c r="C46" s="28" t="s">
        <v>60</v>
      </c>
      <c r="D46" s="28" t="s">
        <v>61</v>
      </c>
      <c r="E46" s="28" t="s">
        <v>62</v>
      </c>
      <c r="F46" s="28" t="s">
        <v>63</v>
      </c>
      <c r="G46" s="28" t="s">
        <v>34</v>
      </c>
      <c r="H46" s="28" t="s">
        <v>52</v>
      </c>
      <c r="I46" s="28" t="s">
        <v>36</v>
      </c>
      <c r="J46" s="28" t="s">
        <v>40</v>
      </c>
      <c r="K46" s="28" t="s">
        <v>40</v>
      </c>
      <c r="L46" s="29">
        <v>-1071290.4547444489</v>
      </c>
      <c r="M46" s="29">
        <v>-58394.000000000007</v>
      </c>
      <c r="N46" s="29">
        <v>-960663.96236932685</v>
      </c>
      <c r="O46" s="29">
        <f t="shared" si="5"/>
        <v>-110626.49237512203</v>
      </c>
      <c r="P46" s="29">
        <v>-110626.49237512231</v>
      </c>
      <c r="Q46" s="29">
        <v>-110626.49237512231</v>
      </c>
      <c r="R46" s="29">
        <v>0</v>
      </c>
      <c r="S46" s="29">
        <f t="shared" si="6"/>
        <v>-110626.49237512231</v>
      </c>
      <c r="T46" s="29">
        <f t="shared" si="7"/>
        <v>0</v>
      </c>
      <c r="U46" s="29"/>
      <c r="V46" s="35" t="s">
        <v>142</v>
      </c>
      <c r="W46" s="20">
        <f t="shared" si="4"/>
        <v>2.7648638933897018E-10</v>
      </c>
    </row>
    <row r="47" spans="1:23" s="19" customFormat="1" ht="14.15" x14ac:dyDescent="0.35">
      <c r="A47" s="28" t="s">
        <v>31</v>
      </c>
      <c r="B47" s="28" t="s">
        <v>46</v>
      </c>
      <c r="C47" s="28" t="s">
        <v>60</v>
      </c>
      <c r="D47" s="28" t="s">
        <v>61</v>
      </c>
      <c r="E47" s="28" t="s">
        <v>62</v>
      </c>
      <c r="F47" s="28" t="s">
        <v>63</v>
      </c>
      <c r="G47" s="28" t="s">
        <v>34</v>
      </c>
      <c r="H47" s="28" t="s">
        <v>53</v>
      </c>
      <c r="I47" s="28" t="s">
        <v>36</v>
      </c>
      <c r="J47" s="28" t="s">
        <v>56</v>
      </c>
      <c r="K47" s="28" t="s">
        <v>57</v>
      </c>
      <c r="L47" s="29">
        <v>-535.33758205128197</v>
      </c>
      <c r="M47" s="29">
        <v>0</v>
      </c>
      <c r="N47" s="29">
        <v>0</v>
      </c>
      <c r="O47" s="29">
        <f t="shared" si="5"/>
        <v>-535.33758205128197</v>
      </c>
      <c r="P47" s="29">
        <v>-535.33758205128197</v>
      </c>
      <c r="Q47" s="29">
        <v>-535.33758205128197</v>
      </c>
      <c r="R47" s="29">
        <v>0</v>
      </c>
      <c r="S47" s="29">
        <f t="shared" si="6"/>
        <v>-535.33758205128197</v>
      </c>
      <c r="T47" s="29">
        <f t="shared" si="7"/>
        <v>0</v>
      </c>
      <c r="U47" s="29"/>
      <c r="V47" s="36"/>
      <c r="W47" s="20">
        <f t="shared" si="4"/>
        <v>0</v>
      </c>
    </row>
    <row r="48" spans="1:23" s="19" customFormat="1" ht="14.15" x14ac:dyDescent="0.35">
      <c r="A48" s="28" t="s">
        <v>31</v>
      </c>
      <c r="B48" s="28" t="s">
        <v>46</v>
      </c>
      <c r="C48" s="28" t="s">
        <v>60</v>
      </c>
      <c r="D48" s="28" t="s">
        <v>61</v>
      </c>
      <c r="E48" s="28" t="s">
        <v>62</v>
      </c>
      <c r="F48" s="28" t="s">
        <v>63</v>
      </c>
      <c r="G48" s="28" t="s">
        <v>34</v>
      </c>
      <c r="H48" s="28" t="s">
        <v>51</v>
      </c>
      <c r="I48" s="28" t="s">
        <v>36</v>
      </c>
      <c r="J48" s="28" t="s">
        <v>40</v>
      </c>
      <c r="K48" s="28" t="s">
        <v>40</v>
      </c>
      <c r="L48" s="29">
        <v>-0.99989999999888823</v>
      </c>
      <c r="M48" s="29">
        <v>0</v>
      </c>
      <c r="N48" s="29">
        <v>-1</v>
      </c>
      <c r="O48" s="29">
        <f t="shared" si="5"/>
        <v>1.0000000111176632E-4</v>
      </c>
      <c r="P48" s="29">
        <v>0</v>
      </c>
      <c r="Q48" s="29">
        <v>0</v>
      </c>
      <c r="R48" s="29">
        <v>0</v>
      </c>
      <c r="S48" s="29">
        <f t="shared" si="6"/>
        <v>0</v>
      </c>
      <c r="T48" s="29">
        <f t="shared" si="7"/>
        <v>0</v>
      </c>
      <c r="U48" s="29"/>
      <c r="V48" s="36"/>
      <c r="W48" s="20">
        <f t="shared" si="4"/>
        <v>1.0000000111176632E-4</v>
      </c>
    </row>
    <row r="49" spans="1:23" s="19" customFormat="1" ht="14.15" x14ac:dyDescent="0.35">
      <c r="A49" s="28" t="s">
        <v>31</v>
      </c>
      <c r="B49" s="28" t="s">
        <v>46</v>
      </c>
      <c r="C49" s="28" t="s">
        <v>60</v>
      </c>
      <c r="D49" s="28" t="s">
        <v>61</v>
      </c>
      <c r="E49" s="28" t="s">
        <v>62</v>
      </c>
      <c r="F49" s="28" t="s">
        <v>63</v>
      </c>
      <c r="G49" s="28" t="s">
        <v>34</v>
      </c>
      <c r="H49" s="28" t="s">
        <v>53</v>
      </c>
      <c r="I49" s="28" t="s">
        <v>36</v>
      </c>
      <c r="J49" s="28" t="s">
        <v>40</v>
      </c>
      <c r="K49" s="28" t="s">
        <v>40</v>
      </c>
      <c r="L49" s="29">
        <f>-210603.791663775-10015</f>
        <v>-220618.79166377499</v>
      </c>
      <c r="M49" s="29">
        <v>-56421.999900000003</v>
      </c>
      <c r="N49" s="29">
        <v>-155265.70078951927</v>
      </c>
      <c r="O49" s="29">
        <f t="shared" si="5"/>
        <v>-65353.090874255722</v>
      </c>
      <c r="P49" s="29">
        <f>-55338.0908742563-10015</f>
        <v>-65353.090874256297</v>
      </c>
      <c r="Q49" s="29">
        <f>-55338.0908742563-10015</f>
        <v>-65353.090874256297</v>
      </c>
      <c r="R49" s="29">
        <v>0</v>
      </c>
      <c r="S49" s="29">
        <f t="shared" si="6"/>
        <v>-65353.090874256297</v>
      </c>
      <c r="T49" s="29">
        <f t="shared" si="7"/>
        <v>0</v>
      </c>
      <c r="U49" s="29"/>
      <c r="V49" s="36"/>
      <c r="W49" s="20">
        <f t="shared" si="4"/>
        <v>5.7480065152049065E-10</v>
      </c>
    </row>
    <row r="50" spans="1:23" s="19" customFormat="1" ht="14.15" x14ac:dyDescent="0.35">
      <c r="A50" s="28" t="s">
        <v>31</v>
      </c>
      <c r="B50" s="28" t="s">
        <v>46</v>
      </c>
      <c r="C50" s="28" t="s">
        <v>60</v>
      </c>
      <c r="D50" s="28" t="s">
        <v>61</v>
      </c>
      <c r="E50" s="28" t="s">
        <v>62</v>
      </c>
      <c r="F50" s="28" t="s">
        <v>63</v>
      </c>
      <c r="G50" s="28" t="s">
        <v>34</v>
      </c>
      <c r="H50" s="28" t="s">
        <v>52</v>
      </c>
      <c r="I50" s="28" t="s">
        <v>36</v>
      </c>
      <c r="J50" s="28" t="s">
        <v>56</v>
      </c>
      <c r="K50" s="28" t="s">
        <v>57</v>
      </c>
      <c r="L50" s="29">
        <v>-22085.80176153846</v>
      </c>
      <c r="M50" s="29">
        <v>-4818</v>
      </c>
      <c r="N50" s="29">
        <v>-12851.897495384615</v>
      </c>
      <c r="O50" s="29">
        <f t="shared" si="5"/>
        <v>-9233.9042661538442</v>
      </c>
      <c r="P50" s="29">
        <v>-9233.9042661538442</v>
      </c>
      <c r="Q50" s="29">
        <v>-9233.9042661538442</v>
      </c>
      <c r="R50" s="29">
        <v>0</v>
      </c>
      <c r="S50" s="29">
        <f t="shared" si="6"/>
        <v>-9233.9042661538442</v>
      </c>
      <c r="T50" s="29">
        <f t="shared" si="7"/>
        <v>0</v>
      </c>
      <c r="U50" s="29"/>
      <c r="V50" s="37"/>
      <c r="W50" s="20">
        <f t="shared" si="4"/>
        <v>0</v>
      </c>
    </row>
    <row r="51" spans="1:23" s="19" customFormat="1" ht="14.15" x14ac:dyDescent="0.35">
      <c r="A51" s="28" t="s">
        <v>31</v>
      </c>
      <c r="B51" s="28" t="s">
        <v>46</v>
      </c>
      <c r="C51" s="28" t="s">
        <v>60</v>
      </c>
      <c r="D51" s="28" t="s">
        <v>61</v>
      </c>
      <c r="E51" s="28" t="s">
        <v>64</v>
      </c>
      <c r="F51" s="28" t="s">
        <v>65</v>
      </c>
      <c r="G51" s="28" t="s">
        <v>34</v>
      </c>
      <c r="H51" s="28" t="s">
        <v>52</v>
      </c>
      <c r="I51" s="28" t="s">
        <v>36</v>
      </c>
      <c r="J51" s="28" t="s">
        <v>40</v>
      </c>
      <c r="K51" s="28" t="s">
        <v>40</v>
      </c>
      <c r="L51" s="29">
        <v>-724496.53526740114</v>
      </c>
      <c r="M51" s="29">
        <v>-93244</v>
      </c>
      <c r="N51" s="29">
        <v>-665364.3159220193</v>
      </c>
      <c r="O51" s="29">
        <f t="shared" si="5"/>
        <v>-59132.219345381833</v>
      </c>
      <c r="P51" s="29">
        <v>-59132.219345381978</v>
      </c>
      <c r="Q51" s="29">
        <v>-59132.219345381978</v>
      </c>
      <c r="R51" s="29">
        <v>0</v>
      </c>
      <c r="S51" s="29">
        <f t="shared" si="6"/>
        <v>-59132.219345381978</v>
      </c>
      <c r="T51" s="29">
        <f t="shared" si="7"/>
        <v>0</v>
      </c>
      <c r="U51" s="29"/>
      <c r="V51" s="35" t="s">
        <v>142</v>
      </c>
      <c r="W51" s="20">
        <f t="shared" si="4"/>
        <v>1.4551915228366852E-10</v>
      </c>
    </row>
    <row r="52" spans="1:23" s="19" customFormat="1" ht="14.15" customHeight="1" x14ac:dyDescent="0.35">
      <c r="A52" s="28" t="s">
        <v>31</v>
      </c>
      <c r="B52" s="28" t="s">
        <v>46</v>
      </c>
      <c r="C52" s="28" t="s">
        <v>60</v>
      </c>
      <c r="D52" s="28" t="s">
        <v>61</v>
      </c>
      <c r="E52" s="28" t="s">
        <v>64</v>
      </c>
      <c r="F52" s="28" t="s">
        <v>65</v>
      </c>
      <c r="G52" s="28" t="s">
        <v>34</v>
      </c>
      <c r="H52" s="28" t="s">
        <v>53</v>
      </c>
      <c r="I52" s="28" t="s">
        <v>36</v>
      </c>
      <c r="J52" s="28" t="s">
        <v>40</v>
      </c>
      <c r="K52" s="28" t="s">
        <v>40</v>
      </c>
      <c r="L52" s="29">
        <f>-173600.838892717-8229.916</f>
        <v>-181830.754892717</v>
      </c>
      <c r="M52" s="29">
        <v>-31591.000000000011</v>
      </c>
      <c r="N52" s="29">
        <v>-137355.57676144229</v>
      </c>
      <c r="O52" s="29">
        <f t="shared" si="5"/>
        <v>-44475.178131274704</v>
      </c>
      <c r="P52" s="29">
        <f>-36245.2621312746-8229.916</f>
        <v>-44475.178131274595</v>
      </c>
      <c r="Q52" s="29">
        <f>-36245.2621312746-8229.916</f>
        <v>-44475.178131274595</v>
      </c>
      <c r="R52" s="29">
        <v>0</v>
      </c>
      <c r="S52" s="29">
        <f t="shared" si="6"/>
        <v>-44475.178131274595</v>
      </c>
      <c r="T52" s="29">
        <f t="shared" si="7"/>
        <v>0</v>
      </c>
      <c r="U52" s="29"/>
      <c r="V52" s="36"/>
      <c r="W52" s="20">
        <f t="shared" si="4"/>
        <v>-1.0913936421275139E-10</v>
      </c>
    </row>
    <row r="53" spans="1:23" s="19" customFormat="1" ht="14.15" customHeight="1" x14ac:dyDescent="0.35">
      <c r="A53" s="28" t="s">
        <v>31</v>
      </c>
      <c r="B53" s="28" t="s">
        <v>46</v>
      </c>
      <c r="C53" s="28" t="s">
        <v>60</v>
      </c>
      <c r="D53" s="28" t="s">
        <v>61</v>
      </c>
      <c r="E53" s="28" t="s">
        <v>64</v>
      </c>
      <c r="F53" s="28" t="s">
        <v>65</v>
      </c>
      <c r="G53" s="28" t="s">
        <v>34</v>
      </c>
      <c r="H53" s="28" t="s">
        <v>51</v>
      </c>
      <c r="I53" s="28" t="s">
        <v>36</v>
      </c>
      <c r="J53" s="28" t="s">
        <v>54</v>
      </c>
      <c r="K53" s="28" t="s">
        <v>55</v>
      </c>
      <c r="L53" s="29">
        <v>-190053.81100000002</v>
      </c>
      <c r="M53" s="29">
        <v>-6553.8110000000097</v>
      </c>
      <c r="N53" s="29">
        <v>-998.5</v>
      </c>
      <c r="O53" s="29">
        <f t="shared" si="5"/>
        <v>-189055.31100000002</v>
      </c>
      <c r="P53" s="29">
        <v>-183500</v>
      </c>
      <c r="Q53" s="29">
        <v>-183500</v>
      </c>
      <c r="R53" s="29">
        <v>0</v>
      </c>
      <c r="S53" s="29">
        <f t="shared" si="6"/>
        <v>-183500</v>
      </c>
      <c r="T53" s="29">
        <f t="shared" si="7"/>
        <v>0</v>
      </c>
      <c r="U53" s="29"/>
      <c r="V53" s="36"/>
      <c r="W53" s="20">
        <f t="shared" si="4"/>
        <v>-5555.3110000000161</v>
      </c>
    </row>
    <row r="54" spans="1:23" s="19" customFormat="1" ht="14.15" customHeight="1" x14ac:dyDescent="0.35">
      <c r="A54" s="28" t="s">
        <v>31</v>
      </c>
      <c r="B54" s="28" t="s">
        <v>46</v>
      </c>
      <c r="C54" s="28" t="s">
        <v>60</v>
      </c>
      <c r="D54" s="28" t="s">
        <v>61</v>
      </c>
      <c r="E54" s="28" t="s">
        <v>64</v>
      </c>
      <c r="F54" s="28" t="s">
        <v>65</v>
      </c>
      <c r="G54" s="28" t="s">
        <v>34</v>
      </c>
      <c r="H54" s="28" t="s">
        <v>52</v>
      </c>
      <c r="I54" s="28" t="s">
        <v>36</v>
      </c>
      <c r="J54" s="28" t="s">
        <v>56</v>
      </c>
      <c r="K54" s="28" t="s">
        <v>57</v>
      </c>
      <c r="L54" s="29">
        <v>-9809.4864692307674</v>
      </c>
      <c r="M54" s="29">
        <v>-2409</v>
      </c>
      <c r="N54" s="29">
        <v>-5358.4656738461535</v>
      </c>
      <c r="O54" s="29">
        <f t="shared" si="5"/>
        <v>-4451.0207953846138</v>
      </c>
      <c r="P54" s="29">
        <v>-4451.0207953846148</v>
      </c>
      <c r="Q54" s="29">
        <v>-4451.0207953846148</v>
      </c>
      <c r="R54" s="29">
        <v>0</v>
      </c>
      <c r="S54" s="29">
        <f t="shared" si="6"/>
        <v>-4451.0207953846148</v>
      </c>
      <c r="T54" s="29">
        <f t="shared" si="7"/>
        <v>0</v>
      </c>
      <c r="U54" s="29"/>
      <c r="V54" s="36"/>
      <c r="W54" s="20">
        <f t="shared" si="4"/>
        <v>0</v>
      </c>
    </row>
    <row r="55" spans="1:23" s="19" customFormat="1" ht="14.15" customHeight="1" x14ac:dyDescent="0.35">
      <c r="A55" s="28" t="s">
        <v>31</v>
      </c>
      <c r="B55" s="28" t="s">
        <v>46</v>
      </c>
      <c r="C55" s="28" t="s">
        <v>60</v>
      </c>
      <c r="D55" s="28" t="s">
        <v>61</v>
      </c>
      <c r="E55" s="28" t="s">
        <v>64</v>
      </c>
      <c r="F55" s="28" t="s">
        <v>65</v>
      </c>
      <c r="G55" s="28" t="s">
        <v>34</v>
      </c>
      <c r="H55" s="28" t="s">
        <v>53</v>
      </c>
      <c r="I55" s="28" t="s">
        <v>36</v>
      </c>
      <c r="J55" s="28" t="s">
        <v>56</v>
      </c>
      <c r="K55" s="28" t="s">
        <v>57</v>
      </c>
      <c r="L55" s="29">
        <v>-229.43039230769227</v>
      </c>
      <c r="M55" s="29">
        <v>0</v>
      </c>
      <c r="N55" s="29">
        <v>0</v>
      </c>
      <c r="O55" s="29">
        <f t="shared" si="5"/>
        <v>-229.43039230769227</v>
      </c>
      <c r="P55" s="29">
        <v>-229.43039230769227</v>
      </c>
      <c r="Q55" s="29">
        <v>-229.43039230769227</v>
      </c>
      <c r="R55" s="29">
        <v>0</v>
      </c>
      <c r="S55" s="29">
        <f t="shared" si="6"/>
        <v>-229.43039230769227</v>
      </c>
      <c r="T55" s="29">
        <f t="shared" si="7"/>
        <v>0</v>
      </c>
      <c r="U55" s="29"/>
      <c r="V55" s="37"/>
      <c r="W55" s="20">
        <f t="shared" si="4"/>
        <v>0</v>
      </c>
    </row>
    <row r="56" spans="1:23" s="19" customFormat="1" ht="14.15" x14ac:dyDescent="0.35">
      <c r="A56" s="28" t="s">
        <v>31</v>
      </c>
      <c r="B56" s="28" t="s">
        <v>46</v>
      </c>
      <c r="C56" s="28" t="s">
        <v>60</v>
      </c>
      <c r="D56" s="28" t="s">
        <v>61</v>
      </c>
      <c r="E56" s="28" t="s">
        <v>64</v>
      </c>
      <c r="F56" s="28" t="s">
        <v>65</v>
      </c>
      <c r="G56" s="28" t="s">
        <v>107</v>
      </c>
      <c r="H56" s="28" t="s">
        <v>52</v>
      </c>
      <c r="I56" s="28" t="s">
        <v>36</v>
      </c>
      <c r="J56" s="28" t="s">
        <v>40</v>
      </c>
      <c r="K56" s="28" t="s">
        <v>40</v>
      </c>
      <c r="L56" s="29">
        <v>-3568195.6999000004</v>
      </c>
      <c r="M56" s="29">
        <v>-323670.84999999969</v>
      </c>
      <c r="N56" s="29">
        <v>-3299943.7887000004</v>
      </c>
      <c r="O56" s="29">
        <f t="shared" si="5"/>
        <v>-268251.91119999997</v>
      </c>
      <c r="P56" s="29">
        <v>-268251.91119999951</v>
      </c>
      <c r="Q56" s="29">
        <v>-268251.91119999951</v>
      </c>
      <c r="R56" s="29">
        <v>0</v>
      </c>
      <c r="S56" s="29">
        <f t="shared" si="6"/>
        <v>-268251.91119999951</v>
      </c>
      <c r="T56" s="29">
        <f t="shared" si="7"/>
        <v>0</v>
      </c>
      <c r="U56" s="29"/>
      <c r="V56" s="35" t="s">
        <v>143</v>
      </c>
      <c r="W56" s="20">
        <f t="shared" si="4"/>
        <v>-4.6566128730773926E-10</v>
      </c>
    </row>
    <row r="57" spans="1:23" s="19" customFormat="1" ht="14.15" customHeight="1" x14ac:dyDescent="0.35">
      <c r="A57" s="28" t="s">
        <v>31</v>
      </c>
      <c r="B57" s="28" t="s">
        <v>46</v>
      </c>
      <c r="C57" s="28" t="s">
        <v>60</v>
      </c>
      <c r="D57" s="28" t="s">
        <v>61</v>
      </c>
      <c r="E57" s="28" t="s">
        <v>64</v>
      </c>
      <c r="F57" s="28" t="s">
        <v>65</v>
      </c>
      <c r="G57" s="28" t="s">
        <v>107</v>
      </c>
      <c r="H57" s="28" t="s">
        <v>53</v>
      </c>
      <c r="I57" s="28" t="s">
        <v>36</v>
      </c>
      <c r="J57" s="28" t="s">
        <v>40</v>
      </c>
      <c r="K57" s="28" t="s">
        <v>40</v>
      </c>
      <c r="L57" s="29">
        <f>-209633.9798-5910.47</f>
        <v>-215544.4498</v>
      </c>
      <c r="M57" s="29">
        <v>-63873.979999999996</v>
      </c>
      <c r="N57" s="29">
        <v>-111743.07840000004</v>
      </c>
      <c r="O57" s="29">
        <f t="shared" si="5"/>
        <v>-103801.37139999996</v>
      </c>
      <c r="P57" s="29">
        <f>-97890.9014-5910.47</f>
        <v>-103801.3714</v>
      </c>
      <c r="Q57" s="29">
        <f>-97890.9014-5910.47</f>
        <v>-103801.3714</v>
      </c>
      <c r="R57" s="29">
        <v>0</v>
      </c>
      <c r="S57" s="29">
        <f t="shared" si="6"/>
        <v>-103801.3714</v>
      </c>
      <c r="T57" s="29">
        <f t="shared" si="7"/>
        <v>0</v>
      </c>
      <c r="U57" s="29"/>
      <c r="V57" s="36"/>
      <c r="W57" s="20">
        <f t="shared" si="4"/>
        <v>0</v>
      </c>
    </row>
    <row r="58" spans="1:23" s="19" customFormat="1" ht="14.15" customHeight="1" x14ac:dyDescent="0.35">
      <c r="A58" s="28" t="s">
        <v>31</v>
      </c>
      <c r="B58" s="28" t="s">
        <v>46</v>
      </c>
      <c r="C58" s="28" t="s">
        <v>60</v>
      </c>
      <c r="D58" s="28" t="s">
        <v>61</v>
      </c>
      <c r="E58" s="28" t="s">
        <v>64</v>
      </c>
      <c r="F58" s="28" t="s">
        <v>65</v>
      </c>
      <c r="G58" s="28" t="s">
        <v>107</v>
      </c>
      <c r="H58" s="28" t="s">
        <v>79</v>
      </c>
      <c r="I58" s="28" t="s">
        <v>36</v>
      </c>
      <c r="J58" s="28" t="s">
        <v>40</v>
      </c>
      <c r="K58" s="28" t="s">
        <v>40</v>
      </c>
      <c r="L58" s="29">
        <v>-4000</v>
      </c>
      <c r="M58" s="29">
        <v>0</v>
      </c>
      <c r="N58" s="29">
        <v>-3083.33</v>
      </c>
      <c r="O58" s="29">
        <f t="shared" si="5"/>
        <v>-916.67000000000007</v>
      </c>
      <c r="P58" s="29">
        <v>-916.66999999999985</v>
      </c>
      <c r="Q58" s="29">
        <v>-916.66999999999985</v>
      </c>
      <c r="R58" s="29">
        <v>0</v>
      </c>
      <c r="S58" s="29">
        <f t="shared" si="6"/>
        <v>-916.66999999999985</v>
      </c>
      <c r="T58" s="29">
        <f t="shared" si="7"/>
        <v>0</v>
      </c>
      <c r="U58" s="29"/>
      <c r="V58" s="36"/>
      <c r="W58" s="20">
        <f t="shared" si="4"/>
        <v>0</v>
      </c>
    </row>
    <row r="59" spans="1:23" s="19" customFormat="1" ht="14.15" customHeight="1" x14ac:dyDescent="0.35">
      <c r="A59" s="28" t="s">
        <v>31</v>
      </c>
      <c r="B59" s="28" t="s">
        <v>46</v>
      </c>
      <c r="C59" s="28" t="s">
        <v>60</v>
      </c>
      <c r="D59" s="28" t="s">
        <v>61</v>
      </c>
      <c r="E59" s="28" t="s">
        <v>64</v>
      </c>
      <c r="F59" s="28" t="s">
        <v>65</v>
      </c>
      <c r="G59" s="28" t="s">
        <v>107</v>
      </c>
      <c r="H59" s="28" t="s">
        <v>53</v>
      </c>
      <c r="I59" s="28" t="s">
        <v>36</v>
      </c>
      <c r="J59" s="28" t="s">
        <v>108</v>
      </c>
      <c r="K59" s="28" t="s">
        <v>109</v>
      </c>
      <c r="L59" s="29">
        <v>-100000</v>
      </c>
      <c r="M59" s="29">
        <v>0</v>
      </c>
      <c r="N59" s="29">
        <v>0</v>
      </c>
      <c r="O59" s="29">
        <f t="shared" si="5"/>
        <v>-100000</v>
      </c>
      <c r="P59" s="29">
        <v>-100000</v>
      </c>
      <c r="Q59" s="29">
        <v>0</v>
      </c>
      <c r="R59" s="29">
        <v>-100000</v>
      </c>
      <c r="S59" s="29">
        <f t="shared" si="6"/>
        <v>-100000</v>
      </c>
      <c r="T59" s="29">
        <f t="shared" si="7"/>
        <v>0</v>
      </c>
      <c r="U59" s="29"/>
      <c r="V59" s="36"/>
      <c r="W59" s="20">
        <f t="shared" si="4"/>
        <v>0</v>
      </c>
    </row>
    <row r="60" spans="1:23" s="19" customFormat="1" ht="14.15" customHeight="1" x14ac:dyDescent="0.35">
      <c r="A60" s="28" t="s">
        <v>31</v>
      </c>
      <c r="B60" s="28" t="s">
        <v>46</v>
      </c>
      <c r="C60" s="28" t="s">
        <v>60</v>
      </c>
      <c r="D60" s="28" t="s">
        <v>61</v>
      </c>
      <c r="E60" s="28" t="s">
        <v>64</v>
      </c>
      <c r="F60" s="28" t="s">
        <v>65</v>
      </c>
      <c r="G60" s="28" t="s">
        <v>107</v>
      </c>
      <c r="H60" s="28" t="s">
        <v>53</v>
      </c>
      <c r="I60" s="28" t="s">
        <v>36</v>
      </c>
      <c r="J60" s="28" t="s">
        <v>88</v>
      </c>
      <c r="K60" s="28" t="s">
        <v>89</v>
      </c>
      <c r="L60" s="29">
        <v>-262734.02919999999</v>
      </c>
      <c r="M60" s="29">
        <v>0</v>
      </c>
      <c r="N60" s="29">
        <v>-256134.08999999997</v>
      </c>
      <c r="O60" s="29">
        <f t="shared" si="5"/>
        <v>-6599.9392000000225</v>
      </c>
      <c r="P60" s="29">
        <v>0</v>
      </c>
      <c r="Q60" s="29">
        <v>0</v>
      </c>
      <c r="R60" s="29">
        <v>0</v>
      </c>
      <c r="S60" s="29">
        <f t="shared" si="6"/>
        <v>0</v>
      </c>
      <c r="T60" s="29">
        <f t="shared" si="7"/>
        <v>0</v>
      </c>
      <c r="U60" s="29"/>
      <c r="V60" s="37"/>
      <c r="W60" s="20">
        <f t="shared" si="4"/>
        <v>-6599.9392000000225</v>
      </c>
    </row>
    <row r="61" spans="1:23" s="19" customFormat="1" ht="14.15" x14ac:dyDescent="0.35">
      <c r="A61" s="28" t="s">
        <v>31</v>
      </c>
      <c r="B61" s="28" t="s">
        <v>46</v>
      </c>
      <c r="C61" s="28" t="s">
        <v>60</v>
      </c>
      <c r="D61" s="28" t="s">
        <v>61</v>
      </c>
      <c r="E61" s="28" t="s">
        <v>64</v>
      </c>
      <c r="F61" s="28" t="s">
        <v>65</v>
      </c>
      <c r="G61" s="28" t="s">
        <v>110</v>
      </c>
      <c r="H61" s="28" t="s">
        <v>52</v>
      </c>
      <c r="I61" s="28" t="s">
        <v>36</v>
      </c>
      <c r="J61" s="28" t="s">
        <v>40</v>
      </c>
      <c r="K61" s="28" t="s">
        <v>40</v>
      </c>
      <c r="L61" s="29">
        <v>-137287.99230280198</v>
      </c>
      <c r="M61" s="29">
        <v>-3090</v>
      </c>
      <c r="N61" s="29">
        <v>-135075.26</v>
      </c>
      <c r="O61" s="29">
        <f t="shared" si="5"/>
        <v>-2212.7323028019746</v>
      </c>
      <c r="P61" s="29">
        <v>-2212.7323028019891</v>
      </c>
      <c r="Q61" s="29">
        <v>-2212.7323028019891</v>
      </c>
      <c r="R61" s="29">
        <v>0</v>
      </c>
      <c r="S61" s="29">
        <f t="shared" si="6"/>
        <v>-2212.7323028019891</v>
      </c>
      <c r="T61" s="29">
        <f t="shared" si="7"/>
        <v>0</v>
      </c>
      <c r="U61" s="29"/>
      <c r="V61" s="33"/>
      <c r="W61" s="20">
        <f t="shared" si="4"/>
        <v>1.4551915228366852E-11</v>
      </c>
    </row>
    <row r="62" spans="1:23" s="19" customFormat="1" ht="14.15" customHeight="1" x14ac:dyDescent="0.35">
      <c r="A62" s="28" t="s">
        <v>31</v>
      </c>
      <c r="B62" s="28" t="s">
        <v>46</v>
      </c>
      <c r="C62" s="28" t="s">
        <v>60</v>
      </c>
      <c r="D62" s="28" t="s">
        <v>61</v>
      </c>
      <c r="E62" s="28" t="s">
        <v>64</v>
      </c>
      <c r="F62" s="28" t="s">
        <v>65</v>
      </c>
      <c r="G62" s="28" t="s">
        <v>110</v>
      </c>
      <c r="H62" s="28" t="s">
        <v>53</v>
      </c>
      <c r="I62" s="28" t="s">
        <v>36</v>
      </c>
      <c r="J62" s="28" t="s">
        <v>40</v>
      </c>
      <c r="K62" s="28" t="s">
        <v>40</v>
      </c>
      <c r="L62" s="29">
        <v>-12799.9998</v>
      </c>
      <c r="M62" s="29">
        <v>0</v>
      </c>
      <c r="N62" s="29">
        <v>-12707.6289</v>
      </c>
      <c r="O62" s="29">
        <f t="shared" si="5"/>
        <v>-92.370899999999892</v>
      </c>
      <c r="P62" s="29">
        <v>-92.370899999998983</v>
      </c>
      <c r="Q62" s="29">
        <v>-92.370899999998983</v>
      </c>
      <c r="R62" s="29">
        <v>0</v>
      </c>
      <c r="S62" s="29">
        <f t="shared" si="6"/>
        <v>-92.370899999998983</v>
      </c>
      <c r="T62" s="29">
        <f t="shared" si="7"/>
        <v>0</v>
      </c>
      <c r="U62" s="29"/>
      <c r="V62" s="34"/>
      <c r="W62" s="20">
        <f t="shared" si="4"/>
        <v>-9.0949470177292824E-13</v>
      </c>
    </row>
    <row r="63" spans="1:23" s="22" customFormat="1" ht="14.15" customHeight="1" x14ac:dyDescent="0.35">
      <c r="A63" s="31" t="s">
        <v>31</v>
      </c>
      <c r="B63" s="31" t="s">
        <v>46</v>
      </c>
      <c r="C63" s="31" t="s">
        <v>60</v>
      </c>
      <c r="D63" s="31" t="s">
        <v>66</v>
      </c>
      <c r="E63" s="31" t="s">
        <v>67</v>
      </c>
      <c r="F63" s="31" t="s">
        <v>68</v>
      </c>
      <c r="G63" s="31" t="s">
        <v>34</v>
      </c>
      <c r="H63" s="31" t="s">
        <v>51</v>
      </c>
      <c r="I63" s="31" t="s">
        <v>36</v>
      </c>
      <c r="J63" s="31" t="s">
        <v>40</v>
      </c>
      <c r="K63" s="31" t="s">
        <v>40</v>
      </c>
      <c r="L63" s="30">
        <v>-435753.99979999999</v>
      </c>
      <c r="M63" s="30">
        <v>0</v>
      </c>
      <c r="N63" s="30">
        <v>-434704.94999999995</v>
      </c>
      <c r="O63" s="30">
        <f t="shared" si="5"/>
        <v>-1049.0498000000371</v>
      </c>
      <c r="P63" s="30">
        <v>-1049.0498000000953</v>
      </c>
      <c r="Q63" s="30">
        <v>0</v>
      </c>
      <c r="R63" s="30">
        <v>0</v>
      </c>
      <c r="S63" s="30">
        <f t="shared" si="6"/>
        <v>0</v>
      </c>
      <c r="T63" s="30">
        <f t="shared" si="7"/>
        <v>-1049.0498000000953</v>
      </c>
      <c r="U63" s="32"/>
      <c r="V63" s="43" t="s">
        <v>144</v>
      </c>
      <c r="W63" s="21">
        <f t="shared" si="4"/>
        <v>5.8207660913467407E-11</v>
      </c>
    </row>
    <row r="64" spans="1:23" s="19" customFormat="1" ht="14.15" customHeight="1" x14ac:dyDescent="0.35">
      <c r="A64" s="28" t="s">
        <v>31</v>
      </c>
      <c r="B64" s="28" t="s">
        <v>46</v>
      </c>
      <c r="C64" s="28" t="s">
        <v>60</v>
      </c>
      <c r="D64" s="28" t="s">
        <v>66</v>
      </c>
      <c r="E64" s="28" t="s">
        <v>67</v>
      </c>
      <c r="F64" s="28" t="s">
        <v>68</v>
      </c>
      <c r="G64" s="28" t="s">
        <v>34</v>
      </c>
      <c r="H64" s="28" t="s">
        <v>52</v>
      </c>
      <c r="I64" s="28" t="s">
        <v>36</v>
      </c>
      <c r="J64" s="28" t="s">
        <v>40</v>
      </c>
      <c r="K64" s="28" t="s">
        <v>40</v>
      </c>
      <c r="L64" s="29">
        <v>-769114.99982063752</v>
      </c>
      <c r="M64" s="29">
        <v>-33566</v>
      </c>
      <c r="N64" s="29">
        <v>-688642.16520628217</v>
      </c>
      <c r="O64" s="29">
        <f t="shared" si="5"/>
        <v>-80472.83461435535</v>
      </c>
      <c r="P64" s="29">
        <v>-80472.834614355495</v>
      </c>
      <c r="Q64" s="29">
        <v>-80472.834614355495</v>
      </c>
      <c r="R64" s="29">
        <v>0</v>
      </c>
      <c r="S64" s="29">
        <f t="shared" si="6"/>
        <v>-80472.834614355495</v>
      </c>
      <c r="T64" s="29">
        <f t="shared" si="7"/>
        <v>0</v>
      </c>
      <c r="U64" s="29"/>
      <c r="V64" s="47"/>
      <c r="W64" s="20">
        <f t="shared" si="4"/>
        <v>1.4551915228366852E-10</v>
      </c>
    </row>
    <row r="65" spans="1:23" s="19" customFormat="1" ht="14.15" customHeight="1" x14ac:dyDescent="0.35">
      <c r="A65" s="28" t="s">
        <v>31</v>
      </c>
      <c r="B65" s="28" t="s">
        <v>46</v>
      </c>
      <c r="C65" s="28" t="s">
        <v>60</v>
      </c>
      <c r="D65" s="28" t="s">
        <v>66</v>
      </c>
      <c r="E65" s="28" t="s">
        <v>67</v>
      </c>
      <c r="F65" s="28" t="s">
        <v>68</v>
      </c>
      <c r="G65" s="28" t="s">
        <v>34</v>
      </c>
      <c r="H65" s="28" t="s">
        <v>53</v>
      </c>
      <c r="I65" s="28" t="s">
        <v>36</v>
      </c>
      <c r="J65" s="28" t="s">
        <v>40</v>
      </c>
      <c r="K65" s="28" t="s">
        <v>40</v>
      </c>
      <c r="L65" s="29">
        <f>-553465.976419776-3242.989</f>
        <v>-556708.96541977592</v>
      </c>
      <c r="M65" s="29">
        <v>-374178.99989999994</v>
      </c>
      <c r="N65" s="29">
        <v>-244248.36988448718</v>
      </c>
      <c r="O65" s="29">
        <f t="shared" si="5"/>
        <v>-312460.59553528874</v>
      </c>
      <c r="P65" s="29">
        <f>-179286.976519776-3242.969</f>
        <v>-182529.94551977603</v>
      </c>
      <c r="Q65" s="29">
        <f>-179286.976519776-3242.969</f>
        <v>-182529.94551977603</v>
      </c>
      <c r="R65" s="29">
        <v>0</v>
      </c>
      <c r="S65" s="29">
        <f t="shared" si="6"/>
        <v>-182529.94551977603</v>
      </c>
      <c r="T65" s="29">
        <f t="shared" si="7"/>
        <v>0</v>
      </c>
      <c r="U65" s="29"/>
      <c r="V65" s="47"/>
      <c r="W65" s="20">
        <f t="shared" si="4"/>
        <v>-129930.65001551271</v>
      </c>
    </row>
    <row r="66" spans="1:23" s="19" customFormat="1" ht="14.15" x14ac:dyDescent="0.35">
      <c r="A66" s="28" t="s">
        <v>31</v>
      </c>
      <c r="B66" s="28" t="s">
        <v>46</v>
      </c>
      <c r="C66" s="28" t="s">
        <v>60</v>
      </c>
      <c r="D66" s="28" t="s">
        <v>66</v>
      </c>
      <c r="E66" s="28" t="s">
        <v>67</v>
      </c>
      <c r="F66" s="28" t="s">
        <v>68</v>
      </c>
      <c r="G66" s="28" t="s">
        <v>34</v>
      </c>
      <c r="H66" s="28" t="s">
        <v>51</v>
      </c>
      <c r="I66" s="28" t="s">
        <v>36</v>
      </c>
      <c r="J66" s="28" t="s">
        <v>54</v>
      </c>
      <c r="K66" s="28" t="s">
        <v>55</v>
      </c>
      <c r="L66" s="29">
        <v>-1500</v>
      </c>
      <c r="M66" s="29">
        <v>0</v>
      </c>
      <c r="N66" s="29">
        <v>-1500</v>
      </c>
      <c r="O66" s="29">
        <f t="shared" si="5"/>
        <v>0</v>
      </c>
      <c r="P66" s="29">
        <v>0</v>
      </c>
      <c r="Q66" s="29">
        <v>0</v>
      </c>
      <c r="R66" s="29">
        <v>0</v>
      </c>
      <c r="S66" s="29">
        <f t="shared" si="6"/>
        <v>0</v>
      </c>
      <c r="T66" s="29">
        <f t="shared" si="7"/>
        <v>0</v>
      </c>
      <c r="U66" s="29"/>
      <c r="V66" s="47"/>
      <c r="W66" s="20">
        <f t="shared" si="4"/>
        <v>0</v>
      </c>
    </row>
    <row r="67" spans="1:23" s="19" customFormat="1" ht="14.15" x14ac:dyDescent="0.35">
      <c r="A67" s="28" t="s">
        <v>31</v>
      </c>
      <c r="B67" s="28" t="s">
        <v>46</v>
      </c>
      <c r="C67" s="28" t="s">
        <v>60</v>
      </c>
      <c r="D67" s="28" t="s">
        <v>66</v>
      </c>
      <c r="E67" s="28" t="s">
        <v>67</v>
      </c>
      <c r="F67" s="28" t="s">
        <v>68</v>
      </c>
      <c r="G67" s="28" t="s">
        <v>34</v>
      </c>
      <c r="H67" s="28" t="s">
        <v>52</v>
      </c>
      <c r="I67" s="28" t="s">
        <v>36</v>
      </c>
      <c r="J67" s="28" t="s">
        <v>56</v>
      </c>
      <c r="K67" s="28" t="s">
        <v>57</v>
      </c>
      <c r="L67" s="29">
        <v>-13079.31529230769</v>
      </c>
      <c r="M67" s="29">
        <v>-3212</v>
      </c>
      <c r="N67" s="29">
        <v>-7214.383083076922</v>
      </c>
      <c r="O67" s="29">
        <f t="shared" si="5"/>
        <v>-5864.9322092307684</v>
      </c>
      <c r="P67" s="29">
        <v>-5864.9322092307684</v>
      </c>
      <c r="Q67" s="29">
        <v>-5864.9322092307684</v>
      </c>
      <c r="R67" s="29">
        <v>0</v>
      </c>
      <c r="S67" s="29">
        <f t="shared" si="6"/>
        <v>-5864.9322092307684</v>
      </c>
      <c r="T67" s="29">
        <f t="shared" si="7"/>
        <v>0</v>
      </c>
      <c r="U67" s="29"/>
      <c r="V67" s="47"/>
      <c r="W67" s="20">
        <f t="shared" si="4"/>
        <v>0</v>
      </c>
    </row>
    <row r="68" spans="1:23" s="19" customFormat="1" ht="14.15" x14ac:dyDescent="0.35">
      <c r="A68" s="28" t="s">
        <v>31</v>
      </c>
      <c r="B68" s="28" t="s">
        <v>46</v>
      </c>
      <c r="C68" s="28" t="s">
        <v>60</v>
      </c>
      <c r="D68" s="28" t="s">
        <v>66</v>
      </c>
      <c r="E68" s="28" t="s">
        <v>67</v>
      </c>
      <c r="F68" s="28" t="s">
        <v>68</v>
      </c>
      <c r="G68" s="28" t="s">
        <v>34</v>
      </c>
      <c r="H68" s="28" t="s">
        <v>53</v>
      </c>
      <c r="I68" s="28" t="s">
        <v>36</v>
      </c>
      <c r="J68" s="28" t="s">
        <v>56</v>
      </c>
      <c r="K68" s="28" t="s">
        <v>57</v>
      </c>
      <c r="L68" s="29">
        <v>-305.9071897435897</v>
      </c>
      <c r="M68" s="29">
        <v>0</v>
      </c>
      <c r="N68" s="29">
        <v>0</v>
      </c>
      <c r="O68" s="29">
        <f t="shared" si="5"/>
        <v>-305.9071897435897</v>
      </c>
      <c r="P68" s="29">
        <v>-305.9071897435897</v>
      </c>
      <c r="Q68" s="29">
        <v>-305.9071897435897</v>
      </c>
      <c r="R68" s="29">
        <v>0</v>
      </c>
      <c r="S68" s="29">
        <f t="shared" si="6"/>
        <v>-305.9071897435897</v>
      </c>
      <c r="T68" s="29">
        <f t="shared" si="7"/>
        <v>0</v>
      </c>
      <c r="U68" s="29"/>
      <c r="V68" s="48"/>
      <c r="W68" s="20">
        <f t="shared" si="4"/>
        <v>0</v>
      </c>
    </row>
    <row r="69" spans="1:23" s="19" customFormat="1" ht="14.15" x14ac:dyDescent="0.35">
      <c r="A69" s="28" t="s">
        <v>31</v>
      </c>
      <c r="B69" s="28" t="s">
        <v>46</v>
      </c>
      <c r="C69" s="28" t="s">
        <v>60</v>
      </c>
      <c r="D69" s="28" t="s">
        <v>66</v>
      </c>
      <c r="E69" s="28" t="s">
        <v>111</v>
      </c>
      <c r="F69" s="28" t="s">
        <v>112</v>
      </c>
      <c r="G69" s="28" t="s">
        <v>113</v>
      </c>
      <c r="H69" s="28" t="s">
        <v>52</v>
      </c>
      <c r="I69" s="28" t="s">
        <v>36</v>
      </c>
      <c r="J69" s="28" t="s">
        <v>40</v>
      </c>
      <c r="K69" s="28" t="s">
        <v>40</v>
      </c>
      <c r="L69" s="29">
        <v>-397876.25439999998</v>
      </c>
      <c r="M69" s="29">
        <v>-10928</v>
      </c>
      <c r="N69" s="29">
        <v>-364732.42950000003</v>
      </c>
      <c r="O69" s="29">
        <f t="shared" si="5"/>
        <v>-33143.824899999949</v>
      </c>
      <c r="P69" s="29">
        <v>-33143.824899999978</v>
      </c>
      <c r="Q69" s="29">
        <v>-33143.824899999978</v>
      </c>
      <c r="R69" s="29">
        <v>0</v>
      </c>
      <c r="S69" s="29">
        <f t="shared" si="6"/>
        <v>-33143.824899999978</v>
      </c>
      <c r="T69" s="29">
        <f t="shared" si="7"/>
        <v>0</v>
      </c>
      <c r="U69" s="29"/>
      <c r="V69" s="42" t="s">
        <v>145</v>
      </c>
      <c r="W69" s="20">
        <f t="shared" si="4"/>
        <v>0</v>
      </c>
    </row>
    <row r="70" spans="1:23" s="19" customFormat="1" ht="14.15" x14ac:dyDescent="0.35">
      <c r="A70" s="28" t="s">
        <v>31</v>
      </c>
      <c r="B70" s="28" t="s">
        <v>46</v>
      </c>
      <c r="C70" s="28" t="s">
        <v>60</v>
      </c>
      <c r="D70" s="28" t="s">
        <v>66</v>
      </c>
      <c r="E70" s="28" t="s">
        <v>111</v>
      </c>
      <c r="F70" s="28" t="s">
        <v>112</v>
      </c>
      <c r="G70" s="28" t="s">
        <v>113</v>
      </c>
      <c r="H70" s="28" t="s">
        <v>53</v>
      </c>
      <c r="I70" s="28" t="s">
        <v>36</v>
      </c>
      <c r="J70" s="28" t="s">
        <v>40</v>
      </c>
      <c r="K70" s="28" t="s">
        <v>40</v>
      </c>
      <c r="L70" s="29">
        <f>-265703.9997-2112</f>
        <v>-267815.99969999999</v>
      </c>
      <c r="M70" s="29">
        <v>-105751</v>
      </c>
      <c r="N70" s="29">
        <v>-215571.84970000002</v>
      </c>
      <c r="O70" s="29">
        <f t="shared" si="5"/>
        <v>-52244.149999999965</v>
      </c>
      <c r="P70" s="29">
        <f>-50132.15-2112+6</f>
        <v>-52238.15</v>
      </c>
      <c r="Q70" s="29">
        <f>-50132.15-2112+6</f>
        <v>-52238.15</v>
      </c>
      <c r="R70" s="29">
        <v>0</v>
      </c>
      <c r="S70" s="29">
        <f t="shared" si="6"/>
        <v>-52238.15</v>
      </c>
      <c r="T70" s="29">
        <f t="shared" si="7"/>
        <v>0</v>
      </c>
      <c r="U70" s="29"/>
      <c r="V70" s="41"/>
      <c r="W70" s="20">
        <f t="shared" si="4"/>
        <v>-5.9999999999636202</v>
      </c>
    </row>
    <row r="71" spans="1:23" s="19" customFormat="1" ht="14.15" x14ac:dyDescent="0.35">
      <c r="A71" s="28" t="s">
        <v>31</v>
      </c>
      <c r="B71" s="28" t="s">
        <v>46</v>
      </c>
      <c r="C71" s="28" t="s">
        <v>60</v>
      </c>
      <c r="D71" s="28" t="s">
        <v>66</v>
      </c>
      <c r="E71" s="28" t="s">
        <v>111</v>
      </c>
      <c r="F71" s="28" t="s">
        <v>112</v>
      </c>
      <c r="G71" s="28" t="s">
        <v>113</v>
      </c>
      <c r="H71" s="28" t="s">
        <v>79</v>
      </c>
      <c r="I71" s="28" t="s">
        <v>36</v>
      </c>
      <c r="J71" s="28" t="s">
        <v>40</v>
      </c>
      <c r="K71" s="28" t="s">
        <v>40</v>
      </c>
      <c r="L71" s="29">
        <v>0</v>
      </c>
      <c r="M71" s="29">
        <v>0</v>
      </c>
      <c r="N71" s="29">
        <v>-6</v>
      </c>
      <c r="O71" s="29">
        <f t="shared" si="5"/>
        <v>6</v>
      </c>
      <c r="P71" s="29">
        <v>0</v>
      </c>
      <c r="Q71" s="29">
        <v>0</v>
      </c>
      <c r="R71" s="29">
        <v>0</v>
      </c>
      <c r="S71" s="29">
        <f t="shared" si="6"/>
        <v>0</v>
      </c>
      <c r="T71" s="29">
        <f t="shared" si="7"/>
        <v>0</v>
      </c>
      <c r="U71" s="29"/>
      <c r="V71" s="41"/>
      <c r="W71" s="20">
        <f t="shared" si="4"/>
        <v>6</v>
      </c>
    </row>
    <row r="72" spans="1:23" s="19" customFormat="1" ht="14.15" x14ac:dyDescent="0.35">
      <c r="A72" s="28" t="s">
        <v>31</v>
      </c>
      <c r="B72" s="28" t="s">
        <v>46</v>
      </c>
      <c r="C72" s="28" t="s">
        <v>60</v>
      </c>
      <c r="D72" s="28" t="s">
        <v>66</v>
      </c>
      <c r="E72" s="28" t="s">
        <v>111</v>
      </c>
      <c r="F72" s="28" t="s">
        <v>112</v>
      </c>
      <c r="G72" s="28" t="s">
        <v>113</v>
      </c>
      <c r="H72" s="28" t="s">
        <v>51</v>
      </c>
      <c r="I72" s="28" t="s">
        <v>36</v>
      </c>
      <c r="J72" s="28" t="s">
        <v>54</v>
      </c>
      <c r="K72" s="28" t="s">
        <v>55</v>
      </c>
      <c r="L72" s="29">
        <v>-1200</v>
      </c>
      <c r="M72" s="29">
        <v>0</v>
      </c>
      <c r="N72" s="29">
        <v>-1200</v>
      </c>
      <c r="O72" s="29">
        <f t="shared" si="5"/>
        <v>0</v>
      </c>
      <c r="P72" s="29">
        <v>0</v>
      </c>
      <c r="Q72" s="29">
        <v>0</v>
      </c>
      <c r="R72" s="29">
        <v>0</v>
      </c>
      <c r="S72" s="29">
        <f t="shared" si="6"/>
        <v>0</v>
      </c>
      <c r="T72" s="29">
        <f t="shared" si="7"/>
        <v>0</v>
      </c>
      <c r="U72" s="29"/>
      <c r="V72" s="41"/>
      <c r="W72" s="20">
        <f t="shared" si="4"/>
        <v>0</v>
      </c>
    </row>
    <row r="73" spans="1:23" s="19" customFormat="1" ht="14.15" x14ac:dyDescent="0.35">
      <c r="A73" s="28" t="s">
        <v>31</v>
      </c>
      <c r="B73" s="28" t="s">
        <v>46</v>
      </c>
      <c r="C73" s="28" t="s">
        <v>60</v>
      </c>
      <c r="D73" s="28" t="s">
        <v>66</v>
      </c>
      <c r="E73" s="28" t="s">
        <v>111</v>
      </c>
      <c r="F73" s="28" t="s">
        <v>112</v>
      </c>
      <c r="G73" s="28" t="s">
        <v>113</v>
      </c>
      <c r="H73" s="28" t="s">
        <v>53</v>
      </c>
      <c r="I73" s="28" t="s">
        <v>36</v>
      </c>
      <c r="J73" s="28" t="s">
        <v>88</v>
      </c>
      <c r="K73" s="28" t="s">
        <v>89</v>
      </c>
      <c r="L73" s="29">
        <v>-38936.86</v>
      </c>
      <c r="M73" s="29">
        <v>0</v>
      </c>
      <c r="N73" s="29">
        <v>-32875.029800000004</v>
      </c>
      <c r="O73" s="29">
        <f t="shared" si="5"/>
        <v>-6061.8301999999967</v>
      </c>
      <c r="P73" s="29">
        <v>0</v>
      </c>
      <c r="Q73" s="29">
        <v>0</v>
      </c>
      <c r="R73" s="29">
        <v>0</v>
      </c>
      <c r="S73" s="29">
        <f t="shared" si="6"/>
        <v>0</v>
      </c>
      <c r="T73" s="29">
        <f t="shared" si="7"/>
        <v>0</v>
      </c>
      <c r="U73" s="29"/>
      <c r="V73" s="41"/>
      <c r="W73" s="20">
        <f t="shared" si="4"/>
        <v>-6061.8301999999967</v>
      </c>
    </row>
    <row r="74" spans="1:23" s="19" customFormat="1" ht="14.15" x14ac:dyDescent="0.35">
      <c r="A74" s="28" t="s">
        <v>31</v>
      </c>
      <c r="B74" s="28" t="s">
        <v>46</v>
      </c>
      <c r="C74" s="28" t="s">
        <v>69</v>
      </c>
      <c r="D74" s="28" t="s">
        <v>90</v>
      </c>
      <c r="E74" s="28" t="s">
        <v>91</v>
      </c>
      <c r="F74" s="28" t="s">
        <v>92</v>
      </c>
      <c r="G74" s="28" t="s">
        <v>34</v>
      </c>
      <c r="H74" s="28" t="s">
        <v>93</v>
      </c>
      <c r="I74" s="28" t="s">
        <v>36</v>
      </c>
      <c r="J74" s="28" t="s">
        <v>40</v>
      </c>
      <c r="K74" s="28" t="s">
        <v>40</v>
      </c>
      <c r="L74" s="29">
        <v>-14399.999899999999</v>
      </c>
      <c r="M74" s="29">
        <v>-4700</v>
      </c>
      <c r="N74" s="29">
        <v>-14400</v>
      </c>
      <c r="O74" s="29">
        <f t="shared" ref="O74:O105" si="8">+L74-N74</f>
        <v>1.0000000111176632E-4</v>
      </c>
      <c r="P74" s="29">
        <v>0</v>
      </c>
      <c r="Q74" s="29">
        <v>0</v>
      </c>
      <c r="R74" s="29">
        <v>0</v>
      </c>
      <c r="S74" s="29">
        <f t="shared" ref="S74:S105" si="9">+Q74+R74</f>
        <v>0</v>
      </c>
      <c r="T74" s="29">
        <f t="shared" ref="T74:T105" si="10">+P74-S74</f>
        <v>0</v>
      </c>
      <c r="U74" s="29"/>
      <c r="V74" s="43" t="s">
        <v>146</v>
      </c>
      <c r="W74" s="20">
        <f t="shared" si="4"/>
        <v>1.0000000111176632E-4</v>
      </c>
    </row>
    <row r="75" spans="1:23" s="19" customFormat="1" ht="14.15" customHeight="1" x14ac:dyDescent="0.35">
      <c r="A75" s="28" t="s">
        <v>31</v>
      </c>
      <c r="B75" s="28" t="s">
        <v>46</v>
      </c>
      <c r="C75" s="28" t="s">
        <v>69</v>
      </c>
      <c r="D75" s="28" t="s">
        <v>90</v>
      </c>
      <c r="E75" s="28" t="s">
        <v>91</v>
      </c>
      <c r="F75" s="28" t="s">
        <v>92</v>
      </c>
      <c r="G75" s="28" t="s">
        <v>34</v>
      </c>
      <c r="H75" s="28" t="s">
        <v>51</v>
      </c>
      <c r="I75" s="28" t="s">
        <v>36</v>
      </c>
      <c r="J75" s="28" t="s">
        <v>94</v>
      </c>
      <c r="K75" s="28" t="s">
        <v>95</v>
      </c>
      <c r="L75" s="29">
        <v>-3000000</v>
      </c>
      <c r="M75" s="29">
        <v>0</v>
      </c>
      <c r="N75" s="29">
        <v>-985714</v>
      </c>
      <c r="O75" s="29">
        <f t="shared" si="8"/>
        <v>-2014286</v>
      </c>
      <c r="P75" s="29">
        <v>-2014286</v>
      </c>
      <c r="Q75" s="29">
        <v>-2014286</v>
      </c>
      <c r="R75" s="29">
        <v>0</v>
      </c>
      <c r="S75" s="29">
        <f t="shared" si="9"/>
        <v>-2014286</v>
      </c>
      <c r="T75" s="29">
        <f t="shared" si="10"/>
        <v>0</v>
      </c>
      <c r="U75" s="29"/>
      <c r="V75" s="36"/>
      <c r="W75" s="20">
        <f t="shared" ref="W75:W138" si="11">+O75-P75</f>
        <v>0</v>
      </c>
    </row>
    <row r="76" spans="1:23" s="19" customFormat="1" ht="14.15" customHeight="1" x14ac:dyDescent="0.35">
      <c r="A76" s="28" t="s">
        <v>31</v>
      </c>
      <c r="B76" s="28" t="s">
        <v>46</v>
      </c>
      <c r="C76" s="28" t="s">
        <v>69</v>
      </c>
      <c r="D76" s="28" t="s">
        <v>90</v>
      </c>
      <c r="E76" s="28" t="s">
        <v>91</v>
      </c>
      <c r="F76" s="28" t="s">
        <v>92</v>
      </c>
      <c r="G76" s="28" t="s">
        <v>34</v>
      </c>
      <c r="H76" s="28" t="s">
        <v>51</v>
      </c>
      <c r="I76" s="28" t="s">
        <v>36</v>
      </c>
      <c r="J76" s="28" t="s">
        <v>40</v>
      </c>
      <c r="K76" s="28" t="s">
        <v>40</v>
      </c>
      <c r="L76" s="29">
        <v>-61292633.197702587</v>
      </c>
      <c r="M76" s="29">
        <v>-32064947.440290604</v>
      </c>
      <c r="N76" s="29">
        <v>-47207470.058800004</v>
      </c>
      <c r="O76" s="29">
        <f t="shared" si="8"/>
        <v>-14085163.138902582</v>
      </c>
      <c r="P76" s="29">
        <v>-14085163.13890259</v>
      </c>
      <c r="Q76" s="29">
        <v>-1455357</v>
      </c>
      <c r="R76" s="29">
        <v>0</v>
      </c>
      <c r="S76" s="29">
        <f t="shared" si="9"/>
        <v>-1455357</v>
      </c>
      <c r="T76" s="29">
        <f t="shared" si="10"/>
        <v>-12629806.13890259</v>
      </c>
      <c r="U76" s="29"/>
      <c r="V76" s="36"/>
      <c r="W76" s="20">
        <f t="shared" si="11"/>
        <v>0</v>
      </c>
    </row>
    <row r="77" spans="1:23" s="19" customFormat="1" ht="14.15" customHeight="1" x14ac:dyDescent="0.35">
      <c r="A77" s="28" t="s">
        <v>31</v>
      </c>
      <c r="B77" s="28" t="s">
        <v>46</v>
      </c>
      <c r="C77" s="28" t="s">
        <v>69</v>
      </c>
      <c r="D77" s="28" t="s">
        <v>90</v>
      </c>
      <c r="E77" s="28" t="s">
        <v>91</v>
      </c>
      <c r="F77" s="28" t="s">
        <v>92</v>
      </c>
      <c r="G77" s="28" t="s">
        <v>34</v>
      </c>
      <c r="H77" s="28" t="s">
        <v>52</v>
      </c>
      <c r="I77" s="28" t="s">
        <v>36</v>
      </c>
      <c r="J77" s="28" t="s">
        <v>40</v>
      </c>
      <c r="K77" s="28" t="s">
        <v>40</v>
      </c>
      <c r="L77" s="29">
        <v>-1639980.6266373959</v>
      </c>
      <c r="M77" s="29">
        <v>0</v>
      </c>
      <c r="N77" s="29">
        <v>-1556476.7058220638</v>
      </c>
      <c r="O77" s="29">
        <f t="shared" si="8"/>
        <v>-83503.920815332094</v>
      </c>
      <c r="P77" s="29">
        <v>-83503.920815332327</v>
      </c>
      <c r="Q77" s="29">
        <v>0</v>
      </c>
      <c r="R77" s="29">
        <v>0</v>
      </c>
      <c r="S77" s="29">
        <f t="shared" si="9"/>
        <v>0</v>
      </c>
      <c r="T77" s="29">
        <f t="shared" si="10"/>
        <v>-83503.920815332327</v>
      </c>
      <c r="U77" s="29"/>
      <c r="V77" s="36"/>
      <c r="W77" s="20">
        <f t="shared" si="11"/>
        <v>2.3283064365386963E-10</v>
      </c>
    </row>
    <row r="78" spans="1:23" s="19" customFormat="1" ht="14.15" customHeight="1" x14ac:dyDescent="0.35">
      <c r="A78" s="28" t="s">
        <v>31</v>
      </c>
      <c r="B78" s="28" t="s">
        <v>46</v>
      </c>
      <c r="C78" s="28" t="s">
        <v>69</v>
      </c>
      <c r="D78" s="28" t="s">
        <v>90</v>
      </c>
      <c r="E78" s="28" t="s">
        <v>91</v>
      </c>
      <c r="F78" s="28" t="s">
        <v>92</v>
      </c>
      <c r="G78" s="28" t="s">
        <v>34</v>
      </c>
      <c r="H78" s="28" t="s">
        <v>53</v>
      </c>
      <c r="I78" s="28" t="s">
        <v>36</v>
      </c>
      <c r="J78" s="28" t="s">
        <v>40</v>
      </c>
      <c r="K78" s="28" t="s">
        <v>40</v>
      </c>
      <c r="L78" s="29">
        <f>-1859910.02191556-9133.665</f>
        <v>-1869043.6869155599</v>
      </c>
      <c r="M78" s="29">
        <v>-180040</v>
      </c>
      <c r="N78" s="29">
        <v>-1224305.3205600684</v>
      </c>
      <c r="O78" s="29">
        <f t="shared" si="8"/>
        <v>-644738.36635549157</v>
      </c>
      <c r="P78" s="29">
        <f>-635604.701355489-9133.665+136.44</f>
        <v>-644601.92635548906</v>
      </c>
      <c r="Q78" s="29">
        <v>-150000</v>
      </c>
      <c r="R78" s="29">
        <v>0</v>
      </c>
      <c r="S78" s="29">
        <f t="shared" si="9"/>
        <v>-150000</v>
      </c>
      <c r="T78" s="29">
        <f t="shared" si="10"/>
        <v>-494601.92635548906</v>
      </c>
      <c r="U78" s="29"/>
      <c r="V78" s="36"/>
      <c r="W78" s="20">
        <f t="shared" si="11"/>
        <v>-136.44000000250526</v>
      </c>
    </row>
    <row r="79" spans="1:23" s="19" customFormat="1" ht="14.15" x14ac:dyDescent="0.35">
      <c r="A79" s="28" t="s">
        <v>31</v>
      </c>
      <c r="B79" s="28" t="s">
        <v>46</v>
      </c>
      <c r="C79" s="28" t="s">
        <v>69</v>
      </c>
      <c r="D79" s="28" t="s">
        <v>90</v>
      </c>
      <c r="E79" s="28" t="s">
        <v>91</v>
      </c>
      <c r="F79" s="28" t="s">
        <v>92</v>
      </c>
      <c r="G79" s="28" t="s">
        <v>34</v>
      </c>
      <c r="H79" s="28" t="s">
        <v>79</v>
      </c>
      <c r="I79" s="28" t="s">
        <v>36</v>
      </c>
      <c r="J79" s="28" t="s">
        <v>40</v>
      </c>
      <c r="K79" s="28" t="s">
        <v>40</v>
      </c>
      <c r="L79" s="29">
        <v>0</v>
      </c>
      <c r="M79" s="29">
        <v>0</v>
      </c>
      <c r="N79" s="29">
        <v>-136.44</v>
      </c>
      <c r="O79" s="29">
        <f t="shared" si="8"/>
        <v>136.44</v>
      </c>
      <c r="P79" s="29">
        <v>0</v>
      </c>
      <c r="Q79" s="29">
        <v>0</v>
      </c>
      <c r="R79" s="29">
        <v>0</v>
      </c>
      <c r="S79" s="29">
        <f t="shared" si="9"/>
        <v>0</v>
      </c>
      <c r="T79" s="29">
        <f t="shared" si="10"/>
        <v>0</v>
      </c>
      <c r="U79" s="29"/>
      <c r="V79" s="38"/>
      <c r="W79" s="20">
        <f t="shared" si="11"/>
        <v>136.44</v>
      </c>
    </row>
    <row r="80" spans="1:23" s="19" customFormat="1" ht="14.15" x14ac:dyDescent="0.35">
      <c r="A80" s="28" t="s">
        <v>31</v>
      </c>
      <c r="B80" s="28" t="s">
        <v>46</v>
      </c>
      <c r="C80" s="28" t="s">
        <v>69</v>
      </c>
      <c r="D80" s="28" t="s">
        <v>90</v>
      </c>
      <c r="E80" s="28" t="s">
        <v>91</v>
      </c>
      <c r="F80" s="28" t="s">
        <v>92</v>
      </c>
      <c r="G80" s="28" t="s">
        <v>34</v>
      </c>
      <c r="H80" s="28" t="s">
        <v>51</v>
      </c>
      <c r="I80" s="28" t="s">
        <v>36</v>
      </c>
      <c r="J80" s="28" t="s">
        <v>54</v>
      </c>
      <c r="K80" s="28" t="s">
        <v>55</v>
      </c>
      <c r="L80" s="29">
        <v>-5737678.1528673107</v>
      </c>
      <c r="M80" s="29">
        <v>-33733.6652537802</v>
      </c>
      <c r="N80" s="29">
        <v>-5235906.72</v>
      </c>
      <c r="O80" s="29">
        <f t="shared" si="8"/>
        <v>-501771.43286731094</v>
      </c>
      <c r="P80" s="29">
        <v>-501771.43286731048</v>
      </c>
      <c r="Q80" s="29">
        <v>-501771.43286731048</v>
      </c>
      <c r="R80" s="29">
        <v>0</v>
      </c>
      <c r="S80" s="29">
        <f t="shared" si="9"/>
        <v>-501771.43286731048</v>
      </c>
      <c r="T80" s="29">
        <f t="shared" si="10"/>
        <v>0</v>
      </c>
      <c r="U80" s="29"/>
      <c r="V80" s="38"/>
      <c r="W80" s="20">
        <f t="shared" si="11"/>
        <v>-4.6566128730773926E-10</v>
      </c>
    </row>
    <row r="81" spans="1:23" s="19" customFormat="1" ht="14.15" x14ac:dyDescent="0.35">
      <c r="A81" s="28" t="s">
        <v>31</v>
      </c>
      <c r="B81" s="28" t="s">
        <v>46</v>
      </c>
      <c r="C81" s="28" t="s">
        <v>69</v>
      </c>
      <c r="D81" s="28" t="s">
        <v>90</v>
      </c>
      <c r="E81" s="28" t="s">
        <v>91</v>
      </c>
      <c r="F81" s="28" t="s">
        <v>92</v>
      </c>
      <c r="G81" s="28" t="s">
        <v>34</v>
      </c>
      <c r="H81" s="28" t="s">
        <v>52</v>
      </c>
      <c r="I81" s="28" t="s">
        <v>36</v>
      </c>
      <c r="J81" s="28" t="s">
        <v>56</v>
      </c>
      <c r="K81" s="28" t="s">
        <v>57</v>
      </c>
      <c r="L81" s="29">
        <v>-52099.089784615382</v>
      </c>
      <c r="M81" s="29">
        <v>-9270</v>
      </c>
      <c r="N81" s="29">
        <v>-21391.979030369228</v>
      </c>
      <c r="O81" s="29">
        <f t="shared" si="8"/>
        <v>-30707.110754246154</v>
      </c>
      <c r="P81" s="29">
        <v>-30707.11075424615</v>
      </c>
      <c r="Q81" s="29">
        <v>-30707.11075424615</v>
      </c>
      <c r="R81" s="29">
        <v>0</v>
      </c>
      <c r="S81" s="29">
        <f t="shared" si="9"/>
        <v>-30707.11075424615</v>
      </c>
      <c r="T81" s="29">
        <f t="shared" si="10"/>
        <v>0</v>
      </c>
      <c r="U81" s="29"/>
      <c r="V81" s="38"/>
      <c r="W81" s="20">
        <f t="shared" si="11"/>
        <v>0</v>
      </c>
    </row>
    <row r="82" spans="1:23" s="19" customFormat="1" ht="14.15" x14ac:dyDescent="0.35">
      <c r="A82" s="28" t="s">
        <v>31</v>
      </c>
      <c r="B82" s="28" t="s">
        <v>46</v>
      </c>
      <c r="C82" s="28" t="s">
        <v>69</v>
      </c>
      <c r="D82" s="28" t="s">
        <v>90</v>
      </c>
      <c r="E82" s="28" t="s">
        <v>91</v>
      </c>
      <c r="F82" s="28" t="s">
        <v>92</v>
      </c>
      <c r="G82" s="28" t="s">
        <v>34</v>
      </c>
      <c r="H82" s="28" t="s">
        <v>53</v>
      </c>
      <c r="I82" s="28" t="s">
        <v>36</v>
      </c>
      <c r="J82" s="28" t="s">
        <v>56</v>
      </c>
      <c r="K82" s="28" t="s">
        <v>57</v>
      </c>
      <c r="L82" s="29">
        <v>-535.3333794871794</v>
      </c>
      <c r="M82" s="29">
        <v>0</v>
      </c>
      <c r="N82" s="29">
        <v>0</v>
      </c>
      <c r="O82" s="29">
        <f t="shared" si="8"/>
        <v>-535.3333794871794</v>
      </c>
      <c r="P82" s="29">
        <v>-535.3333794871794</v>
      </c>
      <c r="Q82" s="29">
        <v>-535.3333794871794</v>
      </c>
      <c r="R82" s="29">
        <v>0</v>
      </c>
      <c r="S82" s="29">
        <f t="shared" si="9"/>
        <v>-535.3333794871794</v>
      </c>
      <c r="T82" s="29">
        <f t="shared" si="10"/>
        <v>0</v>
      </c>
      <c r="U82" s="29"/>
      <c r="V82" s="38"/>
      <c r="W82" s="20">
        <f t="shared" si="11"/>
        <v>0</v>
      </c>
    </row>
    <row r="83" spans="1:23" s="19" customFormat="1" ht="14.15" x14ac:dyDescent="0.35">
      <c r="A83" s="28" t="s">
        <v>31</v>
      </c>
      <c r="B83" s="28" t="s">
        <v>46</v>
      </c>
      <c r="C83" s="28" t="s">
        <v>69</v>
      </c>
      <c r="D83" s="28" t="s">
        <v>90</v>
      </c>
      <c r="E83" s="28" t="s">
        <v>91</v>
      </c>
      <c r="F83" s="28" t="s">
        <v>92</v>
      </c>
      <c r="G83" s="28" t="s">
        <v>34</v>
      </c>
      <c r="H83" s="28" t="s">
        <v>51</v>
      </c>
      <c r="I83" s="28" t="s">
        <v>36</v>
      </c>
      <c r="J83" s="28" t="s">
        <v>80</v>
      </c>
      <c r="K83" s="28" t="s">
        <v>81</v>
      </c>
      <c r="L83" s="29">
        <v>-307334.43</v>
      </c>
      <c r="M83" s="29">
        <v>0</v>
      </c>
      <c r="N83" s="29">
        <v>-307334.43</v>
      </c>
      <c r="O83" s="29">
        <f t="shared" si="8"/>
        <v>0</v>
      </c>
      <c r="P83" s="29">
        <v>0</v>
      </c>
      <c r="Q83" s="29">
        <v>0</v>
      </c>
      <c r="R83" s="29">
        <v>0</v>
      </c>
      <c r="S83" s="29">
        <f t="shared" si="9"/>
        <v>0</v>
      </c>
      <c r="T83" s="29">
        <f t="shared" si="10"/>
        <v>0</v>
      </c>
      <c r="U83" s="29"/>
      <c r="V83" s="39"/>
      <c r="W83" s="20">
        <f t="shared" si="11"/>
        <v>0</v>
      </c>
    </row>
    <row r="84" spans="1:23" s="19" customFormat="1" ht="14.15" x14ac:dyDescent="0.35">
      <c r="A84" s="28" t="s">
        <v>31</v>
      </c>
      <c r="B84" s="28" t="s">
        <v>46</v>
      </c>
      <c r="C84" s="28" t="s">
        <v>69</v>
      </c>
      <c r="D84" s="28" t="s">
        <v>90</v>
      </c>
      <c r="E84" s="28" t="s">
        <v>96</v>
      </c>
      <c r="F84" s="28" t="s">
        <v>97</v>
      </c>
      <c r="G84" s="28" t="s">
        <v>34</v>
      </c>
      <c r="H84" s="28" t="s">
        <v>93</v>
      </c>
      <c r="I84" s="28" t="s">
        <v>36</v>
      </c>
      <c r="J84" s="28" t="s">
        <v>40</v>
      </c>
      <c r="K84" s="28" t="s">
        <v>40</v>
      </c>
      <c r="L84" s="29">
        <v>-600</v>
      </c>
      <c r="M84" s="29">
        <v>-300</v>
      </c>
      <c r="N84" s="29">
        <v>-599.99999999999989</v>
      </c>
      <c r="O84" s="29">
        <f t="shared" si="8"/>
        <v>0</v>
      </c>
      <c r="P84" s="29">
        <v>0</v>
      </c>
      <c r="Q84" s="29">
        <v>0</v>
      </c>
      <c r="R84" s="29">
        <v>0</v>
      </c>
      <c r="S84" s="29">
        <f t="shared" si="9"/>
        <v>0</v>
      </c>
      <c r="T84" s="29">
        <f t="shared" si="10"/>
        <v>0</v>
      </c>
      <c r="U84" s="29"/>
      <c r="V84" s="42" t="s">
        <v>147</v>
      </c>
      <c r="W84" s="20">
        <f t="shared" si="11"/>
        <v>0</v>
      </c>
    </row>
    <row r="85" spans="1:23" s="19" customFormat="1" ht="14.15" customHeight="1" x14ac:dyDescent="0.35">
      <c r="A85" s="28" t="s">
        <v>31</v>
      </c>
      <c r="B85" s="28" t="s">
        <v>46</v>
      </c>
      <c r="C85" s="28" t="s">
        <v>69</v>
      </c>
      <c r="D85" s="28" t="s">
        <v>90</v>
      </c>
      <c r="E85" s="28" t="s">
        <v>96</v>
      </c>
      <c r="F85" s="28" t="s">
        <v>97</v>
      </c>
      <c r="G85" s="28" t="s">
        <v>34</v>
      </c>
      <c r="H85" s="28" t="s">
        <v>51</v>
      </c>
      <c r="I85" s="28" t="s">
        <v>36</v>
      </c>
      <c r="J85" s="28" t="s">
        <v>40</v>
      </c>
      <c r="K85" s="28" t="s">
        <v>40</v>
      </c>
      <c r="L85" s="29">
        <v>-297491.19363154203</v>
      </c>
      <c r="M85" s="29">
        <v>-297490.743843542</v>
      </c>
      <c r="N85" s="29">
        <v>-297490.71000000008</v>
      </c>
      <c r="O85" s="29">
        <f t="shared" si="8"/>
        <v>-0.48363154195249081</v>
      </c>
      <c r="P85" s="29">
        <v>-0.44978799999807961</v>
      </c>
      <c r="Q85" s="29">
        <v>0</v>
      </c>
      <c r="R85" s="29">
        <v>0</v>
      </c>
      <c r="S85" s="29">
        <f t="shared" si="9"/>
        <v>0</v>
      </c>
      <c r="T85" s="29">
        <f t="shared" si="10"/>
        <v>-0.44978799999807961</v>
      </c>
      <c r="U85" s="29"/>
      <c r="V85" s="41"/>
      <c r="W85" s="20">
        <f t="shared" si="11"/>
        <v>-3.3843541954411194E-2</v>
      </c>
    </row>
    <row r="86" spans="1:23" s="19" customFormat="1" ht="14.15" customHeight="1" x14ac:dyDescent="0.35">
      <c r="A86" s="28" t="s">
        <v>31</v>
      </c>
      <c r="B86" s="28" t="s">
        <v>46</v>
      </c>
      <c r="C86" s="28" t="s">
        <v>69</v>
      </c>
      <c r="D86" s="28" t="s">
        <v>90</v>
      </c>
      <c r="E86" s="28" t="s">
        <v>96</v>
      </c>
      <c r="F86" s="28" t="s">
        <v>97</v>
      </c>
      <c r="G86" s="28" t="s">
        <v>34</v>
      </c>
      <c r="H86" s="28" t="s">
        <v>52</v>
      </c>
      <c r="I86" s="28" t="s">
        <v>36</v>
      </c>
      <c r="J86" s="28" t="s">
        <v>40</v>
      </c>
      <c r="K86" s="28" t="s">
        <v>40</v>
      </c>
      <c r="L86" s="29">
        <v>-346194.90749041579</v>
      </c>
      <c r="M86" s="29">
        <v>0</v>
      </c>
      <c r="N86" s="29">
        <v>-335252.74768117332</v>
      </c>
      <c r="O86" s="29">
        <f t="shared" si="8"/>
        <v>-10942.159809242468</v>
      </c>
      <c r="P86" s="29">
        <v>-10942.159809242497</v>
      </c>
      <c r="Q86" s="29">
        <v>0</v>
      </c>
      <c r="R86" s="29">
        <v>0</v>
      </c>
      <c r="S86" s="29">
        <f t="shared" si="9"/>
        <v>0</v>
      </c>
      <c r="T86" s="29">
        <f t="shared" si="10"/>
        <v>-10942.159809242497</v>
      </c>
      <c r="U86" s="29"/>
      <c r="V86" s="41"/>
      <c r="W86" s="20">
        <f t="shared" si="11"/>
        <v>2.9103830456733704E-11</v>
      </c>
    </row>
    <row r="87" spans="1:23" s="19" customFormat="1" ht="14.15" customHeight="1" x14ac:dyDescent="0.35">
      <c r="A87" s="28" t="s">
        <v>31</v>
      </c>
      <c r="B87" s="28" t="s">
        <v>46</v>
      </c>
      <c r="C87" s="28" t="s">
        <v>69</v>
      </c>
      <c r="D87" s="28" t="s">
        <v>90</v>
      </c>
      <c r="E87" s="28" t="s">
        <v>96</v>
      </c>
      <c r="F87" s="28" t="s">
        <v>97</v>
      </c>
      <c r="G87" s="28" t="s">
        <v>34</v>
      </c>
      <c r="H87" s="28" t="s">
        <v>53</v>
      </c>
      <c r="I87" s="28" t="s">
        <v>36</v>
      </c>
      <c r="J87" s="28" t="s">
        <v>40</v>
      </c>
      <c r="K87" s="28" t="s">
        <v>40</v>
      </c>
      <c r="L87" s="29">
        <f>-106507.240083434-2147.657</f>
        <v>-108654.897083434</v>
      </c>
      <c r="M87" s="29">
        <v>0</v>
      </c>
      <c r="N87" s="29">
        <v>-93660.300379386637</v>
      </c>
      <c r="O87" s="29">
        <f t="shared" si="8"/>
        <v>-14994.596704047362</v>
      </c>
      <c r="P87" s="29">
        <f>-12846.9397040469-2147.657</f>
        <v>-14994.5967040469</v>
      </c>
      <c r="Q87" s="29">
        <v>0</v>
      </c>
      <c r="R87" s="29">
        <v>0</v>
      </c>
      <c r="S87" s="29">
        <f t="shared" si="9"/>
        <v>0</v>
      </c>
      <c r="T87" s="29">
        <f t="shared" si="10"/>
        <v>-14994.5967040469</v>
      </c>
      <c r="U87" s="29"/>
      <c r="V87" s="41"/>
      <c r="W87" s="20">
        <f t="shared" si="11"/>
        <v>-4.6202330850064754E-10</v>
      </c>
    </row>
    <row r="88" spans="1:23" s="19" customFormat="1" ht="14.15" customHeight="1" x14ac:dyDescent="0.35">
      <c r="A88" s="28" t="s">
        <v>31</v>
      </c>
      <c r="B88" s="28" t="s">
        <v>46</v>
      </c>
      <c r="C88" s="28" t="s">
        <v>69</v>
      </c>
      <c r="D88" s="28" t="s">
        <v>90</v>
      </c>
      <c r="E88" s="28" t="s">
        <v>96</v>
      </c>
      <c r="F88" s="28" t="s">
        <v>97</v>
      </c>
      <c r="G88" s="28" t="s">
        <v>34</v>
      </c>
      <c r="H88" s="28" t="s">
        <v>52</v>
      </c>
      <c r="I88" s="28" t="s">
        <v>36</v>
      </c>
      <c r="J88" s="28" t="s">
        <v>56</v>
      </c>
      <c r="K88" s="28" t="s">
        <v>57</v>
      </c>
      <c r="L88" s="29">
        <v>-13640.376446153845</v>
      </c>
      <c r="M88" s="29">
        <v>-1606</v>
      </c>
      <c r="N88" s="29">
        <v>-6047.3765604</v>
      </c>
      <c r="O88" s="29">
        <f t="shared" si="8"/>
        <v>-7592.9998857538449</v>
      </c>
      <c r="P88" s="29">
        <v>-7592.9998857538458</v>
      </c>
      <c r="Q88" s="29">
        <v>-7592.9998857538458</v>
      </c>
      <c r="R88" s="29">
        <v>0</v>
      </c>
      <c r="S88" s="29">
        <f t="shared" si="9"/>
        <v>-7592.9998857538458</v>
      </c>
      <c r="T88" s="29">
        <f t="shared" si="10"/>
        <v>0</v>
      </c>
      <c r="U88" s="29"/>
      <c r="V88" s="41"/>
      <c r="W88" s="20">
        <f t="shared" si="11"/>
        <v>0</v>
      </c>
    </row>
    <row r="89" spans="1:23" s="19" customFormat="1" ht="14.15" customHeight="1" x14ac:dyDescent="0.35">
      <c r="A89" s="28" t="s">
        <v>31</v>
      </c>
      <c r="B89" s="28" t="s">
        <v>46</v>
      </c>
      <c r="C89" s="28" t="s">
        <v>69</v>
      </c>
      <c r="D89" s="28" t="s">
        <v>90</v>
      </c>
      <c r="E89" s="28" t="s">
        <v>96</v>
      </c>
      <c r="F89" s="28" t="s">
        <v>97</v>
      </c>
      <c r="G89" s="28" t="s">
        <v>34</v>
      </c>
      <c r="H89" s="28" t="s">
        <v>53</v>
      </c>
      <c r="I89" s="28" t="s">
        <v>36</v>
      </c>
      <c r="J89" s="28" t="s">
        <v>56</v>
      </c>
      <c r="K89" s="28" t="s">
        <v>57</v>
      </c>
      <c r="L89" s="29">
        <v>-152.95359487179485</v>
      </c>
      <c r="M89" s="29">
        <v>0</v>
      </c>
      <c r="N89" s="29">
        <v>0</v>
      </c>
      <c r="O89" s="29">
        <f t="shared" si="8"/>
        <v>-152.95359487179485</v>
      </c>
      <c r="P89" s="29">
        <v>-152.95359487179485</v>
      </c>
      <c r="Q89" s="29">
        <v>-152.95359487179485</v>
      </c>
      <c r="R89" s="29">
        <v>0</v>
      </c>
      <c r="S89" s="29">
        <f t="shared" si="9"/>
        <v>-152.95359487179485</v>
      </c>
      <c r="T89" s="29">
        <f t="shared" si="10"/>
        <v>0</v>
      </c>
      <c r="U89" s="29"/>
      <c r="V89" s="41"/>
      <c r="W89" s="20">
        <f t="shared" si="11"/>
        <v>0</v>
      </c>
    </row>
    <row r="90" spans="1:23" s="19" customFormat="1" ht="14.15" customHeight="1" x14ac:dyDescent="0.35">
      <c r="A90" s="28" t="s">
        <v>31</v>
      </c>
      <c r="B90" s="28" t="s">
        <v>46</v>
      </c>
      <c r="C90" s="28" t="s">
        <v>69</v>
      </c>
      <c r="D90" s="28" t="s">
        <v>70</v>
      </c>
      <c r="E90" s="28" t="s">
        <v>71</v>
      </c>
      <c r="F90" s="28" t="s">
        <v>72</v>
      </c>
      <c r="G90" s="28" t="s">
        <v>34</v>
      </c>
      <c r="H90" s="28" t="s">
        <v>51</v>
      </c>
      <c r="I90" s="28" t="s">
        <v>36</v>
      </c>
      <c r="J90" s="28" t="s">
        <v>40</v>
      </c>
      <c r="K90" s="28" t="s">
        <v>40</v>
      </c>
      <c r="L90" s="29">
        <v>-16433493.569359072</v>
      </c>
      <c r="M90" s="29">
        <v>-3915213.170259071</v>
      </c>
      <c r="N90" s="29">
        <v>-12979258.479800001</v>
      </c>
      <c r="O90" s="29">
        <f t="shared" si="8"/>
        <v>-3454235.0895590708</v>
      </c>
      <c r="P90" s="29">
        <v>-3454235.0895590708</v>
      </c>
      <c r="Q90" s="29">
        <v>-3454235.0895590708</v>
      </c>
      <c r="R90" s="29">
        <v>0</v>
      </c>
      <c r="S90" s="29">
        <f t="shared" si="9"/>
        <v>-3454235.0895590708</v>
      </c>
      <c r="T90" s="29">
        <f t="shared" si="10"/>
        <v>0</v>
      </c>
      <c r="U90" s="29"/>
      <c r="V90" s="43" t="s">
        <v>148</v>
      </c>
      <c r="W90" s="20">
        <f t="shared" si="11"/>
        <v>0</v>
      </c>
    </row>
    <row r="91" spans="1:23" s="19" customFormat="1" ht="14.15" customHeight="1" x14ac:dyDescent="0.35">
      <c r="A91" s="28" t="s">
        <v>31</v>
      </c>
      <c r="B91" s="28" t="s">
        <v>46</v>
      </c>
      <c r="C91" s="28" t="s">
        <v>69</v>
      </c>
      <c r="D91" s="28" t="s">
        <v>70</v>
      </c>
      <c r="E91" s="28" t="s">
        <v>71</v>
      </c>
      <c r="F91" s="28" t="s">
        <v>72</v>
      </c>
      <c r="G91" s="28" t="s">
        <v>34</v>
      </c>
      <c r="H91" s="28" t="s">
        <v>52</v>
      </c>
      <c r="I91" s="28" t="s">
        <v>36</v>
      </c>
      <c r="J91" s="28" t="s">
        <v>40</v>
      </c>
      <c r="K91" s="28" t="s">
        <v>40</v>
      </c>
      <c r="L91" s="29">
        <v>-1053183.2619473923</v>
      </c>
      <c r="M91" s="29">
        <v>-28000</v>
      </c>
      <c r="N91" s="29">
        <v>-900811.68014651281</v>
      </c>
      <c r="O91" s="29">
        <f t="shared" si="8"/>
        <v>-152371.58180087944</v>
      </c>
      <c r="P91" s="29">
        <v>-152371.58180087944</v>
      </c>
      <c r="Q91" s="29">
        <v>-152371.58180087944</v>
      </c>
      <c r="R91" s="29">
        <v>0</v>
      </c>
      <c r="S91" s="29">
        <f t="shared" si="9"/>
        <v>-152371.58180087944</v>
      </c>
      <c r="T91" s="29">
        <f t="shared" si="10"/>
        <v>0</v>
      </c>
      <c r="U91" s="29"/>
      <c r="V91" s="36"/>
      <c r="W91" s="20">
        <f t="shared" si="11"/>
        <v>0</v>
      </c>
    </row>
    <row r="92" spans="1:23" s="19" customFormat="1" ht="14.15" customHeight="1" x14ac:dyDescent="0.35">
      <c r="A92" s="28" t="s">
        <v>31</v>
      </c>
      <c r="B92" s="28" t="s">
        <v>46</v>
      </c>
      <c r="C92" s="28" t="s">
        <v>69</v>
      </c>
      <c r="D92" s="28" t="s">
        <v>70</v>
      </c>
      <c r="E92" s="28" t="s">
        <v>71</v>
      </c>
      <c r="F92" s="28" t="s">
        <v>72</v>
      </c>
      <c r="G92" s="28" t="s">
        <v>34</v>
      </c>
      <c r="H92" s="28" t="s">
        <v>53</v>
      </c>
      <c r="I92" s="28" t="s">
        <v>36</v>
      </c>
      <c r="J92" s="28" t="s">
        <v>40</v>
      </c>
      <c r="K92" s="28" t="s">
        <v>40</v>
      </c>
      <c r="L92" s="29">
        <f>-453052.746036402-10756.883</f>
        <v>-463809.62903640198</v>
      </c>
      <c r="M92" s="29">
        <v>-147717</v>
      </c>
      <c r="N92" s="29">
        <v>-195804.17572079482</v>
      </c>
      <c r="O92" s="29">
        <f t="shared" si="8"/>
        <v>-268005.45331560716</v>
      </c>
      <c r="P92" s="29">
        <f>-257248.570315607-10756.883</f>
        <v>-268005.45331560698</v>
      </c>
      <c r="Q92" s="29">
        <f>-268005.45</f>
        <v>-268005.45</v>
      </c>
      <c r="R92" s="29">
        <v>0</v>
      </c>
      <c r="S92" s="29">
        <f t="shared" si="9"/>
        <v>-268005.45</v>
      </c>
      <c r="T92" s="29">
        <f t="shared" si="10"/>
        <v>-3.3156069694086909E-3</v>
      </c>
      <c r="U92" s="29"/>
      <c r="V92" s="36"/>
      <c r="W92" s="20">
        <f t="shared" si="11"/>
        <v>0</v>
      </c>
    </row>
    <row r="93" spans="1:23" s="19" customFormat="1" ht="14.15" customHeight="1" x14ac:dyDescent="0.35">
      <c r="A93" s="28" t="s">
        <v>31</v>
      </c>
      <c r="B93" s="28" t="s">
        <v>46</v>
      </c>
      <c r="C93" s="28" t="s">
        <v>69</v>
      </c>
      <c r="D93" s="28" t="s">
        <v>70</v>
      </c>
      <c r="E93" s="28" t="s">
        <v>71</v>
      </c>
      <c r="F93" s="28" t="s">
        <v>72</v>
      </c>
      <c r="G93" s="28" t="s">
        <v>34</v>
      </c>
      <c r="H93" s="28" t="s">
        <v>51</v>
      </c>
      <c r="I93" s="28" t="s">
        <v>36</v>
      </c>
      <c r="J93" s="28" t="s">
        <v>54</v>
      </c>
      <c r="K93" s="28" t="s">
        <v>55</v>
      </c>
      <c r="L93" s="29">
        <v>-36531.317136219994</v>
      </c>
      <c r="M93" s="29">
        <v>-13573.95093904</v>
      </c>
      <c r="N93" s="29">
        <v>-27999.999999999996</v>
      </c>
      <c r="O93" s="29">
        <f t="shared" si="8"/>
        <v>-8531.3171362199973</v>
      </c>
      <c r="P93" s="29">
        <v>-8531.317136220001</v>
      </c>
      <c r="Q93" s="29">
        <v>-8531.317136220001</v>
      </c>
      <c r="R93" s="29">
        <v>0</v>
      </c>
      <c r="S93" s="29">
        <f t="shared" si="9"/>
        <v>-8531.317136220001</v>
      </c>
      <c r="T93" s="29">
        <f t="shared" si="10"/>
        <v>0</v>
      </c>
      <c r="U93" s="29"/>
      <c r="V93" s="36"/>
      <c r="W93" s="20">
        <f t="shared" si="11"/>
        <v>0</v>
      </c>
    </row>
    <row r="94" spans="1:23" s="19" customFormat="1" ht="14.15" customHeight="1" x14ac:dyDescent="0.35">
      <c r="A94" s="28" t="s">
        <v>31</v>
      </c>
      <c r="B94" s="28" t="s">
        <v>46</v>
      </c>
      <c r="C94" s="28" t="s">
        <v>69</v>
      </c>
      <c r="D94" s="28" t="s">
        <v>70</v>
      </c>
      <c r="E94" s="28" t="s">
        <v>71</v>
      </c>
      <c r="F94" s="28" t="s">
        <v>72</v>
      </c>
      <c r="G94" s="28" t="s">
        <v>34</v>
      </c>
      <c r="H94" s="28" t="s">
        <v>51</v>
      </c>
      <c r="I94" s="28" t="s">
        <v>36</v>
      </c>
      <c r="J94" s="28" t="s">
        <v>56</v>
      </c>
      <c r="K94" s="28" t="s">
        <v>57</v>
      </c>
      <c r="L94" s="29">
        <v>-44799.70996</v>
      </c>
      <c r="M94" s="29">
        <v>-30802.36996</v>
      </c>
      <c r="N94" s="29">
        <v>-4260.2918399999999</v>
      </c>
      <c r="O94" s="29">
        <f t="shared" si="8"/>
        <v>-40539.418120000002</v>
      </c>
      <c r="P94" s="29">
        <v>-13997.34</v>
      </c>
      <c r="Q94" s="29">
        <v>-13997.34</v>
      </c>
      <c r="R94" s="29">
        <v>0</v>
      </c>
      <c r="S94" s="29">
        <f t="shared" si="9"/>
        <v>-13997.34</v>
      </c>
      <c r="T94" s="29">
        <f t="shared" si="10"/>
        <v>0</v>
      </c>
      <c r="U94" s="29"/>
      <c r="V94" s="36"/>
      <c r="W94" s="20">
        <f t="shared" si="11"/>
        <v>-26542.078120000002</v>
      </c>
    </row>
    <row r="95" spans="1:23" s="19" customFormat="1" ht="14.15" customHeight="1" x14ac:dyDescent="0.35">
      <c r="A95" s="28" t="s">
        <v>31</v>
      </c>
      <c r="B95" s="28" t="s">
        <v>46</v>
      </c>
      <c r="C95" s="28" t="s">
        <v>69</v>
      </c>
      <c r="D95" s="28" t="s">
        <v>70</v>
      </c>
      <c r="E95" s="28" t="s">
        <v>71</v>
      </c>
      <c r="F95" s="28" t="s">
        <v>72</v>
      </c>
      <c r="G95" s="28" t="s">
        <v>34</v>
      </c>
      <c r="H95" s="28" t="s">
        <v>52</v>
      </c>
      <c r="I95" s="28" t="s">
        <v>36</v>
      </c>
      <c r="J95" s="28" t="s">
        <v>56</v>
      </c>
      <c r="K95" s="28" t="s">
        <v>57</v>
      </c>
      <c r="L95" s="29">
        <v>-28338.97283846153</v>
      </c>
      <c r="M95" s="29">
        <v>-13537.999899999999</v>
      </c>
      <c r="N95" s="29">
        <v>-17490.758375230769</v>
      </c>
      <c r="O95" s="29">
        <f t="shared" si="8"/>
        <v>-10848.214463230761</v>
      </c>
      <c r="P95" s="29">
        <v>-10848.214463230765</v>
      </c>
      <c r="Q95" s="29">
        <v>-10848.214463230765</v>
      </c>
      <c r="R95" s="29">
        <v>0</v>
      </c>
      <c r="S95" s="29">
        <f t="shared" si="9"/>
        <v>-10848.214463230765</v>
      </c>
      <c r="T95" s="29">
        <f t="shared" si="10"/>
        <v>0</v>
      </c>
      <c r="U95" s="29"/>
      <c r="V95" s="36"/>
      <c r="W95" s="20">
        <f t="shared" si="11"/>
        <v>0</v>
      </c>
    </row>
    <row r="96" spans="1:23" s="19" customFormat="1" ht="14.15" x14ac:dyDescent="0.35">
      <c r="A96" s="28" t="s">
        <v>31</v>
      </c>
      <c r="B96" s="28" t="s">
        <v>46</v>
      </c>
      <c r="C96" s="28" t="s">
        <v>69</v>
      </c>
      <c r="D96" s="28" t="s">
        <v>70</v>
      </c>
      <c r="E96" s="28" t="s">
        <v>71</v>
      </c>
      <c r="F96" s="28" t="s">
        <v>72</v>
      </c>
      <c r="G96" s="28" t="s">
        <v>34</v>
      </c>
      <c r="H96" s="28" t="s">
        <v>53</v>
      </c>
      <c r="I96" s="28" t="s">
        <v>36</v>
      </c>
      <c r="J96" s="28" t="s">
        <v>56</v>
      </c>
      <c r="K96" s="28" t="s">
        <v>57</v>
      </c>
      <c r="L96" s="29">
        <v>-458.86078461538455</v>
      </c>
      <c r="M96" s="29">
        <v>0</v>
      </c>
      <c r="N96" s="29">
        <v>0</v>
      </c>
      <c r="O96" s="29">
        <f t="shared" si="8"/>
        <v>-458.86078461538455</v>
      </c>
      <c r="P96" s="29">
        <v>-458.86078461538455</v>
      </c>
      <c r="Q96" s="29">
        <v>-458.86078461538455</v>
      </c>
      <c r="R96" s="29">
        <v>0</v>
      </c>
      <c r="S96" s="29">
        <f t="shared" si="9"/>
        <v>-458.86078461538455</v>
      </c>
      <c r="T96" s="29">
        <f t="shared" si="10"/>
        <v>0</v>
      </c>
      <c r="U96" s="29"/>
      <c r="V96" s="39"/>
      <c r="W96" s="20">
        <f t="shared" si="11"/>
        <v>0</v>
      </c>
    </row>
    <row r="97" spans="1:24" s="19" customFormat="1" ht="14.15" x14ac:dyDescent="0.35">
      <c r="A97" s="28" t="s">
        <v>31</v>
      </c>
      <c r="B97" s="28" t="s">
        <v>46</v>
      </c>
      <c r="C97" s="28" t="s">
        <v>69</v>
      </c>
      <c r="D97" s="28" t="s">
        <v>70</v>
      </c>
      <c r="E97" s="28" t="s">
        <v>73</v>
      </c>
      <c r="F97" s="28" t="s">
        <v>74</v>
      </c>
      <c r="G97" s="28" t="s">
        <v>34</v>
      </c>
      <c r="H97" s="28" t="s">
        <v>51</v>
      </c>
      <c r="I97" s="28" t="s">
        <v>36</v>
      </c>
      <c r="J97" s="31" t="s">
        <v>75</v>
      </c>
      <c r="K97" s="31" t="s">
        <v>76</v>
      </c>
      <c r="L97" s="29">
        <v>-2799999.9998899996</v>
      </c>
      <c r="M97" s="29">
        <v>-1499999.9999899999</v>
      </c>
      <c r="N97" s="29">
        <v>-420355.83999999997</v>
      </c>
      <c r="O97" s="29">
        <f t="shared" si="8"/>
        <v>-2379644.1598899998</v>
      </c>
      <c r="P97" s="29">
        <v>-1299999.9998999999</v>
      </c>
      <c r="Q97" s="29">
        <v>0</v>
      </c>
      <c r="R97" s="29">
        <v>-1300000</v>
      </c>
      <c r="S97" s="29">
        <f t="shared" si="9"/>
        <v>-1300000</v>
      </c>
      <c r="T97" s="29">
        <f t="shared" si="10"/>
        <v>1.0000006295740604E-4</v>
      </c>
      <c r="U97" s="29"/>
      <c r="V97" s="44" t="s">
        <v>149</v>
      </c>
      <c r="W97" s="20">
        <f t="shared" si="11"/>
        <v>-1079644.1599899998</v>
      </c>
      <c r="X97" s="23"/>
    </row>
    <row r="98" spans="1:24" s="19" customFormat="1" ht="14.15" x14ac:dyDescent="0.35">
      <c r="A98" s="28" t="s">
        <v>31</v>
      </c>
      <c r="B98" s="28" t="s">
        <v>46</v>
      </c>
      <c r="C98" s="28" t="s">
        <v>69</v>
      </c>
      <c r="D98" s="28" t="s">
        <v>70</v>
      </c>
      <c r="E98" s="28" t="s">
        <v>73</v>
      </c>
      <c r="F98" s="28" t="s">
        <v>74</v>
      </c>
      <c r="G98" s="28" t="s">
        <v>34</v>
      </c>
      <c r="H98" s="28" t="s">
        <v>51</v>
      </c>
      <c r="I98" s="28" t="s">
        <v>36</v>
      </c>
      <c r="J98" s="28" t="s">
        <v>40</v>
      </c>
      <c r="K98" s="28" t="s">
        <v>40</v>
      </c>
      <c r="L98" s="29">
        <v>-6958835.9602603987</v>
      </c>
      <c r="M98" s="29">
        <v>-655217.76046039897</v>
      </c>
      <c r="N98" s="29">
        <v>-4881412.5999999996</v>
      </c>
      <c r="O98" s="29">
        <f t="shared" si="8"/>
        <v>-2077423.3602603991</v>
      </c>
      <c r="P98" s="29">
        <v>-2077423.3602603986</v>
      </c>
      <c r="Q98" s="29">
        <f>-1877423-200000</f>
        <v>-2077423</v>
      </c>
      <c r="R98" s="29">
        <v>0</v>
      </c>
      <c r="S98" s="29">
        <f t="shared" si="9"/>
        <v>-2077423</v>
      </c>
      <c r="T98" s="29">
        <f t="shared" si="10"/>
        <v>-0.3602603985927999</v>
      </c>
      <c r="U98" s="29"/>
      <c r="V98" s="45"/>
      <c r="W98" s="20">
        <f t="shared" si="11"/>
        <v>0</v>
      </c>
    </row>
    <row r="99" spans="1:24" s="19" customFormat="1" ht="14.15" x14ac:dyDescent="0.35">
      <c r="A99" s="28" t="s">
        <v>31</v>
      </c>
      <c r="B99" s="28" t="s">
        <v>46</v>
      </c>
      <c r="C99" s="28" t="s">
        <v>69</v>
      </c>
      <c r="D99" s="28" t="s">
        <v>70</v>
      </c>
      <c r="E99" s="28" t="s">
        <v>73</v>
      </c>
      <c r="F99" s="28" t="s">
        <v>74</v>
      </c>
      <c r="G99" s="28" t="s">
        <v>34</v>
      </c>
      <c r="H99" s="28" t="s">
        <v>52</v>
      </c>
      <c r="I99" s="28" t="s">
        <v>36</v>
      </c>
      <c r="J99" s="28" t="s">
        <v>40</v>
      </c>
      <c r="K99" s="28" t="s">
        <v>40</v>
      </c>
      <c r="L99" s="29">
        <v>-501464.46082323516</v>
      </c>
      <c r="M99" s="29">
        <v>-201827</v>
      </c>
      <c r="N99" s="29">
        <v>-238872.57532037207</v>
      </c>
      <c r="O99" s="29">
        <f t="shared" si="8"/>
        <v>-262591.88550286309</v>
      </c>
      <c r="P99" s="29">
        <v>-262591.88550286304</v>
      </c>
      <c r="Q99" s="29">
        <v>-262591.88550286304</v>
      </c>
      <c r="R99" s="29">
        <v>0</v>
      </c>
      <c r="S99" s="29">
        <f t="shared" si="9"/>
        <v>-262591.88550286304</v>
      </c>
      <c r="T99" s="29">
        <f t="shared" si="10"/>
        <v>0</v>
      </c>
      <c r="U99" s="29"/>
      <c r="V99" s="45"/>
      <c r="W99" s="20">
        <f t="shared" si="11"/>
        <v>0</v>
      </c>
    </row>
    <row r="100" spans="1:24" s="19" customFormat="1" ht="14.15" x14ac:dyDescent="0.35">
      <c r="A100" s="28" t="s">
        <v>31</v>
      </c>
      <c r="B100" s="28" t="s">
        <v>46</v>
      </c>
      <c r="C100" s="28" t="s">
        <v>69</v>
      </c>
      <c r="D100" s="28" t="s">
        <v>70</v>
      </c>
      <c r="E100" s="28" t="s">
        <v>73</v>
      </c>
      <c r="F100" s="28" t="s">
        <v>74</v>
      </c>
      <c r="G100" s="28" t="s">
        <v>34</v>
      </c>
      <c r="H100" s="28" t="s">
        <v>53</v>
      </c>
      <c r="I100" s="28" t="s">
        <v>36</v>
      </c>
      <c r="J100" s="28" t="s">
        <v>40</v>
      </c>
      <c r="K100" s="28" t="s">
        <v>40</v>
      </c>
      <c r="L100" s="29">
        <f>-66059.5932025045-2566.478</f>
        <v>-68626.071202504507</v>
      </c>
      <c r="M100" s="29">
        <v>0</v>
      </c>
      <c r="N100" s="29">
        <v>-38289.435717297172</v>
      </c>
      <c r="O100" s="29">
        <f t="shared" si="8"/>
        <v>-30336.635485207335</v>
      </c>
      <c r="P100" s="29">
        <f>-27770.1574852073-2566.478</f>
        <v>-30336.635485207298</v>
      </c>
      <c r="Q100" s="29">
        <f>-27770.1574852073-2566.478</f>
        <v>-30336.635485207298</v>
      </c>
      <c r="R100" s="29">
        <v>0</v>
      </c>
      <c r="S100" s="29">
        <f t="shared" si="9"/>
        <v>-30336.635485207298</v>
      </c>
      <c r="T100" s="29">
        <f t="shared" si="10"/>
        <v>0</v>
      </c>
      <c r="U100" s="29"/>
      <c r="V100" s="45"/>
      <c r="W100" s="20">
        <f t="shared" si="11"/>
        <v>-3.637978807091713E-11</v>
      </c>
    </row>
    <row r="101" spans="1:24" s="19" customFormat="1" ht="14.15" x14ac:dyDescent="0.35">
      <c r="A101" s="28" t="s">
        <v>31</v>
      </c>
      <c r="B101" s="28" t="s">
        <v>46</v>
      </c>
      <c r="C101" s="28" t="s">
        <v>69</v>
      </c>
      <c r="D101" s="28" t="s">
        <v>70</v>
      </c>
      <c r="E101" s="28" t="s">
        <v>73</v>
      </c>
      <c r="F101" s="28" t="s">
        <v>74</v>
      </c>
      <c r="G101" s="28" t="s">
        <v>34</v>
      </c>
      <c r="H101" s="28" t="s">
        <v>52</v>
      </c>
      <c r="I101" s="28" t="s">
        <v>36</v>
      </c>
      <c r="J101" s="28" t="s">
        <v>56</v>
      </c>
      <c r="K101" s="28" t="s">
        <v>57</v>
      </c>
      <c r="L101" s="29">
        <v>-14065.657646153846</v>
      </c>
      <c r="M101" s="29">
        <v>-9132</v>
      </c>
      <c r="N101" s="29">
        <v>-5041.121224316923</v>
      </c>
      <c r="O101" s="29">
        <f t="shared" si="8"/>
        <v>-9024.5364218369232</v>
      </c>
      <c r="P101" s="29">
        <v>-4933.6576461538452</v>
      </c>
      <c r="Q101" s="29">
        <v>-4933.6576461538452</v>
      </c>
      <c r="R101" s="29">
        <v>0</v>
      </c>
      <c r="S101" s="29">
        <f t="shared" si="9"/>
        <v>-4933.6576461538452</v>
      </c>
      <c r="T101" s="29">
        <f t="shared" si="10"/>
        <v>0</v>
      </c>
      <c r="U101" s="29"/>
      <c r="V101" s="45"/>
      <c r="W101" s="20">
        <f t="shared" si="11"/>
        <v>-4090.8787756830779</v>
      </c>
    </row>
    <row r="102" spans="1:24" s="19" customFormat="1" ht="14.15" x14ac:dyDescent="0.35">
      <c r="A102" s="28" t="s">
        <v>31</v>
      </c>
      <c r="B102" s="28" t="s">
        <v>46</v>
      </c>
      <c r="C102" s="28" t="s">
        <v>69</v>
      </c>
      <c r="D102" s="28" t="s">
        <v>70</v>
      </c>
      <c r="E102" s="28" t="s">
        <v>73</v>
      </c>
      <c r="F102" s="28" t="s">
        <v>74</v>
      </c>
      <c r="G102" s="28" t="s">
        <v>34</v>
      </c>
      <c r="H102" s="28" t="s">
        <v>53</v>
      </c>
      <c r="I102" s="28" t="s">
        <v>36</v>
      </c>
      <c r="J102" s="28" t="s">
        <v>56</v>
      </c>
      <c r="K102" s="28" t="s">
        <v>57</v>
      </c>
      <c r="L102" s="29">
        <v>-152.95359487179488</v>
      </c>
      <c r="M102" s="29">
        <v>0</v>
      </c>
      <c r="N102" s="29">
        <v>0</v>
      </c>
      <c r="O102" s="29">
        <f t="shared" si="8"/>
        <v>-152.95359487179488</v>
      </c>
      <c r="P102" s="29">
        <v>-152.95359487179488</v>
      </c>
      <c r="Q102" s="29">
        <v>-152.95359487179488</v>
      </c>
      <c r="R102" s="29">
        <v>0</v>
      </c>
      <c r="S102" s="29">
        <f t="shared" si="9"/>
        <v>-152.95359487179488</v>
      </c>
      <c r="T102" s="29">
        <f t="shared" si="10"/>
        <v>0</v>
      </c>
      <c r="U102" s="29"/>
      <c r="V102" s="46"/>
      <c r="W102" s="20">
        <f t="shared" si="11"/>
        <v>0</v>
      </c>
    </row>
    <row r="103" spans="1:24" s="19" customFormat="1" ht="14.15" x14ac:dyDescent="0.35">
      <c r="A103" s="28" t="s">
        <v>31</v>
      </c>
      <c r="B103" s="28" t="s">
        <v>46</v>
      </c>
      <c r="C103" s="28" t="s">
        <v>69</v>
      </c>
      <c r="D103" s="28" t="s">
        <v>70</v>
      </c>
      <c r="E103" s="28" t="s">
        <v>77</v>
      </c>
      <c r="F103" s="28" t="s">
        <v>78</v>
      </c>
      <c r="G103" s="28" t="s">
        <v>34</v>
      </c>
      <c r="H103" s="28" t="s">
        <v>51</v>
      </c>
      <c r="I103" s="28" t="s">
        <v>36</v>
      </c>
      <c r="J103" s="28" t="s">
        <v>40</v>
      </c>
      <c r="K103" s="28" t="s">
        <v>40</v>
      </c>
      <c r="L103" s="29">
        <v>-19280725.169300001</v>
      </c>
      <c r="M103" s="29">
        <v>-3192088.9699999997</v>
      </c>
      <c r="N103" s="29">
        <v>-15613026.800000001</v>
      </c>
      <c r="O103" s="29">
        <f t="shared" si="8"/>
        <v>-3667698.3693000004</v>
      </c>
      <c r="P103" s="29">
        <v>-3667698.3692999985</v>
      </c>
      <c r="Q103" s="29">
        <v>-3667698.3692999985</v>
      </c>
      <c r="R103" s="29">
        <v>0</v>
      </c>
      <c r="S103" s="29">
        <f t="shared" si="9"/>
        <v>-3667698.3692999985</v>
      </c>
      <c r="T103" s="29">
        <f t="shared" si="10"/>
        <v>0</v>
      </c>
      <c r="U103" s="29"/>
      <c r="V103" s="35" t="s">
        <v>150</v>
      </c>
      <c r="W103" s="20">
        <f t="shared" si="11"/>
        <v>0</v>
      </c>
    </row>
    <row r="104" spans="1:24" s="19" customFormat="1" ht="14.15" x14ac:dyDescent="0.35">
      <c r="A104" s="28" t="s">
        <v>31</v>
      </c>
      <c r="B104" s="28" t="s">
        <v>46</v>
      </c>
      <c r="C104" s="28" t="s">
        <v>69</v>
      </c>
      <c r="D104" s="28" t="s">
        <v>70</v>
      </c>
      <c r="E104" s="28" t="s">
        <v>77</v>
      </c>
      <c r="F104" s="28" t="s">
        <v>78</v>
      </c>
      <c r="G104" s="28" t="s">
        <v>34</v>
      </c>
      <c r="H104" s="28" t="s">
        <v>52</v>
      </c>
      <c r="I104" s="28" t="s">
        <v>36</v>
      </c>
      <c r="J104" s="28" t="s">
        <v>40</v>
      </c>
      <c r="K104" s="28" t="s">
        <v>40</v>
      </c>
      <c r="L104" s="29">
        <v>-1283858.9553451939</v>
      </c>
      <c r="M104" s="29">
        <v>-154509</v>
      </c>
      <c r="N104" s="29">
        <v>-1139349.5831140766</v>
      </c>
      <c r="O104" s="29">
        <f t="shared" si="8"/>
        <v>-144509.37223111722</v>
      </c>
      <c r="P104" s="29">
        <v>-144509.37223111739</v>
      </c>
      <c r="Q104" s="29">
        <v>-144509.37223111739</v>
      </c>
      <c r="R104" s="29">
        <v>0</v>
      </c>
      <c r="S104" s="29">
        <f t="shared" si="9"/>
        <v>-144509.37223111739</v>
      </c>
      <c r="T104" s="29">
        <f t="shared" si="10"/>
        <v>0</v>
      </c>
      <c r="U104" s="29"/>
      <c r="V104" s="36"/>
      <c r="W104" s="20">
        <f t="shared" si="11"/>
        <v>0</v>
      </c>
    </row>
    <row r="105" spans="1:24" s="19" customFormat="1" ht="14.15" x14ac:dyDescent="0.35">
      <c r="A105" s="28" t="s">
        <v>31</v>
      </c>
      <c r="B105" s="28" t="s">
        <v>46</v>
      </c>
      <c r="C105" s="28" t="s">
        <v>69</v>
      </c>
      <c r="D105" s="28" t="s">
        <v>70</v>
      </c>
      <c r="E105" s="28" t="s">
        <v>77</v>
      </c>
      <c r="F105" s="28" t="s">
        <v>78</v>
      </c>
      <c r="G105" s="28" t="s">
        <v>34</v>
      </c>
      <c r="H105" s="28" t="s">
        <v>53</v>
      </c>
      <c r="I105" s="28" t="s">
        <v>36</v>
      </c>
      <c r="J105" s="28" t="s">
        <v>40</v>
      </c>
      <c r="K105" s="28" t="s">
        <v>40</v>
      </c>
      <c r="L105" s="29">
        <f>-179039.493329029-18155.84</f>
        <v>-197195.333329029</v>
      </c>
      <c r="M105" s="29">
        <v>0</v>
      </c>
      <c r="N105" s="29">
        <v>-180776.39181402337</v>
      </c>
      <c r="O105" s="29">
        <f t="shared" si="8"/>
        <v>-16418.94151500563</v>
      </c>
      <c r="P105" s="29">
        <f>+O105+58</f>
        <v>-16360.94151500563</v>
      </c>
      <c r="Q105" s="29">
        <f>+P105</f>
        <v>-16360.94151500563</v>
      </c>
      <c r="R105" s="29">
        <v>0</v>
      </c>
      <c r="S105" s="29">
        <f t="shared" si="9"/>
        <v>-16360.94151500563</v>
      </c>
      <c r="T105" s="29">
        <f t="shared" si="10"/>
        <v>0</v>
      </c>
      <c r="U105" s="29"/>
      <c r="V105" s="36"/>
      <c r="W105" s="20">
        <f t="shared" si="11"/>
        <v>-58</v>
      </c>
    </row>
    <row r="106" spans="1:24" s="19" customFormat="1" ht="14.15" x14ac:dyDescent="0.35">
      <c r="A106" s="28" t="s">
        <v>31</v>
      </c>
      <c r="B106" s="28" t="s">
        <v>46</v>
      </c>
      <c r="C106" s="28" t="s">
        <v>69</v>
      </c>
      <c r="D106" s="28" t="s">
        <v>70</v>
      </c>
      <c r="E106" s="28" t="s">
        <v>77</v>
      </c>
      <c r="F106" s="28" t="s">
        <v>78</v>
      </c>
      <c r="G106" s="28" t="s">
        <v>34</v>
      </c>
      <c r="H106" s="28" t="s">
        <v>79</v>
      </c>
      <c r="I106" s="28" t="s">
        <v>36</v>
      </c>
      <c r="J106" s="28" t="s">
        <v>40</v>
      </c>
      <c r="K106" s="28" t="s">
        <v>40</v>
      </c>
      <c r="L106" s="29">
        <v>0</v>
      </c>
      <c r="M106" s="29">
        <v>0</v>
      </c>
      <c r="N106" s="29">
        <v>-57.999999999999993</v>
      </c>
      <c r="O106" s="29">
        <f t="shared" ref="O106:O137" si="12">+L106-N106</f>
        <v>57.999999999999993</v>
      </c>
      <c r="P106" s="29">
        <v>0</v>
      </c>
      <c r="Q106" s="29">
        <v>0</v>
      </c>
      <c r="R106" s="29">
        <v>0</v>
      </c>
      <c r="S106" s="29">
        <f t="shared" ref="S106:S137" si="13">+Q106+R106</f>
        <v>0</v>
      </c>
      <c r="T106" s="29">
        <f t="shared" ref="T106:T137" si="14">+P106-S106</f>
        <v>0</v>
      </c>
      <c r="U106" s="29"/>
      <c r="V106" s="36"/>
      <c r="W106" s="20">
        <f t="shared" si="11"/>
        <v>57.999999999999993</v>
      </c>
    </row>
    <row r="107" spans="1:24" s="19" customFormat="1" ht="14.15" x14ac:dyDescent="0.35">
      <c r="A107" s="28" t="s">
        <v>31</v>
      </c>
      <c r="B107" s="28" t="s">
        <v>46</v>
      </c>
      <c r="C107" s="28" t="s">
        <v>69</v>
      </c>
      <c r="D107" s="28" t="s">
        <v>70</v>
      </c>
      <c r="E107" s="28" t="s">
        <v>77</v>
      </c>
      <c r="F107" s="28" t="s">
        <v>78</v>
      </c>
      <c r="G107" s="28" t="s">
        <v>34</v>
      </c>
      <c r="H107" s="28" t="s">
        <v>51</v>
      </c>
      <c r="I107" s="28" t="s">
        <v>36</v>
      </c>
      <c r="J107" s="28" t="s">
        <v>54</v>
      </c>
      <c r="K107" s="28" t="s">
        <v>55</v>
      </c>
      <c r="L107" s="29">
        <v>-90836.334254599948</v>
      </c>
      <c r="M107" s="29">
        <v>-4868.324665159962</v>
      </c>
      <c r="N107" s="29">
        <v>-83968</v>
      </c>
      <c r="O107" s="29">
        <f t="shared" si="12"/>
        <v>-6868.3342545999476</v>
      </c>
      <c r="P107" s="29">
        <v>-6868.3342545999476</v>
      </c>
      <c r="Q107" s="29">
        <v>-6868.3342545999476</v>
      </c>
      <c r="R107" s="29">
        <v>0</v>
      </c>
      <c r="S107" s="29">
        <f t="shared" si="13"/>
        <v>-6868.3342545999476</v>
      </c>
      <c r="T107" s="29">
        <f t="shared" si="14"/>
        <v>0</v>
      </c>
      <c r="U107" s="29"/>
      <c r="V107" s="36"/>
      <c r="W107" s="20">
        <f t="shared" si="11"/>
        <v>0</v>
      </c>
    </row>
    <row r="108" spans="1:24" s="19" customFormat="1" ht="14.15" x14ac:dyDescent="0.35">
      <c r="A108" s="28" t="s">
        <v>31</v>
      </c>
      <c r="B108" s="28" t="s">
        <v>46</v>
      </c>
      <c r="C108" s="28" t="s">
        <v>69</v>
      </c>
      <c r="D108" s="28" t="s">
        <v>70</v>
      </c>
      <c r="E108" s="28" t="s">
        <v>77</v>
      </c>
      <c r="F108" s="28" t="s">
        <v>78</v>
      </c>
      <c r="G108" s="28" t="s">
        <v>34</v>
      </c>
      <c r="H108" s="28" t="s">
        <v>51</v>
      </c>
      <c r="I108" s="28" t="s">
        <v>36</v>
      </c>
      <c r="J108" s="28" t="s">
        <v>56</v>
      </c>
      <c r="K108" s="28" t="s">
        <v>57</v>
      </c>
      <c r="L108" s="29">
        <v>-1396.3500400000003</v>
      </c>
      <c r="M108" s="29">
        <v>-903.69004000000018</v>
      </c>
      <c r="N108" s="29">
        <v>-149.94815999999997</v>
      </c>
      <c r="O108" s="29">
        <f t="shared" si="12"/>
        <v>-1246.4018800000003</v>
      </c>
      <c r="P108" s="29">
        <v>-492.66</v>
      </c>
      <c r="Q108" s="29">
        <v>-492.66</v>
      </c>
      <c r="R108" s="29">
        <v>0</v>
      </c>
      <c r="S108" s="29">
        <f t="shared" si="13"/>
        <v>-492.66</v>
      </c>
      <c r="T108" s="29">
        <f t="shared" si="14"/>
        <v>0</v>
      </c>
      <c r="U108" s="29"/>
      <c r="V108" s="36"/>
      <c r="W108" s="20">
        <f t="shared" si="11"/>
        <v>-753.74188000000026</v>
      </c>
    </row>
    <row r="109" spans="1:24" s="19" customFormat="1" ht="14.15" x14ac:dyDescent="0.35">
      <c r="A109" s="28" t="s">
        <v>31</v>
      </c>
      <c r="B109" s="28" t="s">
        <v>46</v>
      </c>
      <c r="C109" s="28" t="s">
        <v>69</v>
      </c>
      <c r="D109" s="28" t="s">
        <v>70</v>
      </c>
      <c r="E109" s="28" t="s">
        <v>77</v>
      </c>
      <c r="F109" s="28" t="s">
        <v>78</v>
      </c>
      <c r="G109" s="28" t="s">
        <v>34</v>
      </c>
      <c r="H109" s="28" t="s">
        <v>52</v>
      </c>
      <c r="I109" s="28" t="s">
        <v>36</v>
      </c>
      <c r="J109" s="28" t="s">
        <v>56</v>
      </c>
      <c r="K109" s="28" t="s">
        <v>57</v>
      </c>
      <c r="L109" s="29">
        <v>-25381.972838461537</v>
      </c>
      <c r="M109" s="29">
        <v>-10580.999899999999</v>
      </c>
      <c r="N109" s="29">
        <v>-19309.872452759999</v>
      </c>
      <c r="O109" s="29">
        <f t="shared" si="12"/>
        <v>-6072.1003857015385</v>
      </c>
      <c r="P109" s="29">
        <v>-6072.1003857015376</v>
      </c>
      <c r="Q109" s="29">
        <v>-6072.1003857015376</v>
      </c>
      <c r="R109" s="29">
        <v>0</v>
      </c>
      <c r="S109" s="29">
        <f t="shared" si="13"/>
        <v>-6072.1003857015376</v>
      </c>
      <c r="T109" s="29">
        <f t="shared" si="14"/>
        <v>0</v>
      </c>
      <c r="U109" s="29"/>
      <c r="V109" s="36"/>
      <c r="W109" s="20">
        <f t="shared" si="11"/>
        <v>0</v>
      </c>
    </row>
    <row r="110" spans="1:24" s="19" customFormat="1" ht="14.15" x14ac:dyDescent="0.35">
      <c r="A110" s="28" t="s">
        <v>31</v>
      </c>
      <c r="B110" s="28" t="s">
        <v>46</v>
      </c>
      <c r="C110" s="28" t="s">
        <v>69</v>
      </c>
      <c r="D110" s="28" t="s">
        <v>70</v>
      </c>
      <c r="E110" s="28" t="s">
        <v>77</v>
      </c>
      <c r="F110" s="28" t="s">
        <v>78</v>
      </c>
      <c r="G110" s="28" t="s">
        <v>34</v>
      </c>
      <c r="H110" s="28" t="s">
        <v>53</v>
      </c>
      <c r="I110" s="28" t="s">
        <v>36</v>
      </c>
      <c r="J110" s="28" t="s">
        <v>56</v>
      </c>
      <c r="K110" s="28" t="s">
        <v>57</v>
      </c>
      <c r="L110" s="29">
        <v>-458.86078461538455</v>
      </c>
      <c r="M110" s="29">
        <v>0</v>
      </c>
      <c r="N110" s="29">
        <v>0</v>
      </c>
      <c r="O110" s="29">
        <f t="shared" si="12"/>
        <v>-458.86078461538455</v>
      </c>
      <c r="P110" s="29">
        <v>-458.86078461538455</v>
      </c>
      <c r="Q110" s="29">
        <v>-458.86078461538455</v>
      </c>
      <c r="R110" s="29">
        <v>0</v>
      </c>
      <c r="S110" s="29">
        <f t="shared" si="13"/>
        <v>-458.86078461538455</v>
      </c>
      <c r="T110" s="29">
        <f t="shared" si="14"/>
        <v>0</v>
      </c>
      <c r="U110" s="29"/>
      <c r="V110" s="36"/>
      <c r="W110" s="20">
        <f t="shared" si="11"/>
        <v>0</v>
      </c>
    </row>
    <row r="111" spans="1:24" s="19" customFormat="1" ht="14.15" x14ac:dyDescent="0.35">
      <c r="A111" s="28" t="s">
        <v>31</v>
      </c>
      <c r="B111" s="28" t="s">
        <v>46</v>
      </c>
      <c r="C111" s="28" t="s">
        <v>69</v>
      </c>
      <c r="D111" s="28" t="s">
        <v>70</v>
      </c>
      <c r="E111" s="28" t="s">
        <v>77</v>
      </c>
      <c r="F111" s="28" t="s">
        <v>78</v>
      </c>
      <c r="G111" s="28" t="s">
        <v>34</v>
      </c>
      <c r="H111" s="28" t="s">
        <v>51</v>
      </c>
      <c r="I111" s="28" t="s">
        <v>36</v>
      </c>
      <c r="J111" s="28" t="s">
        <v>80</v>
      </c>
      <c r="K111" s="28" t="s">
        <v>81</v>
      </c>
      <c r="L111" s="29">
        <v>-12913</v>
      </c>
      <c r="M111" s="29">
        <v>0</v>
      </c>
      <c r="N111" s="29">
        <v>-12913</v>
      </c>
      <c r="O111" s="29">
        <f t="shared" si="12"/>
        <v>0</v>
      </c>
      <c r="P111" s="29">
        <v>0</v>
      </c>
      <c r="Q111" s="29">
        <v>0</v>
      </c>
      <c r="R111" s="29">
        <v>0</v>
      </c>
      <c r="S111" s="29">
        <f t="shared" si="13"/>
        <v>0</v>
      </c>
      <c r="T111" s="29">
        <f t="shared" si="14"/>
        <v>0</v>
      </c>
      <c r="U111" s="29"/>
      <c r="V111" s="37"/>
      <c r="W111" s="20">
        <f t="shared" si="11"/>
        <v>0</v>
      </c>
    </row>
    <row r="112" spans="1:24" s="19" customFormat="1" ht="14.15" x14ac:dyDescent="0.35">
      <c r="A112" s="28" t="s">
        <v>31</v>
      </c>
      <c r="B112" s="28" t="s">
        <v>46</v>
      </c>
      <c r="C112" s="28" t="s">
        <v>69</v>
      </c>
      <c r="D112" s="28" t="s">
        <v>70</v>
      </c>
      <c r="E112" s="28" t="s">
        <v>77</v>
      </c>
      <c r="F112" s="28" t="s">
        <v>78</v>
      </c>
      <c r="G112" s="28" t="s">
        <v>98</v>
      </c>
      <c r="H112" s="28" t="s">
        <v>52</v>
      </c>
      <c r="I112" s="28" t="s">
        <v>36</v>
      </c>
      <c r="J112" s="28" t="s">
        <v>40</v>
      </c>
      <c r="K112" s="28" t="s">
        <v>40</v>
      </c>
      <c r="L112" s="29">
        <v>-3916779.0337868701</v>
      </c>
      <c r="M112" s="29">
        <v>-382163.50504492002</v>
      </c>
      <c r="N112" s="29">
        <v>-3404332.0811705589</v>
      </c>
      <c r="O112" s="29">
        <f t="shared" si="12"/>
        <v>-512446.95261631114</v>
      </c>
      <c r="P112" s="29">
        <v>-512446.95261631149</v>
      </c>
      <c r="Q112" s="29">
        <v>-512446.95261631149</v>
      </c>
      <c r="R112" s="29">
        <v>0</v>
      </c>
      <c r="S112" s="29">
        <f t="shared" si="13"/>
        <v>-512446.95261631149</v>
      </c>
      <c r="T112" s="29">
        <f t="shared" si="14"/>
        <v>0</v>
      </c>
      <c r="U112" s="29"/>
      <c r="V112" s="35" t="s">
        <v>151</v>
      </c>
      <c r="W112" s="20">
        <f t="shared" si="11"/>
        <v>0</v>
      </c>
    </row>
    <row r="113" spans="1:23" s="19" customFormat="1" ht="14.15" x14ac:dyDescent="0.35">
      <c r="A113" s="28" t="s">
        <v>31</v>
      </c>
      <c r="B113" s="28" t="s">
        <v>46</v>
      </c>
      <c r="C113" s="28" t="s">
        <v>69</v>
      </c>
      <c r="D113" s="28" t="s">
        <v>70</v>
      </c>
      <c r="E113" s="28" t="s">
        <v>77</v>
      </c>
      <c r="F113" s="28" t="s">
        <v>78</v>
      </c>
      <c r="G113" s="28" t="s">
        <v>98</v>
      </c>
      <c r="H113" s="28" t="s">
        <v>53</v>
      </c>
      <c r="I113" s="28" t="s">
        <v>36</v>
      </c>
      <c r="J113" s="28" t="s">
        <v>40</v>
      </c>
      <c r="K113" s="28" t="s">
        <v>40</v>
      </c>
      <c r="L113" s="29">
        <f>-383087.363121161-3748</f>
        <v>-386835.363121161</v>
      </c>
      <c r="M113" s="29">
        <v>-62953</v>
      </c>
      <c r="N113" s="29">
        <v>-263977.86744835082</v>
      </c>
      <c r="O113" s="29">
        <f t="shared" si="12"/>
        <v>-122857.49567281018</v>
      </c>
      <c r="P113" s="29">
        <f>-119109.495672811-3748</f>
        <v>-122857.495672811</v>
      </c>
      <c r="Q113" s="29">
        <f>-119109.495672811-3748</f>
        <v>-122857.495672811</v>
      </c>
      <c r="R113" s="29">
        <v>0</v>
      </c>
      <c r="S113" s="29">
        <f t="shared" si="13"/>
        <v>-122857.495672811</v>
      </c>
      <c r="T113" s="29">
        <f t="shared" si="14"/>
        <v>0</v>
      </c>
      <c r="U113" s="29"/>
      <c r="V113" s="36"/>
      <c r="W113" s="20">
        <f t="shared" si="11"/>
        <v>8.149072527885437E-10</v>
      </c>
    </row>
    <row r="114" spans="1:23" s="19" customFormat="1" ht="14.15" x14ac:dyDescent="0.35">
      <c r="A114" s="28" t="s">
        <v>31</v>
      </c>
      <c r="B114" s="28" t="s">
        <v>46</v>
      </c>
      <c r="C114" s="28" t="s">
        <v>69</v>
      </c>
      <c r="D114" s="28" t="s">
        <v>70</v>
      </c>
      <c r="E114" s="28" t="s">
        <v>77</v>
      </c>
      <c r="F114" s="28" t="s">
        <v>78</v>
      </c>
      <c r="G114" s="28" t="s">
        <v>98</v>
      </c>
      <c r="H114" s="28" t="s">
        <v>79</v>
      </c>
      <c r="I114" s="28" t="s">
        <v>36</v>
      </c>
      <c r="J114" s="28" t="s">
        <v>40</v>
      </c>
      <c r="K114" s="28" t="s">
        <v>40</v>
      </c>
      <c r="L114" s="29">
        <v>-700</v>
      </c>
      <c r="M114" s="29">
        <v>0</v>
      </c>
      <c r="N114" s="29">
        <v>-673.36932000000002</v>
      </c>
      <c r="O114" s="29">
        <f t="shared" si="12"/>
        <v>-26.630679999999984</v>
      </c>
      <c r="P114" s="29">
        <v>-26.630679999999984</v>
      </c>
      <c r="Q114" s="29">
        <v>-26.630679999999984</v>
      </c>
      <c r="R114" s="29">
        <v>0</v>
      </c>
      <c r="S114" s="29">
        <f t="shared" si="13"/>
        <v>-26.630679999999984</v>
      </c>
      <c r="T114" s="29">
        <f t="shared" si="14"/>
        <v>0</v>
      </c>
      <c r="U114" s="29"/>
      <c r="V114" s="36"/>
      <c r="W114" s="20">
        <f t="shared" si="11"/>
        <v>0</v>
      </c>
    </row>
    <row r="115" spans="1:23" s="19" customFormat="1" ht="14.15" x14ac:dyDescent="0.35">
      <c r="A115" s="28" t="s">
        <v>31</v>
      </c>
      <c r="B115" s="28" t="s">
        <v>46</v>
      </c>
      <c r="C115" s="28" t="s">
        <v>69</v>
      </c>
      <c r="D115" s="28" t="s">
        <v>70</v>
      </c>
      <c r="E115" s="28" t="s">
        <v>77</v>
      </c>
      <c r="F115" s="28" t="s">
        <v>78</v>
      </c>
      <c r="G115" s="28" t="s">
        <v>98</v>
      </c>
      <c r="H115" s="28" t="s">
        <v>53</v>
      </c>
      <c r="I115" s="28" t="s">
        <v>36</v>
      </c>
      <c r="J115" s="28" t="s">
        <v>103</v>
      </c>
      <c r="K115" s="28" t="s">
        <v>104</v>
      </c>
      <c r="L115" s="29">
        <v>-60000</v>
      </c>
      <c r="M115" s="29">
        <v>0</v>
      </c>
      <c r="N115" s="29">
        <v>0</v>
      </c>
      <c r="O115" s="29">
        <f t="shared" si="12"/>
        <v>-60000</v>
      </c>
      <c r="P115" s="29">
        <v>-60000</v>
      </c>
      <c r="Q115" s="29">
        <v>35000</v>
      </c>
      <c r="R115" s="29">
        <v>-60000</v>
      </c>
      <c r="S115" s="29">
        <f t="shared" si="13"/>
        <v>-25000</v>
      </c>
      <c r="T115" s="29">
        <f t="shared" si="14"/>
        <v>-35000</v>
      </c>
      <c r="U115" s="29"/>
      <c r="V115" s="36"/>
      <c r="W115" s="20">
        <f t="shared" si="11"/>
        <v>0</v>
      </c>
    </row>
    <row r="116" spans="1:23" s="19" customFormat="1" ht="14.15" x14ac:dyDescent="0.35">
      <c r="A116" s="28" t="s">
        <v>31</v>
      </c>
      <c r="B116" s="28" t="s">
        <v>46</v>
      </c>
      <c r="C116" s="28" t="s">
        <v>69</v>
      </c>
      <c r="D116" s="28" t="s">
        <v>70</v>
      </c>
      <c r="E116" s="28" t="s">
        <v>77</v>
      </c>
      <c r="F116" s="28" t="s">
        <v>78</v>
      </c>
      <c r="G116" s="28" t="s">
        <v>98</v>
      </c>
      <c r="H116" s="28" t="s">
        <v>53</v>
      </c>
      <c r="I116" s="28" t="s">
        <v>36</v>
      </c>
      <c r="J116" s="28" t="s">
        <v>88</v>
      </c>
      <c r="K116" s="28" t="s">
        <v>89</v>
      </c>
      <c r="L116" s="29">
        <v>-191085.67581605067</v>
      </c>
      <c r="M116" s="29">
        <v>0</v>
      </c>
      <c r="N116" s="29">
        <v>-132496.64606405376</v>
      </c>
      <c r="O116" s="29">
        <f t="shared" si="12"/>
        <v>-58589.029751996917</v>
      </c>
      <c r="P116" s="29">
        <v>0</v>
      </c>
      <c r="Q116" s="29">
        <v>0</v>
      </c>
      <c r="R116" s="29">
        <v>0</v>
      </c>
      <c r="S116" s="29">
        <f t="shared" si="13"/>
        <v>0</v>
      </c>
      <c r="T116" s="29">
        <f t="shared" si="14"/>
        <v>0</v>
      </c>
      <c r="U116" s="29"/>
      <c r="V116" s="37"/>
      <c r="W116" s="20">
        <f t="shared" si="11"/>
        <v>-58589.029751996917</v>
      </c>
    </row>
    <row r="117" spans="1:23" s="19" customFormat="1" ht="14.15" x14ac:dyDescent="0.35">
      <c r="A117" s="28" t="s">
        <v>31</v>
      </c>
      <c r="B117" s="28" t="s">
        <v>46</v>
      </c>
      <c r="C117" s="28" t="s">
        <v>69</v>
      </c>
      <c r="D117" s="28" t="s">
        <v>70</v>
      </c>
      <c r="E117" s="28" t="s">
        <v>82</v>
      </c>
      <c r="F117" s="28" t="s">
        <v>83</v>
      </c>
      <c r="G117" s="28" t="s">
        <v>34</v>
      </c>
      <c r="H117" s="28" t="s">
        <v>52</v>
      </c>
      <c r="I117" s="28" t="s">
        <v>36</v>
      </c>
      <c r="J117" s="28" t="s">
        <v>56</v>
      </c>
      <c r="K117" s="28" t="s">
        <v>57</v>
      </c>
      <c r="L117" s="29">
        <v>-2466.8288230769226</v>
      </c>
      <c r="M117" s="29">
        <v>0</v>
      </c>
      <c r="N117" s="29">
        <v>-1890.7985015384616</v>
      </c>
      <c r="O117" s="29">
        <f t="shared" si="12"/>
        <v>-576.03032153846107</v>
      </c>
      <c r="P117" s="29">
        <v>-576.03032153846107</v>
      </c>
      <c r="Q117" s="29">
        <v>-576.03032153846107</v>
      </c>
      <c r="R117" s="29">
        <v>0</v>
      </c>
      <c r="S117" s="29">
        <f t="shared" si="13"/>
        <v>-576.03032153846107</v>
      </c>
      <c r="T117" s="29">
        <f t="shared" si="14"/>
        <v>0</v>
      </c>
      <c r="U117" s="29"/>
      <c r="V117" s="35" t="s">
        <v>152</v>
      </c>
      <c r="W117" s="20">
        <f t="shared" si="11"/>
        <v>0</v>
      </c>
    </row>
    <row r="118" spans="1:23" s="19" customFormat="1" ht="14.15" customHeight="1" x14ac:dyDescent="0.35">
      <c r="A118" s="28" t="s">
        <v>31</v>
      </c>
      <c r="B118" s="28" t="s">
        <v>46</v>
      </c>
      <c r="C118" s="28" t="s">
        <v>69</v>
      </c>
      <c r="D118" s="28" t="s">
        <v>70</v>
      </c>
      <c r="E118" s="28" t="s">
        <v>82</v>
      </c>
      <c r="F118" s="28" t="s">
        <v>83</v>
      </c>
      <c r="G118" s="28" t="s">
        <v>34</v>
      </c>
      <c r="H118" s="28" t="s">
        <v>53</v>
      </c>
      <c r="I118" s="28" t="s">
        <v>36</v>
      </c>
      <c r="J118" s="28" t="s">
        <v>56</v>
      </c>
      <c r="K118" s="28" t="s">
        <v>57</v>
      </c>
      <c r="L118" s="29">
        <v>-76.476797435897424</v>
      </c>
      <c r="M118" s="29">
        <v>0</v>
      </c>
      <c r="N118" s="29">
        <v>0</v>
      </c>
      <c r="O118" s="29">
        <f t="shared" si="12"/>
        <v>-76.476797435897424</v>
      </c>
      <c r="P118" s="29">
        <v>-76.476797435897424</v>
      </c>
      <c r="Q118" s="29">
        <v>-76.476797435897424</v>
      </c>
      <c r="R118" s="29">
        <v>0</v>
      </c>
      <c r="S118" s="29">
        <f t="shared" si="13"/>
        <v>-76.476797435897424</v>
      </c>
      <c r="T118" s="29">
        <f t="shared" si="14"/>
        <v>0</v>
      </c>
      <c r="U118" s="29"/>
      <c r="V118" s="36"/>
      <c r="W118" s="20">
        <f t="shared" si="11"/>
        <v>0</v>
      </c>
    </row>
    <row r="119" spans="1:23" s="19" customFormat="1" ht="14.15" customHeight="1" x14ac:dyDescent="0.35">
      <c r="A119" s="28" t="s">
        <v>31</v>
      </c>
      <c r="B119" s="28" t="s">
        <v>46</v>
      </c>
      <c r="C119" s="28" t="s">
        <v>69</v>
      </c>
      <c r="D119" s="28" t="s">
        <v>70</v>
      </c>
      <c r="E119" s="28" t="s">
        <v>82</v>
      </c>
      <c r="F119" s="28" t="s">
        <v>83</v>
      </c>
      <c r="G119" s="28" t="s">
        <v>34</v>
      </c>
      <c r="H119" s="28" t="s">
        <v>52</v>
      </c>
      <c r="I119" s="28" t="s">
        <v>36</v>
      </c>
      <c r="J119" s="28" t="s">
        <v>84</v>
      </c>
      <c r="K119" s="28" t="s">
        <v>85</v>
      </c>
      <c r="L119" s="29">
        <v>-156558</v>
      </c>
      <c r="M119" s="29">
        <v>-7862</v>
      </c>
      <c r="N119" s="29">
        <v>-125446.1195</v>
      </c>
      <c r="O119" s="29">
        <f t="shared" si="12"/>
        <v>-31111.880499999999</v>
      </c>
      <c r="P119" s="29">
        <v>-31111.880500000007</v>
      </c>
      <c r="Q119" s="29">
        <v>-31111.880500000007</v>
      </c>
      <c r="R119" s="29">
        <v>0</v>
      </c>
      <c r="S119" s="29">
        <f t="shared" si="13"/>
        <v>-31111.880500000007</v>
      </c>
      <c r="T119" s="29">
        <f t="shared" si="14"/>
        <v>0</v>
      </c>
      <c r="U119" s="29"/>
      <c r="V119" s="36"/>
      <c r="W119" s="20">
        <f t="shared" si="11"/>
        <v>0</v>
      </c>
    </row>
    <row r="120" spans="1:23" s="19" customFormat="1" ht="14.15" customHeight="1" x14ac:dyDescent="0.35">
      <c r="A120" s="28" t="s">
        <v>31</v>
      </c>
      <c r="B120" s="28" t="s">
        <v>46</v>
      </c>
      <c r="C120" s="28" t="s">
        <v>69</v>
      </c>
      <c r="D120" s="28" t="s">
        <v>70</v>
      </c>
      <c r="E120" s="28" t="s">
        <v>82</v>
      </c>
      <c r="F120" s="28" t="s">
        <v>83</v>
      </c>
      <c r="G120" s="28" t="s">
        <v>34</v>
      </c>
      <c r="H120" s="28" t="s">
        <v>53</v>
      </c>
      <c r="I120" s="28" t="s">
        <v>36</v>
      </c>
      <c r="J120" s="28" t="s">
        <v>84</v>
      </c>
      <c r="K120" s="28" t="s">
        <v>85</v>
      </c>
      <c r="L120" s="29">
        <f>-17499.9999-2869</f>
        <v>-20368.999899999999</v>
      </c>
      <c r="M120" s="29">
        <v>0</v>
      </c>
      <c r="N120" s="29">
        <v>-18637.940000000002</v>
      </c>
      <c r="O120" s="29">
        <f t="shared" si="12"/>
        <v>-1731.0598999999966</v>
      </c>
      <c r="P120" s="29">
        <v>-1731</v>
      </c>
      <c r="Q120" s="29">
        <v>-1731</v>
      </c>
      <c r="R120" s="29">
        <v>0</v>
      </c>
      <c r="S120" s="29">
        <f t="shared" si="13"/>
        <v>-1731</v>
      </c>
      <c r="T120" s="29">
        <f t="shared" si="14"/>
        <v>0</v>
      </c>
      <c r="U120" s="29"/>
      <c r="V120" s="36"/>
      <c r="W120" s="20">
        <f t="shared" si="11"/>
        <v>-5.9899999996559927E-2</v>
      </c>
    </row>
    <row r="121" spans="1:23" s="19" customFormat="1" ht="14.15" customHeight="1" x14ac:dyDescent="0.35">
      <c r="A121" s="28" t="s">
        <v>31</v>
      </c>
      <c r="B121" s="28" t="s">
        <v>46</v>
      </c>
      <c r="C121" s="28" t="s">
        <v>69</v>
      </c>
      <c r="D121" s="28" t="s">
        <v>70</v>
      </c>
      <c r="E121" s="28" t="s">
        <v>82</v>
      </c>
      <c r="F121" s="28" t="s">
        <v>83</v>
      </c>
      <c r="G121" s="28" t="s">
        <v>34</v>
      </c>
      <c r="H121" s="28" t="s">
        <v>52</v>
      </c>
      <c r="I121" s="28" t="s">
        <v>36</v>
      </c>
      <c r="J121" s="28" t="s">
        <v>40</v>
      </c>
      <c r="K121" s="28" t="s">
        <v>40</v>
      </c>
      <c r="L121" s="29">
        <v>-84802.640085287567</v>
      </c>
      <c r="M121" s="29">
        <v>0</v>
      </c>
      <c r="N121" s="29">
        <v>-78917.05853939103</v>
      </c>
      <c r="O121" s="29">
        <f t="shared" si="12"/>
        <v>-5885.5815458965371</v>
      </c>
      <c r="P121" s="29">
        <v>-5885.5815458965408</v>
      </c>
      <c r="Q121" s="29">
        <v>-5885.5815458965408</v>
      </c>
      <c r="R121" s="29">
        <v>0</v>
      </c>
      <c r="S121" s="29">
        <f t="shared" si="13"/>
        <v>-5885.5815458965408</v>
      </c>
      <c r="T121" s="29">
        <f t="shared" si="14"/>
        <v>0</v>
      </c>
      <c r="U121" s="29"/>
      <c r="V121" s="36"/>
      <c r="W121" s="20">
        <f t="shared" si="11"/>
        <v>0</v>
      </c>
    </row>
    <row r="122" spans="1:23" s="19" customFormat="1" ht="14.15" x14ac:dyDescent="0.35">
      <c r="A122" s="28" t="s">
        <v>31</v>
      </c>
      <c r="B122" s="28" t="s">
        <v>46</v>
      </c>
      <c r="C122" s="28" t="s">
        <v>69</v>
      </c>
      <c r="D122" s="28" t="s">
        <v>70</v>
      </c>
      <c r="E122" s="28" t="s">
        <v>82</v>
      </c>
      <c r="F122" s="28" t="s">
        <v>83</v>
      </c>
      <c r="G122" s="28" t="s">
        <v>34</v>
      </c>
      <c r="H122" s="28" t="s">
        <v>53</v>
      </c>
      <c r="I122" s="28" t="s">
        <v>36</v>
      </c>
      <c r="J122" s="28" t="s">
        <v>40</v>
      </c>
      <c r="K122" s="28" t="s">
        <v>40</v>
      </c>
      <c r="L122" s="29">
        <f>-18295.8631584698-469.912</f>
        <v>-18765.775158469802</v>
      </c>
      <c r="M122" s="29">
        <v>0</v>
      </c>
      <c r="N122" s="29">
        <v>-13835.517890993589</v>
      </c>
      <c r="O122" s="29">
        <f t="shared" si="12"/>
        <v>-4930.2572674762123</v>
      </c>
      <c r="P122" s="29">
        <f>-4460.34526747617-469.912</f>
        <v>-4930.2572674761705</v>
      </c>
      <c r="Q122" s="29">
        <f>-4460.34526747617-469.912</f>
        <v>-4930.2572674761705</v>
      </c>
      <c r="R122" s="29">
        <v>0</v>
      </c>
      <c r="S122" s="29">
        <f t="shared" si="13"/>
        <v>-4930.2572674761705</v>
      </c>
      <c r="T122" s="29">
        <f t="shared" si="14"/>
        <v>0</v>
      </c>
      <c r="U122" s="29"/>
      <c r="V122" s="38"/>
      <c r="W122" s="20">
        <f t="shared" si="11"/>
        <v>-4.1836756281554699E-11</v>
      </c>
    </row>
    <row r="123" spans="1:23" s="19" customFormat="1" ht="14.15" x14ac:dyDescent="0.35">
      <c r="A123" s="28" t="s">
        <v>31</v>
      </c>
      <c r="B123" s="28" t="s">
        <v>46</v>
      </c>
      <c r="C123" s="28" t="s">
        <v>69</v>
      </c>
      <c r="D123" s="28" t="s">
        <v>70</v>
      </c>
      <c r="E123" s="28" t="s">
        <v>82</v>
      </c>
      <c r="F123" s="28" t="s">
        <v>83</v>
      </c>
      <c r="G123" s="28" t="s">
        <v>34</v>
      </c>
      <c r="H123" s="28" t="s">
        <v>51</v>
      </c>
      <c r="I123" s="28" t="s">
        <v>36</v>
      </c>
      <c r="J123" s="28" t="s">
        <v>54</v>
      </c>
      <c r="K123" s="28" t="s">
        <v>55</v>
      </c>
      <c r="L123" s="29">
        <v>-1221.1364998500001</v>
      </c>
      <c r="M123" s="29">
        <v>0</v>
      </c>
      <c r="N123" s="29">
        <v>-950.56999999999994</v>
      </c>
      <c r="O123" s="29">
        <f t="shared" si="12"/>
        <v>-270.56649985000013</v>
      </c>
      <c r="P123" s="29">
        <v>-270.56649985000024</v>
      </c>
      <c r="Q123" s="29">
        <v>-270.56649985000024</v>
      </c>
      <c r="R123" s="29">
        <v>0</v>
      </c>
      <c r="S123" s="29">
        <f t="shared" si="13"/>
        <v>-270.56649985000024</v>
      </c>
      <c r="T123" s="29">
        <f t="shared" si="14"/>
        <v>0</v>
      </c>
      <c r="U123" s="29"/>
      <c r="V123" s="38"/>
      <c r="W123" s="20">
        <f t="shared" si="11"/>
        <v>0</v>
      </c>
    </row>
    <row r="124" spans="1:23" s="19" customFormat="1" ht="14.15" x14ac:dyDescent="0.35">
      <c r="A124" s="28" t="s">
        <v>31</v>
      </c>
      <c r="B124" s="28" t="s">
        <v>46</v>
      </c>
      <c r="C124" s="28" t="s">
        <v>69</v>
      </c>
      <c r="D124" s="28" t="s">
        <v>70</v>
      </c>
      <c r="E124" s="28" t="s">
        <v>82</v>
      </c>
      <c r="F124" s="28" t="s">
        <v>83</v>
      </c>
      <c r="G124" s="28" t="s">
        <v>34</v>
      </c>
      <c r="H124" s="28" t="s">
        <v>53</v>
      </c>
      <c r="I124" s="28" t="s">
        <v>36</v>
      </c>
      <c r="J124" s="28" t="s">
        <v>86</v>
      </c>
      <c r="K124" s="28" t="s">
        <v>87</v>
      </c>
      <c r="L124" s="29">
        <v>-567749.99979999999</v>
      </c>
      <c r="M124" s="29">
        <v>-567749.99979999999</v>
      </c>
      <c r="N124" s="29">
        <v>-498892.88</v>
      </c>
      <c r="O124" s="29">
        <f t="shared" si="12"/>
        <v>-68857.119799999986</v>
      </c>
      <c r="P124" s="29">
        <v>0</v>
      </c>
      <c r="Q124" s="29">
        <v>0</v>
      </c>
      <c r="R124" s="29">
        <v>0</v>
      </c>
      <c r="S124" s="29">
        <f t="shared" si="13"/>
        <v>0</v>
      </c>
      <c r="T124" s="29">
        <f t="shared" si="14"/>
        <v>0</v>
      </c>
      <c r="U124" s="29"/>
      <c r="V124" s="38"/>
      <c r="W124" s="20">
        <f t="shared" si="11"/>
        <v>-68857.119799999986</v>
      </c>
    </row>
    <row r="125" spans="1:23" s="19" customFormat="1" ht="14.15" x14ac:dyDescent="0.35">
      <c r="A125" s="28" t="s">
        <v>31</v>
      </c>
      <c r="B125" s="28" t="s">
        <v>46</v>
      </c>
      <c r="C125" s="28" t="s">
        <v>69</v>
      </c>
      <c r="D125" s="28" t="s">
        <v>70</v>
      </c>
      <c r="E125" s="28" t="s">
        <v>82</v>
      </c>
      <c r="F125" s="28" t="s">
        <v>83</v>
      </c>
      <c r="G125" s="28" t="s">
        <v>34</v>
      </c>
      <c r="H125" s="28" t="s">
        <v>52</v>
      </c>
      <c r="I125" s="28" t="s">
        <v>36</v>
      </c>
      <c r="J125" s="28" t="s">
        <v>86</v>
      </c>
      <c r="K125" s="28" t="s">
        <v>87</v>
      </c>
      <c r="L125" s="29">
        <v>-253000</v>
      </c>
      <c r="M125" s="29">
        <v>-253000</v>
      </c>
      <c r="N125" s="29">
        <v>-231028.63940000001</v>
      </c>
      <c r="O125" s="29">
        <f t="shared" si="12"/>
        <v>-21971.360599999985</v>
      </c>
      <c r="P125" s="29">
        <v>0</v>
      </c>
      <c r="Q125" s="29">
        <v>0</v>
      </c>
      <c r="R125" s="29">
        <v>0</v>
      </c>
      <c r="S125" s="29">
        <f t="shared" si="13"/>
        <v>0</v>
      </c>
      <c r="T125" s="29">
        <f t="shared" si="14"/>
        <v>0</v>
      </c>
      <c r="U125" s="29"/>
      <c r="V125" s="38"/>
      <c r="W125" s="20">
        <f t="shared" si="11"/>
        <v>-21971.360599999985</v>
      </c>
    </row>
    <row r="126" spans="1:23" s="19" customFormat="1" ht="14.15" x14ac:dyDescent="0.35">
      <c r="A126" s="28" t="s">
        <v>31</v>
      </c>
      <c r="B126" s="28" t="s">
        <v>46</v>
      </c>
      <c r="C126" s="28" t="s">
        <v>69</v>
      </c>
      <c r="D126" s="28" t="s">
        <v>70</v>
      </c>
      <c r="E126" s="28" t="s">
        <v>82</v>
      </c>
      <c r="F126" s="28" t="s">
        <v>83</v>
      </c>
      <c r="G126" s="28" t="s">
        <v>34</v>
      </c>
      <c r="H126" s="28" t="s">
        <v>53</v>
      </c>
      <c r="I126" s="28" t="s">
        <v>36</v>
      </c>
      <c r="J126" s="28" t="s">
        <v>88</v>
      </c>
      <c r="K126" s="28" t="s">
        <v>89</v>
      </c>
      <c r="L126" s="29">
        <v>-66061.999899999995</v>
      </c>
      <c r="M126" s="29">
        <v>0</v>
      </c>
      <c r="N126" s="29">
        <v>-60276.21</v>
      </c>
      <c r="O126" s="29">
        <f t="shared" si="12"/>
        <v>-5785.7898999999961</v>
      </c>
      <c r="P126" s="29">
        <v>0</v>
      </c>
      <c r="Q126" s="29">
        <v>0</v>
      </c>
      <c r="R126" s="29">
        <v>0</v>
      </c>
      <c r="S126" s="29">
        <f t="shared" si="13"/>
        <v>0</v>
      </c>
      <c r="T126" s="29">
        <f t="shared" si="14"/>
        <v>0</v>
      </c>
      <c r="U126" s="29"/>
      <c r="V126" s="39"/>
      <c r="W126" s="20">
        <f t="shared" si="11"/>
        <v>-5785.7898999999961</v>
      </c>
    </row>
    <row r="127" spans="1:23" s="19" customFormat="1" ht="14.15" x14ac:dyDescent="0.35">
      <c r="A127" s="28" t="s">
        <v>31</v>
      </c>
      <c r="B127" s="28" t="s">
        <v>46</v>
      </c>
      <c r="C127" s="28" t="s">
        <v>69</v>
      </c>
      <c r="D127" s="28" t="s">
        <v>70</v>
      </c>
      <c r="E127" s="28" t="s">
        <v>82</v>
      </c>
      <c r="F127" s="28" t="s">
        <v>83</v>
      </c>
      <c r="G127" s="28" t="s">
        <v>98</v>
      </c>
      <c r="H127" s="28" t="s">
        <v>52</v>
      </c>
      <c r="I127" s="28" t="s">
        <v>36</v>
      </c>
      <c r="J127" s="28" t="s">
        <v>40</v>
      </c>
      <c r="K127" s="28" t="s">
        <v>40</v>
      </c>
      <c r="L127" s="29">
        <v>-3445058.9662131304</v>
      </c>
      <c r="M127" s="29">
        <v>-381759.49495507998</v>
      </c>
      <c r="N127" s="29">
        <v>-2755599.6230294406</v>
      </c>
      <c r="O127" s="29">
        <f t="shared" si="12"/>
        <v>-689459.34318368975</v>
      </c>
      <c r="P127" s="29">
        <v>-689459.34318368963</v>
      </c>
      <c r="Q127" s="29">
        <v>-689459.34318368963</v>
      </c>
      <c r="R127" s="29">
        <v>0</v>
      </c>
      <c r="S127" s="29">
        <f t="shared" si="13"/>
        <v>-689459.34318368963</v>
      </c>
      <c r="T127" s="29">
        <f t="shared" si="14"/>
        <v>0</v>
      </c>
      <c r="U127" s="29"/>
      <c r="V127" s="40" t="s">
        <v>153</v>
      </c>
      <c r="W127" s="20">
        <f t="shared" si="11"/>
        <v>0</v>
      </c>
    </row>
    <row r="128" spans="1:23" s="19" customFormat="1" ht="14.15" customHeight="1" x14ac:dyDescent="0.35">
      <c r="A128" s="28" t="s">
        <v>31</v>
      </c>
      <c r="B128" s="28" t="s">
        <v>46</v>
      </c>
      <c r="C128" s="28" t="s">
        <v>69</v>
      </c>
      <c r="D128" s="28" t="s">
        <v>70</v>
      </c>
      <c r="E128" s="28" t="s">
        <v>82</v>
      </c>
      <c r="F128" s="28" t="s">
        <v>83</v>
      </c>
      <c r="G128" s="28" t="s">
        <v>98</v>
      </c>
      <c r="H128" s="28" t="s">
        <v>53</v>
      </c>
      <c r="I128" s="28" t="s">
        <v>36</v>
      </c>
      <c r="J128" s="28" t="s">
        <v>40</v>
      </c>
      <c r="K128" s="28" t="s">
        <v>40</v>
      </c>
      <c r="L128" s="29">
        <f>-938244.636478839-18092</f>
        <v>-956336.63647883898</v>
      </c>
      <c r="M128" s="29">
        <v>-473825</v>
      </c>
      <c r="N128" s="29">
        <v>-450759.83145164931</v>
      </c>
      <c r="O128" s="29">
        <f t="shared" si="12"/>
        <v>-505576.80502718966</v>
      </c>
      <c r="P128" s="29">
        <f>-464419.636478839-18092</f>
        <v>-482511.63647883898</v>
      </c>
      <c r="Q128" s="29">
        <f>-464419.636478839-18092</f>
        <v>-482511.63647883898</v>
      </c>
      <c r="R128" s="29">
        <v>0</v>
      </c>
      <c r="S128" s="29">
        <f t="shared" si="13"/>
        <v>-482511.63647883898</v>
      </c>
      <c r="T128" s="29">
        <f t="shared" si="14"/>
        <v>0</v>
      </c>
      <c r="U128" s="29"/>
      <c r="V128" s="41"/>
      <c r="W128" s="20">
        <f t="shared" si="11"/>
        <v>-23065.168548350688</v>
      </c>
    </row>
    <row r="129" spans="1:23" s="19" customFormat="1" ht="14.15" customHeight="1" x14ac:dyDescent="0.35">
      <c r="A129" s="28" t="s">
        <v>31</v>
      </c>
      <c r="B129" s="28" t="s">
        <v>46</v>
      </c>
      <c r="C129" s="28" t="s">
        <v>69</v>
      </c>
      <c r="D129" s="28" t="s">
        <v>70</v>
      </c>
      <c r="E129" s="28" t="s">
        <v>82</v>
      </c>
      <c r="F129" s="28" t="s">
        <v>83</v>
      </c>
      <c r="G129" s="28" t="s">
        <v>98</v>
      </c>
      <c r="H129" s="28" t="s">
        <v>79</v>
      </c>
      <c r="I129" s="28" t="s">
        <v>36</v>
      </c>
      <c r="J129" s="28" t="s">
        <v>40</v>
      </c>
      <c r="K129" s="28" t="s">
        <v>40</v>
      </c>
      <c r="L129" s="29">
        <v>-1100</v>
      </c>
      <c r="M129" s="29">
        <v>0</v>
      </c>
      <c r="N129" s="29">
        <v>-971.30068000000006</v>
      </c>
      <c r="O129" s="29">
        <f t="shared" si="12"/>
        <v>-128.69931999999994</v>
      </c>
      <c r="P129" s="29">
        <v>-128.69931999999994</v>
      </c>
      <c r="Q129" s="29">
        <v>-128.69931999999994</v>
      </c>
      <c r="R129" s="29">
        <v>0</v>
      </c>
      <c r="S129" s="29">
        <f t="shared" si="13"/>
        <v>-128.69931999999994</v>
      </c>
      <c r="T129" s="29">
        <f t="shared" si="14"/>
        <v>0</v>
      </c>
      <c r="U129" s="29"/>
      <c r="V129" s="41"/>
      <c r="W129" s="20">
        <f t="shared" si="11"/>
        <v>0</v>
      </c>
    </row>
    <row r="130" spans="1:23" s="19" customFormat="1" ht="14.15" customHeight="1" x14ac:dyDescent="0.35">
      <c r="A130" s="28" t="s">
        <v>31</v>
      </c>
      <c r="B130" s="28" t="s">
        <v>46</v>
      </c>
      <c r="C130" s="28" t="s">
        <v>69</v>
      </c>
      <c r="D130" s="28" t="s">
        <v>70</v>
      </c>
      <c r="E130" s="28" t="s">
        <v>82</v>
      </c>
      <c r="F130" s="28" t="s">
        <v>83</v>
      </c>
      <c r="G130" s="28" t="s">
        <v>98</v>
      </c>
      <c r="H130" s="28" t="s">
        <v>53</v>
      </c>
      <c r="I130" s="28" t="s">
        <v>36</v>
      </c>
      <c r="J130" s="28" t="s">
        <v>99</v>
      </c>
      <c r="K130" s="28" t="s">
        <v>100</v>
      </c>
      <c r="L130" s="29">
        <v>-60000</v>
      </c>
      <c r="M130" s="29">
        <v>-60000</v>
      </c>
      <c r="N130" s="29">
        <v>-51417.31</v>
      </c>
      <c r="O130" s="29">
        <f t="shared" si="12"/>
        <v>-8582.6900000000023</v>
      </c>
      <c r="P130" s="29">
        <v>0</v>
      </c>
      <c r="Q130" s="29">
        <v>0</v>
      </c>
      <c r="R130" s="29">
        <v>0</v>
      </c>
      <c r="S130" s="29">
        <f t="shared" si="13"/>
        <v>0</v>
      </c>
      <c r="T130" s="29">
        <f t="shared" si="14"/>
        <v>0</v>
      </c>
      <c r="U130" s="29"/>
      <c r="V130" s="41"/>
      <c r="W130" s="20">
        <f t="shared" si="11"/>
        <v>-8582.6900000000023</v>
      </c>
    </row>
    <row r="131" spans="1:23" s="19" customFormat="1" ht="14.15" customHeight="1" x14ac:dyDescent="0.35">
      <c r="A131" s="28" t="s">
        <v>31</v>
      </c>
      <c r="B131" s="28" t="s">
        <v>46</v>
      </c>
      <c r="C131" s="28" t="s">
        <v>69</v>
      </c>
      <c r="D131" s="28" t="s">
        <v>70</v>
      </c>
      <c r="E131" s="28" t="s">
        <v>82</v>
      </c>
      <c r="F131" s="28" t="s">
        <v>83</v>
      </c>
      <c r="G131" s="28" t="s">
        <v>98</v>
      </c>
      <c r="H131" s="28" t="s">
        <v>52</v>
      </c>
      <c r="I131" s="28" t="s">
        <v>36</v>
      </c>
      <c r="J131" s="28" t="s">
        <v>105</v>
      </c>
      <c r="K131" s="28" t="s">
        <v>106</v>
      </c>
      <c r="L131" s="29">
        <v>-70800</v>
      </c>
      <c r="M131" s="29">
        <v>0</v>
      </c>
      <c r="N131" s="29">
        <v>-7818.579999999999</v>
      </c>
      <c r="O131" s="29">
        <f t="shared" si="12"/>
        <v>-62981.42</v>
      </c>
      <c r="P131" s="29">
        <v>-62981.420000000006</v>
      </c>
      <c r="Q131" s="29">
        <v>0</v>
      </c>
      <c r="R131" s="29">
        <v>-62980.999999999993</v>
      </c>
      <c r="S131" s="29">
        <f t="shared" si="13"/>
        <v>-62980.999999999993</v>
      </c>
      <c r="T131" s="29">
        <f t="shared" si="14"/>
        <v>-0.42000000001280569</v>
      </c>
      <c r="U131" s="29"/>
      <c r="V131" s="41"/>
      <c r="W131" s="20">
        <f t="shared" si="11"/>
        <v>0</v>
      </c>
    </row>
    <row r="132" spans="1:23" s="19" customFormat="1" ht="14.15" customHeight="1" x14ac:dyDescent="0.35">
      <c r="A132" s="28" t="s">
        <v>31</v>
      </c>
      <c r="B132" s="28" t="s">
        <v>46</v>
      </c>
      <c r="C132" s="28" t="s">
        <v>69</v>
      </c>
      <c r="D132" s="28" t="s">
        <v>70</v>
      </c>
      <c r="E132" s="28" t="s">
        <v>82</v>
      </c>
      <c r="F132" s="28" t="s">
        <v>83</v>
      </c>
      <c r="G132" s="28" t="s">
        <v>98</v>
      </c>
      <c r="H132" s="28" t="s">
        <v>53</v>
      </c>
      <c r="I132" s="28" t="s">
        <v>36</v>
      </c>
      <c r="J132" s="28" t="s">
        <v>101</v>
      </c>
      <c r="K132" s="28" t="s">
        <v>102</v>
      </c>
      <c r="L132" s="29">
        <v>-50000</v>
      </c>
      <c r="M132" s="29">
        <v>0</v>
      </c>
      <c r="N132" s="29">
        <v>-50000</v>
      </c>
      <c r="O132" s="29">
        <f t="shared" si="12"/>
        <v>0</v>
      </c>
      <c r="P132" s="29">
        <v>0</v>
      </c>
      <c r="Q132" s="29">
        <v>0</v>
      </c>
      <c r="R132" s="29">
        <v>0</v>
      </c>
      <c r="S132" s="29">
        <f t="shared" si="13"/>
        <v>0</v>
      </c>
      <c r="T132" s="29">
        <f t="shared" si="14"/>
        <v>0</v>
      </c>
      <c r="U132" s="29"/>
      <c r="V132" s="41"/>
      <c r="W132" s="20">
        <f t="shared" si="11"/>
        <v>0</v>
      </c>
    </row>
    <row r="133" spans="1:23" s="19" customFormat="1" ht="14.15" customHeight="1" x14ac:dyDescent="0.35">
      <c r="A133" s="28" t="s">
        <v>31</v>
      </c>
      <c r="B133" s="28" t="s">
        <v>46</v>
      </c>
      <c r="C133" s="28" t="s">
        <v>69</v>
      </c>
      <c r="D133" s="28" t="s">
        <v>70</v>
      </c>
      <c r="E133" s="28" t="s">
        <v>82</v>
      </c>
      <c r="F133" s="28" t="s">
        <v>83</v>
      </c>
      <c r="G133" s="28" t="s">
        <v>98</v>
      </c>
      <c r="H133" s="28" t="s">
        <v>53</v>
      </c>
      <c r="I133" s="28" t="s">
        <v>36</v>
      </c>
      <c r="J133" s="28" t="s">
        <v>88</v>
      </c>
      <c r="K133" s="28" t="s">
        <v>89</v>
      </c>
      <c r="L133" s="29">
        <v>-207353.73378394931</v>
      </c>
      <c r="M133" s="29">
        <v>0</v>
      </c>
      <c r="N133" s="29">
        <v>-143776.73343594623</v>
      </c>
      <c r="O133" s="29">
        <f t="shared" si="12"/>
        <v>-63577.000348003086</v>
      </c>
      <c r="P133" s="29">
        <v>0</v>
      </c>
      <c r="Q133" s="29">
        <v>0</v>
      </c>
      <c r="R133" s="29">
        <v>0</v>
      </c>
      <c r="S133" s="29">
        <f t="shared" si="13"/>
        <v>0</v>
      </c>
      <c r="T133" s="29">
        <f t="shared" si="14"/>
        <v>0</v>
      </c>
      <c r="U133" s="29"/>
      <c r="V133" s="41"/>
      <c r="W133" s="20">
        <f t="shared" si="11"/>
        <v>-63577.000348003086</v>
      </c>
    </row>
    <row r="134" spans="1:23" s="19" customFormat="1" ht="14.15" customHeight="1" x14ac:dyDescent="0.35">
      <c r="A134" s="28" t="s">
        <v>31</v>
      </c>
      <c r="B134" s="28" t="s">
        <v>42</v>
      </c>
      <c r="C134" s="28" t="s">
        <v>33</v>
      </c>
      <c r="D134" s="28" t="s">
        <v>33</v>
      </c>
      <c r="E134" s="28" t="s">
        <v>33</v>
      </c>
      <c r="F134" s="28" t="s">
        <v>33</v>
      </c>
      <c r="G134" s="28" t="s">
        <v>34</v>
      </c>
      <c r="H134" s="28" t="s">
        <v>43</v>
      </c>
      <c r="I134" s="28" t="s">
        <v>36</v>
      </c>
      <c r="J134" s="28" t="s">
        <v>44</v>
      </c>
      <c r="K134" s="28" t="s">
        <v>45</v>
      </c>
      <c r="L134" s="29">
        <v>-452204.99909999978</v>
      </c>
      <c r="M134" s="29">
        <v>-120514</v>
      </c>
      <c r="N134" s="29">
        <v>21950.000100000005</v>
      </c>
      <c r="O134" s="29">
        <f t="shared" si="12"/>
        <v>-474154.99919999979</v>
      </c>
      <c r="P134" s="29">
        <v>-331690.99909999984</v>
      </c>
      <c r="Q134" s="29">
        <v>-22536</v>
      </c>
      <c r="R134" s="29">
        <v>-309155</v>
      </c>
      <c r="S134" s="29">
        <f t="shared" si="13"/>
        <v>-331691</v>
      </c>
      <c r="T134" s="29">
        <f t="shared" si="14"/>
        <v>9.00000159163028E-4</v>
      </c>
      <c r="U134" s="29"/>
      <c r="V134" s="40" t="s">
        <v>154</v>
      </c>
      <c r="W134" s="20">
        <f t="shared" si="11"/>
        <v>-142464.00009999995</v>
      </c>
    </row>
    <row r="135" spans="1:23" s="19" customFormat="1" ht="14.15" customHeight="1" x14ac:dyDescent="0.35">
      <c r="A135" s="28" t="s">
        <v>31</v>
      </c>
      <c r="B135" s="28" t="s">
        <v>42</v>
      </c>
      <c r="C135" s="28" t="s">
        <v>33</v>
      </c>
      <c r="D135" s="28" t="s">
        <v>33</v>
      </c>
      <c r="E135" s="28" t="s">
        <v>33</v>
      </c>
      <c r="F135" s="28" t="s">
        <v>33</v>
      </c>
      <c r="G135" s="28" t="s">
        <v>98</v>
      </c>
      <c r="H135" s="28" t="s">
        <v>43</v>
      </c>
      <c r="I135" s="28" t="s">
        <v>36</v>
      </c>
      <c r="J135" s="28" t="s">
        <v>44</v>
      </c>
      <c r="K135" s="28" t="s">
        <v>45</v>
      </c>
      <c r="L135" s="29">
        <v>-414629.9999</v>
      </c>
      <c r="M135" s="29">
        <v>-264630</v>
      </c>
      <c r="N135" s="29">
        <v>-396258.04000000004</v>
      </c>
      <c r="O135" s="29">
        <f t="shared" si="12"/>
        <v>-18371.959899999958</v>
      </c>
      <c r="P135" s="29">
        <v>-18371.959899999987</v>
      </c>
      <c r="Q135" s="29">
        <v>0</v>
      </c>
      <c r="R135" s="29">
        <v>-18372</v>
      </c>
      <c r="S135" s="29">
        <f t="shared" si="13"/>
        <v>-18372</v>
      </c>
      <c r="T135" s="29">
        <f t="shared" si="14"/>
        <v>4.0100000012898818E-2</v>
      </c>
      <c r="U135" s="29"/>
      <c r="V135" s="41"/>
      <c r="W135" s="20">
        <f t="shared" si="11"/>
        <v>2.9103830456733704E-11</v>
      </c>
    </row>
    <row r="136" spans="1:23" s="19" customFormat="1" ht="14.15" customHeight="1" x14ac:dyDescent="0.35">
      <c r="A136" s="28" t="s">
        <v>31</v>
      </c>
      <c r="B136" s="28" t="s">
        <v>42</v>
      </c>
      <c r="C136" s="28" t="s">
        <v>33</v>
      </c>
      <c r="D136" s="28" t="s">
        <v>33</v>
      </c>
      <c r="E136" s="28" t="s">
        <v>33</v>
      </c>
      <c r="F136" s="28" t="s">
        <v>33</v>
      </c>
      <c r="G136" s="28" t="s">
        <v>98</v>
      </c>
      <c r="H136" s="28" t="s">
        <v>43</v>
      </c>
      <c r="I136" s="28" t="s">
        <v>36</v>
      </c>
      <c r="J136" s="28" t="s">
        <v>99</v>
      </c>
      <c r="K136" s="28" t="s">
        <v>100</v>
      </c>
      <c r="L136" s="29">
        <v>-85000</v>
      </c>
      <c r="M136" s="29">
        <v>-85000</v>
      </c>
      <c r="N136" s="29">
        <v>0</v>
      </c>
      <c r="O136" s="29">
        <f t="shared" si="12"/>
        <v>-85000</v>
      </c>
      <c r="P136" s="29">
        <v>0</v>
      </c>
      <c r="Q136" s="29">
        <v>0</v>
      </c>
      <c r="R136" s="29">
        <v>0</v>
      </c>
      <c r="S136" s="29">
        <f t="shared" si="13"/>
        <v>0</v>
      </c>
      <c r="T136" s="29">
        <f t="shared" si="14"/>
        <v>0</v>
      </c>
      <c r="U136" s="29"/>
      <c r="V136" s="41"/>
      <c r="W136" s="20">
        <f t="shared" si="11"/>
        <v>-85000</v>
      </c>
    </row>
    <row r="137" spans="1:23" s="19" customFormat="1" ht="14.15" customHeight="1" x14ac:dyDescent="0.35">
      <c r="A137" s="28" t="s">
        <v>31</v>
      </c>
      <c r="B137" s="28" t="s">
        <v>42</v>
      </c>
      <c r="C137" s="28" t="s">
        <v>33</v>
      </c>
      <c r="D137" s="28" t="s">
        <v>33</v>
      </c>
      <c r="E137" s="28" t="s">
        <v>33</v>
      </c>
      <c r="F137" s="28" t="s">
        <v>33</v>
      </c>
      <c r="G137" s="28" t="s">
        <v>98</v>
      </c>
      <c r="H137" s="28" t="s">
        <v>43</v>
      </c>
      <c r="I137" s="28" t="s">
        <v>36</v>
      </c>
      <c r="J137" s="28" t="s">
        <v>101</v>
      </c>
      <c r="K137" s="28" t="s">
        <v>102</v>
      </c>
      <c r="L137" s="29">
        <v>-237927</v>
      </c>
      <c r="M137" s="29">
        <v>0</v>
      </c>
      <c r="N137" s="29">
        <v>-230000</v>
      </c>
      <c r="O137" s="29">
        <f t="shared" si="12"/>
        <v>-7927</v>
      </c>
      <c r="P137" s="29">
        <v>-7927</v>
      </c>
      <c r="Q137" s="29">
        <v>0</v>
      </c>
      <c r="R137" s="29">
        <v>-7927</v>
      </c>
      <c r="S137" s="29">
        <f t="shared" si="13"/>
        <v>-7927</v>
      </c>
      <c r="T137" s="29">
        <f t="shared" si="14"/>
        <v>0</v>
      </c>
      <c r="U137" s="29"/>
      <c r="V137" s="41"/>
      <c r="W137" s="20">
        <f t="shared" si="11"/>
        <v>0</v>
      </c>
    </row>
    <row r="138" spans="1:23" s="19" customFormat="1" ht="14.15" customHeight="1" x14ac:dyDescent="0.35">
      <c r="A138" s="28" t="s">
        <v>31</v>
      </c>
      <c r="B138" s="28" t="s">
        <v>42</v>
      </c>
      <c r="C138" s="28" t="s">
        <v>33</v>
      </c>
      <c r="D138" s="28" t="s">
        <v>33</v>
      </c>
      <c r="E138" s="28" t="s">
        <v>33</v>
      </c>
      <c r="F138" s="28" t="s">
        <v>33</v>
      </c>
      <c r="G138" s="28" t="s">
        <v>98</v>
      </c>
      <c r="H138" s="28" t="s">
        <v>43</v>
      </c>
      <c r="I138" s="28" t="s">
        <v>36</v>
      </c>
      <c r="J138" s="28" t="s">
        <v>103</v>
      </c>
      <c r="K138" s="28" t="s">
        <v>104</v>
      </c>
      <c r="L138" s="29">
        <v>-150000</v>
      </c>
      <c r="M138" s="29">
        <v>0</v>
      </c>
      <c r="N138" s="29">
        <v>0</v>
      </c>
      <c r="O138" s="29">
        <f t="shared" ref="O138:O143" si="15">+L138-N138</f>
        <v>-150000</v>
      </c>
      <c r="P138" s="29">
        <v>-150000</v>
      </c>
      <c r="Q138" s="29">
        <v>0</v>
      </c>
      <c r="R138" s="29">
        <v>-150000</v>
      </c>
      <c r="S138" s="29">
        <f t="shared" ref="S138:S143" si="16">+Q138+R138</f>
        <v>-150000</v>
      </c>
      <c r="T138" s="29">
        <f t="shared" ref="T138:T143" si="17">+P138-S138</f>
        <v>0</v>
      </c>
      <c r="U138" s="29"/>
      <c r="V138" s="41"/>
      <c r="W138" s="20">
        <f t="shared" si="11"/>
        <v>0</v>
      </c>
    </row>
    <row r="139" spans="1:23" s="19" customFormat="1" ht="14.15" customHeight="1" x14ac:dyDescent="0.35">
      <c r="A139" s="28" t="s">
        <v>31</v>
      </c>
      <c r="B139" s="28" t="s">
        <v>42</v>
      </c>
      <c r="C139" s="28" t="s">
        <v>33</v>
      </c>
      <c r="D139" s="28" t="s">
        <v>33</v>
      </c>
      <c r="E139" s="28" t="s">
        <v>33</v>
      </c>
      <c r="F139" s="28" t="s">
        <v>33</v>
      </c>
      <c r="G139" s="28" t="s">
        <v>114</v>
      </c>
      <c r="H139" s="28" t="s">
        <v>43</v>
      </c>
      <c r="I139" s="28" t="s">
        <v>36</v>
      </c>
      <c r="J139" s="28" t="s">
        <v>44</v>
      </c>
      <c r="K139" s="28" t="s">
        <v>45</v>
      </c>
      <c r="L139" s="29">
        <v>-400000</v>
      </c>
      <c r="M139" s="29">
        <v>-250000</v>
      </c>
      <c r="N139" s="29">
        <v>0</v>
      </c>
      <c r="O139" s="29">
        <f t="shared" si="15"/>
        <v>-400000</v>
      </c>
      <c r="P139" s="29">
        <v>-150000</v>
      </c>
      <c r="Q139" s="29">
        <v>0</v>
      </c>
      <c r="R139" s="29">
        <v>-150000</v>
      </c>
      <c r="S139" s="29">
        <f t="shared" si="16"/>
        <v>-150000</v>
      </c>
      <c r="T139" s="29">
        <f t="shared" si="17"/>
        <v>0</v>
      </c>
      <c r="U139" s="29"/>
      <c r="V139" s="41"/>
      <c r="W139" s="20">
        <f t="shared" ref="W139:W143" si="18">+O139-P139</f>
        <v>-250000</v>
      </c>
    </row>
    <row r="140" spans="1:23" s="19" customFormat="1" ht="14.15" customHeight="1" x14ac:dyDescent="0.35">
      <c r="A140" s="28" t="s">
        <v>31</v>
      </c>
      <c r="B140" s="28" t="s">
        <v>42</v>
      </c>
      <c r="C140" s="28" t="s">
        <v>33</v>
      </c>
      <c r="D140" s="28" t="s">
        <v>33</v>
      </c>
      <c r="E140" s="28" t="s">
        <v>33</v>
      </c>
      <c r="F140" s="28" t="s">
        <v>33</v>
      </c>
      <c r="G140" s="28" t="s">
        <v>114</v>
      </c>
      <c r="H140" s="28" t="s">
        <v>43</v>
      </c>
      <c r="I140" s="28" t="s">
        <v>36</v>
      </c>
      <c r="J140" s="28" t="s">
        <v>115</v>
      </c>
      <c r="K140" s="28" t="s">
        <v>116</v>
      </c>
      <c r="L140" s="29">
        <v>-700000</v>
      </c>
      <c r="M140" s="29">
        <v>0</v>
      </c>
      <c r="N140" s="29">
        <v>0</v>
      </c>
      <c r="O140" s="29">
        <f t="shared" si="15"/>
        <v>-700000</v>
      </c>
      <c r="P140" s="29">
        <v>-700000</v>
      </c>
      <c r="Q140" s="29">
        <v>-700000</v>
      </c>
      <c r="R140" s="29">
        <v>0</v>
      </c>
      <c r="S140" s="29">
        <f t="shared" si="16"/>
        <v>-700000</v>
      </c>
      <c r="T140" s="29">
        <f t="shared" si="17"/>
        <v>0</v>
      </c>
      <c r="U140" s="29"/>
      <c r="V140" s="41"/>
      <c r="W140" s="20">
        <f t="shared" si="18"/>
        <v>0</v>
      </c>
    </row>
    <row r="141" spans="1:23" s="19" customFormat="1" ht="14.15" x14ac:dyDescent="0.35">
      <c r="A141" s="28" t="s">
        <v>31</v>
      </c>
      <c r="B141" s="28" t="s">
        <v>32</v>
      </c>
      <c r="C141" s="28" t="s">
        <v>33</v>
      </c>
      <c r="D141" s="28" t="s">
        <v>33</v>
      </c>
      <c r="E141" s="28" t="s">
        <v>33</v>
      </c>
      <c r="F141" s="28" t="s">
        <v>33</v>
      </c>
      <c r="G141" s="28" t="s">
        <v>34</v>
      </c>
      <c r="H141" s="28" t="s">
        <v>35</v>
      </c>
      <c r="I141" s="28" t="s">
        <v>36</v>
      </c>
      <c r="J141" s="28" t="s">
        <v>37</v>
      </c>
      <c r="K141" s="28" t="s">
        <v>38</v>
      </c>
      <c r="L141" s="29">
        <v>-27299999.999799997</v>
      </c>
      <c r="M141" s="29">
        <v>0</v>
      </c>
      <c r="N141" s="29">
        <v>-27300000</v>
      </c>
      <c r="O141" s="29">
        <f t="shared" si="15"/>
        <v>2.0000338554382324E-4</v>
      </c>
      <c r="P141" s="29">
        <v>0</v>
      </c>
      <c r="Q141" s="29">
        <v>0</v>
      </c>
      <c r="R141" s="29">
        <v>0</v>
      </c>
      <c r="S141" s="29">
        <f t="shared" si="16"/>
        <v>0</v>
      </c>
      <c r="T141" s="29">
        <f t="shared" si="17"/>
        <v>0</v>
      </c>
      <c r="U141" s="29"/>
      <c r="V141" s="29"/>
      <c r="W141" s="20">
        <f t="shared" si="18"/>
        <v>2.0000338554382324E-4</v>
      </c>
    </row>
    <row r="142" spans="1:23" s="19" customFormat="1" ht="14.15" x14ac:dyDescent="0.35">
      <c r="A142" s="28" t="s">
        <v>31</v>
      </c>
      <c r="B142" s="28" t="s">
        <v>32</v>
      </c>
      <c r="C142" s="28" t="s">
        <v>33</v>
      </c>
      <c r="D142" s="28" t="s">
        <v>33</v>
      </c>
      <c r="E142" s="28" t="s">
        <v>33</v>
      </c>
      <c r="F142" s="28" t="s">
        <v>33</v>
      </c>
      <c r="G142" s="28" t="s">
        <v>34</v>
      </c>
      <c r="H142" s="28" t="s">
        <v>39</v>
      </c>
      <c r="I142" s="28" t="s">
        <v>36</v>
      </c>
      <c r="J142" s="28" t="s">
        <v>40</v>
      </c>
      <c r="K142" s="28" t="s">
        <v>40</v>
      </c>
      <c r="L142" s="29">
        <v>-67800000</v>
      </c>
      <c r="M142" s="29">
        <v>0</v>
      </c>
      <c r="N142" s="29">
        <v>-67800000</v>
      </c>
      <c r="O142" s="29">
        <f t="shared" si="15"/>
        <v>0</v>
      </c>
      <c r="P142" s="29">
        <v>0</v>
      </c>
      <c r="Q142" s="29">
        <v>0</v>
      </c>
      <c r="R142" s="29">
        <v>0</v>
      </c>
      <c r="S142" s="29">
        <f t="shared" si="16"/>
        <v>0</v>
      </c>
      <c r="T142" s="29">
        <f t="shared" si="17"/>
        <v>0</v>
      </c>
      <c r="U142" s="29"/>
      <c r="V142" s="29"/>
      <c r="W142" s="20">
        <f t="shared" si="18"/>
        <v>0</v>
      </c>
    </row>
    <row r="143" spans="1:23" s="19" customFormat="1" ht="14.15" x14ac:dyDescent="0.35">
      <c r="A143" s="28" t="s">
        <v>31</v>
      </c>
      <c r="B143" s="28" t="s">
        <v>32</v>
      </c>
      <c r="C143" s="28" t="s">
        <v>33</v>
      </c>
      <c r="D143" s="28" t="s">
        <v>33</v>
      </c>
      <c r="E143" s="28" t="s">
        <v>33</v>
      </c>
      <c r="F143" s="28" t="s">
        <v>33</v>
      </c>
      <c r="G143" s="28" t="s">
        <v>34</v>
      </c>
      <c r="H143" s="28" t="s">
        <v>41</v>
      </c>
      <c r="I143" s="28" t="s">
        <v>36</v>
      </c>
      <c r="J143" s="28" t="s">
        <v>40</v>
      </c>
      <c r="K143" s="28" t="s">
        <v>40</v>
      </c>
      <c r="L143" s="29">
        <v>-11000000</v>
      </c>
      <c r="M143" s="29">
        <v>0</v>
      </c>
      <c r="N143" s="29">
        <v>-11000000</v>
      </c>
      <c r="O143" s="29">
        <f t="shared" si="15"/>
        <v>0</v>
      </c>
      <c r="P143" s="29">
        <v>0</v>
      </c>
      <c r="Q143" s="29">
        <v>0</v>
      </c>
      <c r="R143" s="29">
        <v>0</v>
      </c>
      <c r="S143" s="29">
        <f t="shared" si="16"/>
        <v>0</v>
      </c>
      <c r="T143" s="29">
        <f t="shared" si="17"/>
        <v>0</v>
      </c>
      <c r="U143" s="29"/>
      <c r="V143" s="29"/>
      <c r="W143" s="20">
        <f t="shared" si="18"/>
        <v>0</v>
      </c>
    </row>
  </sheetData>
  <autoFilter ref="A8:W143" xr:uid="{00000000-0001-0000-0000-000000000000}"/>
  <sortState xmlns:xlrd2="http://schemas.microsoft.com/office/spreadsheetml/2017/richdata2" ref="A46:W73">
    <sortCondition ref="E46:E73"/>
  </sortState>
  <mergeCells count="26">
    <mergeCell ref="O2:V3"/>
    <mergeCell ref="V10:V15"/>
    <mergeCell ref="V16:V17"/>
    <mergeCell ref="V18:V22"/>
    <mergeCell ref="L7:P7"/>
    <mergeCell ref="Q7:S7"/>
    <mergeCell ref="T7:T8"/>
    <mergeCell ref="U7:U8"/>
    <mergeCell ref="V7:V8"/>
    <mergeCell ref="V23:V35"/>
    <mergeCell ref="V36:V42"/>
    <mergeCell ref="V43:V45"/>
    <mergeCell ref="V46:V50"/>
    <mergeCell ref="V51:V55"/>
    <mergeCell ref="V84:V89"/>
    <mergeCell ref="V90:V96"/>
    <mergeCell ref="V97:V102"/>
    <mergeCell ref="V56:V60"/>
    <mergeCell ref="V63:V68"/>
    <mergeCell ref="V69:V73"/>
    <mergeCell ref="V74:V83"/>
    <mergeCell ref="V103:V111"/>
    <mergeCell ref="V112:V116"/>
    <mergeCell ref="V117:V126"/>
    <mergeCell ref="V127:V133"/>
    <mergeCell ref="V134:V140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3E417755ECBB5488FF4B606C352B7C3" ma:contentTypeVersion="12" ma:contentTypeDescription="Create a new document." ma:contentTypeScope="" ma:versionID="9ab43159307ffeb10efcb846df9f4aef">
  <xsd:schema xmlns:xsd="http://www.w3.org/2001/XMLSchema" xmlns:xs="http://www.w3.org/2001/XMLSchema" xmlns:p="http://schemas.microsoft.com/office/2006/metadata/properties" xmlns:ns2="e6f0d7a7-7317-4211-b722-0acf268d17fd" xmlns:ns3="9b483750-598d-46a0-877d-052f8f804d23" targetNamespace="http://schemas.microsoft.com/office/2006/metadata/properties" ma:root="true" ma:fieldsID="e2744a43c863a08ed2f9f63c7f461221" ns2:_="" ns3:_="">
    <xsd:import namespace="e6f0d7a7-7317-4211-b722-0acf268d17fd"/>
    <xsd:import namespace="9b483750-598d-46a0-877d-052f8f804d2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f0d7a7-7317-4211-b722-0acf268d17f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8bf6974d-894c-4b76-94e9-da4eaeb0c3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483750-598d-46a0-877d-052f8f804d2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3f02065d-4fa9-4554-ae9c-ae72b0922f8b}" ma:internalName="TaxCatchAll" ma:showField="CatchAllData" ma:web="9b483750-598d-46a0-877d-052f8f804d2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b483750-598d-46a0-877d-052f8f804d23" xsi:nil="true"/>
    <lcf76f155ced4ddcb4097134ff3c332f xmlns="e6f0d7a7-7317-4211-b722-0acf268d17fd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7DB6EC8-32D7-4601-9EC8-201294C4CE0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6f0d7a7-7317-4211-b722-0acf268d17fd"/>
    <ds:schemaRef ds:uri="9b483750-598d-46a0-877d-052f8f804d2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D4DDA03-9182-4F63-AA07-D8309F45102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507F096-2622-4E41-90A2-D924466DACB9}">
  <ds:schemaRefs>
    <ds:schemaRef ds:uri="http://www.w3.org/XML/1998/namespace"/>
    <ds:schemaRef ds:uri="http://purl.org/dc/elements/1.1/"/>
    <ds:schemaRef ds:uri="http://schemas.microsoft.com/office/infopath/2007/PartnerControls"/>
    <ds:schemaRef ds:uri="http://purl.org/dc/dcmitype/"/>
    <ds:schemaRef ds:uri="9b483750-598d-46a0-877d-052f8f804d23"/>
    <ds:schemaRef ds:uri="http://schemas.microsoft.com/office/2006/documentManagement/types"/>
    <ds:schemaRef ds:uri="e6f0d7a7-7317-4211-b722-0acf268d17fd"/>
    <ds:schemaRef ds:uri="http://schemas.openxmlformats.org/package/2006/metadata/core-properties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Val-ala_14.04.26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Helena Siemann - MKM</dc:creator>
  <cp:lastModifiedBy>Helena Siemann - MKM</cp:lastModifiedBy>
  <dcterms:created xsi:type="dcterms:W3CDTF">2026-03-18T08:06:34Z</dcterms:created>
  <dcterms:modified xsi:type="dcterms:W3CDTF">2026-05-04T11:45:05Z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2026-03-18T08:06:49Z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8fe098d2-428d-4bd4-9803-7195fe96f0e2</vt:lpwstr>
  </property>
  <property fmtid="{D5CDD505-2E9C-101B-9397-08002B2CF9AE}" pid="7" name="MSIP_Label_defa4170-0d19-0005-0004-bc88714345d2_ActionId">
    <vt:lpwstr>04168016-b624-4368-a3d4-8aa00e3e2877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  <property fmtid="{D5CDD505-2E9C-101B-9397-08002B2CF9AE}" pid="10" name="ContentTypeId">
    <vt:lpwstr>0x01010093E417755ECBB5488FF4B606C352B7C3</vt:lpwstr>
  </property>
  <property fmtid="{D5CDD505-2E9C-101B-9397-08002B2CF9AE}" pid="11" name="MediaServiceImageTags">
    <vt:lpwstr/>
  </property>
</Properties>
</file>