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astaaruanne 2025\"/>
    </mc:Choice>
  </mc:AlternateContent>
  <xr:revisionPtr revIDLastSave="0" documentId="13_ncr:1_{A7D9298B-D190-4CAA-9266-41BDA0EAB7C9}" xr6:coauthVersionLast="47" xr6:coauthVersionMax="47" xr10:uidLastSave="{00000000-0000-0000-0000-000000000000}"/>
  <bookViews>
    <workbookView xWindow="-120" yWindow="-120" windowWidth="29040" windowHeight="15720" xr2:uid="{4D1749CD-7348-40E3-9063-2FA36ECE44CB}"/>
  </bookViews>
  <sheets>
    <sheet name="aruanne" sheetId="1" r:id="rId1"/>
    <sheet name="LISA" sheetId="13" r:id="rId2"/>
    <sheet name="vordlus" sheetId="2" r:id="rId3"/>
    <sheet name="lisa1" sheetId="4" r:id="rId4"/>
  </sheets>
  <definedNames>
    <definedName name="_xlnm._FilterDatabase" localSheetId="0" hidden="1">aruanne!$A$3:$K$41</definedName>
    <definedName name="_xlnm._FilterDatabase" localSheetId="2" hidden="1">vordlus!$A$4:$I$17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8" i="13" l="1"/>
  <c r="D68" i="13"/>
  <c r="F7" i="13"/>
  <c r="E39" i="13" l="1"/>
  <c r="D155" i="13" l="1"/>
  <c r="D171" i="13"/>
  <c r="D162" i="13"/>
  <c r="G28" i="13"/>
  <c r="G93" i="13"/>
  <c r="I9" i="2"/>
  <c r="E164" i="13"/>
  <c r="E161" i="13"/>
  <c r="E129" i="13"/>
  <c r="E98" i="13"/>
  <c r="E32" i="13"/>
  <c r="E33" i="13"/>
  <c r="E36" i="13"/>
  <c r="E7" i="1"/>
  <c r="D6" i="2" s="1"/>
  <c r="F171" i="13" l="1"/>
  <c r="E171" i="13"/>
  <c r="F161" i="13"/>
  <c r="F157" i="13"/>
  <c r="F158" i="13"/>
  <c r="F162" i="13"/>
  <c r="E162" i="13"/>
  <c r="E156" i="13"/>
  <c r="F159" i="13"/>
  <c r="E159" i="13"/>
  <c r="F175" i="13"/>
  <c r="F153" i="13" s="1"/>
  <c r="E175" i="13"/>
  <c r="E153" i="13" s="1"/>
  <c r="D175" i="13"/>
  <c r="G176" i="13"/>
  <c r="G177" i="13"/>
  <c r="G178" i="13"/>
  <c r="G173" i="13"/>
  <c r="G172" i="13"/>
  <c r="G170" i="13"/>
  <c r="F168" i="13"/>
  <c r="D168" i="13"/>
  <c r="G167" i="13"/>
  <c r="G165" i="13"/>
  <c r="F126" i="13"/>
  <c r="E124" i="13"/>
  <c r="G124" i="13" s="1"/>
  <c r="F127" i="13"/>
  <c r="E127" i="13"/>
  <c r="D127" i="13"/>
  <c r="F129" i="13"/>
  <c r="F125" i="13"/>
  <c r="E144" i="13"/>
  <c r="E121" i="13" s="1"/>
  <c r="F144" i="13"/>
  <c r="F121" i="13" s="1"/>
  <c r="G145" i="13"/>
  <c r="G147" i="13"/>
  <c r="F136" i="13"/>
  <c r="D144" i="13"/>
  <c r="D121" i="13" s="1"/>
  <c r="G146" i="13"/>
  <c r="E139" i="13"/>
  <c r="G140" i="13"/>
  <c r="G138" i="13"/>
  <c r="F130" i="13"/>
  <c r="G135" i="13"/>
  <c r="G133" i="13"/>
  <c r="G127" i="13" s="1"/>
  <c r="G131" i="13"/>
  <c r="E132" i="13"/>
  <c r="F33" i="13"/>
  <c r="E31" i="13"/>
  <c r="G31" i="13" s="1"/>
  <c r="F36" i="13"/>
  <c r="F32" i="13"/>
  <c r="D37" i="13"/>
  <c r="G51" i="13"/>
  <c r="G52" i="13"/>
  <c r="G53" i="13"/>
  <c r="F50" i="13"/>
  <c r="F28" i="13" s="1"/>
  <c r="E50" i="13"/>
  <c r="E28" i="13" s="1"/>
  <c r="D50" i="13"/>
  <c r="G47" i="13"/>
  <c r="F46" i="13"/>
  <c r="E46" i="13"/>
  <c r="G48" i="13"/>
  <c r="F105" i="13"/>
  <c r="G153" i="13" l="1"/>
  <c r="G159" i="13"/>
  <c r="G156" i="13"/>
  <c r="G175" i="13"/>
  <c r="G144" i="13"/>
  <c r="G121" i="13" s="1"/>
  <c r="G50" i="13"/>
  <c r="F43" i="13" l="1"/>
  <c r="G45" i="13"/>
  <c r="F37" i="13"/>
  <c r="G42" i="13"/>
  <c r="G40" i="13"/>
  <c r="E34" i="13"/>
  <c r="F34" i="13"/>
  <c r="E37" i="13"/>
  <c r="F98" i="13"/>
  <c r="F95" i="13"/>
  <c r="F94" i="13"/>
  <c r="E93" i="13"/>
  <c r="G113" i="13"/>
  <c r="G114" i="13"/>
  <c r="G115" i="13"/>
  <c r="F112" i="13"/>
  <c r="F90" i="13" s="1"/>
  <c r="E112" i="13"/>
  <c r="E90" i="13" s="1"/>
  <c r="D112" i="13"/>
  <c r="D90" i="13" s="1"/>
  <c r="G110" i="13"/>
  <c r="G109" i="13"/>
  <c r="F108" i="13"/>
  <c r="E108" i="13"/>
  <c r="D108" i="13"/>
  <c r="D105" i="13"/>
  <c r="E107" i="13"/>
  <c r="G107" i="13" s="1"/>
  <c r="F99" i="13"/>
  <c r="F96" i="13"/>
  <c r="E96" i="13"/>
  <c r="D96" i="13"/>
  <c r="G104" i="13"/>
  <c r="G102" i="13"/>
  <c r="E103" i="13"/>
  <c r="E101" i="13"/>
  <c r="F60" i="13"/>
  <c r="F67" i="13"/>
  <c r="F66" i="13"/>
  <c r="E66" i="13"/>
  <c r="F65" i="13"/>
  <c r="E65" i="13"/>
  <c r="F64" i="13"/>
  <c r="F63" i="13"/>
  <c r="E62" i="13"/>
  <c r="G62" i="13" s="1"/>
  <c r="D63" i="13"/>
  <c r="F77" i="13"/>
  <c r="F58" i="13" s="1"/>
  <c r="E77" i="13"/>
  <c r="E58" i="13" s="1"/>
  <c r="D77" i="13"/>
  <c r="G79" i="13"/>
  <c r="D65" i="13"/>
  <c r="D67" i="13"/>
  <c r="F68" i="13"/>
  <c r="F56" i="13" s="1"/>
  <c r="G73" i="13"/>
  <c r="G71" i="13"/>
  <c r="E70" i="13"/>
  <c r="E68" i="13" s="1"/>
  <c r="E56" i="13" s="1"/>
  <c r="D64" i="13"/>
  <c r="G84" i="13"/>
  <c r="G83" i="13"/>
  <c r="G82" i="13"/>
  <c r="F81" i="13"/>
  <c r="F59" i="13" s="1"/>
  <c r="E81" i="13"/>
  <c r="E59" i="13" s="1"/>
  <c r="D81" i="13"/>
  <c r="D59" i="13" s="1"/>
  <c r="D22" i="13" s="1"/>
  <c r="D16" i="13" s="1"/>
  <c r="D10" i="13" s="1"/>
  <c r="F74" i="13"/>
  <c r="F57" i="13" s="1"/>
  <c r="D74" i="13"/>
  <c r="E76" i="13"/>
  <c r="G76" i="13" s="1"/>
  <c r="E8" i="1"/>
  <c r="C14" i="2"/>
  <c r="C12" i="2"/>
  <c r="E30" i="1"/>
  <c r="E12" i="1"/>
  <c r="E22" i="13" l="1"/>
  <c r="E16" i="13" s="1"/>
  <c r="E10" i="13" s="1"/>
  <c r="F22" i="13"/>
  <c r="G34" i="13"/>
  <c r="G112" i="13"/>
  <c r="G90" i="13" s="1"/>
  <c r="G96" i="13"/>
  <c r="E64" i="13"/>
  <c r="G65" i="13"/>
  <c r="G81" i="13"/>
  <c r="G59" i="13" l="1"/>
  <c r="G22" i="13" l="1"/>
  <c r="F16" i="13"/>
  <c r="G16" i="13" l="1"/>
  <c r="F10" i="13"/>
  <c r="C10" i="2" l="1"/>
  <c r="C3" i="2" s="1"/>
  <c r="D9" i="2"/>
  <c r="E9" i="2" s="1"/>
  <c r="G10" i="1"/>
  <c r="E11" i="1"/>
  <c r="D30" i="1"/>
  <c r="D32" i="1"/>
  <c r="F182" i="13"/>
  <c r="F180" i="13" s="1"/>
  <c r="E182" i="13"/>
  <c r="G183" i="13"/>
  <c r="D180" i="13"/>
  <c r="G182" i="13" l="1"/>
  <c r="G10" i="13"/>
  <c r="C13" i="4" l="1"/>
  <c r="E181" i="13" l="1"/>
  <c r="E180" i="13" l="1"/>
  <c r="G180" i="13" s="1"/>
  <c r="G181" i="13"/>
  <c r="D31" i="1" l="1"/>
  <c r="G15" i="2" l="1"/>
  <c r="G14" i="2"/>
  <c r="G12" i="2"/>
  <c r="G3" i="2" s="1"/>
  <c r="E29" i="1" l="1"/>
  <c r="E179" i="13"/>
  <c r="E152" i="13"/>
  <c r="D152" i="13"/>
  <c r="E169" i="13"/>
  <c r="E168" i="13" s="1"/>
  <c r="F151" i="13"/>
  <c r="D151" i="13"/>
  <c r="E160" i="13"/>
  <c r="F150" i="13"/>
  <c r="E28" i="1" s="1"/>
  <c r="D150" i="13"/>
  <c r="C28" i="1" s="1"/>
  <c r="D161" i="13"/>
  <c r="F160" i="13"/>
  <c r="F155" i="13" s="1"/>
  <c r="D160" i="13"/>
  <c r="D158" i="13"/>
  <c r="D157" i="13"/>
  <c r="F154" i="13"/>
  <c r="D154" i="13"/>
  <c r="F128" i="13"/>
  <c r="D128" i="13"/>
  <c r="D126" i="13"/>
  <c r="D125" i="13"/>
  <c r="F139" i="13"/>
  <c r="D139" i="13"/>
  <c r="D120" i="13" s="1"/>
  <c r="G141" i="13"/>
  <c r="E148" i="13"/>
  <c r="E137" i="13"/>
  <c r="E136" i="13" s="1"/>
  <c r="D136" i="13"/>
  <c r="D119" i="13" s="1"/>
  <c r="D130" i="13"/>
  <c r="D118" i="13" s="1"/>
  <c r="C26" i="1" s="1"/>
  <c r="D129" i="13"/>
  <c r="F122" i="13"/>
  <c r="D122" i="13"/>
  <c r="E116" i="13"/>
  <c r="F89" i="13"/>
  <c r="D89" i="13"/>
  <c r="E106" i="13"/>
  <c r="E105" i="13" s="1"/>
  <c r="F88" i="13"/>
  <c r="E97" i="13"/>
  <c r="F87" i="13"/>
  <c r="E24" i="1" s="1"/>
  <c r="D99" i="13"/>
  <c r="D87" i="13" s="1"/>
  <c r="C24" i="1" s="1"/>
  <c r="D98" i="13"/>
  <c r="F97" i="13"/>
  <c r="F92" i="13" s="1"/>
  <c r="D97" i="13"/>
  <c r="D95" i="13"/>
  <c r="D94" i="13"/>
  <c r="F91" i="13"/>
  <c r="D91" i="13"/>
  <c r="E85" i="13"/>
  <c r="D58" i="13"/>
  <c r="E75" i="13"/>
  <c r="E63" i="13" s="1"/>
  <c r="D57" i="13"/>
  <c r="E22" i="1"/>
  <c r="D66" i="13"/>
  <c r="D61" i="13" s="1"/>
  <c r="D60" i="13"/>
  <c r="F27" i="13"/>
  <c r="D46" i="13"/>
  <c r="D27" i="13" s="1"/>
  <c r="F35" i="13"/>
  <c r="D35" i="13"/>
  <c r="D33" i="13"/>
  <c r="D32" i="13"/>
  <c r="E44" i="13"/>
  <c r="D43" i="13"/>
  <c r="D26" i="13" s="1"/>
  <c r="F25" i="13"/>
  <c r="E20" i="1" s="1"/>
  <c r="D25" i="13"/>
  <c r="C20" i="1" s="1"/>
  <c r="D29" i="13"/>
  <c r="F29" i="13"/>
  <c r="D36" i="13"/>
  <c r="E54" i="13"/>
  <c r="G54" i="13" s="1"/>
  <c r="F152" i="13" l="1"/>
  <c r="G152" i="13" s="1"/>
  <c r="G171" i="13"/>
  <c r="F120" i="13"/>
  <c r="F119" i="13"/>
  <c r="E67" i="13"/>
  <c r="E60" i="13"/>
  <c r="F61" i="13"/>
  <c r="G75" i="13"/>
  <c r="E74" i="13"/>
  <c r="E57" i="13" s="1"/>
  <c r="F23" i="13"/>
  <c r="F17" i="13" s="1"/>
  <c r="E43" i="13"/>
  <c r="E26" i="13" s="1"/>
  <c r="E128" i="13"/>
  <c r="G128" i="13" s="1"/>
  <c r="D21" i="13"/>
  <c r="D15" i="13" s="1"/>
  <c r="D9" i="13" s="1"/>
  <c r="D23" i="13"/>
  <c r="D17" i="13" s="1"/>
  <c r="D11" i="13" s="1"/>
  <c r="E126" i="13"/>
  <c r="G126" i="13" s="1"/>
  <c r="G161" i="13"/>
  <c r="G162" i="13"/>
  <c r="E157" i="13"/>
  <c r="E125" i="13"/>
  <c r="E94" i="13"/>
  <c r="F123" i="13"/>
  <c r="G38" i="13"/>
  <c r="G58" i="13"/>
  <c r="G106" i="13"/>
  <c r="D29" i="1"/>
  <c r="C29" i="1"/>
  <c r="G169" i="13"/>
  <c r="E151" i="13"/>
  <c r="G168" i="13"/>
  <c r="G160" i="13"/>
  <c r="D149" i="13"/>
  <c r="C27" i="1" s="1"/>
  <c r="G164" i="13"/>
  <c r="E158" i="13"/>
  <c r="G166" i="13"/>
  <c r="G174" i="13"/>
  <c r="G163" i="13"/>
  <c r="G179" i="13"/>
  <c r="E154" i="13"/>
  <c r="E120" i="13"/>
  <c r="G142" i="13"/>
  <c r="G143" i="13"/>
  <c r="E88" i="13"/>
  <c r="E130" i="13"/>
  <c r="G130" i="13" s="1"/>
  <c r="D123" i="13"/>
  <c r="E35" i="13"/>
  <c r="G35" i="13" s="1"/>
  <c r="D92" i="13"/>
  <c r="G105" i="13"/>
  <c r="D88" i="13"/>
  <c r="D20" i="13" s="1"/>
  <c r="D14" i="13" s="1"/>
  <c r="D8" i="13" s="1"/>
  <c r="G137" i="13"/>
  <c r="E119" i="13"/>
  <c r="D117" i="13"/>
  <c r="C25" i="1" s="1"/>
  <c r="F118" i="13"/>
  <c r="E26" i="1" s="1"/>
  <c r="G148" i="13"/>
  <c r="G132" i="13"/>
  <c r="G134" i="13"/>
  <c r="E122" i="13"/>
  <c r="E89" i="13"/>
  <c r="G97" i="13"/>
  <c r="F86" i="13"/>
  <c r="E23" i="1" s="1"/>
  <c r="E95" i="13"/>
  <c r="G95" i="13" s="1"/>
  <c r="G101" i="13"/>
  <c r="G103" i="13"/>
  <c r="E99" i="13"/>
  <c r="G99" i="13" s="1"/>
  <c r="G111" i="13"/>
  <c r="G100" i="13"/>
  <c r="G116" i="13"/>
  <c r="E91" i="13"/>
  <c r="G66" i="13"/>
  <c r="F55" i="13"/>
  <c r="E21" i="1" s="1"/>
  <c r="G70" i="13"/>
  <c r="G72" i="13"/>
  <c r="G69" i="13"/>
  <c r="G85" i="13"/>
  <c r="G64" i="13"/>
  <c r="G80" i="13"/>
  <c r="G77" i="13" s="1"/>
  <c r="E27" i="13"/>
  <c r="E29" i="13"/>
  <c r="G41" i="13"/>
  <c r="D30" i="13"/>
  <c r="G49" i="13"/>
  <c r="G39" i="13"/>
  <c r="D24" i="13"/>
  <c r="C19" i="1" s="1"/>
  <c r="E55" i="13" l="1"/>
  <c r="G157" i="13"/>
  <c r="E155" i="13"/>
  <c r="E123" i="13"/>
  <c r="F149" i="13"/>
  <c r="E27" i="1" s="1"/>
  <c r="F21" i="13"/>
  <c r="F15" i="13" s="1"/>
  <c r="F9" i="13" s="1"/>
  <c r="G120" i="13"/>
  <c r="G136" i="13"/>
  <c r="E30" i="13"/>
  <c r="E92" i="13"/>
  <c r="G74" i="13"/>
  <c r="G63" i="13"/>
  <c r="E61" i="13"/>
  <c r="E20" i="13"/>
  <c r="E14" i="13" s="1"/>
  <c r="D86" i="13"/>
  <c r="C23" i="1" s="1"/>
  <c r="E150" i="13"/>
  <c r="D28" i="1" s="1"/>
  <c r="E23" i="13"/>
  <c r="E17" i="13" s="1"/>
  <c r="E21" i="13"/>
  <c r="E15" i="13" s="1"/>
  <c r="E9" i="13" s="1"/>
  <c r="F19" i="13"/>
  <c r="F13" i="13" s="1"/>
  <c r="G98" i="13"/>
  <c r="G108" i="13"/>
  <c r="G89" i="13"/>
  <c r="G129" i="13"/>
  <c r="G94" i="13"/>
  <c r="G68" i="13"/>
  <c r="G125" i="13"/>
  <c r="G151" i="13"/>
  <c r="G60" i="13"/>
  <c r="G119" i="13"/>
  <c r="G154" i="13"/>
  <c r="G158" i="13"/>
  <c r="E25" i="13"/>
  <c r="G67" i="13"/>
  <c r="E118" i="13"/>
  <c r="G139" i="13"/>
  <c r="G33" i="13"/>
  <c r="G88" i="13"/>
  <c r="G27" i="13"/>
  <c r="F117" i="13"/>
  <c r="E25" i="1" s="1"/>
  <c r="G122" i="13"/>
  <c r="G91" i="13"/>
  <c r="E87" i="13"/>
  <c r="D24" i="1" s="1"/>
  <c r="G46" i="13"/>
  <c r="G29" i="13"/>
  <c r="G36" i="13"/>
  <c r="G37" i="13"/>
  <c r="F11" i="13"/>
  <c r="E8" i="13" l="1"/>
  <c r="G57" i="13"/>
  <c r="G150" i="13"/>
  <c r="G23" i="13"/>
  <c r="E149" i="13"/>
  <c r="G149" i="13" s="1"/>
  <c r="D20" i="1"/>
  <c r="E19" i="13"/>
  <c r="E13" i="13" s="1"/>
  <c r="E7" i="13" s="1"/>
  <c r="G21" i="13"/>
  <c r="G15" i="13"/>
  <c r="G118" i="13"/>
  <c r="D26" i="1"/>
  <c r="E117" i="13"/>
  <c r="G155" i="13"/>
  <c r="D22" i="1"/>
  <c r="G56" i="13"/>
  <c r="G55" i="13"/>
  <c r="G123" i="13"/>
  <c r="E86" i="13"/>
  <c r="D23" i="1" s="1"/>
  <c r="G87" i="13"/>
  <c r="G92" i="13"/>
  <c r="G61" i="13"/>
  <c r="G17" i="13"/>
  <c r="E24" i="13"/>
  <c r="G25" i="13"/>
  <c r="D27" i="1" l="1"/>
  <c r="G19" i="13"/>
  <c r="G9" i="13"/>
  <c r="D25" i="1"/>
  <c r="G117" i="13"/>
  <c r="D19" i="1"/>
  <c r="D21" i="1"/>
  <c r="G86" i="13"/>
  <c r="E11" i="13"/>
  <c r="E18" i="13"/>
  <c r="G13" i="13"/>
  <c r="G11" i="13" l="1"/>
  <c r="G7" i="13"/>
  <c r="E12" i="13"/>
  <c r="E6" i="13" l="1"/>
  <c r="F33" i="1" l="1"/>
  <c r="F30" i="1"/>
  <c r="F18" i="1"/>
  <c r="F16" i="1" s="1"/>
  <c r="F17" i="1"/>
  <c r="F8" i="1"/>
  <c r="F7" i="1"/>
  <c r="F5" i="1" l="1"/>
  <c r="F14" i="1"/>
  <c r="F15" i="1"/>
  <c r="F13" i="1" l="1"/>
  <c r="F40" i="1" s="1"/>
  <c r="H7" i="2" l="1"/>
  <c r="H8" i="2" l="1"/>
  <c r="I8" i="2" s="1"/>
  <c r="E18" i="1" l="1"/>
  <c r="D18" i="1" l="1"/>
  <c r="D17" i="1"/>
  <c r="G24" i="1" l="1"/>
  <c r="G23" i="1"/>
  <c r="E16" i="1"/>
  <c r="E14" i="1" s="1"/>
  <c r="D15" i="1" l="1"/>
  <c r="D16" i="1"/>
  <c r="D14" i="1" l="1"/>
  <c r="D7" i="2" l="1"/>
  <c r="D8" i="2"/>
  <c r="E8" i="2" s="1"/>
  <c r="G32" i="1" l="1"/>
  <c r="G31" i="1"/>
  <c r="G30" i="1"/>
  <c r="G29" i="1"/>
  <c r="G28" i="1"/>
  <c r="G27" i="1"/>
  <c r="G26" i="1"/>
  <c r="G25" i="1"/>
  <c r="G22" i="1"/>
  <c r="G21" i="1"/>
  <c r="G20" i="1"/>
  <c r="D12" i="1"/>
  <c r="D11" i="1"/>
  <c r="D9" i="1"/>
  <c r="D8" i="1"/>
  <c r="D7" i="1"/>
  <c r="D6" i="1"/>
  <c r="D16" i="2"/>
  <c r="D14" i="2" s="1"/>
  <c r="D13" i="2"/>
  <c r="D11" i="2"/>
  <c r="D10" i="2"/>
  <c r="D5" i="2"/>
  <c r="G7" i="1" l="1"/>
  <c r="G8" i="1"/>
  <c r="G18" i="1"/>
  <c r="G9" i="1"/>
  <c r="G11" i="1"/>
  <c r="G6" i="1"/>
  <c r="G12" i="1"/>
  <c r="H16" i="2"/>
  <c r="I16" i="2" s="1"/>
  <c r="H13" i="2"/>
  <c r="E10" i="2"/>
  <c r="E7" i="2"/>
  <c r="E6" i="2"/>
  <c r="E16" i="2"/>
  <c r="H11" i="2"/>
  <c r="H10" i="2"/>
  <c r="I10" i="2" s="1"/>
  <c r="I7" i="2"/>
  <c r="H6" i="2"/>
  <c r="I6" i="2" s="1"/>
  <c r="H5" i="2"/>
  <c r="E5" i="1"/>
  <c r="D5" i="1"/>
  <c r="C5" i="1"/>
  <c r="G16" i="1" l="1"/>
  <c r="G5" i="1"/>
  <c r="H14" i="2"/>
  <c r="H12" i="2"/>
  <c r="H3" i="2" s="1"/>
  <c r="D13" i="1"/>
  <c r="E15" i="2" l="1"/>
  <c r="E11" i="2"/>
  <c r="B6" i="4" l="1"/>
  <c r="B17" i="4" s="1"/>
  <c r="I15" i="2" l="1"/>
  <c r="E33" i="1"/>
  <c r="G14" i="1" l="1"/>
  <c r="E14" i="2"/>
  <c r="I13" i="2"/>
  <c r="I14" i="2"/>
  <c r="E5" i="2"/>
  <c r="E13" i="2"/>
  <c r="I11" i="2"/>
  <c r="I12" i="2" l="1"/>
  <c r="I5" i="2"/>
  <c r="I3" i="2" l="1"/>
  <c r="F26" i="13"/>
  <c r="F20" i="13" s="1"/>
  <c r="F30" i="13"/>
  <c r="G30" i="13" s="1"/>
  <c r="G43" i="13"/>
  <c r="G44" i="13"/>
  <c r="G32" i="13" l="1"/>
  <c r="G26" i="13"/>
  <c r="F24" i="13"/>
  <c r="G20" i="13"/>
  <c r="F14" i="13"/>
  <c r="F18" i="13"/>
  <c r="G18" i="13" s="1"/>
  <c r="E19" i="1" l="1"/>
  <c r="G24" i="13"/>
  <c r="G14" i="13"/>
  <c r="F12" i="13"/>
  <c r="G12" i="13" s="1"/>
  <c r="F8" i="13"/>
  <c r="G19" i="1" l="1"/>
  <c r="E17" i="1"/>
  <c r="F6" i="13"/>
  <c r="G6" i="13" s="1"/>
  <c r="G8" i="13"/>
  <c r="E15" i="1" l="1"/>
  <c r="G17" i="1"/>
  <c r="G15" i="1" l="1"/>
  <c r="E13" i="1"/>
  <c r="E40" i="1" s="1"/>
  <c r="D12" i="2" l="1"/>
  <c r="D3" i="2" s="1"/>
  <c r="G13" i="1"/>
  <c r="E12" i="2" l="1"/>
  <c r="E3" i="2" s="1"/>
  <c r="C22" i="1"/>
  <c r="C18" i="1" s="1"/>
  <c r="C16" i="1" s="1"/>
  <c r="C14" i="1" s="1"/>
  <c r="D56" i="13"/>
  <c r="D55" i="13" s="1"/>
  <c r="C21" i="1" s="1"/>
  <c r="C17" i="1" s="1"/>
  <c r="C15" i="1" s="1"/>
  <c r="C13" i="1" s="1"/>
  <c r="C6" i="4" s="1"/>
  <c r="C17" i="4" s="1"/>
  <c r="D19" i="13"/>
  <c r="D18" i="13" s="1"/>
  <c r="D13" i="13" l="1"/>
  <c r="D12" i="13" l="1"/>
  <c r="D7" i="13"/>
  <c r="D6" i="13" s="1"/>
</calcChain>
</file>

<file path=xl/sharedStrings.xml><?xml version="1.0" encoding="utf-8"?>
<sst xmlns="http://schemas.openxmlformats.org/spreadsheetml/2006/main" count="282" uniqueCount="89">
  <si>
    <t>eurodes</t>
  </si>
  <si>
    <t>Algne eelarve</t>
  </si>
  <si>
    <t>Lõplik eelarve</t>
  </si>
  <si>
    <t>Täitmine 2025</t>
  </si>
  <si>
    <t>Täitmine 2024</t>
  </si>
  <si>
    <t>Täitmine miinus lõplik eelarve</t>
  </si>
  <si>
    <t xml:space="preserve">VÄLISMINISTEERIUMI valitsemisala </t>
  </si>
  <si>
    <t xml:space="preserve">TULUD </t>
  </si>
  <si>
    <t>Riigilõivud</t>
  </si>
  <si>
    <t>Tulu majandustegevusest</t>
  </si>
  <si>
    <t>Saadud toetused</t>
  </si>
  <si>
    <t>Tulu põhivara ja varude müügist</t>
  </si>
  <si>
    <t>Trahvid ja muud varalised karistused</t>
  </si>
  <si>
    <t>Muud tulud</t>
  </si>
  <si>
    <t>Intressi- ja omanikutulud</t>
  </si>
  <si>
    <t>KULUD</t>
  </si>
  <si>
    <t>sh piirmääraga vahendid</t>
  </si>
  <si>
    <t>Tulemusvaldkond: VÄLISPOLIITIKA</t>
  </si>
  <si>
    <t>Välispoliitika programm</t>
  </si>
  <si>
    <t>Eesti julgeolekukeskkonna tugevdamine</t>
  </si>
  <si>
    <t>Eesti välispoliitiline osalus globaalsetes teemades</t>
  </si>
  <si>
    <t>Juriidiliste, konsulaar-, sanktsiooni- ja strateegilise kauba küsimuste lahendamine</t>
  </si>
  <si>
    <t>Eesti välismajandushuvide edendamine ja kaitse</t>
  </si>
  <si>
    <t>Arengukoostöö ja humanitaarabi koordineerimine</t>
  </si>
  <si>
    <t>Käibemaks</t>
  </si>
  <si>
    <t xml:space="preserve">INVESTEERINGUD </t>
  </si>
  <si>
    <t>sh käibemaks</t>
  </si>
  <si>
    <t>KORRIGEERIMISED</t>
  </si>
  <si>
    <t>Saadud välistoetuste kaasrahastamine teistelt riigiasutustelt</t>
  </si>
  <si>
    <t xml:space="preserve">JAOTAMATA </t>
  </si>
  <si>
    <t>Kulud</t>
  </si>
  <si>
    <t>Investeeringud</t>
  </si>
  <si>
    <t>Kontroll</t>
  </si>
  <si>
    <t>saldoandmik</t>
  </si>
  <si>
    <t>2025. a riigieelarve täitmise aruande lisa</t>
  </si>
  <si>
    <t>Seaduses toodud kulude detailsem jaotus asutuste, majandusliku sisu ja liikide lõikes</t>
  </si>
  <si>
    <t>Sh piirmääraga kulud</t>
  </si>
  <si>
    <t>Sh arvestuslikud kulud</t>
  </si>
  <si>
    <t>Sh välistoetus koos riigieelarvelise kaasfinantseeringuga</t>
  </si>
  <si>
    <t>Sh muud tuludest sõltuvad kulud</t>
  </si>
  <si>
    <t>Sh amortisatioon</t>
  </si>
  <si>
    <t>Sh amortisatsioon</t>
  </si>
  <si>
    <t>Programmi tegevus: Eesti julgeolekukeskkonna tugevdamine</t>
  </si>
  <si>
    <t>Välisministeerium</t>
  </si>
  <si>
    <t>Tuludest sõltuvate kulude tegelik limiit</t>
  </si>
  <si>
    <t>Tööjõukulud</t>
  </si>
  <si>
    <t>Majandamiskulud</t>
  </si>
  <si>
    <t>Sotsiaaltoetused</t>
  </si>
  <si>
    <t>Muud toetused</t>
  </si>
  <si>
    <t>Muud kulud, sh amortisatsioon</t>
  </si>
  <si>
    <t>Muud kulud</t>
  </si>
  <si>
    <t>Programmi tegevus: Eesti välispoliitiline osalus globaalsetes teemades</t>
  </si>
  <si>
    <t>Programmi tegevus: Juriidiliste, konsulaar-, sanktsiooni- ja strateegilise kauba küsimuste lahendamine</t>
  </si>
  <si>
    <t>Programmi tegevus: Eesti välismajandushuvide edendamine ja kaitse</t>
  </si>
  <si>
    <t>Programmi tegevus: Arengukoostöö ja humanitaarabi koordineerimine</t>
  </si>
  <si>
    <t xml:space="preserve">Lisa </t>
  </si>
  <si>
    <t>Eelarve täitmise ja raamatupidamisaruannete võrdlus</t>
  </si>
  <si>
    <t>Valitsemisala</t>
  </si>
  <si>
    <t>Kirje</t>
  </si>
  <si>
    <t>Raamatupidamisandmed 2024</t>
  </si>
  <si>
    <t>RE aruanne 2025</t>
  </si>
  <si>
    <t>Vahe 2025</t>
  </si>
  <si>
    <t>Selgitus</t>
  </si>
  <si>
    <t>RE aruanne 2024</t>
  </si>
  <si>
    <t>Vahe 2024</t>
  </si>
  <si>
    <t>VÄM</t>
  </si>
  <si>
    <t>Tulu põhivarade ja varude müügist</t>
  </si>
  <si>
    <t>Finantstulud</t>
  </si>
  <si>
    <t>Tegevuskulud, v.a käibemaksukulu</t>
  </si>
  <si>
    <t>Käibemaksukulu tegevuskuludelt</t>
  </si>
  <si>
    <t>15ettemaksed</t>
  </si>
  <si>
    <t>Käibemaksukulu investeeringutelt</t>
  </si>
  <si>
    <t>Lõpliku eelarve kujunemine</t>
  </si>
  <si>
    <t>Tulud</t>
  </si>
  <si>
    <t>Kulud, investeeringud</t>
  </si>
  <si>
    <t>Esialgne eelarve</t>
  </si>
  <si>
    <t>Üle toodud eelmisest aastast</t>
  </si>
  <si>
    <t>Muudatused 18.06.2025 lisaeelarve seaduse alusel</t>
  </si>
  <si>
    <t>Muudatused 03.12.2025 teise lisaeelarve seaduse alusel</t>
  </si>
  <si>
    <t>Sihtotstarbeliste vahendite reservist</t>
  </si>
  <si>
    <t>Eelarves kavandatud toetused</t>
  </si>
  <si>
    <t>Tegelikult saadud toetused ja avatud sildfinantseerimine</t>
  </si>
  <si>
    <t>Eelarves kavandatud välistoetuste kaasrahastamine</t>
  </si>
  <si>
    <t>Tegelikult majandustegevusest saadud tulu</t>
  </si>
  <si>
    <t>Eelarves kavandatud muud tuludest sõltuvad kulud</t>
  </si>
  <si>
    <t>Tegelikud muud tuludest sõltuvad kulud</t>
  </si>
  <si>
    <t>Kokku lõplik eelarve</t>
  </si>
  <si>
    <t>2025. aasta riigieelarve täitmise aruanne</t>
  </si>
  <si>
    <t>Raamatupidamisandmed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</si>
</sst>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color theme="5" tint="-0.499984740745262"/>
      <name val="Times New Roman"/>
      <family val="1"/>
      <charset val="186"/>
    </font>
    <font>
      <b/>
      <sz val="12"/>
      <color theme="5" tint="-0.49998474074526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</cellStyleXfs>
  <cellXfs count="87">
    <xf numFmtId="0" fontId="0" fillId="0" borderId="0" xfId="0"/>
    <xf numFmtId="3" fontId="4" fillId="0" borderId="0" xfId="0" applyNumberFormat="1" applyFont="1"/>
    <xf numFmtId="3" fontId="0" fillId="0" borderId="0" xfId="0" applyNumberFormat="1"/>
    <xf numFmtId="0" fontId="0" fillId="0" borderId="1" xfId="0" applyBorder="1"/>
    <xf numFmtId="3" fontId="3" fillId="0" borderId="1" xfId="0" applyNumberFormat="1" applyFont="1" applyBorder="1" applyAlignment="1">
      <alignment horizontal="center" wrapText="1"/>
    </xf>
    <xf numFmtId="3" fontId="0" fillId="0" borderId="1" xfId="0" applyNumberFormat="1" applyBorder="1"/>
    <xf numFmtId="3" fontId="5" fillId="0" borderId="1" xfId="0" applyNumberFormat="1" applyFont="1" applyBorder="1" applyAlignment="1">
      <alignment horizontal="right"/>
    </xf>
    <xf numFmtId="3" fontId="7" fillId="0" borderId="1" xfId="2" applyNumberFormat="1" applyFont="1" applyBorder="1" applyAlignment="1" applyProtection="1">
      <alignment horizontal="right"/>
      <protection locked="0"/>
    </xf>
    <xf numFmtId="3" fontId="7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2" borderId="1" xfId="2" applyNumberFormat="1" applyFont="1" applyFill="1" applyBorder="1" applyAlignment="1" applyProtection="1">
      <alignment horizontal="right"/>
      <protection locked="0"/>
    </xf>
    <xf numFmtId="3" fontId="7" fillId="2" borderId="1" xfId="2" applyNumberFormat="1" applyFont="1" applyFill="1" applyBorder="1" applyAlignment="1" applyProtection="1">
      <alignment horizontal="right"/>
      <protection locked="0"/>
    </xf>
    <xf numFmtId="3" fontId="5" fillId="2" borderId="1" xfId="2" applyNumberFormat="1" applyFont="1" applyFill="1" applyBorder="1" applyAlignment="1" applyProtection="1">
      <alignment horizontal="right"/>
      <protection locked="0"/>
    </xf>
    <xf numFmtId="3" fontId="6" fillId="2" borderId="1" xfId="0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0" fontId="11" fillId="0" borderId="0" xfId="0" applyFont="1"/>
    <xf numFmtId="3" fontId="8" fillId="0" borderId="0" xfId="0" applyNumberFormat="1" applyFont="1"/>
    <xf numFmtId="4" fontId="8" fillId="0" borderId="0" xfId="0" applyNumberFormat="1" applyFont="1"/>
    <xf numFmtId="4" fontId="8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" fillId="0" borderId="0" xfId="0" applyNumberFormat="1" applyFont="1" applyAlignment="1">
      <alignment wrapText="1"/>
    </xf>
    <xf numFmtId="4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4" fontId="4" fillId="0" borderId="0" xfId="0" applyNumberFormat="1" applyFont="1" applyAlignment="1">
      <alignment wrapText="1"/>
    </xf>
    <xf numFmtId="3" fontId="13" fillId="0" borderId="1" xfId="0" applyNumberFormat="1" applyFont="1" applyBorder="1"/>
    <xf numFmtId="0" fontId="13" fillId="0" borderId="0" xfId="0" applyFont="1"/>
    <xf numFmtId="0" fontId="11" fillId="3" borderId="1" xfId="0" applyFont="1" applyFill="1" applyBorder="1" applyAlignment="1">
      <alignment vertical="top"/>
    </xf>
    <xf numFmtId="3" fontId="13" fillId="3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3" fontId="13" fillId="0" borderId="1" xfId="0" applyNumberFormat="1" applyFont="1" applyBorder="1" applyAlignment="1">
      <alignment vertical="top"/>
    </xf>
    <xf numFmtId="0" fontId="13" fillId="0" borderId="1" xfId="0" applyFont="1" applyBorder="1"/>
    <xf numFmtId="0" fontId="11" fillId="0" borderId="1" xfId="0" applyFont="1" applyBorder="1" applyAlignment="1">
      <alignment vertical="top"/>
    </xf>
    <xf numFmtId="3" fontId="11" fillId="0" borderId="1" xfId="0" applyNumberFormat="1" applyFont="1" applyBorder="1" applyAlignment="1">
      <alignment vertical="top"/>
    </xf>
    <xf numFmtId="3" fontId="13" fillId="0" borderId="0" xfId="0" applyNumberFormat="1" applyFont="1"/>
    <xf numFmtId="0" fontId="12" fillId="0" borderId="0" xfId="0" applyFont="1"/>
    <xf numFmtId="4" fontId="12" fillId="0" borderId="0" xfId="0" applyNumberFormat="1" applyFont="1"/>
    <xf numFmtId="0" fontId="12" fillId="0" borderId="1" xfId="0" applyFont="1" applyBorder="1"/>
    <xf numFmtId="3" fontId="12" fillId="0" borderId="1" xfId="0" applyNumberFormat="1" applyFont="1" applyBorder="1"/>
    <xf numFmtId="4" fontId="0" fillId="0" borderId="0" xfId="0" applyNumberFormat="1" applyAlignment="1">
      <alignment horizontal="right"/>
    </xf>
    <xf numFmtId="3" fontId="6" fillId="0" borderId="1" xfId="2" applyNumberFormat="1" applyFont="1" applyBorder="1" applyAlignment="1" applyProtection="1">
      <alignment horizontal="right"/>
      <protection locked="0"/>
    </xf>
    <xf numFmtId="43" fontId="0" fillId="0" borderId="0" xfId="6" applyFont="1"/>
    <xf numFmtId="4" fontId="8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 wrapText="1"/>
    </xf>
    <xf numFmtId="43" fontId="1" fillId="0" borderId="0" xfId="6" applyFont="1"/>
    <xf numFmtId="43" fontId="12" fillId="0" borderId="0" xfId="6" applyFont="1"/>
    <xf numFmtId="0" fontId="3" fillId="0" borderId="0" xfId="0" applyFont="1"/>
    <xf numFmtId="3" fontId="5" fillId="0" borderId="0" xfId="0" applyNumberFormat="1" applyFont="1"/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" fontId="3" fillId="0" borderId="1" xfId="0" applyNumberFormat="1" applyFont="1" applyBorder="1"/>
    <xf numFmtId="3" fontId="6" fillId="0" borderId="1" xfId="2" applyNumberFormat="1" applyFont="1" applyBorder="1" applyAlignment="1" applyProtection="1">
      <alignment horizontal="left"/>
      <protection locked="0"/>
    </xf>
    <xf numFmtId="3" fontId="7" fillId="0" borderId="1" xfId="2" applyNumberFormat="1" applyFont="1" applyBorder="1" applyAlignment="1" applyProtection="1">
      <alignment horizontal="center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5" fillId="0" borderId="1" xfId="2" applyFont="1" applyBorder="1" applyAlignment="1" applyProtection="1">
      <alignment horizontal="left"/>
      <protection locked="0"/>
    </xf>
    <xf numFmtId="0" fontId="3" fillId="0" borderId="1" xfId="1" applyFont="1" applyBorder="1" applyAlignment="1" applyProtection="1">
      <alignment horizontal="left"/>
      <protection locked="0"/>
    </xf>
    <xf numFmtId="0" fontId="5" fillId="0" borderId="1" xfId="2" applyFont="1" applyBorder="1" applyAlignment="1" applyProtection="1">
      <alignment horizontal="center"/>
      <protection locked="0"/>
    </xf>
    <xf numFmtId="3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12" fillId="0" borderId="0" xfId="0" applyNumberFormat="1" applyFont="1"/>
    <xf numFmtId="3" fontId="0" fillId="2" borderId="1" xfId="0" applyNumberFormat="1" applyFill="1" applyBorder="1"/>
    <xf numFmtId="3" fontId="12" fillId="2" borderId="1" xfId="0" applyNumberFormat="1" applyFont="1" applyFill="1" applyBorder="1"/>
    <xf numFmtId="0" fontId="0" fillId="2" borderId="1" xfId="0" applyFill="1" applyBorder="1"/>
    <xf numFmtId="3" fontId="13" fillId="2" borderId="1" xfId="0" applyNumberFormat="1" applyFont="1" applyFill="1" applyBorder="1"/>
    <xf numFmtId="3" fontId="13" fillId="2" borderId="1" xfId="0" applyNumberFormat="1" applyFont="1" applyFill="1" applyBorder="1" applyAlignment="1">
      <alignment vertical="top"/>
    </xf>
    <xf numFmtId="0" fontId="1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/>
    </xf>
    <xf numFmtId="4" fontId="0" fillId="2" borderId="0" xfId="0" applyNumberFormat="1" applyFill="1"/>
    <xf numFmtId="3" fontId="0" fillId="2" borderId="0" xfId="0" applyNumberFormat="1" applyFill="1"/>
    <xf numFmtId="0" fontId="0" fillId="2" borderId="0" xfId="0" applyFill="1"/>
    <xf numFmtId="0" fontId="12" fillId="2" borderId="1" xfId="0" applyFont="1" applyFill="1" applyBorder="1"/>
    <xf numFmtId="0" fontId="11" fillId="2" borderId="1" xfId="0" applyFont="1" applyFill="1" applyBorder="1" applyAlignment="1">
      <alignment vertical="top"/>
    </xf>
    <xf numFmtId="4" fontId="11" fillId="2" borderId="1" xfId="0" applyNumberFormat="1" applyFont="1" applyFill="1" applyBorder="1" applyAlignment="1">
      <alignment horizontal="right" vertical="top" wrapText="1"/>
    </xf>
    <xf numFmtId="4" fontId="11" fillId="2" borderId="1" xfId="0" applyNumberFormat="1" applyFont="1" applyFill="1" applyBorder="1" applyAlignment="1">
      <alignment vertical="top"/>
    </xf>
    <xf numFmtId="4" fontId="11" fillId="2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left"/>
    </xf>
    <xf numFmtId="3" fontId="10" fillId="2" borderId="1" xfId="0" applyNumberFormat="1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/>
    <xf numFmtId="0" fontId="5" fillId="2" borderId="1" xfId="2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right"/>
    </xf>
  </cellXfs>
  <cellStyles count="9">
    <cellStyle name="Comma" xfId="6" builtinId="3"/>
    <cellStyle name="Comma 2" xfId="7" xr:uid="{68AF3142-48B6-46A0-9B66-4AC016C8CCBB}"/>
    <cellStyle name="Normaallaad 2" xfId="5" xr:uid="{625F7053-1720-45B8-BC60-DA405838C2BD}"/>
    <cellStyle name="Normal" xfId="0" builtinId="0"/>
    <cellStyle name="Normal 10 2" xfId="1" xr:uid="{D70F4CDE-1FE7-448C-B78C-16802263EF7D}"/>
    <cellStyle name="Normal 2" xfId="8" xr:uid="{55625AD0-989B-4186-8195-9564AB7A1342}"/>
    <cellStyle name="Normal 25 3 6" xfId="4" xr:uid="{C2461F04-5869-445E-B9DC-9D0918BE1F25}"/>
    <cellStyle name="Normal 25 9" xfId="2" xr:uid="{8906365B-27A6-4989-AF6D-1E0C5258DC94}"/>
    <cellStyle name="Normal 25 9 2" xfId="3" xr:uid="{9FD4BB3A-C968-4E24-8E39-E7D1D70EB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9F5C-00A4-4BD3-B743-9BFC60E719C1}">
  <dimension ref="A1:I41"/>
  <sheetViews>
    <sheetView tabSelected="1" zoomScale="90" zoomScaleNormal="90" workbookViewId="0">
      <selection activeCell="H31" sqref="H31"/>
    </sheetView>
  </sheetViews>
  <sheetFormatPr defaultRowHeight="15" x14ac:dyDescent="0.25"/>
  <cols>
    <col min="1" max="1" width="7.42578125" customWidth="1"/>
    <col min="2" max="2" width="53.42578125" customWidth="1"/>
    <col min="3" max="7" width="22" style="2" customWidth="1"/>
    <col min="8" max="8" width="19.7109375" style="41" customWidth="1"/>
    <col min="9" max="9" width="18.85546875" style="41" bestFit="1" customWidth="1"/>
  </cols>
  <sheetData>
    <row r="1" spans="1:9" ht="15.75" x14ac:dyDescent="0.25">
      <c r="A1" s="46" t="s">
        <v>87</v>
      </c>
      <c r="C1" s="1"/>
      <c r="E1" s="62"/>
      <c r="F1" s="62"/>
      <c r="G1" s="47"/>
    </row>
    <row r="2" spans="1:9" ht="15.75" x14ac:dyDescent="0.25">
      <c r="A2" t="s">
        <v>0</v>
      </c>
      <c r="C2" s="1"/>
      <c r="G2" s="47"/>
    </row>
    <row r="3" spans="1:9" ht="31.5" x14ac:dyDescent="0.25">
      <c r="A3" s="3"/>
      <c r="B3" s="3"/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9" ht="15.75" x14ac:dyDescent="0.25">
      <c r="A4" s="70" t="s">
        <v>6</v>
      </c>
      <c r="B4" s="79"/>
      <c r="C4" s="8"/>
      <c r="D4" s="6"/>
      <c r="E4" s="12"/>
      <c r="F4" s="12"/>
      <c r="G4" s="6"/>
    </row>
    <row r="5" spans="1:9" ht="15.75" x14ac:dyDescent="0.25">
      <c r="A5" s="53" t="s">
        <v>7</v>
      </c>
      <c r="B5" s="53"/>
      <c r="C5" s="10">
        <f>SUM(C6:C12)</f>
        <v>14027610</v>
      </c>
      <c r="D5" s="10">
        <f t="shared" ref="D5:G5" si="0">SUM(D6:D12)</f>
        <v>14027610</v>
      </c>
      <c r="E5" s="10">
        <f t="shared" si="0"/>
        <v>14395322.360000001</v>
      </c>
      <c r="F5" s="10">
        <f t="shared" ref="F5" si="1">SUM(F6:F12)</f>
        <v>10930587.59</v>
      </c>
      <c r="G5" s="10">
        <f t="shared" si="0"/>
        <v>367712.36000000103</v>
      </c>
    </row>
    <row r="6" spans="1:9" ht="15.75" x14ac:dyDescent="0.25">
      <c r="A6" s="56"/>
      <c r="B6" s="54" t="s">
        <v>8</v>
      </c>
      <c r="C6" s="11">
        <v>2000000</v>
      </c>
      <c r="D6" s="11">
        <f>C6</f>
        <v>2000000</v>
      </c>
      <c r="E6" s="11">
        <v>1449357.86</v>
      </c>
      <c r="F6" s="7">
        <v>1285854.03</v>
      </c>
      <c r="G6" s="7">
        <f>E6-D6</f>
        <v>-550642.1399999999</v>
      </c>
      <c r="H6" s="44"/>
      <c r="I6" s="44"/>
    </row>
    <row r="7" spans="1:9" ht="15.75" x14ac:dyDescent="0.25">
      <c r="A7" s="56"/>
      <c r="B7" s="54" t="s">
        <v>9</v>
      </c>
      <c r="C7" s="11">
        <v>0</v>
      </c>
      <c r="D7" s="11">
        <f t="shared" ref="D7:D12" si="2">C7</f>
        <v>0</v>
      </c>
      <c r="E7" s="11">
        <f>5934.05+0.15</f>
        <v>5934.2</v>
      </c>
      <c r="F7" s="7">
        <f>4428.6+0.15</f>
        <v>4428.75</v>
      </c>
      <c r="G7" s="7">
        <f t="shared" ref="G7:G12" si="3">E7-D7</f>
        <v>5934.2</v>
      </c>
      <c r="H7" s="44"/>
      <c r="I7" s="44"/>
    </row>
    <row r="8" spans="1:9" ht="15.75" x14ac:dyDescent="0.25">
      <c r="A8" s="56"/>
      <c r="B8" s="54" t="s">
        <v>10</v>
      </c>
      <c r="C8" s="11">
        <v>11784610</v>
      </c>
      <c r="D8" s="11">
        <f t="shared" si="2"/>
        <v>11784610</v>
      </c>
      <c r="E8" s="11">
        <f>12725553.8-180106.76</f>
        <v>12545447.040000001</v>
      </c>
      <c r="F8" s="7">
        <f>9029202.01-46783.31</f>
        <v>8982418.6999999993</v>
      </c>
      <c r="G8" s="7">
        <f t="shared" si="3"/>
        <v>760837.04000000097</v>
      </c>
      <c r="H8" s="44"/>
      <c r="I8" s="44"/>
    </row>
    <row r="9" spans="1:9" ht="15.75" x14ac:dyDescent="0.25">
      <c r="A9" s="56"/>
      <c r="B9" s="54" t="s">
        <v>11</v>
      </c>
      <c r="C9" s="11">
        <v>243000</v>
      </c>
      <c r="D9" s="11">
        <f t="shared" si="2"/>
        <v>243000</v>
      </c>
      <c r="E9" s="11">
        <v>0</v>
      </c>
      <c r="F9" s="11">
        <v>0</v>
      </c>
      <c r="G9" s="7">
        <f t="shared" si="3"/>
        <v>-243000</v>
      </c>
      <c r="H9" s="44"/>
      <c r="I9" s="44"/>
    </row>
    <row r="10" spans="1:9" ht="15.75" x14ac:dyDescent="0.25">
      <c r="A10" s="56"/>
      <c r="B10" s="54" t="s">
        <v>12</v>
      </c>
      <c r="C10" s="11">
        <v>0</v>
      </c>
      <c r="D10" s="11">
        <v>0</v>
      </c>
      <c r="E10" s="11">
        <v>34302.6</v>
      </c>
      <c r="F10" s="11">
        <v>0</v>
      </c>
      <c r="G10" s="7">
        <f t="shared" si="3"/>
        <v>34302.6</v>
      </c>
      <c r="H10" s="44"/>
      <c r="I10" s="44"/>
    </row>
    <row r="11" spans="1:9" ht="15.75" x14ac:dyDescent="0.25">
      <c r="A11" s="56"/>
      <c r="B11" s="54" t="s">
        <v>13</v>
      </c>
      <c r="C11" s="11">
        <v>0</v>
      </c>
      <c r="D11" s="11">
        <f t="shared" si="2"/>
        <v>0</v>
      </c>
      <c r="E11" s="11">
        <f>1309.52+433336.96</f>
        <v>434646.48000000004</v>
      </c>
      <c r="F11" s="7">
        <v>643162.63</v>
      </c>
      <c r="G11" s="7">
        <f t="shared" si="3"/>
        <v>434646.48000000004</v>
      </c>
      <c r="H11" s="44"/>
      <c r="I11" s="44"/>
    </row>
    <row r="12" spans="1:9" ht="15.75" x14ac:dyDescent="0.25">
      <c r="A12" s="56"/>
      <c r="B12" s="54" t="s">
        <v>14</v>
      </c>
      <c r="C12" s="11">
        <v>0</v>
      </c>
      <c r="D12" s="11">
        <f t="shared" si="2"/>
        <v>0</v>
      </c>
      <c r="E12" s="11">
        <f>2162.98-76528.8</f>
        <v>-74365.820000000007</v>
      </c>
      <c r="F12" s="7">
        <v>14723.48</v>
      </c>
      <c r="G12" s="7">
        <f t="shared" si="3"/>
        <v>-74365.820000000007</v>
      </c>
      <c r="H12" s="44"/>
      <c r="I12" s="44"/>
    </row>
    <row r="13" spans="1:9" ht="15.75" x14ac:dyDescent="0.25">
      <c r="A13" s="53" t="s">
        <v>15</v>
      </c>
      <c r="B13" s="53"/>
      <c r="C13" s="10">
        <f>C15+C29+C36</f>
        <v>-118611421</v>
      </c>
      <c r="D13" s="10">
        <f>D15+D29+D36</f>
        <v>-136130287.02000001</v>
      </c>
      <c r="E13" s="10">
        <f>E15+E29+E36</f>
        <v>-123485081.875</v>
      </c>
      <c r="F13" s="10">
        <f>F15+F29+F36</f>
        <v>-118132374.34999999</v>
      </c>
      <c r="G13" s="10">
        <f>G15+G29+G36</f>
        <v>12645205.144999998</v>
      </c>
    </row>
    <row r="14" spans="1:9" ht="15.75" x14ac:dyDescent="0.25">
      <c r="A14" s="56"/>
      <c r="B14" s="54" t="s">
        <v>16</v>
      </c>
      <c r="C14" s="11">
        <f>C16+C37</f>
        <v>-100845523</v>
      </c>
      <c r="D14" s="11">
        <f>D16+D37</f>
        <v>-116146645.88</v>
      </c>
      <c r="E14" s="11">
        <f>E16+E37</f>
        <v>-102668100.25999999</v>
      </c>
      <c r="F14" s="11">
        <f>F16+F37</f>
        <v>-100722946</v>
      </c>
      <c r="G14" s="11">
        <f>G16+G37</f>
        <v>13478545.620000003</v>
      </c>
    </row>
    <row r="15" spans="1:9" ht="15.75" x14ac:dyDescent="0.25">
      <c r="A15" s="60" t="s">
        <v>17</v>
      </c>
      <c r="B15" s="55"/>
      <c r="C15" s="10">
        <f>C17</f>
        <v>-117709786</v>
      </c>
      <c r="D15" s="10">
        <f t="shared" ref="D15:G15" si="4">D17</f>
        <v>-135198381.69</v>
      </c>
      <c r="E15" s="10">
        <f t="shared" si="4"/>
        <v>-122099458.715</v>
      </c>
      <c r="F15" s="40">
        <f t="shared" ref="F15" si="5">F17</f>
        <v>-116781025</v>
      </c>
      <c r="G15" s="40">
        <f t="shared" si="4"/>
        <v>13098922.974999998</v>
      </c>
    </row>
    <row r="16" spans="1:9" ht="15.75" x14ac:dyDescent="0.25">
      <c r="A16" s="60"/>
      <c r="B16" s="54" t="s">
        <v>16</v>
      </c>
      <c r="C16" s="11">
        <f>C18</f>
        <v>-100845523</v>
      </c>
      <c r="D16" s="11">
        <f t="shared" ref="D16:G16" si="6">D18</f>
        <v>-116146645.88</v>
      </c>
      <c r="E16" s="11">
        <f t="shared" si="6"/>
        <v>-102668100.25999999</v>
      </c>
      <c r="F16" s="7">
        <f t="shared" ref="F16" si="7">F18</f>
        <v>-100722946</v>
      </c>
      <c r="G16" s="7">
        <f t="shared" si="6"/>
        <v>13478545.620000003</v>
      </c>
    </row>
    <row r="17" spans="1:9" ht="15.75" x14ac:dyDescent="0.25">
      <c r="A17" s="57" t="s">
        <v>18</v>
      </c>
      <c r="B17" s="48"/>
      <c r="C17" s="13">
        <f>C19+C21+C23+C25+C27</f>
        <v>-117709786</v>
      </c>
      <c r="D17" s="13">
        <f t="shared" ref="D17:G17" si="8">D19+D21+D23+D25+D27</f>
        <v>-135198381.69</v>
      </c>
      <c r="E17" s="13">
        <f t="shared" si="8"/>
        <v>-122099458.715</v>
      </c>
      <c r="F17" s="9">
        <f t="shared" ref="F17" si="9">F19+F21+F23+F25+F27</f>
        <v>-116781025</v>
      </c>
      <c r="G17" s="9">
        <f t="shared" si="8"/>
        <v>13098922.974999998</v>
      </c>
    </row>
    <row r="18" spans="1:9" ht="15.75" x14ac:dyDescent="0.25">
      <c r="A18" s="49"/>
      <c r="B18" s="54" t="s">
        <v>16</v>
      </c>
      <c r="C18" s="14">
        <f>C20+C22+C24+C26+C28</f>
        <v>-100845523</v>
      </c>
      <c r="D18" s="14">
        <f t="shared" ref="D18:G18" si="10">D20+D22+D24+D26+D28</f>
        <v>-116146645.88</v>
      </c>
      <c r="E18" s="14">
        <f t="shared" si="10"/>
        <v>-102668100.25999999</v>
      </c>
      <c r="F18" s="8">
        <f t="shared" ref="F18" si="11">F20+F22+F24+F26+F28</f>
        <v>-100722946</v>
      </c>
      <c r="G18" s="8">
        <f t="shared" si="10"/>
        <v>13478545.620000003</v>
      </c>
      <c r="H18" s="44"/>
      <c r="I18" s="44"/>
    </row>
    <row r="19" spans="1:9" ht="15.75" x14ac:dyDescent="0.25">
      <c r="A19" s="49" t="s">
        <v>19</v>
      </c>
      <c r="B19" s="54"/>
      <c r="C19" s="14">
        <f>LISA!D24</f>
        <v>-25810455</v>
      </c>
      <c r="D19" s="14">
        <f>LISA!E24</f>
        <v>-30209889.919999998</v>
      </c>
      <c r="E19" s="14">
        <f>LISA!F24</f>
        <v>-28379388.059999999</v>
      </c>
      <c r="F19" s="14">
        <v>-26609527</v>
      </c>
      <c r="G19" s="7">
        <f t="shared" ref="G19:G26" si="12">E19-D19</f>
        <v>1830501.8599999994</v>
      </c>
      <c r="H19" s="44"/>
      <c r="I19" s="44"/>
    </row>
    <row r="20" spans="1:9" ht="15.75" x14ac:dyDescent="0.25">
      <c r="A20" s="49"/>
      <c r="B20" s="54" t="s">
        <v>16</v>
      </c>
      <c r="C20" s="14">
        <f>LISA!D25</f>
        <v>-23752081</v>
      </c>
      <c r="D20" s="14">
        <f>LISA!E25</f>
        <v>-27969486.73</v>
      </c>
      <c r="E20" s="14">
        <f>LISA!F25</f>
        <v>-25692636.82</v>
      </c>
      <c r="F20" s="14">
        <v>-24174293</v>
      </c>
      <c r="G20" s="7">
        <f t="shared" si="12"/>
        <v>2276849.91</v>
      </c>
      <c r="H20" s="44"/>
      <c r="I20" s="44"/>
    </row>
    <row r="21" spans="1:9" ht="15.75" x14ac:dyDescent="0.25">
      <c r="A21" s="49" t="s">
        <v>20</v>
      </c>
      <c r="B21" s="49"/>
      <c r="C21" s="14">
        <f>LISA!D55</f>
        <v>-20418423</v>
      </c>
      <c r="D21" s="14">
        <f>LISA!E55</f>
        <v>-23729028.469999999</v>
      </c>
      <c r="E21" s="14">
        <f>LISA!F55</f>
        <v>-21164519.189999998</v>
      </c>
      <c r="F21" s="14">
        <v>-22320191</v>
      </c>
      <c r="G21" s="7">
        <f t="shared" si="12"/>
        <v>2564509.2800000012</v>
      </c>
      <c r="H21" s="44"/>
      <c r="I21" s="44"/>
    </row>
    <row r="22" spans="1:9" ht="15.75" x14ac:dyDescent="0.25">
      <c r="A22" s="49"/>
      <c r="B22" s="54" t="s">
        <v>16</v>
      </c>
      <c r="C22" s="14">
        <f>LISA!D56</f>
        <v>-18360049</v>
      </c>
      <c r="D22" s="14">
        <f>LISA!E56</f>
        <v>-21488625.280000001</v>
      </c>
      <c r="E22" s="14">
        <f>LISA!F56</f>
        <v>-18477768.07</v>
      </c>
      <c r="F22" s="14">
        <v>-19884956</v>
      </c>
      <c r="G22" s="7">
        <f t="shared" si="12"/>
        <v>3010857.2100000009</v>
      </c>
      <c r="H22" s="44"/>
      <c r="I22" s="44"/>
    </row>
    <row r="23" spans="1:9" ht="15.75" x14ac:dyDescent="0.25">
      <c r="A23" s="49" t="s">
        <v>21</v>
      </c>
      <c r="B23" s="54"/>
      <c r="C23" s="14">
        <f>LISA!D86</f>
        <v>-20191330</v>
      </c>
      <c r="D23" s="14">
        <f>LISA!E86</f>
        <v>-21622224.190000001</v>
      </c>
      <c r="E23" s="14">
        <f>LISA!F86</f>
        <v>-20488631.710000001</v>
      </c>
      <c r="F23" s="14">
        <v>-19757912</v>
      </c>
      <c r="G23" s="7">
        <f t="shared" si="12"/>
        <v>1133592.4800000004</v>
      </c>
      <c r="H23" s="44"/>
      <c r="I23" s="44"/>
    </row>
    <row r="24" spans="1:9" ht="15.75" x14ac:dyDescent="0.25">
      <c r="A24" s="49"/>
      <c r="B24" s="54" t="s">
        <v>16</v>
      </c>
      <c r="C24" s="14">
        <f>LISA!D87</f>
        <v>-18106826</v>
      </c>
      <c r="D24" s="14">
        <f>LISA!E87</f>
        <v>-19245212.460000001</v>
      </c>
      <c r="E24" s="14">
        <f>LISA!F87</f>
        <v>-17696516.060000002</v>
      </c>
      <c r="F24" s="14">
        <v>-17104158</v>
      </c>
      <c r="G24" s="7">
        <f t="shared" si="12"/>
        <v>1548696.3999999985</v>
      </c>
      <c r="H24" s="44"/>
      <c r="I24" s="44"/>
    </row>
    <row r="25" spans="1:9" ht="15.75" x14ac:dyDescent="0.25">
      <c r="A25" s="49" t="s">
        <v>22</v>
      </c>
      <c r="B25" s="54"/>
      <c r="C25" s="14">
        <f>LISA!D117</f>
        <v>-19795109</v>
      </c>
      <c r="D25" s="14">
        <f>LISA!E117</f>
        <v>-22320348.440000001</v>
      </c>
      <c r="E25" s="14">
        <f>LISA!F117</f>
        <v>-19741754.239999998</v>
      </c>
      <c r="F25" s="14">
        <v>-18758302</v>
      </c>
      <c r="G25" s="7">
        <f t="shared" si="12"/>
        <v>2578594.200000003</v>
      </c>
      <c r="H25" s="44"/>
      <c r="I25" s="44"/>
    </row>
    <row r="26" spans="1:9" ht="15.75" x14ac:dyDescent="0.25">
      <c r="A26" s="49"/>
      <c r="B26" s="54" t="s">
        <v>16</v>
      </c>
      <c r="C26" s="14">
        <f>LISA!D118</f>
        <v>-10161285</v>
      </c>
      <c r="D26" s="14">
        <f>LISA!E118</f>
        <v>-11246631.830000002</v>
      </c>
      <c r="E26" s="14">
        <f>LISA!F118</f>
        <v>-9819389.4099999983</v>
      </c>
      <c r="F26" s="14">
        <v>-11440087</v>
      </c>
      <c r="G26" s="7">
        <f t="shared" si="12"/>
        <v>1427242.4200000037</v>
      </c>
      <c r="H26" s="44"/>
      <c r="I26" s="44"/>
    </row>
    <row r="27" spans="1:9" ht="15.75" x14ac:dyDescent="0.25">
      <c r="A27" s="49" t="s">
        <v>23</v>
      </c>
      <c r="B27" s="54"/>
      <c r="C27" s="14">
        <f>LISA!D149</f>
        <v>-31494469</v>
      </c>
      <c r="D27" s="14">
        <f>LISA!E149</f>
        <v>-37316890.669999994</v>
      </c>
      <c r="E27" s="14">
        <f>LISA!F149</f>
        <v>-32325165.515000001</v>
      </c>
      <c r="F27" s="14">
        <v>-29335093</v>
      </c>
      <c r="G27" s="7">
        <f t="shared" ref="G27:G28" si="13">E27-D27</f>
        <v>4991725.1549999937</v>
      </c>
      <c r="H27" s="44"/>
      <c r="I27" s="44"/>
    </row>
    <row r="28" spans="1:9" ht="15.75" x14ac:dyDescent="0.25">
      <c r="A28" s="49"/>
      <c r="B28" s="54" t="s">
        <v>16</v>
      </c>
      <c r="C28" s="14">
        <f>LISA!D150</f>
        <v>-30465282</v>
      </c>
      <c r="D28" s="14">
        <f>LISA!E150</f>
        <v>-36196689.579999998</v>
      </c>
      <c r="E28" s="14">
        <f>LISA!F150</f>
        <v>-30981789.899999999</v>
      </c>
      <c r="F28" s="14">
        <v>-28119452</v>
      </c>
      <c r="G28" s="7">
        <f t="shared" si="13"/>
        <v>5214899.68</v>
      </c>
      <c r="H28" s="44"/>
      <c r="I28" s="44"/>
    </row>
    <row r="29" spans="1:9" s="35" customFormat="1" ht="15.75" x14ac:dyDescent="0.25">
      <c r="A29" s="48" t="s">
        <v>24</v>
      </c>
      <c r="B29" s="53"/>
      <c r="C29" s="13">
        <f>LISA!D180</f>
        <v>-901635</v>
      </c>
      <c r="D29" s="13">
        <f>LISA!E180</f>
        <v>-931905.33000000007</v>
      </c>
      <c r="E29" s="13">
        <f>LISA!F180</f>
        <v>-1385623.1600000001</v>
      </c>
      <c r="F29" s="9">
        <v>-1351349.35</v>
      </c>
      <c r="G29" s="9">
        <f>E29-D29</f>
        <v>-453717.83000000007</v>
      </c>
      <c r="H29" s="45"/>
      <c r="I29" s="45"/>
    </row>
    <row r="30" spans="1:9" s="35" customFormat="1" ht="15.75" x14ac:dyDescent="0.25">
      <c r="A30" s="48" t="s">
        <v>25</v>
      </c>
      <c r="B30" s="53"/>
      <c r="C30" s="13">
        <v>-9702143</v>
      </c>
      <c r="D30" s="13">
        <f>C30-2196699-2287800-250000+3328000-10347471.66</f>
        <v>-21456113.66</v>
      </c>
      <c r="E30" s="13">
        <f>-11068347.02-951864.93</f>
        <v>-12020211.949999999</v>
      </c>
      <c r="F30" s="13">
        <f>-16066684.43-460770.35</f>
        <v>-16527454.779999999</v>
      </c>
      <c r="G30" s="9">
        <f>E30-D30</f>
        <v>9435901.7100000009</v>
      </c>
      <c r="H30" s="45"/>
      <c r="I30" s="45"/>
    </row>
    <row r="31" spans="1:9" ht="15.75" x14ac:dyDescent="0.25">
      <c r="A31" s="49"/>
      <c r="B31" s="49" t="s">
        <v>16</v>
      </c>
      <c r="C31" s="14">
        <v>-6272143</v>
      </c>
      <c r="D31" s="11">
        <f>C31-2196699-1845000-250000</f>
        <v>-10563842</v>
      </c>
      <c r="E31" s="14">
        <v>-7231968.9500000002</v>
      </c>
      <c r="F31" s="8">
        <v>-5350900.03</v>
      </c>
      <c r="G31" s="7">
        <f t="shared" ref="G31:G32" si="14">E31-D31</f>
        <v>3331873.05</v>
      </c>
    </row>
    <row r="32" spans="1:9" ht="15.75" x14ac:dyDescent="0.25">
      <c r="A32" s="49"/>
      <c r="B32" s="54" t="s">
        <v>26</v>
      </c>
      <c r="C32" s="14">
        <v>-102000</v>
      </c>
      <c r="D32" s="11">
        <f>C32-442800-42888.59</f>
        <v>-587688.59</v>
      </c>
      <c r="E32" s="14">
        <v>-951864.93</v>
      </c>
      <c r="F32" s="8">
        <v>-460770.35</v>
      </c>
      <c r="G32" s="7">
        <f t="shared" si="14"/>
        <v>-364176.34000000008</v>
      </c>
    </row>
    <row r="33" spans="1:7" ht="15.75" x14ac:dyDescent="0.25">
      <c r="A33" s="55" t="s">
        <v>27</v>
      </c>
      <c r="B33" s="55"/>
      <c r="C33" s="40"/>
      <c r="D33" s="40"/>
      <c r="E33" s="40">
        <f>SUM(E34:E34)</f>
        <v>180106.76</v>
      </c>
      <c r="F33" s="40">
        <f>SUM(F34:F34)</f>
        <v>46783.31</v>
      </c>
      <c r="G33" s="40"/>
    </row>
    <row r="34" spans="1:7" ht="15.75" x14ac:dyDescent="0.25">
      <c r="A34" s="59"/>
      <c r="B34" s="54" t="s">
        <v>28</v>
      </c>
      <c r="C34" s="40"/>
      <c r="D34" s="40"/>
      <c r="E34" s="11">
        <v>180106.76</v>
      </c>
      <c r="F34" s="11">
        <v>46783.31</v>
      </c>
      <c r="G34" s="40"/>
    </row>
    <row r="35" spans="1:7" ht="15.75" x14ac:dyDescent="0.25">
      <c r="A35" s="80" t="s">
        <v>29</v>
      </c>
      <c r="B35" s="80"/>
      <c r="C35" s="13"/>
      <c r="D35" s="81"/>
      <c r="E35" s="12"/>
      <c r="F35" s="12"/>
      <c r="G35" s="82"/>
    </row>
    <row r="36" spans="1:7" ht="15.75" x14ac:dyDescent="0.25">
      <c r="A36" s="83"/>
      <c r="B36" s="70" t="s">
        <v>30</v>
      </c>
      <c r="C36" s="13"/>
      <c r="D36" s="13"/>
      <c r="E36" s="13">
        <v>0</v>
      </c>
      <c r="F36" s="13">
        <v>0</v>
      </c>
      <c r="G36" s="13"/>
    </row>
    <row r="37" spans="1:7" ht="15.75" x14ac:dyDescent="0.25">
      <c r="A37" s="83"/>
      <c r="B37" s="84" t="s">
        <v>16</v>
      </c>
      <c r="C37" s="14"/>
      <c r="D37" s="14"/>
      <c r="E37" s="14">
        <v>0</v>
      </c>
      <c r="F37" s="14">
        <v>0</v>
      </c>
      <c r="G37" s="14"/>
    </row>
    <row r="38" spans="1:7" ht="15.75" x14ac:dyDescent="0.25">
      <c r="A38" s="83"/>
      <c r="B38" s="70" t="s">
        <v>31</v>
      </c>
      <c r="C38" s="13"/>
      <c r="D38" s="13"/>
      <c r="E38" s="13">
        <v>0</v>
      </c>
      <c r="F38" s="13">
        <v>0</v>
      </c>
      <c r="G38" s="13"/>
    </row>
    <row r="39" spans="1:7" ht="15.75" x14ac:dyDescent="0.25">
      <c r="A39" s="83"/>
      <c r="B39" s="84" t="s">
        <v>16</v>
      </c>
      <c r="C39" s="14"/>
      <c r="D39" s="14"/>
      <c r="E39" s="14">
        <v>0</v>
      </c>
      <c r="F39" s="14">
        <v>0</v>
      </c>
      <c r="G39" s="14"/>
    </row>
    <row r="40" spans="1:7" ht="15.75" x14ac:dyDescent="0.25">
      <c r="A40" s="85"/>
      <c r="B40" s="83" t="s">
        <v>32</v>
      </c>
      <c r="C40" s="14"/>
      <c r="D40" s="86"/>
      <c r="E40" s="12">
        <f>E5+E13+E32+E33</f>
        <v>-109861517.685</v>
      </c>
      <c r="F40" s="12">
        <f>F5+F13+F32+F33+1</f>
        <v>-107615772.79999998</v>
      </c>
      <c r="G40" s="82"/>
    </row>
    <row r="41" spans="1:7" ht="15.75" x14ac:dyDescent="0.25">
      <c r="A41" s="85"/>
      <c r="B41" s="83" t="s">
        <v>33</v>
      </c>
      <c r="C41" s="14"/>
      <c r="D41" s="86"/>
      <c r="E41" s="12">
        <v>-109861517.75</v>
      </c>
      <c r="F41" s="12">
        <v>-107615773.33</v>
      </c>
      <c r="G41" s="8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5352C-D577-4AC0-AB2D-448D0F264886}">
  <dimension ref="A1:J183"/>
  <sheetViews>
    <sheetView workbookViewId="0">
      <selection activeCell="K22" sqref="K22"/>
    </sheetView>
  </sheetViews>
  <sheetFormatPr defaultRowHeight="15" x14ac:dyDescent="0.25"/>
  <cols>
    <col min="1" max="2" width="5.7109375" customWidth="1"/>
    <col min="3" max="3" width="40.28515625" customWidth="1"/>
    <col min="4" max="4" width="13.85546875" style="2" bestFit="1" customWidth="1"/>
    <col min="5" max="5" width="13.42578125" style="2" customWidth="1"/>
    <col min="6" max="6" width="13.42578125" style="2" bestFit="1" customWidth="1"/>
    <col min="7" max="7" width="13.28515625" style="2" bestFit="1" customWidth="1"/>
    <col min="8" max="8" width="16.85546875" style="21" customWidth="1"/>
    <col min="9" max="9" width="15.85546875" customWidth="1"/>
    <col min="10" max="10" width="12" bestFit="1" customWidth="1"/>
    <col min="14" max="15" width="9.5703125" bestFit="1" customWidth="1"/>
    <col min="16" max="16" width="9.85546875" customWidth="1"/>
  </cols>
  <sheetData>
    <row r="1" spans="1:9" x14ac:dyDescent="0.25">
      <c r="A1" s="35" t="s">
        <v>34</v>
      </c>
      <c r="B1" s="35"/>
    </row>
    <row r="2" spans="1:9" x14ac:dyDescent="0.25">
      <c r="A2" s="35" t="s">
        <v>35</v>
      </c>
      <c r="B2" s="35"/>
    </row>
    <row r="4" spans="1:9" ht="47.25" x14ac:dyDescent="0.25">
      <c r="A4" s="51"/>
      <c r="B4" s="51"/>
      <c r="C4" s="52"/>
      <c r="D4" s="4" t="s">
        <v>1</v>
      </c>
      <c r="E4" s="4" t="s">
        <v>2</v>
      </c>
      <c r="F4" s="4" t="s">
        <v>3</v>
      </c>
      <c r="G4" s="4" t="s">
        <v>5</v>
      </c>
    </row>
    <row r="5" spans="1:9" s="35" customFormat="1" ht="15.75" x14ac:dyDescent="0.25">
      <c r="A5" s="70" t="s">
        <v>6</v>
      </c>
      <c r="B5" s="74"/>
      <c r="C5" s="74"/>
      <c r="D5" s="65"/>
      <c r="E5" s="65"/>
      <c r="F5" s="65"/>
      <c r="G5" s="65"/>
      <c r="H5" s="21"/>
      <c r="I5" s="2"/>
    </row>
    <row r="6" spans="1:9" s="35" customFormat="1" ht="15.75" x14ac:dyDescent="0.25">
      <c r="A6" s="48" t="s">
        <v>30</v>
      </c>
      <c r="B6" s="37"/>
      <c r="C6" s="37"/>
      <c r="D6" s="65">
        <f>SUM(D7:D11)</f>
        <v>-118611421</v>
      </c>
      <c r="E6" s="38">
        <f>SUM(E7:E11)</f>
        <v>-136130287.01999998</v>
      </c>
      <c r="F6" s="38">
        <f>SUM(F7:F11)</f>
        <v>-123485081.87499999</v>
      </c>
      <c r="G6" s="38">
        <f t="shared" ref="G6:G16" si="0">F6-E6</f>
        <v>12645205.144999996</v>
      </c>
      <c r="H6" s="21"/>
      <c r="I6" s="2"/>
    </row>
    <row r="7" spans="1:9" ht="15.75" x14ac:dyDescent="0.25">
      <c r="A7" s="48"/>
      <c r="B7" s="3" t="s">
        <v>36</v>
      </c>
      <c r="C7" s="3"/>
      <c r="D7" s="5">
        <f>D13</f>
        <v>-100845523</v>
      </c>
      <c r="E7" s="5">
        <f>E13</f>
        <v>-116146645.88</v>
      </c>
      <c r="F7" s="5">
        <f>F13</f>
        <v>-102668100.25999999</v>
      </c>
      <c r="G7" s="5">
        <f t="shared" si="0"/>
        <v>13478545.620000005</v>
      </c>
      <c r="I7" s="2"/>
    </row>
    <row r="8" spans="1:9" ht="15.75" x14ac:dyDescent="0.25">
      <c r="A8" s="48"/>
      <c r="B8" s="3" t="s">
        <v>37</v>
      </c>
      <c r="C8" s="3"/>
      <c r="D8" s="64">
        <f>D14+D181</f>
        <v>-3472883</v>
      </c>
      <c r="E8" s="64">
        <f>E14+E181</f>
        <v>-3496883</v>
      </c>
      <c r="F8" s="64">
        <f>F14+F181</f>
        <v>-4037773.21</v>
      </c>
      <c r="G8" s="64">
        <f t="shared" si="0"/>
        <v>-540890.21</v>
      </c>
      <c r="I8" s="2"/>
    </row>
    <row r="9" spans="1:9" s="73" customFormat="1" ht="15.75" x14ac:dyDescent="0.25">
      <c r="A9" s="70"/>
      <c r="B9" s="66" t="s">
        <v>38</v>
      </c>
      <c r="C9" s="66"/>
      <c r="D9" s="64">
        <f>D15</f>
        <v>-8731268</v>
      </c>
      <c r="E9" s="64">
        <f>E15+E182</f>
        <v>-10663645.52</v>
      </c>
      <c r="F9" s="64">
        <f>F15+F182</f>
        <v>-8896104.8550000004</v>
      </c>
      <c r="G9" s="64">
        <f t="shared" si="0"/>
        <v>1767540.6649999991</v>
      </c>
      <c r="H9" s="71"/>
      <c r="I9" s="72"/>
    </row>
    <row r="10" spans="1:9" x14ac:dyDescent="0.25">
      <c r="A10" s="3"/>
      <c r="B10" s="3" t="s">
        <v>39</v>
      </c>
      <c r="C10" s="3"/>
      <c r="D10" s="5">
        <f>D183+D16</f>
        <v>0</v>
      </c>
      <c r="E10" s="5">
        <f>E183+E16</f>
        <v>-261365.62</v>
      </c>
      <c r="F10" s="5">
        <f>F183+F16</f>
        <v>-220744.31</v>
      </c>
      <c r="G10" s="5">
        <f t="shared" si="0"/>
        <v>40621.31</v>
      </c>
      <c r="I10" s="2"/>
    </row>
    <row r="11" spans="1:9" ht="15.75" x14ac:dyDescent="0.25">
      <c r="A11" s="48"/>
      <c r="B11" s="3" t="s">
        <v>40</v>
      </c>
      <c r="C11" s="3"/>
      <c r="D11" s="64">
        <f t="shared" ref="D11" si="1">D17</f>
        <v>-5561747</v>
      </c>
      <c r="E11" s="64">
        <f>E17+E501</f>
        <v>-5561747</v>
      </c>
      <c r="F11" s="64">
        <f>F17+F501</f>
        <v>-7662359.2400000002</v>
      </c>
      <c r="G11" s="64">
        <f t="shared" si="0"/>
        <v>-2100612.2400000002</v>
      </c>
      <c r="I11" s="2"/>
    </row>
    <row r="12" spans="1:9" s="35" customFormat="1" ht="15.75" x14ac:dyDescent="0.25">
      <c r="A12" s="48" t="s">
        <v>17</v>
      </c>
      <c r="B12" s="37"/>
      <c r="C12" s="37"/>
      <c r="D12" s="38">
        <f>SUM(D13:D17)</f>
        <v>-117709786</v>
      </c>
      <c r="E12" s="38">
        <f>SUM(E13:E17)</f>
        <v>-135198381.69</v>
      </c>
      <c r="F12" s="38">
        <f>SUM(F13:F17)</f>
        <v>-122099458.71499999</v>
      </c>
      <c r="G12" s="38">
        <f t="shared" si="0"/>
        <v>13098922.975000009</v>
      </c>
      <c r="H12" s="21"/>
      <c r="I12" s="2"/>
    </row>
    <row r="13" spans="1:9" ht="15.75" x14ac:dyDescent="0.25">
      <c r="A13" s="48"/>
      <c r="B13" s="3" t="s">
        <v>36</v>
      </c>
      <c r="C13" s="3"/>
      <c r="D13" s="5">
        <f>D19</f>
        <v>-100845523</v>
      </c>
      <c r="E13" s="5">
        <f t="shared" ref="E13:F13" si="2">E19</f>
        <v>-116146645.88</v>
      </c>
      <c r="F13" s="5">
        <f t="shared" si="2"/>
        <v>-102668100.25999999</v>
      </c>
      <c r="G13" s="5">
        <f t="shared" si="0"/>
        <v>13478545.620000005</v>
      </c>
      <c r="I13" s="2"/>
    </row>
    <row r="14" spans="1:9" ht="15.75" x14ac:dyDescent="0.25">
      <c r="A14" s="48"/>
      <c r="B14" s="3" t="s">
        <v>37</v>
      </c>
      <c r="C14" s="3"/>
      <c r="D14" s="5">
        <f>D20</f>
        <v>-2571248</v>
      </c>
      <c r="E14" s="5">
        <f t="shared" ref="E14:F14" si="3">E20</f>
        <v>-2571248</v>
      </c>
      <c r="F14" s="5">
        <f t="shared" si="3"/>
        <v>-2658420.38</v>
      </c>
      <c r="G14" s="5">
        <f t="shared" si="0"/>
        <v>-87172.379999999888</v>
      </c>
      <c r="I14" s="2"/>
    </row>
    <row r="15" spans="1:9" ht="15.75" x14ac:dyDescent="0.25">
      <c r="A15" s="48"/>
      <c r="B15" s="3" t="s">
        <v>38</v>
      </c>
      <c r="C15" s="3"/>
      <c r="D15" s="5">
        <f>D21</f>
        <v>-8731268</v>
      </c>
      <c r="E15" s="5">
        <f t="shared" ref="E15:F15" si="4">E21</f>
        <v>-10657396.75</v>
      </c>
      <c r="F15" s="5">
        <f t="shared" si="4"/>
        <v>-8889856.0850000009</v>
      </c>
      <c r="G15" s="5">
        <f t="shared" si="0"/>
        <v>1767540.6649999991</v>
      </c>
      <c r="I15" s="2"/>
    </row>
    <row r="16" spans="1:9" ht="15.75" x14ac:dyDescent="0.25">
      <c r="A16" s="48"/>
      <c r="B16" s="3" t="s">
        <v>39</v>
      </c>
      <c r="C16" s="3"/>
      <c r="D16" s="5">
        <f>D22</f>
        <v>0</v>
      </c>
      <c r="E16" s="5">
        <f t="shared" ref="E16:F16" si="5">E22</f>
        <v>-261344.06</v>
      </c>
      <c r="F16" s="5">
        <f t="shared" si="5"/>
        <v>-220722.75</v>
      </c>
      <c r="G16" s="5">
        <f t="shared" si="0"/>
        <v>40621.31</v>
      </c>
      <c r="I16" s="2"/>
    </row>
    <row r="17" spans="1:9" ht="15.75" x14ac:dyDescent="0.25">
      <c r="A17" s="48"/>
      <c r="B17" s="3" t="s">
        <v>41</v>
      </c>
      <c r="C17" s="3"/>
      <c r="D17" s="5">
        <f>D23</f>
        <v>-5561747</v>
      </c>
      <c r="E17" s="5">
        <f t="shared" ref="E17:F17" si="6">E23</f>
        <v>-5561747</v>
      </c>
      <c r="F17" s="5">
        <f t="shared" si="6"/>
        <v>-7662359.2400000002</v>
      </c>
      <c r="G17" s="5">
        <f t="shared" ref="G17:G29" si="7">F17-E17</f>
        <v>-2100612.2400000002</v>
      </c>
      <c r="I17" s="2"/>
    </row>
    <row r="18" spans="1:9" s="35" customFormat="1" ht="15.75" x14ac:dyDescent="0.25">
      <c r="A18" s="50" t="s">
        <v>18</v>
      </c>
      <c r="B18" s="37"/>
      <c r="C18" s="37"/>
      <c r="D18" s="38">
        <f>SUM(D19:D23)</f>
        <v>-117709786</v>
      </c>
      <c r="E18" s="38">
        <f>SUM(E19:E23)</f>
        <v>-135198381.69</v>
      </c>
      <c r="F18" s="38">
        <f>SUM(F19:F23)</f>
        <v>-122099458.71499999</v>
      </c>
      <c r="G18" s="38">
        <f t="shared" si="7"/>
        <v>13098922.975000009</v>
      </c>
      <c r="H18" s="21"/>
      <c r="I18" s="2"/>
    </row>
    <row r="19" spans="1:9" ht="15.75" x14ac:dyDescent="0.25">
      <c r="A19" s="49"/>
      <c r="B19" s="3" t="s">
        <v>36</v>
      </c>
      <c r="C19" s="3"/>
      <c r="D19" s="5">
        <f t="shared" ref="D19:F21" si="8">D25+D56+D87+D118+D150</f>
        <v>-100845523</v>
      </c>
      <c r="E19" s="5">
        <f t="shared" si="8"/>
        <v>-116146645.88</v>
      </c>
      <c r="F19" s="5">
        <f t="shared" si="8"/>
        <v>-102668100.25999999</v>
      </c>
      <c r="G19" s="5">
        <f t="shared" si="7"/>
        <v>13478545.620000005</v>
      </c>
      <c r="I19" s="2"/>
    </row>
    <row r="20" spans="1:9" ht="15.75" x14ac:dyDescent="0.25">
      <c r="A20" s="49"/>
      <c r="B20" s="3" t="s">
        <v>37</v>
      </c>
      <c r="C20" s="3"/>
      <c r="D20" s="5">
        <f t="shared" si="8"/>
        <v>-2571248</v>
      </c>
      <c r="E20" s="5">
        <f t="shared" si="8"/>
        <v>-2571248</v>
      </c>
      <c r="F20" s="5">
        <f t="shared" si="8"/>
        <v>-2658420.38</v>
      </c>
      <c r="G20" s="5">
        <f t="shared" si="7"/>
        <v>-87172.379999999888</v>
      </c>
      <c r="I20" s="2"/>
    </row>
    <row r="21" spans="1:9" x14ac:dyDescent="0.25">
      <c r="A21" s="3"/>
      <c r="B21" s="3" t="s">
        <v>38</v>
      </c>
      <c r="C21" s="3"/>
      <c r="D21" s="5">
        <f t="shared" si="8"/>
        <v>-8731268</v>
      </c>
      <c r="E21" s="5">
        <f t="shared" si="8"/>
        <v>-10657396.75</v>
      </c>
      <c r="F21" s="5">
        <f t="shared" si="8"/>
        <v>-8889856.0850000009</v>
      </c>
      <c r="G21" s="5">
        <f t="shared" si="7"/>
        <v>1767540.6649999991</v>
      </c>
      <c r="I21" s="2"/>
    </row>
    <row r="22" spans="1:9" x14ac:dyDescent="0.25">
      <c r="A22" s="3"/>
      <c r="B22" s="3" t="s">
        <v>39</v>
      </c>
      <c r="C22" s="66"/>
      <c r="D22" s="5">
        <f>D59</f>
        <v>0</v>
      </c>
      <c r="E22" s="5">
        <f>E59+E28+E90+E121+E153</f>
        <v>-261344.06</v>
      </c>
      <c r="F22" s="5">
        <f>F59+F50+F90+F121+F153</f>
        <v>-220722.75</v>
      </c>
      <c r="G22" s="5">
        <f t="shared" si="7"/>
        <v>40621.31</v>
      </c>
      <c r="I22" s="2"/>
    </row>
    <row r="23" spans="1:9" x14ac:dyDescent="0.25">
      <c r="A23" s="3"/>
      <c r="B23" s="3" t="s">
        <v>41</v>
      </c>
      <c r="C23" s="3"/>
      <c r="D23" s="5">
        <f>D29+D60+D91+D122+D154</f>
        <v>-5561747</v>
      </c>
      <c r="E23" s="5">
        <f>E29+E60+E91+E122+E154</f>
        <v>-5561747</v>
      </c>
      <c r="F23" s="5">
        <f>F29+F60+F91+F122+F154</f>
        <v>-7662359.2400000002</v>
      </c>
      <c r="G23" s="5">
        <f t="shared" si="7"/>
        <v>-2100612.2400000002</v>
      </c>
      <c r="I23" s="2"/>
    </row>
    <row r="24" spans="1:9" s="35" customFormat="1" ht="15.75" x14ac:dyDescent="0.25">
      <c r="A24" s="58" t="s">
        <v>42</v>
      </c>
      <c r="B24" s="37"/>
      <c r="C24" s="37"/>
      <c r="D24" s="38">
        <f>SUM(D25:D29)</f>
        <v>-25810455</v>
      </c>
      <c r="E24" s="38">
        <f>SUM(E25:E29)</f>
        <v>-30209889.919999998</v>
      </c>
      <c r="F24" s="38">
        <f>SUM(F25:F29)</f>
        <v>-28379388.059999999</v>
      </c>
      <c r="G24" s="38">
        <f t="shared" si="7"/>
        <v>1830501.8599999994</v>
      </c>
      <c r="H24" s="21"/>
      <c r="I24" s="2"/>
    </row>
    <row r="25" spans="1:9" x14ac:dyDescent="0.25">
      <c r="A25" s="3"/>
      <c r="B25" s="3" t="s">
        <v>36</v>
      </c>
      <c r="C25" s="3"/>
      <c r="D25" s="5">
        <f>D37</f>
        <v>-23752081</v>
      </c>
      <c r="E25" s="5">
        <f t="shared" ref="E25:F25" si="9">E37</f>
        <v>-27969486.73</v>
      </c>
      <c r="F25" s="5">
        <f t="shared" si="9"/>
        <v>-25692636.82</v>
      </c>
      <c r="G25" s="5">
        <f t="shared" si="7"/>
        <v>2276849.91</v>
      </c>
      <c r="I25" s="21"/>
    </row>
    <row r="26" spans="1:9" x14ac:dyDescent="0.25">
      <c r="A26" s="3"/>
      <c r="B26" s="3" t="s">
        <v>37</v>
      </c>
      <c r="C26" s="3"/>
      <c r="D26" s="5">
        <f>D43</f>
        <v>-642812</v>
      </c>
      <c r="E26" s="5">
        <f t="shared" ref="E26:F26" si="10">E43</f>
        <v>-642812</v>
      </c>
      <c r="F26" s="5">
        <f t="shared" si="10"/>
        <v>-664605</v>
      </c>
      <c r="G26" s="5">
        <f t="shared" ref="G26:G28" si="11">F26-E26</f>
        <v>-21793</v>
      </c>
      <c r="I26" s="2"/>
    </row>
    <row r="27" spans="1:9" x14ac:dyDescent="0.25">
      <c r="A27" s="3"/>
      <c r="B27" s="3" t="s">
        <v>38</v>
      </c>
      <c r="C27" s="3"/>
      <c r="D27" s="5">
        <f>D46</f>
        <v>-25125</v>
      </c>
      <c r="E27" s="64">
        <f t="shared" ref="E27:F27" si="12">E46</f>
        <v>-169437.81</v>
      </c>
      <c r="F27" s="5">
        <f t="shared" si="12"/>
        <v>-79771.859999999986</v>
      </c>
      <c r="G27" s="5">
        <f t="shared" si="11"/>
        <v>89665.950000000012</v>
      </c>
      <c r="I27" s="2"/>
    </row>
    <row r="28" spans="1:9" x14ac:dyDescent="0.25">
      <c r="A28" s="3"/>
      <c r="B28" s="3" t="s">
        <v>39</v>
      </c>
      <c r="C28" s="3"/>
      <c r="D28" s="5">
        <v>0</v>
      </c>
      <c r="E28" s="5">
        <f>E50</f>
        <v>-37716.379999999997</v>
      </c>
      <c r="F28" s="5">
        <f>F50</f>
        <v>-44896.880000000005</v>
      </c>
      <c r="G28" s="5">
        <f t="shared" si="11"/>
        <v>-7180.5000000000073</v>
      </c>
      <c r="I28" s="2"/>
    </row>
    <row r="29" spans="1:9" x14ac:dyDescent="0.25">
      <c r="A29" s="3"/>
      <c r="B29" s="3" t="s">
        <v>41</v>
      </c>
      <c r="C29" s="3"/>
      <c r="D29" s="5">
        <f>D54</f>
        <v>-1390437</v>
      </c>
      <c r="E29" s="5">
        <f t="shared" ref="E29:F29" si="13">E54</f>
        <v>-1390437</v>
      </c>
      <c r="F29" s="5">
        <f t="shared" si="13"/>
        <v>-1897477.5</v>
      </c>
      <c r="G29" s="5">
        <f t="shared" si="7"/>
        <v>-507040.5</v>
      </c>
      <c r="I29" s="2"/>
    </row>
    <row r="30" spans="1:9" x14ac:dyDescent="0.25">
      <c r="A30" s="37"/>
      <c r="B30" s="37" t="s">
        <v>43</v>
      </c>
      <c r="C30" s="37"/>
      <c r="D30" s="38">
        <f>SUM(D32:D36)</f>
        <v>-25810455</v>
      </c>
      <c r="E30" s="38">
        <f>SUM(E31:E36)</f>
        <v>-30209889.920000002</v>
      </c>
      <c r="F30" s="38">
        <f>SUM(F32:F36)</f>
        <v>-28379388.059999999</v>
      </c>
      <c r="G30" s="38">
        <f>F30-E30</f>
        <v>1830501.8600000031</v>
      </c>
      <c r="I30" s="2"/>
    </row>
    <row r="31" spans="1:9" x14ac:dyDescent="0.25">
      <c r="A31" s="37"/>
      <c r="B31" s="37"/>
      <c r="C31" s="3" t="s">
        <v>44</v>
      </c>
      <c r="D31" s="5">
        <v>0</v>
      </c>
      <c r="E31" s="5">
        <f>E47+E51</f>
        <v>-207154.19</v>
      </c>
      <c r="F31" s="5">
        <v>0</v>
      </c>
      <c r="G31" s="5">
        <f>F31-E31</f>
        <v>207154.19</v>
      </c>
      <c r="I31" s="2"/>
    </row>
    <row r="32" spans="1:9" x14ac:dyDescent="0.25">
      <c r="A32" s="3"/>
      <c r="B32" s="3"/>
      <c r="C32" s="3" t="s">
        <v>45</v>
      </c>
      <c r="D32" s="64">
        <f>D38+D44</f>
        <v>-10623888</v>
      </c>
      <c r="E32" s="64">
        <f>E38+E44+E48+E52</f>
        <v>-11118584.74</v>
      </c>
      <c r="F32" s="64">
        <f>F38+F44+F48+F52</f>
        <v>-11040854.389999999</v>
      </c>
      <c r="G32" s="64">
        <f t="shared" ref="G32:G36" si="14">F32-E32</f>
        <v>77730.35000000149</v>
      </c>
      <c r="I32" s="2"/>
    </row>
    <row r="33" spans="1:9" x14ac:dyDescent="0.25">
      <c r="A33" s="3"/>
      <c r="B33" s="3"/>
      <c r="C33" s="3" t="s">
        <v>46</v>
      </c>
      <c r="D33" s="64">
        <f>D39+D49</f>
        <v>-8366744</v>
      </c>
      <c r="E33" s="64">
        <f>E39+E49+E53</f>
        <v>-9381994.7400000002</v>
      </c>
      <c r="F33" s="64">
        <f>F39+F49+F53</f>
        <v>-8401359.0999999996</v>
      </c>
      <c r="G33" s="64">
        <f t="shared" si="14"/>
        <v>980635.6400000006</v>
      </c>
      <c r="I33" s="2"/>
    </row>
    <row r="34" spans="1:9" x14ac:dyDescent="0.25">
      <c r="A34" s="3"/>
      <c r="B34" s="3"/>
      <c r="C34" s="3" t="s">
        <v>47</v>
      </c>
      <c r="D34" s="64">
        <v>0</v>
      </c>
      <c r="E34" s="64">
        <f>E40</f>
        <v>-11250</v>
      </c>
      <c r="F34" s="64">
        <f>F40</f>
        <v>-8125</v>
      </c>
      <c r="G34" s="64">
        <f t="shared" si="14"/>
        <v>3125</v>
      </c>
      <c r="I34" s="2"/>
    </row>
    <row r="35" spans="1:9" x14ac:dyDescent="0.25">
      <c r="A35" s="3"/>
      <c r="B35" s="3"/>
      <c r="C35" s="3" t="s">
        <v>48</v>
      </c>
      <c r="D35" s="64">
        <f>D41</f>
        <v>-5429386</v>
      </c>
      <c r="E35" s="64">
        <f t="shared" ref="E35:F35" si="15">E41</f>
        <v>-8100469.25</v>
      </c>
      <c r="F35" s="64">
        <f t="shared" si="15"/>
        <v>-7132484.6200000001</v>
      </c>
      <c r="G35" s="64">
        <f t="shared" ref="G35" si="16">F35-E35</f>
        <v>967984.62999999989</v>
      </c>
      <c r="I35" s="2"/>
    </row>
    <row r="36" spans="1:9" x14ac:dyDescent="0.25">
      <c r="A36" s="3"/>
      <c r="B36" s="3"/>
      <c r="C36" s="3" t="s">
        <v>49</v>
      </c>
      <c r="D36" s="64">
        <f>D54</f>
        <v>-1390437</v>
      </c>
      <c r="E36" s="64">
        <f>E54+E45+E42</f>
        <v>-1390437</v>
      </c>
      <c r="F36" s="64">
        <f>F54+F42+F45</f>
        <v>-1796564.95</v>
      </c>
      <c r="G36" s="64">
        <f t="shared" si="14"/>
        <v>-406127.94999999995</v>
      </c>
      <c r="I36" s="2"/>
    </row>
    <row r="37" spans="1:9" x14ac:dyDescent="0.25">
      <c r="A37" s="37"/>
      <c r="B37" s="37"/>
      <c r="C37" s="37" t="s">
        <v>36</v>
      </c>
      <c r="D37" s="65">
        <f>SUM(D38:D42)</f>
        <v>-23752081</v>
      </c>
      <c r="E37" s="65">
        <f>SUM(E38:E42)</f>
        <v>-27969486.73</v>
      </c>
      <c r="F37" s="65">
        <f>SUM(F38:F42)</f>
        <v>-25692636.82</v>
      </c>
      <c r="G37" s="65">
        <f>F37-E37</f>
        <v>2276849.91</v>
      </c>
      <c r="I37" s="2"/>
    </row>
    <row r="38" spans="1:9" x14ac:dyDescent="0.25">
      <c r="A38" s="3"/>
      <c r="B38" s="3"/>
      <c r="C38" s="3" t="s">
        <v>45</v>
      </c>
      <c r="D38" s="64">
        <v>-9981076</v>
      </c>
      <c r="E38" s="64">
        <v>-10475772.74</v>
      </c>
      <c r="F38" s="64">
        <v>-10305250.76</v>
      </c>
      <c r="G38" s="64">
        <f t="shared" ref="G38:G60" si="17">F38-E38</f>
        <v>170521.98000000045</v>
      </c>
      <c r="I38" s="2"/>
    </row>
    <row r="39" spans="1:9" x14ac:dyDescent="0.25">
      <c r="A39" s="3"/>
      <c r="B39" s="3"/>
      <c r="C39" s="3" t="s">
        <v>46</v>
      </c>
      <c r="D39" s="64">
        <v>-8341619</v>
      </c>
      <c r="E39" s="64">
        <f>-9342735.5-39259.24</f>
        <v>-9381994.7400000002</v>
      </c>
      <c r="F39" s="64">
        <v>-8354350.3700000001</v>
      </c>
      <c r="G39" s="64">
        <f t="shared" si="17"/>
        <v>1027644.3700000001</v>
      </c>
      <c r="I39" s="2"/>
    </row>
    <row r="40" spans="1:9" x14ac:dyDescent="0.25">
      <c r="A40" s="3"/>
      <c r="B40" s="3"/>
      <c r="C40" s="3" t="s">
        <v>47</v>
      </c>
      <c r="D40" s="64">
        <v>0</v>
      </c>
      <c r="E40" s="64">
        <v>-11250</v>
      </c>
      <c r="F40" s="64">
        <v>-8125</v>
      </c>
      <c r="G40" s="64">
        <f t="shared" si="17"/>
        <v>3125</v>
      </c>
      <c r="I40" s="2"/>
    </row>
    <row r="41" spans="1:9" x14ac:dyDescent="0.25">
      <c r="A41" s="3"/>
      <c r="B41" s="3"/>
      <c r="C41" s="3" t="s">
        <v>48</v>
      </c>
      <c r="D41" s="64">
        <v>-5429386</v>
      </c>
      <c r="E41" s="64">
        <v>-8100469.25</v>
      </c>
      <c r="F41" s="64">
        <v>-7132484.6200000001</v>
      </c>
      <c r="G41" s="64">
        <f t="shared" ref="G41:G42" si="18">F41-E41</f>
        <v>967984.62999999989</v>
      </c>
      <c r="I41" s="2"/>
    </row>
    <row r="42" spans="1:9" x14ac:dyDescent="0.25">
      <c r="A42" s="3"/>
      <c r="B42" s="3"/>
      <c r="C42" s="3" t="s">
        <v>50</v>
      </c>
      <c r="D42" s="64">
        <v>0</v>
      </c>
      <c r="E42" s="64">
        <v>0</v>
      </c>
      <c r="F42" s="64">
        <v>107573.93</v>
      </c>
      <c r="G42" s="64">
        <f t="shared" si="18"/>
        <v>107573.93</v>
      </c>
      <c r="I42" s="2"/>
    </row>
    <row r="43" spans="1:9" s="35" customFormat="1" x14ac:dyDescent="0.25">
      <c r="A43" s="37"/>
      <c r="B43" s="37"/>
      <c r="C43" s="37" t="s">
        <v>37</v>
      </c>
      <c r="D43" s="65">
        <f>D44</f>
        <v>-642812</v>
      </c>
      <c r="E43" s="65">
        <f t="shared" ref="E43" si="19">E44</f>
        <v>-642812</v>
      </c>
      <c r="F43" s="65">
        <f>SUM(F44+F45)</f>
        <v>-664605</v>
      </c>
      <c r="G43" s="65">
        <f>F43-E43</f>
        <v>-21793</v>
      </c>
      <c r="H43" s="21"/>
      <c r="I43" s="2"/>
    </row>
    <row r="44" spans="1:9" x14ac:dyDescent="0.25">
      <c r="A44" s="3"/>
      <c r="B44" s="3"/>
      <c r="C44" s="3" t="s">
        <v>45</v>
      </c>
      <c r="D44" s="64">
        <v>-642812</v>
      </c>
      <c r="E44" s="64">
        <f t="shared" ref="E44" si="20">D44</f>
        <v>-642812</v>
      </c>
      <c r="F44" s="64">
        <v>-657943.62</v>
      </c>
      <c r="G44" s="64">
        <f t="shared" ref="G44:G45" si="21">F44-E44</f>
        <v>-15131.619999999995</v>
      </c>
      <c r="I44" s="2"/>
    </row>
    <row r="45" spans="1:9" x14ac:dyDescent="0.25">
      <c r="A45" s="3"/>
      <c r="B45" s="3"/>
      <c r="C45" s="3" t="s">
        <v>50</v>
      </c>
      <c r="D45" s="64">
        <v>0</v>
      </c>
      <c r="E45" s="64">
        <v>0</v>
      </c>
      <c r="F45" s="64">
        <v>-6661.38</v>
      </c>
      <c r="G45" s="64">
        <f t="shared" si="21"/>
        <v>-6661.38</v>
      </c>
      <c r="I45" s="2"/>
    </row>
    <row r="46" spans="1:9" x14ac:dyDescent="0.25">
      <c r="A46" s="37"/>
      <c r="B46" s="37"/>
      <c r="C46" s="37" t="s">
        <v>38</v>
      </c>
      <c r="D46" s="65">
        <f>SUM(D49:D49)</f>
        <v>-25125</v>
      </c>
      <c r="E46" s="65">
        <f>SUM(E47:E49)</f>
        <v>-169437.81</v>
      </c>
      <c r="F46" s="65">
        <f>SUM(F47:F49)</f>
        <v>-79771.859999999986</v>
      </c>
      <c r="G46" s="65">
        <f>F46-E46</f>
        <v>89665.950000000012</v>
      </c>
      <c r="I46" s="2"/>
    </row>
    <row r="47" spans="1:9" x14ac:dyDescent="0.25">
      <c r="A47" s="37"/>
      <c r="B47" s="37"/>
      <c r="C47" s="3" t="s">
        <v>44</v>
      </c>
      <c r="D47" s="64">
        <v>0</v>
      </c>
      <c r="E47" s="64">
        <v>-169437.81</v>
      </c>
      <c r="F47" s="64">
        <v>0</v>
      </c>
      <c r="G47" s="64">
        <f>F47-E47</f>
        <v>169437.81</v>
      </c>
      <c r="I47" s="2"/>
    </row>
    <row r="48" spans="1:9" x14ac:dyDescent="0.25">
      <c r="A48" s="3"/>
      <c r="B48" s="3"/>
      <c r="C48" s="3" t="s">
        <v>45</v>
      </c>
      <c r="D48" s="64">
        <v>0</v>
      </c>
      <c r="E48" s="64">
        <v>0</v>
      </c>
      <c r="F48" s="64">
        <v>-68675.789999999994</v>
      </c>
      <c r="G48" s="64">
        <f>F48-E48</f>
        <v>-68675.789999999994</v>
      </c>
      <c r="I48" s="2"/>
    </row>
    <row r="49" spans="1:9" x14ac:dyDescent="0.25">
      <c r="A49" s="3"/>
      <c r="B49" s="3"/>
      <c r="C49" s="3" t="s">
        <v>46</v>
      </c>
      <c r="D49" s="64">
        <v>-25125</v>
      </c>
      <c r="E49" s="64">
        <v>0</v>
      </c>
      <c r="F49" s="64">
        <v>-11096.07</v>
      </c>
      <c r="G49" s="64">
        <f t="shared" ref="G49:G53" si="22">F49-E49</f>
        <v>-11096.07</v>
      </c>
      <c r="I49" s="2"/>
    </row>
    <row r="50" spans="1:9" x14ac:dyDescent="0.25">
      <c r="A50" s="3"/>
      <c r="B50" s="3"/>
      <c r="C50" s="37" t="s">
        <v>39</v>
      </c>
      <c r="D50" s="65">
        <f>SUM(D51:D53)</f>
        <v>0</v>
      </c>
      <c r="E50" s="65">
        <f>SUM(E51:E53)</f>
        <v>-37716.379999999997</v>
      </c>
      <c r="F50" s="65">
        <f>SUM(F51:F53)</f>
        <v>-44896.880000000005</v>
      </c>
      <c r="G50" s="65">
        <f t="shared" si="22"/>
        <v>-7180.5000000000073</v>
      </c>
      <c r="I50" s="2"/>
    </row>
    <row r="51" spans="1:9" x14ac:dyDescent="0.25">
      <c r="A51" s="3"/>
      <c r="B51" s="3"/>
      <c r="C51" s="3" t="s">
        <v>44</v>
      </c>
      <c r="D51" s="64">
        <v>0</v>
      </c>
      <c r="E51" s="64">
        <v>-37716.379999999997</v>
      </c>
      <c r="F51" s="64">
        <v>0</v>
      </c>
      <c r="G51" s="64">
        <f t="shared" si="22"/>
        <v>37716.379999999997</v>
      </c>
      <c r="I51" s="2"/>
    </row>
    <row r="52" spans="1:9" x14ac:dyDescent="0.25">
      <c r="A52" s="3"/>
      <c r="B52" s="3"/>
      <c r="C52" s="3" t="s">
        <v>45</v>
      </c>
      <c r="D52" s="64">
        <v>0</v>
      </c>
      <c r="E52" s="64">
        <v>0</v>
      </c>
      <c r="F52" s="64">
        <v>-8984.2199999999993</v>
      </c>
      <c r="G52" s="64">
        <f t="shared" si="22"/>
        <v>-8984.2199999999993</v>
      </c>
      <c r="I52" s="2"/>
    </row>
    <row r="53" spans="1:9" x14ac:dyDescent="0.25">
      <c r="A53" s="3"/>
      <c r="B53" s="3"/>
      <c r="C53" s="3" t="s">
        <v>46</v>
      </c>
      <c r="D53" s="64">
        <v>0</v>
      </c>
      <c r="E53" s="64">
        <v>0</v>
      </c>
      <c r="F53" s="64">
        <v>-35912.660000000003</v>
      </c>
      <c r="G53" s="64">
        <f t="shared" si="22"/>
        <v>-35912.660000000003</v>
      </c>
      <c r="I53" s="2"/>
    </row>
    <row r="54" spans="1:9" s="35" customFormat="1" x14ac:dyDescent="0.25">
      <c r="A54" s="37"/>
      <c r="B54" s="37"/>
      <c r="C54" s="37" t="s">
        <v>41</v>
      </c>
      <c r="D54" s="65">
        <v>-1390437</v>
      </c>
      <c r="E54" s="65">
        <f t="shared" ref="E54" si="23">D54</f>
        <v>-1390437</v>
      </c>
      <c r="F54" s="65">
        <v>-1897477.5</v>
      </c>
      <c r="G54" s="65">
        <f t="shared" si="17"/>
        <v>-507040.5</v>
      </c>
      <c r="H54" s="21"/>
      <c r="I54" s="2"/>
    </row>
    <row r="55" spans="1:9" s="35" customFormat="1" ht="15.75" x14ac:dyDescent="0.25">
      <c r="A55" s="58" t="s">
        <v>51</v>
      </c>
      <c r="B55" s="37"/>
      <c r="C55" s="37"/>
      <c r="D55" s="38">
        <f>SUM(D56:D60)</f>
        <v>-20418423</v>
      </c>
      <c r="E55" s="38">
        <f>SUM(E56:E60)</f>
        <v>-23729028.469999999</v>
      </c>
      <c r="F55" s="38">
        <f>SUM(F56:F60)</f>
        <v>-21164519.189999998</v>
      </c>
      <c r="G55" s="38">
        <f t="shared" si="17"/>
        <v>2564509.2800000012</v>
      </c>
      <c r="H55" s="21"/>
      <c r="I55" s="2"/>
    </row>
    <row r="56" spans="1:9" x14ac:dyDescent="0.25">
      <c r="A56" s="3"/>
      <c r="B56" s="3" t="s">
        <v>36</v>
      </c>
      <c r="C56" s="3"/>
      <c r="D56" s="5">
        <f>D68</f>
        <v>-18360049</v>
      </c>
      <c r="E56" s="5">
        <f t="shared" ref="E56:F56" si="24">E68</f>
        <v>-21488625.280000001</v>
      </c>
      <c r="F56" s="5">
        <f t="shared" si="24"/>
        <v>-18477768.07</v>
      </c>
      <c r="G56" s="5">
        <f t="shared" si="17"/>
        <v>3010857.2100000009</v>
      </c>
      <c r="I56" s="21"/>
    </row>
    <row r="57" spans="1:9" x14ac:dyDescent="0.25">
      <c r="A57" s="3"/>
      <c r="B57" s="3" t="s">
        <v>37</v>
      </c>
      <c r="C57" s="3"/>
      <c r="D57" s="5">
        <f>D74</f>
        <v>-642812</v>
      </c>
      <c r="E57" s="5">
        <f t="shared" ref="E57:F57" si="25">E74</f>
        <v>-642812</v>
      </c>
      <c r="F57" s="5">
        <f t="shared" si="25"/>
        <v>-664605.38</v>
      </c>
      <c r="G57" s="5">
        <f t="shared" si="17"/>
        <v>-21793.380000000005</v>
      </c>
      <c r="I57" s="2"/>
    </row>
    <row r="58" spans="1:9" x14ac:dyDescent="0.25">
      <c r="A58" s="3"/>
      <c r="B58" s="3" t="s">
        <v>38</v>
      </c>
      <c r="C58" s="3"/>
      <c r="D58" s="5">
        <f>D77</f>
        <v>-25125</v>
      </c>
      <c r="E58" s="64">
        <f t="shared" ref="E58:F58" si="26">E77</f>
        <v>-169437.81</v>
      </c>
      <c r="F58" s="5">
        <f t="shared" si="26"/>
        <v>-79771.859999999986</v>
      </c>
      <c r="G58" s="5">
        <f t="shared" si="17"/>
        <v>89665.950000000012</v>
      </c>
      <c r="I58" s="2"/>
    </row>
    <row r="59" spans="1:9" x14ac:dyDescent="0.25">
      <c r="A59" s="3"/>
      <c r="B59" s="3" t="s">
        <v>39</v>
      </c>
      <c r="C59" s="66"/>
      <c r="D59" s="5">
        <f>D81</f>
        <v>0</v>
      </c>
      <c r="E59" s="5">
        <f t="shared" ref="E59" si="27">E81</f>
        <v>-37716.379999999997</v>
      </c>
      <c r="F59" s="5">
        <f>F81</f>
        <v>-44896.880000000005</v>
      </c>
      <c r="G59" s="5">
        <f t="shared" si="17"/>
        <v>-7180.5000000000073</v>
      </c>
      <c r="I59" s="2"/>
    </row>
    <row r="60" spans="1:9" x14ac:dyDescent="0.25">
      <c r="A60" s="3"/>
      <c r="B60" s="3" t="s">
        <v>41</v>
      </c>
      <c r="C60" s="3"/>
      <c r="D60" s="5">
        <f>D85</f>
        <v>-1390437</v>
      </c>
      <c r="E60" s="5">
        <f t="shared" ref="E60:F60" si="28">E85</f>
        <v>-1390437</v>
      </c>
      <c r="F60" s="5">
        <f t="shared" si="28"/>
        <v>-1897477</v>
      </c>
      <c r="G60" s="5">
        <f t="shared" si="17"/>
        <v>-507040</v>
      </c>
      <c r="I60" s="2"/>
    </row>
    <row r="61" spans="1:9" x14ac:dyDescent="0.25">
      <c r="A61" s="37"/>
      <c r="B61" s="37" t="s">
        <v>43</v>
      </c>
      <c r="C61" s="37"/>
      <c r="D61" s="38">
        <f>SUM(D62:D67)</f>
        <v>-20418423</v>
      </c>
      <c r="E61" s="38">
        <f t="shared" ref="E61:F61" si="29">SUM(E62:E67)</f>
        <v>-23729028.469999999</v>
      </c>
      <c r="F61" s="38">
        <f t="shared" si="29"/>
        <v>-21164519.190000001</v>
      </c>
      <c r="G61" s="38">
        <f>F61-E61</f>
        <v>2564509.2799999975</v>
      </c>
      <c r="I61" s="2"/>
    </row>
    <row r="62" spans="1:9" x14ac:dyDescent="0.25">
      <c r="A62" s="3"/>
      <c r="B62" s="3"/>
      <c r="C62" s="3" t="s">
        <v>44</v>
      </c>
      <c r="D62" s="64">
        <v>0</v>
      </c>
      <c r="E62" s="64">
        <f>E82+E78</f>
        <v>-207154.19</v>
      </c>
      <c r="F62" s="64">
        <v>0</v>
      </c>
      <c r="G62" s="64">
        <f t="shared" ref="G62:G67" si="30">F62-E62</f>
        <v>207154.19</v>
      </c>
      <c r="I62" s="2"/>
    </row>
    <row r="63" spans="1:9" x14ac:dyDescent="0.25">
      <c r="A63" s="3"/>
      <c r="B63" s="3"/>
      <c r="C63" s="3" t="s">
        <v>45</v>
      </c>
      <c r="D63" s="64">
        <f>D69+D75+D83+D79</f>
        <v>-8759721</v>
      </c>
      <c r="E63" s="64">
        <f t="shared" ref="E63:F63" si="31">E69+E75+E83+E79</f>
        <v>-8868258.9100000001</v>
      </c>
      <c r="F63" s="64">
        <f t="shared" si="31"/>
        <v>-8762292.0099999998</v>
      </c>
      <c r="G63" s="64">
        <f t="shared" si="30"/>
        <v>105966.90000000037</v>
      </c>
      <c r="I63" s="2"/>
    </row>
    <row r="64" spans="1:9" x14ac:dyDescent="0.25">
      <c r="A64" s="3"/>
      <c r="B64" s="3"/>
      <c r="C64" s="3" t="s">
        <v>46</v>
      </c>
      <c r="D64" s="64">
        <f>D70+D80+D84</f>
        <v>-8581424</v>
      </c>
      <c r="E64" s="64">
        <f t="shared" ref="E64:F64" si="32">E70+E80+E84</f>
        <v>-9510867.1199999992</v>
      </c>
      <c r="F64" s="64">
        <f t="shared" si="32"/>
        <v>-8481602.7300000004</v>
      </c>
      <c r="G64" s="64">
        <f t="shared" si="30"/>
        <v>1029264.3899999987</v>
      </c>
      <c r="I64" s="2"/>
    </row>
    <row r="65" spans="1:10" x14ac:dyDescent="0.25">
      <c r="A65" s="3"/>
      <c r="B65" s="3"/>
      <c r="C65" s="3" t="s">
        <v>47</v>
      </c>
      <c r="D65" s="64">
        <f>D71</f>
        <v>0</v>
      </c>
      <c r="E65" s="64">
        <f t="shared" ref="E65:F65" si="33">E71</f>
        <v>-11250</v>
      </c>
      <c r="F65" s="64">
        <f t="shared" si="33"/>
        <v>-11125</v>
      </c>
      <c r="G65" s="64">
        <f t="shared" si="30"/>
        <v>125</v>
      </c>
      <c r="I65" s="2"/>
    </row>
    <row r="66" spans="1:10" x14ac:dyDescent="0.25">
      <c r="A66" s="3"/>
      <c r="B66" s="3"/>
      <c r="C66" s="3" t="s">
        <v>48</v>
      </c>
      <c r="D66" s="64">
        <f>D72</f>
        <v>-1686841</v>
      </c>
      <c r="E66" s="64">
        <f t="shared" ref="E66:F66" si="34">E72</f>
        <v>-3741061.25</v>
      </c>
      <c r="F66" s="64">
        <f t="shared" si="34"/>
        <v>-2112935</v>
      </c>
      <c r="G66" s="64">
        <f t="shared" si="30"/>
        <v>1628126.25</v>
      </c>
      <c r="I66" s="2"/>
    </row>
    <row r="67" spans="1:10" x14ac:dyDescent="0.25">
      <c r="A67" s="3"/>
      <c r="B67" s="3"/>
      <c r="C67" s="3" t="s">
        <v>49</v>
      </c>
      <c r="D67" s="64">
        <f>D85+D76+D73</f>
        <v>-1390437</v>
      </c>
      <c r="E67" s="64">
        <f t="shared" ref="E67:F67" si="35">E85+E76+E73</f>
        <v>-1390437</v>
      </c>
      <c r="F67" s="64">
        <f t="shared" si="35"/>
        <v>-1796564.45</v>
      </c>
      <c r="G67" s="64">
        <f t="shared" si="30"/>
        <v>-406127.44999999995</v>
      </c>
      <c r="I67" s="2"/>
    </row>
    <row r="68" spans="1:10" x14ac:dyDescent="0.25">
      <c r="A68" s="37"/>
      <c r="B68" s="37"/>
      <c r="C68" s="37" t="s">
        <v>36</v>
      </c>
      <c r="D68" s="65">
        <f>SUM(D69:D73)</f>
        <v>-18360049</v>
      </c>
      <c r="E68" s="65">
        <f t="shared" ref="E68:F68" si="36">SUM(E69:E73)</f>
        <v>-21488625.280000001</v>
      </c>
      <c r="F68" s="65">
        <f t="shared" si="36"/>
        <v>-18477768.07</v>
      </c>
      <c r="G68" s="65">
        <f>F68-E68</f>
        <v>3010857.2100000009</v>
      </c>
      <c r="I68" s="2"/>
    </row>
    <row r="69" spans="1:10" x14ac:dyDescent="0.25">
      <c r="A69" s="3"/>
      <c r="B69" s="3"/>
      <c r="C69" s="3" t="s">
        <v>45</v>
      </c>
      <c r="D69" s="64">
        <v>-8116909</v>
      </c>
      <c r="E69" s="64">
        <v>-8225446.9100000001</v>
      </c>
      <c r="F69" s="64">
        <v>-8026688</v>
      </c>
      <c r="G69" s="64">
        <f t="shared" ref="G69:G73" si="37">F69-E69</f>
        <v>198758.91000000015</v>
      </c>
      <c r="I69" s="2"/>
      <c r="J69" s="21"/>
    </row>
    <row r="70" spans="1:10" x14ac:dyDescent="0.25">
      <c r="A70" s="3"/>
      <c r="B70" s="3"/>
      <c r="C70" s="3" t="s">
        <v>46</v>
      </c>
      <c r="D70" s="64">
        <v>-8556299</v>
      </c>
      <c r="E70" s="64">
        <f>-9482032.5-28834.62</f>
        <v>-9510867.1199999992</v>
      </c>
      <c r="F70" s="64">
        <v>-8434594</v>
      </c>
      <c r="G70" s="64">
        <f t="shared" si="37"/>
        <v>1076273.1199999992</v>
      </c>
      <c r="I70" s="2"/>
    </row>
    <row r="71" spans="1:10" x14ac:dyDescent="0.25">
      <c r="A71" s="3"/>
      <c r="B71" s="3"/>
      <c r="C71" s="3" t="s">
        <v>47</v>
      </c>
      <c r="D71" s="64">
        <v>0</v>
      </c>
      <c r="E71" s="64">
        <v>-11250</v>
      </c>
      <c r="F71" s="64">
        <v>-11125</v>
      </c>
      <c r="G71" s="64">
        <f t="shared" si="37"/>
        <v>125</v>
      </c>
      <c r="I71" s="2"/>
      <c r="J71" s="21"/>
    </row>
    <row r="72" spans="1:10" x14ac:dyDescent="0.25">
      <c r="A72" s="3"/>
      <c r="B72" s="3"/>
      <c r="C72" s="3" t="s">
        <v>48</v>
      </c>
      <c r="D72" s="64">
        <v>-1686841</v>
      </c>
      <c r="E72" s="64">
        <v>-3741061.25</v>
      </c>
      <c r="F72" s="64">
        <v>-2112935</v>
      </c>
      <c r="G72" s="64">
        <f t="shared" si="37"/>
        <v>1628126.25</v>
      </c>
      <c r="I72" s="2"/>
      <c r="J72" s="21"/>
    </row>
    <row r="73" spans="1:10" x14ac:dyDescent="0.25">
      <c r="A73" s="3"/>
      <c r="B73" s="3"/>
      <c r="C73" s="3" t="s">
        <v>50</v>
      </c>
      <c r="D73" s="64">
        <v>0</v>
      </c>
      <c r="E73" s="64">
        <v>0</v>
      </c>
      <c r="F73" s="64">
        <v>107573.93</v>
      </c>
      <c r="G73" s="64">
        <f t="shared" si="37"/>
        <v>107573.93</v>
      </c>
      <c r="I73" s="2"/>
      <c r="J73" s="21"/>
    </row>
    <row r="74" spans="1:10" s="35" customFormat="1" x14ac:dyDescent="0.25">
      <c r="A74" s="37"/>
      <c r="B74" s="37"/>
      <c r="C74" s="37" t="s">
        <v>37</v>
      </c>
      <c r="D74" s="65">
        <f>SUM(D75+D76)</f>
        <v>-642812</v>
      </c>
      <c r="E74" s="65">
        <f t="shared" ref="E74:F74" si="38">SUM(E75+E76)</f>
        <v>-642812</v>
      </c>
      <c r="F74" s="65">
        <f t="shared" si="38"/>
        <v>-664605.38</v>
      </c>
      <c r="G74" s="65">
        <f>F74-E74</f>
        <v>-21793.380000000005</v>
      </c>
      <c r="H74" s="21"/>
      <c r="I74" s="2"/>
    </row>
    <row r="75" spans="1:10" x14ac:dyDescent="0.25">
      <c r="A75" s="3"/>
      <c r="B75" s="3"/>
      <c r="C75" s="3" t="s">
        <v>45</v>
      </c>
      <c r="D75" s="64">
        <v>-642812</v>
      </c>
      <c r="E75" s="64">
        <f t="shared" ref="E75:E76" si="39">D75</f>
        <v>-642812</v>
      </c>
      <c r="F75" s="64">
        <v>-657944</v>
      </c>
      <c r="G75" s="64">
        <f t="shared" ref="G75:G76" si="40">F75-E75</f>
        <v>-15132</v>
      </c>
      <c r="I75" s="2"/>
    </row>
    <row r="76" spans="1:10" x14ac:dyDescent="0.25">
      <c r="A76" s="3"/>
      <c r="B76" s="3"/>
      <c r="C76" s="3" t="s">
        <v>50</v>
      </c>
      <c r="D76" s="64">
        <v>0</v>
      </c>
      <c r="E76" s="64">
        <f t="shared" si="39"/>
        <v>0</v>
      </c>
      <c r="F76" s="64">
        <v>-6661.38</v>
      </c>
      <c r="G76" s="64">
        <f t="shared" si="40"/>
        <v>-6661.38</v>
      </c>
      <c r="I76" s="2"/>
    </row>
    <row r="77" spans="1:10" x14ac:dyDescent="0.25">
      <c r="A77" s="37"/>
      <c r="B77" s="37"/>
      <c r="C77" s="37" t="s">
        <v>38</v>
      </c>
      <c r="D77" s="65">
        <f>SUM(D78:D80)</f>
        <v>-25125</v>
      </c>
      <c r="E77" s="65">
        <f t="shared" ref="E77:G77" si="41">SUM(E78:E80)</f>
        <v>-169437.81</v>
      </c>
      <c r="F77" s="65">
        <f t="shared" si="41"/>
        <v>-79771.859999999986</v>
      </c>
      <c r="G77" s="65">
        <f t="shared" si="41"/>
        <v>89665.950000000012</v>
      </c>
      <c r="I77" s="2"/>
    </row>
    <row r="78" spans="1:10" x14ac:dyDescent="0.25">
      <c r="A78" s="3"/>
      <c r="B78" s="3"/>
      <c r="C78" s="3" t="s">
        <v>44</v>
      </c>
      <c r="D78" s="64">
        <v>0</v>
      </c>
      <c r="E78" s="64">
        <v>-169437.81</v>
      </c>
      <c r="F78" s="64">
        <v>0</v>
      </c>
      <c r="G78" s="64">
        <f>F78-E78</f>
        <v>169437.81</v>
      </c>
      <c r="I78" s="2"/>
    </row>
    <row r="79" spans="1:10" x14ac:dyDescent="0.25">
      <c r="A79" s="3"/>
      <c r="B79" s="3"/>
      <c r="C79" s="3" t="s">
        <v>45</v>
      </c>
      <c r="D79" s="64">
        <v>0</v>
      </c>
      <c r="E79" s="64">
        <v>0</v>
      </c>
      <c r="F79" s="64">
        <v>-68675.789999999994</v>
      </c>
      <c r="G79" s="64">
        <f t="shared" ref="G79:G91" si="42">F79-E79</f>
        <v>-68675.789999999994</v>
      </c>
      <c r="I79" s="2"/>
    </row>
    <row r="80" spans="1:10" x14ac:dyDescent="0.25">
      <c r="A80" s="3"/>
      <c r="B80" s="3"/>
      <c r="C80" s="3" t="s">
        <v>46</v>
      </c>
      <c r="D80" s="64">
        <v>-25125</v>
      </c>
      <c r="E80" s="64">
        <v>0</v>
      </c>
      <c r="F80" s="64">
        <v>-11096.07</v>
      </c>
      <c r="G80" s="64">
        <f t="shared" si="42"/>
        <v>-11096.07</v>
      </c>
      <c r="I80" s="2"/>
    </row>
    <row r="81" spans="1:9" s="35" customFormat="1" x14ac:dyDescent="0.25">
      <c r="A81" s="37"/>
      <c r="B81" s="37"/>
      <c r="C81" s="37" t="s">
        <v>39</v>
      </c>
      <c r="D81" s="65">
        <f>SUM(D82:D84)</f>
        <v>0</v>
      </c>
      <c r="E81" s="65">
        <f t="shared" ref="E81:F81" si="43">SUM(E82:E84)</f>
        <v>-37716.379999999997</v>
      </c>
      <c r="F81" s="65">
        <f t="shared" si="43"/>
        <v>-44896.880000000005</v>
      </c>
      <c r="G81" s="65">
        <f>F81-E81</f>
        <v>-7180.5000000000073</v>
      </c>
      <c r="H81" s="36"/>
      <c r="I81" s="63"/>
    </row>
    <row r="82" spans="1:9" x14ac:dyDescent="0.25">
      <c r="A82" s="3"/>
      <c r="B82" s="3"/>
      <c r="C82" s="3" t="s">
        <v>44</v>
      </c>
      <c r="D82" s="64">
        <v>0</v>
      </c>
      <c r="E82" s="64">
        <v>-37716.379999999997</v>
      </c>
      <c r="F82" s="64">
        <v>0</v>
      </c>
      <c r="G82" s="64">
        <f t="shared" si="42"/>
        <v>37716.379999999997</v>
      </c>
      <c r="I82" s="2"/>
    </row>
    <row r="83" spans="1:9" x14ac:dyDescent="0.25">
      <c r="A83" s="3"/>
      <c r="B83" s="3"/>
      <c r="C83" s="3" t="s">
        <v>45</v>
      </c>
      <c r="D83" s="64">
        <v>0</v>
      </c>
      <c r="E83" s="64">
        <v>0</v>
      </c>
      <c r="F83" s="64">
        <v>-8984.2199999999993</v>
      </c>
      <c r="G83" s="64">
        <f t="shared" si="42"/>
        <v>-8984.2199999999993</v>
      </c>
      <c r="I83" s="2"/>
    </row>
    <row r="84" spans="1:9" x14ac:dyDescent="0.25">
      <c r="A84" s="3"/>
      <c r="B84" s="3"/>
      <c r="C84" s="3" t="s">
        <v>46</v>
      </c>
      <c r="D84" s="64">
        <v>0</v>
      </c>
      <c r="E84" s="64">
        <v>0</v>
      </c>
      <c r="F84" s="64">
        <v>-35912.660000000003</v>
      </c>
      <c r="G84" s="64">
        <f t="shared" si="42"/>
        <v>-35912.660000000003</v>
      </c>
      <c r="I84" s="2"/>
    </row>
    <row r="85" spans="1:9" s="35" customFormat="1" x14ac:dyDescent="0.25">
      <c r="A85" s="37"/>
      <c r="B85" s="37"/>
      <c r="C85" s="37" t="s">
        <v>41</v>
      </c>
      <c r="D85" s="65">
        <v>-1390437</v>
      </c>
      <c r="E85" s="65">
        <f t="shared" ref="E85" si="44">D85</f>
        <v>-1390437</v>
      </c>
      <c r="F85" s="65">
        <v>-1897477</v>
      </c>
      <c r="G85" s="65">
        <f t="shared" si="42"/>
        <v>-507040</v>
      </c>
      <c r="H85" s="21"/>
      <c r="I85" s="2"/>
    </row>
    <row r="86" spans="1:9" s="35" customFormat="1" ht="15.75" x14ac:dyDescent="0.25">
      <c r="A86" s="58" t="s">
        <v>52</v>
      </c>
      <c r="B86" s="37"/>
      <c r="C86" s="37"/>
      <c r="D86" s="38">
        <f>SUM(D87:D91)</f>
        <v>-20191330</v>
      </c>
      <c r="E86" s="38">
        <f>SUM(E87:E91)</f>
        <v>-21622224.190000001</v>
      </c>
      <c r="F86" s="38">
        <f>SUM(F87:F91)</f>
        <v>-20488631.710000001</v>
      </c>
      <c r="G86" s="38">
        <f t="shared" si="42"/>
        <v>1133592.4800000004</v>
      </c>
      <c r="H86" s="21"/>
      <c r="I86" s="2"/>
    </row>
    <row r="87" spans="1:9" x14ac:dyDescent="0.25">
      <c r="A87" s="3"/>
      <c r="B87" s="3" t="s">
        <v>36</v>
      </c>
      <c r="C87" s="3"/>
      <c r="D87" s="64">
        <f>D99</f>
        <v>-18106826</v>
      </c>
      <c r="E87" s="64">
        <f t="shared" ref="E87:F87" si="45">E99</f>
        <v>-19245212.460000001</v>
      </c>
      <c r="F87" s="64">
        <f t="shared" si="45"/>
        <v>-17696516.060000002</v>
      </c>
      <c r="G87" s="64">
        <f t="shared" si="42"/>
        <v>1548696.3999999985</v>
      </c>
      <c r="I87" s="21"/>
    </row>
    <row r="88" spans="1:9" x14ac:dyDescent="0.25">
      <c r="A88" s="3"/>
      <c r="B88" s="3" t="s">
        <v>37</v>
      </c>
      <c r="C88" s="3"/>
      <c r="D88" s="64">
        <f>D105</f>
        <v>-642812</v>
      </c>
      <c r="E88" s="64">
        <f t="shared" ref="E88:F88" si="46">E105</f>
        <v>-642812</v>
      </c>
      <c r="F88" s="64">
        <f t="shared" si="46"/>
        <v>-664605</v>
      </c>
      <c r="G88" s="64">
        <f t="shared" si="42"/>
        <v>-21793</v>
      </c>
      <c r="I88" s="2"/>
    </row>
    <row r="89" spans="1:9" x14ac:dyDescent="0.25">
      <c r="A89" s="3"/>
      <c r="B89" s="3" t="s">
        <v>38</v>
      </c>
      <c r="C89" s="3"/>
      <c r="D89" s="64">
        <f>D108</f>
        <v>-51255</v>
      </c>
      <c r="E89" s="64">
        <f t="shared" ref="E89:F89" si="47">E108</f>
        <v>-195567.81</v>
      </c>
      <c r="F89" s="64">
        <f t="shared" si="47"/>
        <v>-144001.03999999998</v>
      </c>
      <c r="G89" s="64">
        <f t="shared" si="42"/>
        <v>51566.770000000019</v>
      </c>
      <c r="I89" s="2"/>
    </row>
    <row r="90" spans="1:9" x14ac:dyDescent="0.25">
      <c r="A90" s="3"/>
      <c r="B90" s="3" t="s">
        <v>39</v>
      </c>
      <c r="C90" s="3"/>
      <c r="D90" s="64">
        <f>D112</f>
        <v>0</v>
      </c>
      <c r="E90" s="64">
        <f>E112</f>
        <v>-148194.92000000001</v>
      </c>
      <c r="F90" s="64">
        <f>F112</f>
        <v>-86032.11</v>
      </c>
      <c r="G90" s="64">
        <f>G112</f>
        <v>62162.810000000012</v>
      </c>
      <c r="I90" s="2"/>
    </row>
    <row r="91" spans="1:9" x14ac:dyDescent="0.25">
      <c r="A91" s="3"/>
      <c r="B91" s="3" t="s">
        <v>41</v>
      </c>
      <c r="C91" s="3"/>
      <c r="D91" s="64">
        <f>D116</f>
        <v>-1390437</v>
      </c>
      <c r="E91" s="64">
        <f t="shared" ref="E91:F91" si="48">E116</f>
        <v>-1390437</v>
      </c>
      <c r="F91" s="64">
        <f t="shared" si="48"/>
        <v>-1897477.5</v>
      </c>
      <c r="G91" s="64">
        <f t="shared" si="42"/>
        <v>-507040.5</v>
      </c>
      <c r="I91" s="2"/>
    </row>
    <row r="92" spans="1:9" x14ac:dyDescent="0.25">
      <c r="A92" s="37"/>
      <c r="B92" s="37" t="s">
        <v>43</v>
      </c>
      <c r="C92" s="37"/>
      <c r="D92" s="38">
        <f>SUM(D94:D98)</f>
        <v>-20191330</v>
      </c>
      <c r="E92" s="38">
        <f>SUM(E93:E98)</f>
        <v>-21622224.189999998</v>
      </c>
      <c r="F92" s="38">
        <f>SUM(F93:F98)</f>
        <v>-20488631.710000001</v>
      </c>
      <c r="G92" s="38">
        <f>F92-E92</f>
        <v>1133592.4799999967</v>
      </c>
      <c r="I92" s="2"/>
    </row>
    <row r="93" spans="1:9" x14ac:dyDescent="0.25">
      <c r="A93" s="37"/>
      <c r="B93" s="37"/>
      <c r="C93" s="3" t="s">
        <v>44</v>
      </c>
      <c r="D93" s="5">
        <v>0</v>
      </c>
      <c r="E93" s="5">
        <f>E109+E113</f>
        <v>-343762.73</v>
      </c>
      <c r="F93" s="5">
        <v>0</v>
      </c>
      <c r="G93" s="5">
        <f>F93-E93</f>
        <v>343762.73</v>
      </c>
      <c r="I93" s="2"/>
    </row>
    <row r="94" spans="1:9" x14ac:dyDescent="0.25">
      <c r="A94" s="3"/>
      <c r="B94" s="3"/>
      <c r="C94" s="3" t="s">
        <v>45</v>
      </c>
      <c r="D94" s="5">
        <f>D100+D106</f>
        <v>-9849923</v>
      </c>
      <c r="E94" s="5">
        <f t="shared" ref="E94" si="49">E100+E106</f>
        <v>-9957305.5199999996</v>
      </c>
      <c r="F94" s="5">
        <f>F100+F106+F110+F114</f>
        <v>-9894730.5299999993</v>
      </c>
      <c r="G94" s="5">
        <f t="shared" ref="G94:G98" si="50">F94-E94</f>
        <v>62574.990000000224</v>
      </c>
      <c r="I94" s="2"/>
    </row>
    <row r="95" spans="1:9" x14ac:dyDescent="0.25">
      <c r="A95" s="3"/>
      <c r="B95" s="3"/>
      <c r="C95" s="3" t="s">
        <v>46</v>
      </c>
      <c r="D95" s="5">
        <f>D101+D111</f>
        <v>-8334754</v>
      </c>
      <c r="E95" s="5">
        <f>E101+E111</f>
        <v>-9146602.6899999995</v>
      </c>
      <c r="F95" s="5">
        <f>F101+F111+F115</f>
        <v>-8225503.5200000005</v>
      </c>
      <c r="G95" s="5">
        <f t="shared" si="50"/>
        <v>921099.16999999899</v>
      </c>
      <c r="I95" s="2"/>
    </row>
    <row r="96" spans="1:9" x14ac:dyDescent="0.25">
      <c r="A96" s="3"/>
      <c r="B96" s="3"/>
      <c r="C96" s="3" t="s">
        <v>47</v>
      </c>
      <c r="D96" s="5">
        <f>D102</f>
        <v>0</v>
      </c>
      <c r="E96" s="64">
        <f>E102</f>
        <v>-11250</v>
      </c>
      <c r="F96" s="64">
        <f>F102</f>
        <v>-8125</v>
      </c>
      <c r="G96" s="64">
        <f t="shared" si="50"/>
        <v>3125</v>
      </c>
      <c r="I96" s="2"/>
    </row>
    <row r="97" spans="1:9" x14ac:dyDescent="0.25">
      <c r="A97" s="3"/>
      <c r="B97" s="3"/>
      <c r="C97" s="3" t="s">
        <v>48</v>
      </c>
      <c r="D97" s="5">
        <f>D103</f>
        <v>-616216</v>
      </c>
      <c r="E97" s="64">
        <f t="shared" ref="E97:F97" si="51">E103</f>
        <v>-772866.25</v>
      </c>
      <c r="F97" s="64">
        <f t="shared" si="51"/>
        <v>-563707.71</v>
      </c>
      <c r="G97" s="64">
        <f t="shared" si="50"/>
        <v>209158.54000000004</v>
      </c>
      <c r="I97" s="2"/>
    </row>
    <row r="98" spans="1:9" x14ac:dyDescent="0.25">
      <c r="A98" s="3"/>
      <c r="B98" s="3"/>
      <c r="C98" s="3" t="s">
        <v>49</v>
      </c>
      <c r="D98" s="5">
        <f>D116</f>
        <v>-1390437</v>
      </c>
      <c r="E98" s="5">
        <f>E116+E107+E104</f>
        <v>-1390437</v>
      </c>
      <c r="F98" s="5">
        <f>F116+F104+F107</f>
        <v>-1796564.95</v>
      </c>
      <c r="G98" s="5">
        <f t="shared" si="50"/>
        <v>-406127.94999999995</v>
      </c>
      <c r="I98" s="2"/>
    </row>
    <row r="99" spans="1:9" x14ac:dyDescent="0.25">
      <c r="A99" s="37"/>
      <c r="B99" s="37"/>
      <c r="C99" s="37" t="s">
        <v>36</v>
      </c>
      <c r="D99" s="38">
        <f>SUM(D100:D103)</f>
        <v>-18106826</v>
      </c>
      <c r="E99" s="38">
        <f t="shared" ref="E99" si="52">SUM(E100:E103)</f>
        <v>-19245212.460000001</v>
      </c>
      <c r="F99" s="38">
        <f>SUM(F100:F104)</f>
        <v>-17696516.060000002</v>
      </c>
      <c r="G99" s="38">
        <f>F99-E99</f>
        <v>1548696.3999999985</v>
      </c>
      <c r="I99" s="2"/>
    </row>
    <row r="100" spans="1:9" x14ac:dyDescent="0.25">
      <c r="A100" s="3"/>
      <c r="B100" s="3"/>
      <c r="C100" s="3" t="s">
        <v>45</v>
      </c>
      <c r="D100" s="64">
        <v>-9207111</v>
      </c>
      <c r="E100" s="64">
        <v>-9314493.5199999996</v>
      </c>
      <c r="F100" s="64">
        <v>-9138489.2799999993</v>
      </c>
      <c r="G100" s="64">
        <f t="shared" ref="G100:G104" si="53">F100-E100</f>
        <v>176004.24000000022</v>
      </c>
      <c r="I100" s="2"/>
    </row>
    <row r="101" spans="1:9" x14ac:dyDescent="0.25">
      <c r="A101" s="3"/>
      <c r="B101" s="3"/>
      <c r="C101" s="3" t="s">
        <v>46</v>
      </c>
      <c r="D101" s="64">
        <v>-8283499</v>
      </c>
      <c r="E101" s="64">
        <f>-9101334.5-45268.19</f>
        <v>-9146602.6899999995</v>
      </c>
      <c r="F101" s="64">
        <v>-8093768</v>
      </c>
      <c r="G101" s="64">
        <f t="shared" si="53"/>
        <v>1052834.6899999995</v>
      </c>
      <c r="I101" s="2"/>
    </row>
    <row r="102" spans="1:9" x14ac:dyDescent="0.25">
      <c r="A102" s="3"/>
      <c r="B102" s="3"/>
      <c r="C102" s="3" t="s">
        <v>47</v>
      </c>
      <c r="D102" s="64">
        <v>0</v>
      </c>
      <c r="E102" s="64">
        <v>-11250</v>
      </c>
      <c r="F102" s="64">
        <v>-8125</v>
      </c>
      <c r="G102" s="64">
        <f t="shared" si="53"/>
        <v>3125</v>
      </c>
      <c r="I102" s="2"/>
    </row>
    <row r="103" spans="1:9" x14ac:dyDescent="0.25">
      <c r="A103" s="3"/>
      <c r="B103" s="3"/>
      <c r="C103" s="3" t="s">
        <v>48</v>
      </c>
      <c r="D103" s="64">
        <v>-616216</v>
      </c>
      <c r="E103" s="64">
        <f>-772866.25</f>
        <v>-772866.25</v>
      </c>
      <c r="F103" s="64">
        <v>-563707.71</v>
      </c>
      <c r="G103" s="64">
        <f t="shared" si="53"/>
        <v>209158.54000000004</v>
      </c>
      <c r="I103" s="2"/>
    </row>
    <row r="104" spans="1:9" x14ac:dyDescent="0.25">
      <c r="A104" s="3"/>
      <c r="B104" s="3"/>
      <c r="C104" s="3" t="s">
        <v>50</v>
      </c>
      <c r="D104" s="64">
        <v>0</v>
      </c>
      <c r="E104" s="64">
        <v>0</v>
      </c>
      <c r="F104" s="64">
        <v>107573.93</v>
      </c>
      <c r="G104" s="64">
        <f t="shared" si="53"/>
        <v>107573.93</v>
      </c>
      <c r="I104" s="2"/>
    </row>
    <row r="105" spans="1:9" s="35" customFormat="1" x14ac:dyDescent="0.25">
      <c r="A105" s="37"/>
      <c r="B105" s="37"/>
      <c r="C105" s="37" t="s">
        <v>37</v>
      </c>
      <c r="D105" s="65">
        <f>SUM(D106:D107)</f>
        <v>-642812</v>
      </c>
      <c r="E105" s="65">
        <f>SUM(E106:E107)</f>
        <v>-642812</v>
      </c>
      <c r="F105" s="65">
        <f>SUM(F106+F107)</f>
        <v>-664605</v>
      </c>
      <c r="G105" s="65">
        <f>F105-E105</f>
        <v>-21793</v>
      </c>
      <c r="H105" s="21"/>
      <c r="I105" s="2"/>
    </row>
    <row r="106" spans="1:9" x14ac:dyDescent="0.25">
      <c r="A106" s="3"/>
      <c r="B106" s="3"/>
      <c r="C106" s="3" t="s">
        <v>45</v>
      </c>
      <c r="D106" s="64">
        <v>-642812</v>
      </c>
      <c r="E106" s="64">
        <f t="shared" ref="E106:E107" si="54">D106</f>
        <v>-642812</v>
      </c>
      <c r="F106" s="64">
        <v>-657943.62</v>
      </c>
      <c r="G106" s="64">
        <f t="shared" ref="G106:G107" si="55">F106-E106</f>
        <v>-15131.619999999995</v>
      </c>
      <c r="I106" s="2"/>
    </row>
    <row r="107" spans="1:9" x14ac:dyDescent="0.25">
      <c r="A107" s="3"/>
      <c r="B107" s="3"/>
      <c r="C107" s="3" t="s">
        <v>50</v>
      </c>
      <c r="D107" s="64">
        <v>0</v>
      </c>
      <c r="E107" s="64">
        <f t="shared" si="54"/>
        <v>0</v>
      </c>
      <c r="F107" s="64">
        <v>-6661.38</v>
      </c>
      <c r="G107" s="64">
        <f t="shared" si="55"/>
        <v>-6661.38</v>
      </c>
      <c r="I107" s="2"/>
    </row>
    <row r="108" spans="1:9" x14ac:dyDescent="0.25">
      <c r="A108" s="37"/>
      <c r="B108" s="37"/>
      <c r="C108" s="37" t="s">
        <v>38</v>
      </c>
      <c r="D108" s="65">
        <f>SUM(D109:D111)</f>
        <v>-51255</v>
      </c>
      <c r="E108" s="65">
        <f>SUM(E109:E111)</f>
        <v>-195567.81</v>
      </c>
      <c r="F108" s="65">
        <f>SUM(F109:F111)</f>
        <v>-144001.03999999998</v>
      </c>
      <c r="G108" s="65">
        <f>F108-E108</f>
        <v>51566.770000000019</v>
      </c>
      <c r="I108" s="2"/>
    </row>
    <row r="109" spans="1:9" x14ac:dyDescent="0.25">
      <c r="A109" s="37"/>
      <c r="B109" s="37"/>
      <c r="C109" s="3" t="s">
        <v>44</v>
      </c>
      <c r="D109" s="64">
        <v>0</v>
      </c>
      <c r="E109" s="64">
        <v>-195567.81</v>
      </c>
      <c r="F109" s="64">
        <v>0</v>
      </c>
      <c r="G109" s="64">
        <f>F109-E109</f>
        <v>195567.81</v>
      </c>
      <c r="I109" s="2"/>
    </row>
    <row r="110" spans="1:9" x14ac:dyDescent="0.25">
      <c r="A110" s="37"/>
      <c r="B110" s="37"/>
      <c r="C110" s="3" t="s">
        <v>45</v>
      </c>
      <c r="D110" s="64">
        <v>0</v>
      </c>
      <c r="E110" s="64">
        <v>0</v>
      </c>
      <c r="F110" s="64">
        <v>-73385.39</v>
      </c>
      <c r="G110" s="64">
        <f>F110-E110</f>
        <v>-73385.39</v>
      </c>
      <c r="I110" s="2"/>
    </row>
    <row r="111" spans="1:9" x14ac:dyDescent="0.25">
      <c r="A111" s="3"/>
      <c r="B111" s="3"/>
      <c r="C111" s="3" t="s">
        <v>46</v>
      </c>
      <c r="D111" s="64">
        <v>-51255</v>
      </c>
      <c r="E111" s="64">
        <v>0</v>
      </c>
      <c r="F111" s="64">
        <v>-70615.649999999994</v>
      </c>
      <c r="G111" s="64">
        <f t="shared" ref="G111:G122" si="56">F111-E111</f>
        <v>-70615.649999999994</v>
      </c>
      <c r="I111" s="2"/>
    </row>
    <row r="112" spans="1:9" x14ac:dyDescent="0.25">
      <c r="A112" s="3"/>
      <c r="B112" s="3"/>
      <c r="C112" s="37" t="s">
        <v>39</v>
      </c>
      <c r="D112" s="65">
        <f>SUM(D113:D115)</f>
        <v>0</v>
      </c>
      <c r="E112" s="65">
        <f>SUM(E113:E115)</f>
        <v>-148194.92000000001</v>
      </c>
      <c r="F112" s="65">
        <f>SUM(F113:F115)</f>
        <v>-86032.11</v>
      </c>
      <c r="G112" s="65">
        <f>F112-E112</f>
        <v>62162.810000000012</v>
      </c>
      <c r="I112" s="2"/>
    </row>
    <row r="113" spans="1:9" x14ac:dyDescent="0.25">
      <c r="A113" s="3"/>
      <c r="B113" s="3"/>
      <c r="C113" s="3" t="s">
        <v>44</v>
      </c>
      <c r="D113" s="64">
        <v>0</v>
      </c>
      <c r="E113" s="64">
        <v>-148194.92000000001</v>
      </c>
      <c r="F113" s="64">
        <v>0</v>
      </c>
      <c r="G113" s="64">
        <f t="shared" ref="G113:G115" si="57">F113-E113</f>
        <v>148194.92000000001</v>
      </c>
      <c r="I113" s="2"/>
    </row>
    <row r="114" spans="1:9" x14ac:dyDescent="0.25">
      <c r="A114" s="3"/>
      <c r="B114" s="3"/>
      <c r="C114" s="3" t="s">
        <v>45</v>
      </c>
      <c r="D114" s="64">
        <v>0</v>
      </c>
      <c r="E114" s="64">
        <v>0</v>
      </c>
      <c r="F114" s="64">
        <v>-24912.240000000002</v>
      </c>
      <c r="G114" s="64">
        <f t="shared" si="57"/>
        <v>-24912.240000000002</v>
      </c>
      <c r="I114" s="2"/>
    </row>
    <row r="115" spans="1:9" x14ac:dyDescent="0.25">
      <c r="A115" s="3"/>
      <c r="B115" s="3"/>
      <c r="C115" s="3" t="s">
        <v>46</v>
      </c>
      <c r="D115" s="64">
        <v>0</v>
      </c>
      <c r="E115" s="64">
        <v>0</v>
      </c>
      <c r="F115" s="64">
        <v>-61119.87</v>
      </c>
      <c r="G115" s="64">
        <f t="shared" si="57"/>
        <v>-61119.87</v>
      </c>
      <c r="I115" s="2"/>
    </row>
    <row r="116" spans="1:9" s="35" customFormat="1" x14ac:dyDescent="0.25">
      <c r="A116" s="37"/>
      <c r="B116" s="37"/>
      <c r="C116" s="37" t="s">
        <v>41</v>
      </c>
      <c r="D116" s="38">
        <v>-1390437</v>
      </c>
      <c r="E116" s="38">
        <f t="shared" ref="E116" si="58">D116</f>
        <v>-1390437</v>
      </c>
      <c r="F116" s="38">
        <v>-1897477.5</v>
      </c>
      <c r="G116" s="38">
        <f t="shared" si="56"/>
        <v>-507040.5</v>
      </c>
      <c r="H116" s="21"/>
      <c r="I116" s="2"/>
    </row>
    <row r="117" spans="1:9" s="35" customFormat="1" ht="15.75" x14ac:dyDescent="0.25">
      <c r="A117" s="58" t="s">
        <v>53</v>
      </c>
      <c r="B117" s="37"/>
      <c r="C117" s="37"/>
      <c r="D117" s="38">
        <f>SUM(D118:D122)</f>
        <v>-19795109</v>
      </c>
      <c r="E117" s="38">
        <f>SUM(E118:E122)</f>
        <v>-22320348.440000001</v>
      </c>
      <c r="F117" s="38">
        <f>SUM(F118:F122)</f>
        <v>-19741754.239999998</v>
      </c>
      <c r="G117" s="38">
        <f t="shared" si="56"/>
        <v>2578594.200000003</v>
      </c>
      <c r="H117" s="21"/>
      <c r="I117" s="2"/>
    </row>
    <row r="118" spans="1:9" x14ac:dyDescent="0.25">
      <c r="A118" s="3"/>
      <c r="B118" s="3" t="s">
        <v>36</v>
      </c>
      <c r="C118" s="3"/>
      <c r="D118" s="5">
        <f>D130</f>
        <v>-10161285</v>
      </c>
      <c r="E118" s="5">
        <f t="shared" ref="E118:F118" si="59">E130</f>
        <v>-11246631.830000002</v>
      </c>
      <c r="F118" s="5">
        <f t="shared" si="59"/>
        <v>-9819389.4099999983</v>
      </c>
      <c r="G118" s="5">
        <f t="shared" si="56"/>
        <v>1427242.4200000037</v>
      </c>
      <c r="I118" s="21"/>
    </row>
    <row r="119" spans="1:9" x14ac:dyDescent="0.25">
      <c r="A119" s="3"/>
      <c r="B119" s="3" t="s">
        <v>37</v>
      </c>
      <c r="C119" s="3"/>
      <c r="D119" s="5">
        <f>D136</f>
        <v>-321406</v>
      </c>
      <c r="E119" s="5">
        <f t="shared" ref="E119:F119" si="60">E136</f>
        <v>-321406</v>
      </c>
      <c r="F119" s="5">
        <f t="shared" si="60"/>
        <v>-332302.5</v>
      </c>
      <c r="G119" s="5">
        <f t="shared" si="56"/>
        <v>-10896.5</v>
      </c>
      <c r="I119" s="2"/>
    </row>
    <row r="120" spans="1:9" x14ac:dyDescent="0.25">
      <c r="A120" s="3"/>
      <c r="B120" s="3" t="s">
        <v>38</v>
      </c>
      <c r="C120" s="3"/>
      <c r="D120" s="5">
        <f>D139</f>
        <v>-8617200</v>
      </c>
      <c r="E120" s="64">
        <f t="shared" ref="E120:F120" si="61">E139</f>
        <v>-10038234.42</v>
      </c>
      <c r="F120" s="5">
        <f t="shared" si="61"/>
        <v>-8546425.4000000004</v>
      </c>
      <c r="G120" s="5">
        <f t="shared" si="56"/>
        <v>1491809.0199999996</v>
      </c>
      <c r="I120" s="2"/>
    </row>
    <row r="121" spans="1:9" x14ac:dyDescent="0.25">
      <c r="A121" s="3"/>
      <c r="B121" s="3" t="s">
        <v>39</v>
      </c>
      <c r="C121" s="3"/>
      <c r="D121" s="5">
        <f>D144</f>
        <v>0</v>
      </c>
      <c r="E121" s="5">
        <f>E144</f>
        <v>-18858.189999999999</v>
      </c>
      <c r="F121" s="5">
        <f>F144</f>
        <v>-22448.440000000002</v>
      </c>
      <c r="G121" s="5">
        <f>G144</f>
        <v>-3590.2500000000036</v>
      </c>
      <c r="I121" s="2"/>
    </row>
    <row r="122" spans="1:9" x14ac:dyDescent="0.25">
      <c r="A122" s="3"/>
      <c r="B122" s="3" t="s">
        <v>41</v>
      </c>
      <c r="C122" s="3"/>
      <c r="D122" s="5">
        <f>D148</f>
        <v>-695218</v>
      </c>
      <c r="E122" s="5">
        <f t="shared" ref="E122:F122" si="62">E148</f>
        <v>-695218</v>
      </c>
      <c r="F122" s="5">
        <f t="shared" si="62"/>
        <v>-1021188.49</v>
      </c>
      <c r="G122" s="5">
        <f t="shared" si="56"/>
        <v>-325970.49</v>
      </c>
      <c r="I122" s="2"/>
    </row>
    <row r="123" spans="1:9" x14ac:dyDescent="0.25">
      <c r="A123" s="37"/>
      <c r="B123" s="37" t="s">
        <v>43</v>
      </c>
      <c r="C123" s="37"/>
      <c r="D123" s="38">
        <f>SUM(D125:D129)</f>
        <v>-19795109</v>
      </c>
      <c r="E123" s="38">
        <f>SUM(E124:E129)</f>
        <v>-22320348.440000001</v>
      </c>
      <c r="F123" s="38">
        <f t="shared" ref="F123" si="63">SUM(F125:F129)</f>
        <v>-19741754.239999998</v>
      </c>
      <c r="G123" s="38">
        <f>F123-E123</f>
        <v>2578594.200000003</v>
      </c>
      <c r="I123" s="2"/>
    </row>
    <row r="124" spans="1:9" x14ac:dyDescent="0.25">
      <c r="A124" s="37"/>
      <c r="B124" s="37"/>
      <c r="C124" s="3" t="s">
        <v>44</v>
      </c>
      <c r="D124" s="5">
        <v>0</v>
      </c>
      <c r="E124" s="5">
        <f>E140+E145</f>
        <v>-10057092.609999999</v>
      </c>
      <c r="F124" s="5">
        <v>0</v>
      </c>
      <c r="G124" s="5">
        <f>F124-E124</f>
        <v>10057092.609999999</v>
      </c>
      <c r="I124" s="2"/>
    </row>
    <row r="125" spans="1:9" x14ac:dyDescent="0.25">
      <c r="A125" s="3"/>
      <c r="B125" s="3"/>
      <c r="C125" s="3" t="s">
        <v>45</v>
      </c>
      <c r="D125" s="64">
        <f>D131+D137+D141</f>
        <v>-5329450</v>
      </c>
      <c r="E125" s="64">
        <f>E131+E137+E141</f>
        <v>-4742372.38</v>
      </c>
      <c r="F125" s="64">
        <f>F131+F137+F141+F146</f>
        <v>-5754457.7800000003</v>
      </c>
      <c r="G125" s="64">
        <f t="shared" ref="G125:G129" si="64">F125-E125</f>
        <v>-1012085.4000000004</v>
      </c>
      <c r="I125" s="2"/>
    </row>
    <row r="126" spans="1:9" x14ac:dyDescent="0.25">
      <c r="A126" s="3"/>
      <c r="B126" s="3"/>
      <c r="C126" s="3" t="s">
        <v>46</v>
      </c>
      <c r="D126" s="64">
        <f>D132+D142</f>
        <v>-8661942</v>
      </c>
      <c r="E126" s="64">
        <f t="shared" ref="E126" si="65">E132+E142</f>
        <v>-4659803.33</v>
      </c>
      <c r="F126" s="64">
        <f>F132+F142+F147</f>
        <v>-7381732.8300000001</v>
      </c>
      <c r="G126" s="64">
        <f t="shared" si="64"/>
        <v>-2721929.5</v>
      </c>
      <c r="I126" s="2"/>
    </row>
    <row r="127" spans="1:9" x14ac:dyDescent="0.25">
      <c r="A127" s="3"/>
      <c r="B127" s="3"/>
      <c r="C127" s="3" t="s">
        <v>47</v>
      </c>
      <c r="D127" s="64">
        <f>D133</f>
        <v>0</v>
      </c>
      <c r="E127" s="64">
        <f>E133</f>
        <v>-5625</v>
      </c>
      <c r="F127" s="64">
        <f>F133</f>
        <v>-4062.5</v>
      </c>
      <c r="G127" s="64">
        <f>G133</f>
        <v>1562.5</v>
      </c>
      <c r="I127" s="2"/>
    </row>
    <row r="128" spans="1:9" x14ac:dyDescent="0.25">
      <c r="A128" s="3"/>
      <c r="B128" s="3"/>
      <c r="C128" s="3" t="s">
        <v>48</v>
      </c>
      <c r="D128" s="64">
        <f>D134+D143</f>
        <v>-5108499</v>
      </c>
      <c r="E128" s="64">
        <f t="shared" ref="E128:F128" si="66">E134+E143</f>
        <v>-2160237.12</v>
      </c>
      <c r="F128" s="64">
        <f t="shared" si="66"/>
        <v>-5629488.9100000001</v>
      </c>
      <c r="G128" s="64">
        <f t="shared" si="64"/>
        <v>-3469251.79</v>
      </c>
      <c r="I128" s="2"/>
    </row>
    <row r="129" spans="1:9" x14ac:dyDescent="0.25">
      <c r="A129" s="3"/>
      <c r="B129" s="3"/>
      <c r="C129" s="3" t="s">
        <v>49</v>
      </c>
      <c r="D129" s="64">
        <f>D148</f>
        <v>-695218</v>
      </c>
      <c r="E129" s="64">
        <f>E148+E135+E138</f>
        <v>-695218</v>
      </c>
      <c r="F129" s="64">
        <f>F148+F135+F138</f>
        <v>-972012.22</v>
      </c>
      <c r="G129" s="64">
        <f t="shared" si="64"/>
        <v>-276794.21999999997</v>
      </c>
      <c r="I129" s="2"/>
    </row>
    <row r="130" spans="1:9" x14ac:dyDescent="0.25">
      <c r="A130" s="37"/>
      <c r="B130" s="37"/>
      <c r="C130" s="37" t="s">
        <v>36</v>
      </c>
      <c r="D130" s="65">
        <f>SUM(D131:D134)</f>
        <v>-10161285</v>
      </c>
      <c r="E130" s="65">
        <f t="shared" ref="E130" si="67">SUM(E131:E134)</f>
        <v>-11246631.830000002</v>
      </c>
      <c r="F130" s="65">
        <f>SUM(F131:F135)</f>
        <v>-9819389.4099999983</v>
      </c>
      <c r="G130" s="65">
        <f>F130-E130</f>
        <v>1427242.4200000037</v>
      </c>
      <c r="I130" s="2"/>
    </row>
    <row r="131" spans="1:9" x14ac:dyDescent="0.25">
      <c r="A131" s="3"/>
      <c r="B131" s="3"/>
      <c r="C131" s="3" t="s">
        <v>45</v>
      </c>
      <c r="D131" s="64">
        <v>-4422044</v>
      </c>
      <c r="E131" s="64">
        <v>-4420966.38</v>
      </c>
      <c r="F131" s="64">
        <v>-4323583.8600000003</v>
      </c>
      <c r="G131" s="64">
        <f t="shared" ref="G131:G135" si="68">F131-E131</f>
        <v>97382.519999999553</v>
      </c>
      <c r="I131" s="2"/>
    </row>
    <row r="132" spans="1:9" x14ac:dyDescent="0.25">
      <c r="A132" s="3"/>
      <c r="B132" s="3"/>
      <c r="C132" s="3" t="s">
        <v>46</v>
      </c>
      <c r="D132" s="64">
        <v>-4310379</v>
      </c>
      <c r="E132" s="64">
        <f>-4632116.25-27687.08</f>
        <v>-4659803.33</v>
      </c>
      <c r="F132" s="64">
        <v>-4112596.5</v>
      </c>
      <c r="G132" s="64">
        <f t="shared" si="68"/>
        <v>547206.83000000007</v>
      </c>
      <c r="I132" s="2"/>
    </row>
    <row r="133" spans="1:9" x14ac:dyDescent="0.25">
      <c r="A133" s="3"/>
      <c r="B133" s="3"/>
      <c r="C133" s="3" t="s">
        <v>47</v>
      </c>
      <c r="D133" s="64">
        <v>0</v>
      </c>
      <c r="E133" s="64">
        <v>-5625</v>
      </c>
      <c r="F133" s="64">
        <v>-4062.5</v>
      </c>
      <c r="G133" s="64">
        <f t="shared" si="68"/>
        <v>1562.5</v>
      </c>
      <c r="I133" s="2"/>
    </row>
    <row r="134" spans="1:9" x14ac:dyDescent="0.25">
      <c r="A134" s="3"/>
      <c r="B134" s="3"/>
      <c r="C134" s="3" t="s">
        <v>48</v>
      </c>
      <c r="D134" s="64">
        <v>-1428862</v>
      </c>
      <c r="E134" s="64">
        <v>-2160237.12</v>
      </c>
      <c r="F134" s="64">
        <v>-1431653.51</v>
      </c>
      <c r="G134" s="64">
        <f t="shared" si="68"/>
        <v>728583.6100000001</v>
      </c>
      <c r="I134" s="2"/>
    </row>
    <row r="135" spans="1:9" x14ac:dyDescent="0.25">
      <c r="A135" s="3"/>
      <c r="B135" s="3"/>
      <c r="C135" s="3" t="s">
        <v>50</v>
      </c>
      <c r="D135" s="64">
        <v>0</v>
      </c>
      <c r="E135" s="64">
        <v>0</v>
      </c>
      <c r="F135" s="64">
        <v>52506.96</v>
      </c>
      <c r="G135" s="64">
        <f t="shared" si="68"/>
        <v>52506.96</v>
      </c>
      <c r="I135" s="2"/>
    </row>
    <row r="136" spans="1:9" s="35" customFormat="1" x14ac:dyDescent="0.25">
      <c r="A136" s="37"/>
      <c r="B136" s="37"/>
      <c r="C136" s="37" t="s">
        <v>37</v>
      </c>
      <c r="D136" s="65">
        <f>D137</f>
        <v>-321406</v>
      </c>
      <c r="E136" s="65">
        <f t="shared" ref="E136" si="69">E137</f>
        <v>-321406</v>
      </c>
      <c r="F136" s="65">
        <f>SUM(F137:F138)</f>
        <v>-332302.5</v>
      </c>
      <c r="G136" s="65">
        <f>F136-E136</f>
        <v>-10896.5</v>
      </c>
      <c r="H136" s="21"/>
      <c r="I136" s="2"/>
    </row>
    <row r="137" spans="1:9" x14ac:dyDescent="0.25">
      <c r="A137" s="3"/>
      <c r="B137" s="3"/>
      <c r="C137" s="3" t="s">
        <v>45</v>
      </c>
      <c r="D137" s="64">
        <v>-321406</v>
      </c>
      <c r="E137" s="64">
        <f t="shared" ref="E137" si="70">D137</f>
        <v>-321406</v>
      </c>
      <c r="F137" s="64">
        <v>-328971.81</v>
      </c>
      <c r="G137" s="64">
        <f t="shared" ref="G137:G138" si="71">F137-E137</f>
        <v>-7565.8099999999977</v>
      </c>
      <c r="I137" s="2"/>
    </row>
    <row r="138" spans="1:9" x14ac:dyDescent="0.25">
      <c r="A138" s="3"/>
      <c r="B138" s="3"/>
      <c r="C138" s="3" t="s">
        <v>50</v>
      </c>
      <c r="D138" s="64">
        <v>0</v>
      </c>
      <c r="E138" s="64">
        <v>0</v>
      </c>
      <c r="F138" s="64">
        <v>-3330.69</v>
      </c>
      <c r="G138" s="64">
        <f t="shared" si="71"/>
        <v>-3330.69</v>
      </c>
      <c r="I138" s="2"/>
    </row>
    <row r="139" spans="1:9" x14ac:dyDescent="0.25">
      <c r="A139" s="37"/>
      <c r="B139" s="37"/>
      <c r="C139" s="37" t="s">
        <v>38</v>
      </c>
      <c r="D139" s="38">
        <f>SUM(D141:D143)</f>
        <v>-8617200</v>
      </c>
      <c r="E139" s="38">
        <f>SUM(E140:E143)</f>
        <v>-10038234.42</v>
      </c>
      <c r="F139" s="38">
        <f t="shared" ref="F139" si="72">SUM(F141:F143)</f>
        <v>-8546425.4000000004</v>
      </c>
      <c r="G139" s="38">
        <f>F139-E139</f>
        <v>1491809.0199999996</v>
      </c>
      <c r="I139" s="2"/>
    </row>
    <row r="140" spans="1:9" x14ac:dyDescent="0.25">
      <c r="A140" s="37"/>
      <c r="B140" s="37"/>
      <c r="C140" s="3" t="s">
        <v>44</v>
      </c>
      <c r="D140" s="64">
        <v>0</v>
      </c>
      <c r="E140" s="64">
        <v>-10038234.42</v>
      </c>
      <c r="F140" s="64">
        <v>0</v>
      </c>
      <c r="G140" s="64">
        <f>F140-E140</f>
        <v>10038234.42</v>
      </c>
      <c r="I140" s="2"/>
    </row>
    <row r="141" spans="1:9" x14ac:dyDescent="0.25">
      <c r="A141" s="3"/>
      <c r="B141" s="3"/>
      <c r="C141" s="3" t="s">
        <v>45</v>
      </c>
      <c r="D141" s="64">
        <v>-586000</v>
      </c>
      <c r="E141" s="64">
        <v>0</v>
      </c>
      <c r="F141" s="64">
        <v>-1097410</v>
      </c>
      <c r="G141" s="64">
        <f t="shared" ref="G141:G147" si="73">F141-E141</f>
        <v>-1097410</v>
      </c>
      <c r="I141" s="2"/>
    </row>
    <row r="142" spans="1:9" x14ac:dyDescent="0.25">
      <c r="A142" s="3"/>
      <c r="B142" s="3"/>
      <c r="C142" s="3" t="s">
        <v>46</v>
      </c>
      <c r="D142" s="64">
        <v>-4351563</v>
      </c>
      <c r="E142" s="64">
        <v>0</v>
      </c>
      <c r="F142" s="64">
        <v>-3251180</v>
      </c>
      <c r="G142" s="64">
        <f t="shared" si="73"/>
        <v>-3251180</v>
      </c>
      <c r="I142" s="2"/>
    </row>
    <row r="143" spans="1:9" x14ac:dyDescent="0.25">
      <c r="A143" s="3"/>
      <c r="B143" s="3"/>
      <c r="C143" s="3" t="s">
        <v>48</v>
      </c>
      <c r="D143" s="64">
        <v>-3679637</v>
      </c>
      <c r="E143" s="64">
        <v>0</v>
      </c>
      <c r="F143" s="64">
        <v>-4197835.4000000004</v>
      </c>
      <c r="G143" s="64">
        <f t="shared" si="73"/>
        <v>-4197835.4000000004</v>
      </c>
      <c r="I143" s="2"/>
    </row>
    <row r="144" spans="1:9" x14ac:dyDescent="0.25">
      <c r="A144" s="3"/>
      <c r="B144" s="3"/>
      <c r="C144" s="37" t="s">
        <v>39</v>
      </c>
      <c r="D144" s="65">
        <f>SUM(D146)</f>
        <v>0</v>
      </c>
      <c r="E144" s="65">
        <f>SUM(E145:E147)</f>
        <v>-18858.189999999999</v>
      </c>
      <c r="F144" s="65">
        <f>SUM(F145:F147)</f>
        <v>-22448.440000000002</v>
      </c>
      <c r="G144" s="65">
        <f>SUM(G145:G147)</f>
        <v>-3590.2500000000036</v>
      </c>
      <c r="I144" s="2"/>
    </row>
    <row r="145" spans="1:9" x14ac:dyDescent="0.25">
      <c r="A145" s="3"/>
      <c r="B145" s="3"/>
      <c r="C145" s="3" t="s">
        <v>44</v>
      </c>
      <c r="D145" s="64">
        <v>0</v>
      </c>
      <c r="E145" s="64">
        <v>-18858.189999999999</v>
      </c>
      <c r="F145" s="64">
        <v>0</v>
      </c>
      <c r="G145" s="64">
        <f t="shared" si="73"/>
        <v>18858.189999999999</v>
      </c>
      <c r="I145" s="2"/>
    </row>
    <row r="146" spans="1:9" x14ac:dyDescent="0.25">
      <c r="A146" s="3"/>
      <c r="B146" s="3"/>
      <c r="C146" s="3" t="s">
        <v>45</v>
      </c>
      <c r="D146" s="64">
        <v>0</v>
      </c>
      <c r="E146" s="64">
        <v>0</v>
      </c>
      <c r="F146" s="64">
        <v>-4492.1099999999997</v>
      </c>
      <c r="G146" s="64">
        <f t="shared" si="73"/>
        <v>-4492.1099999999997</v>
      </c>
      <c r="I146" s="2"/>
    </row>
    <row r="147" spans="1:9" x14ac:dyDescent="0.25">
      <c r="A147" s="3"/>
      <c r="B147" s="3"/>
      <c r="C147" s="3" t="s">
        <v>46</v>
      </c>
      <c r="D147" s="64">
        <v>0</v>
      </c>
      <c r="E147" s="64">
        <v>0</v>
      </c>
      <c r="F147" s="64">
        <v>-17956.330000000002</v>
      </c>
      <c r="G147" s="64">
        <f t="shared" si="73"/>
        <v>-17956.330000000002</v>
      </c>
      <c r="I147" s="2"/>
    </row>
    <row r="148" spans="1:9" s="35" customFormat="1" x14ac:dyDescent="0.25">
      <c r="A148" s="37"/>
      <c r="B148" s="37"/>
      <c r="C148" s="37" t="s">
        <v>41</v>
      </c>
      <c r="D148" s="65">
        <v>-695218</v>
      </c>
      <c r="E148" s="65">
        <f t="shared" ref="E148" si="74">D148</f>
        <v>-695218</v>
      </c>
      <c r="F148" s="65">
        <v>-1021188.49</v>
      </c>
      <c r="G148" s="65">
        <f t="shared" ref="G148:G154" si="75">F148-E148</f>
        <v>-325970.49</v>
      </c>
      <c r="H148" s="21"/>
      <c r="I148" s="2"/>
    </row>
    <row r="149" spans="1:9" s="35" customFormat="1" ht="15.75" x14ac:dyDescent="0.25">
      <c r="A149" s="58" t="s">
        <v>54</v>
      </c>
      <c r="B149" s="37"/>
      <c r="C149" s="37"/>
      <c r="D149" s="38">
        <f>SUM(D150:D154)</f>
        <v>-31494469</v>
      </c>
      <c r="E149" s="38">
        <f>SUM(E150:E154)</f>
        <v>-37316890.669999994</v>
      </c>
      <c r="F149" s="38">
        <f>SUM(F150:F154)</f>
        <v>-32325165.515000001</v>
      </c>
      <c r="G149" s="38">
        <f t="shared" si="75"/>
        <v>4991725.1549999937</v>
      </c>
      <c r="H149" s="21"/>
      <c r="I149" s="2"/>
    </row>
    <row r="150" spans="1:9" x14ac:dyDescent="0.25">
      <c r="A150" s="3"/>
      <c r="B150" s="3" t="s">
        <v>36</v>
      </c>
      <c r="C150" s="3"/>
      <c r="D150" s="64">
        <f>D162</f>
        <v>-30465282</v>
      </c>
      <c r="E150" s="64">
        <f t="shared" ref="E150:F150" si="76">E162</f>
        <v>-36196689.579999998</v>
      </c>
      <c r="F150" s="64">
        <f t="shared" si="76"/>
        <v>-30981789.899999999</v>
      </c>
      <c r="G150" s="64">
        <f t="shared" si="75"/>
        <v>5214899.68</v>
      </c>
      <c r="I150" s="21"/>
    </row>
    <row r="151" spans="1:9" x14ac:dyDescent="0.25">
      <c r="A151" s="3"/>
      <c r="B151" s="3" t="s">
        <v>37</v>
      </c>
      <c r="C151" s="3"/>
      <c r="D151" s="64">
        <f>D168</f>
        <v>-321406</v>
      </c>
      <c r="E151" s="64">
        <f t="shared" ref="E151:F151" si="77">E168</f>
        <v>-321406</v>
      </c>
      <c r="F151" s="64">
        <f t="shared" si="77"/>
        <v>-332302.5</v>
      </c>
      <c r="G151" s="64">
        <f t="shared" si="75"/>
        <v>-10896.5</v>
      </c>
      <c r="I151" s="2"/>
    </row>
    <row r="152" spans="1:9" x14ac:dyDescent="0.25">
      <c r="A152" s="3"/>
      <c r="B152" s="3" t="s">
        <v>38</v>
      </c>
      <c r="C152" s="3"/>
      <c r="D152" s="64">
        <f>D171+D182</f>
        <v>-12563</v>
      </c>
      <c r="E152" s="64">
        <f t="shared" ref="E152:F152" si="78">E171</f>
        <v>-84718.9</v>
      </c>
      <c r="F152" s="64">
        <f t="shared" si="78"/>
        <v>-39885.925000000003</v>
      </c>
      <c r="G152" s="64">
        <f t="shared" si="75"/>
        <v>44832.974999999991</v>
      </c>
      <c r="I152" s="2"/>
    </row>
    <row r="153" spans="1:9" x14ac:dyDescent="0.25">
      <c r="A153" s="3"/>
      <c r="B153" s="3" t="s">
        <v>39</v>
      </c>
      <c r="C153" s="3"/>
      <c r="D153" s="64">
        <v>0</v>
      </c>
      <c r="E153" s="64">
        <f>E175</f>
        <v>-18858.189999999999</v>
      </c>
      <c r="F153" s="64">
        <f>F175</f>
        <v>-22448.440000000002</v>
      </c>
      <c r="G153" s="64">
        <f t="shared" si="75"/>
        <v>-3590.2500000000036</v>
      </c>
      <c r="I153" s="2"/>
    </row>
    <row r="154" spans="1:9" x14ac:dyDescent="0.25">
      <c r="A154" s="3"/>
      <c r="B154" s="3" t="s">
        <v>41</v>
      </c>
      <c r="C154" s="3"/>
      <c r="D154" s="64">
        <f>D179</f>
        <v>-695218</v>
      </c>
      <c r="E154" s="64">
        <f t="shared" ref="E154:F154" si="79">E179</f>
        <v>-695218</v>
      </c>
      <c r="F154" s="64">
        <f t="shared" si="79"/>
        <v>-948738.75</v>
      </c>
      <c r="G154" s="64">
        <f t="shared" si="75"/>
        <v>-253520.75</v>
      </c>
      <c r="I154" s="2"/>
    </row>
    <row r="155" spans="1:9" x14ac:dyDescent="0.25">
      <c r="A155" s="37"/>
      <c r="B155" s="37" t="s">
        <v>43</v>
      </c>
      <c r="C155" s="37"/>
      <c r="D155" s="65">
        <f>SUM(D156:D161)</f>
        <v>-31494469</v>
      </c>
      <c r="E155" s="65">
        <f>SUM(E156:E161)</f>
        <v>-37316890.670000002</v>
      </c>
      <c r="F155" s="65">
        <f>SUM(F156:F161)</f>
        <v>-32325165.515000001</v>
      </c>
      <c r="G155" s="65">
        <f>F155-E155</f>
        <v>4991725.1550000012</v>
      </c>
      <c r="I155" s="2"/>
    </row>
    <row r="156" spans="1:9" x14ac:dyDescent="0.25">
      <c r="A156" s="37"/>
      <c r="B156" s="37"/>
      <c r="C156" s="3" t="s">
        <v>44</v>
      </c>
      <c r="D156" s="64">
        <v>0</v>
      </c>
      <c r="E156" s="64">
        <f>E172+E176</f>
        <v>-103577.09</v>
      </c>
      <c r="F156" s="64">
        <v>0</v>
      </c>
      <c r="G156" s="64">
        <f>F156-E156</f>
        <v>103577.09</v>
      </c>
      <c r="I156" s="2"/>
    </row>
    <row r="157" spans="1:9" x14ac:dyDescent="0.25">
      <c r="A157" s="3"/>
      <c r="B157" s="3"/>
      <c r="C157" s="3" t="s">
        <v>45</v>
      </c>
      <c r="D157" s="64">
        <f>D163+D169</f>
        <v>-4265060</v>
      </c>
      <c r="E157" s="64">
        <f t="shared" ref="E157" si="80">E163+E169</f>
        <v>-4363399.46</v>
      </c>
      <c r="F157" s="64">
        <f>F163+F169+F173+F177</f>
        <v>-4315857.1899999995</v>
      </c>
      <c r="G157" s="64">
        <f t="shared" ref="G157:G161" si="81">F157-E157</f>
        <v>47542.270000000484</v>
      </c>
      <c r="I157" s="2"/>
    </row>
    <row r="158" spans="1:9" x14ac:dyDescent="0.25">
      <c r="A158" s="3"/>
      <c r="B158" s="3"/>
      <c r="C158" s="3" t="s">
        <v>46</v>
      </c>
      <c r="D158" s="64">
        <f>D164+D174</f>
        <v>-4099862</v>
      </c>
      <c r="E158" s="64">
        <f t="shared" ref="E158" si="82">E164+E174</f>
        <v>-4557708</v>
      </c>
      <c r="F158" s="64">
        <f>F164+F174+F178</f>
        <v>-4045676.3650000002</v>
      </c>
      <c r="G158" s="64">
        <f t="shared" si="81"/>
        <v>512031.63499999978</v>
      </c>
      <c r="I158" s="2"/>
    </row>
    <row r="159" spans="1:9" x14ac:dyDescent="0.25">
      <c r="A159" s="3"/>
      <c r="B159" s="3"/>
      <c r="C159" s="3" t="s">
        <v>47</v>
      </c>
      <c r="D159" s="64">
        <v>0</v>
      </c>
      <c r="E159" s="64">
        <f>E165</f>
        <v>-5625</v>
      </c>
      <c r="F159" s="64">
        <f>F165</f>
        <v>-4062</v>
      </c>
      <c r="G159" s="64">
        <f t="shared" si="81"/>
        <v>1563</v>
      </c>
      <c r="I159" s="2"/>
    </row>
    <row r="160" spans="1:9" x14ac:dyDescent="0.25">
      <c r="A160" s="3"/>
      <c r="B160" s="3"/>
      <c r="C160" s="3" t="s">
        <v>48</v>
      </c>
      <c r="D160" s="64">
        <f>D166</f>
        <v>-22434329</v>
      </c>
      <c r="E160" s="64">
        <f t="shared" ref="E160:F160" si="83">E166</f>
        <v>-27591363.120000001</v>
      </c>
      <c r="F160" s="64">
        <f t="shared" si="83"/>
        <v>-23061287.48</v>
      </c>
      <c r="G160" s="64">
        <f t="shared" si="81"/>
        <v>4530075.6400000006</v>
      </c>
      <c r="I160" s="2"/>
    </row>
    <row r="161" spans="1:9" x14ac:dyDescent="0.25">
      <c r="A161" s="3"/>
      <c r="B161" s="3"/>
      <c r="C161" s="3" t="s">
        <v>49</v>
      </c>
      <c r="D161" s="64">
        <f>D179</f>
        <v>-695218</v>
      </c>
      <c r="E161" s="64">
        <f>E179+E167+E170</f>
        <v>-695218</v>
      </c>
      <c r="F161" s="64">
        <f>F179+F170+F167</f>
        <v>-898282.48</v>
      </c>
      <c r="G161" s="64">
        <f t="shared" si="81"/>
        <v>-203064.47999999998</v>
      </c>
      <c r="I161" s="2"/>
    </row>
    <row r="162" spans="1:9" x14ac:dyDescent="0.25">
      <c r="A162" s="37"/>
      <c r="B162" s="37"/>
      <c r="C162" s="37" t="s">
        <v>36</v>
      </c>
      <c r="D162" s="65">
        <f>SUM(D163:D167)</f>
        <v>-30465282</v>
      </c>
      <c r="E162" s="65">
        <f>SUM(E163:E167)</f>
        <v>-36196689.579999998</v>
      </c>
      <c r="F162" s="65">
        <f>SUM(F163:F167)</f>
        <v>-30981789.899999999</v>
      </c>
      <c r="G162" s="65">
        <f>F162-E162</f>
        <v>5214899.68</v>
      </c>
      <c r="I162" s="2"/>
    </row>
    <row r="163" spans="1:9" x14ac:dyDescent="0.25">
      <c r="A163" s="3"/>
      <c r="B163" s="3"/>
      <c r="C163" s="3" t="s">
        <v>45</v>
      </c>
      <c r="D163" s="64">
        <v>-3943654</v>
      </c>
      <c r="E163" s="64">
        <v>-4041993.46</v>
      </c>
      <c r="F163" s="64">
        <v>-3948055.38</v>
      </c>
      <c r="G163" s="64">
        <f t="shared" ref="G163:G167" si="84">F163-E163</f>
        <v>93938.080000000075</v>
      </c>
      <c r="I163" s="2"/>
    </row>
    <row r="164" spans="1:9" x14ac:dyDescent="0.25">
      <c r="A164" s="3"/>
      <c r="B164" s="3"/>
      <c r="C164" s="3" t="s">
        <v>46</v>
      </c>
      <c r="D164" s="64">
        <v>-4087299</v>
      </c>
      <c r="E164" s="64">
        <f>-4547016-10692</f>
        <v>-4557708</v>
      </c>
      <c r="F164" s="64">
        <v>-4022172</v>
      </c>
      <c r="G164" s="64">
        <f t="shared" si="84"/>
        <v>535536</v>
      </c>
      <c r="I164" s="2"/>
    </row>
    <row r="165" spans="1:9" x14ac:dyDescent="0.25">
      <c r="A165" s="3"/>
      <c r="B165" s="3"/>
      <c r="C165" s="3" t="s">
        <v>47</v>
      </c>
      <c r="D165" s="64">
        <v>0</v>
      </c>
      <c r="E165" s="64">
        <v>-5625</v>
      </c>
      <c r="F165" s="64">
        <v>-4062</v>
      </c>
      <c r="G165" s="64">
        <f t="shared" si="84"/>
        <v>1563</v>
      </c>
      <c r="I165" s="2"/>
    </row>
    <row r="166" spans="1:9" x14ac:dyDescent="0.25">
      <c r="A166" s="3"/>
      <c r="B166" s="3"/>
      <c r="C166" s="3" t="s">
        <v>48</v>
      </c>
      <c r="D166" s="64">
        <v>-22434329</v>
      </c>
      <c r="E166" s="64">
        <v>-27591363.120000001</v>
      </c>
      <c r="F166" s="64">
        <v>-23061287.48</v>
      </c>
      <c r="G166" s="64">
        <f t="shared" si="84"/>
        <v>4530075.6400000006</v>
      </c>
      <c r="I166" s="2"/>
    </row>
    <row r="167" spans="1:9" x14ac:dyDescent="0.25">
      <c r="A167" s="3"/>
      <c r="B167" s="3"/>
      <c r="C167" s="3" t="s">
        <v>50</v>
      </c>
      <c r="D167" s="64">
        <v>0</v>
      </c>
      <c r="E167" s="64">
        <v>0</v>
      </c>
      <c r="F167" s="64">
        <v>53786.96</v>
      </c>
      <c r="G167" s="64">
        <f t="shared" si="84"/>
        <v>53786.96</v>
      </c>
      <c r="I167" s="2"/>
    </row>
    <row r="168" spans="1:9" s="35" customFormat="1" x14ac:dyDescent="0.25">
      <c r="A168" s="37"/>
      <c r="B168" s="37"/>
      <c r="C168" s="37" t="s">
        <v>37</v>
      </c>
      <c r="D168" s="65">
        <f>SUM(D169:D170)</f>
        <v>-321406</v>
      </c>
      <c r="E168" s="65">
        <f>SUM(E169:E170)</f>
        <v>-321406</v>
      </c>
      <c r="F168" s="65">
        <f>SUM(F169:F170)</f>
        <v>-332302.5</v>
      </c>
      <c r="G168" s="65">
        <f>F168-E168</f>
        <v>-10896.5</v>
      </c>
      <c r="H168" s="21"/>
      <c r="I168" s="2"/>
    </row>
    <row r="169" spans="1:9" x14ac:dyDescent="0.25">
      <c r="A169" s="3"/>
      <c r="B169" s="3"/>
      <c r="C169" s="3" t="s">
        <v>45</v>
      </c>
      <c r="D169" s="64">
        <v>-321406</v>
      </c>
      <c r="E169" s="64">
        <f t="shared" ref="E169" si="85">D169</f>
        <v>-321406</v>
      </c>
      <c r="F169" s="64">
        <v>-328971.81</v>
      </c>
      <c r="G169" s="64">
        <f t="shared" ref="G169:G170" si="86">F169-E169</f>
        <v>-7565.8099999999977</v>
      </c>
      <c r="I169" s="2"/>
    </row>
    <row r="170" spans="1:9" x14ac:dyDescent="0.25">
      <c r="A170" s="3"/>
      <c r="B170" s="3"/>
      <c r="C170" s="3" t="s">
        <v>50</v>
      </c>
      <c r="D170" s="64">
        <v>0</v>
      </c>
      <c r="E170" s="64">
        <v>0</v>
      </c>
      <c r="F170" s="64">
        <v>-3330.69</v>
      </c>
      <c r="G170" s="64">
        <f t="shared" si="86"/>
        <v>-3330.69</v>
      </c>
      <c r="I170" s="2"/>
    </row>
    <row r="171" spans="1:9" x14ac:dyDescent="0.25">
      <c r="A171" s="37"/>
      <c r="B171" s="37"/>
      <c r="C171" s="37" t="s">
        <v>38</v>
      </c>
      <c r="D171" s="65">
        <f>SUM(D172:D174)</f>
        <v>-12563</v>
      </c>
      <c r="E171" s="65">
        <f>SUM(E172:E174)</f>
        <v>-84718.9</v>
      </c>
      <c r="F171" s="65">
        <f>SUM(F172:F174)</f>
        <v>-39885.925000000003</v>
      </c>
      <c r="G171" s="65">
        <f>F171-E171</f>
        <v>44832.974999999991</v>
      </c>
      <c r="I171" s="2"/>
    </row>
    <row r="172" spans="1:9" x14ac:dyDescent="0.25">
      <c r="A172" s="37"/>
      <c r="B172" s="37"/>
      <c r="C172" s="3" t="s">
        <v>44</v>
      </c>
      <c r="D172" s="64">
        <v>0</v>
      </c>
      <c r="E172" s="64">
        <v>-84718.9</v>
      </c>
      <c r="F172" s="64">
        <v>0</v>
      </c>
      <c r="G172" s="64">
        <f>F172-E172</f>
        <v>84718.9</v>
      </c>
      <c r="I172" s="2"/>
    </row>
    <row r="173" spans="1:9" x14ac:dyDescent="0.25">
      <c r="A173" s="37"/>
      <c r="B173" s="37"/>
      <c r="C173" s="3" t="s">
        <v>45</v>
      </c>
      <c r="D173" s="64">
        <v>0</v>
      </c>
      <c r="E173" s="64">
        <v>0</v>
      </c>
      <c r="F173" s="64">
        <v>-34337.89</v>
      </c>
      <c r="G173" s="64">
        <f>F173-E173</f>
        <v>-34337.89</v>
      </c>
      <c r="I173" s="2"/>
    </row>
    <row r="174" spans="1:9" x14ac:dyDescent="0.25">
      <c r="A174" s="3"/>
      <c r="B174" s="3"/>
      <c r="C174" s="3" t="s">
        <v>46</v>
      </c>
      <c r="D174" s="64">
        <v>-12563</v>
      </c>
      <c r="E174" s="64">
        <v>0</v>
      </c>
      <c r="F174" s="64">
        <v>-5548.0349999999999</v>
      </c>
      <c r="G174" s="64">
        <f t="shared" ref="G174:G183" si="87">F174-E174</f>
        <v>-5548.0349999999999</v>
      </c>
      <c r="I174" s="2"/>
    </row>
    <row r="175" spans="1:9" x14ac:dyDescent="0.25">
      <c r="A175" s="3"/>
      <c r="B175" s="3"/>
      <c r="C175" s="37" t="s">
        <v>39</v>
      </c>
      <c r="D175" s="65">
        <f>SUM(D176:D178)</f>
        <v>0</v>
      </c>
      <c r="E175" s="65">
        <f>SUM(E176:E178)</f>
        <v>-18858.189999999999</v>
      </c>
      <c r="F175" s="64">
        <f>SUM(F176:F178)</f>
        <v>-22448.440000000002</v>
      </c>
      <c r="G175" s="64">
        <f t="shared" si="87"/>
        <v>-3590.2500000000036</v>
      </c>
      <c r="I175" s="2"/>
    </row>
    <row r="176" spans="1:9" x14ac:dyDescent="0.25">
      <c r="A176" s="3"/>
      <c r="B176" s="3"/>
      <c r="C176" s="3" t="s">
        <v>44</v>
      </c>
      <c r="D176" s="64">
        <v>0</v>
      </c>
      <c r="E176" s="64">
        <v>-18858.189999999999</v>
      </c>
      <c r="F176" s="64">
        <v>0</v>
      </c>
      <c r="G176" s="64">
        <f t="shared" si="87"/>
        <v>18858.189999999999</v>
      </c>
      <c r="I176" s="2"/>
    </row>
    <row r="177" spans="1:9" x14ac:dyDescent="0.25">
      <c r="A177" s="3"/>
      <c r="B177" s="3"/>
      <c r="C177" s="3" t="s">
        <v>45</v>
      </c>
      <c r="D177" s="64">
        <v>0</v>
      </c>
      <c r="E177" s="64">
        <v>0</v>
      </c>
      <c r="F177" s="64">
        <v>-4492.1099999999997</v>
      </c>
      <c r="G177" s="64">
        <f t="shared" si="87"/>
        <v>-4492.1099999999997</v>
      </c>
      <c r="I177" s="2"/>
    </row>
    <row r="178" spans="1:9" x14ac:dyDescent="0.25">
      <c r="A178" s="3"/>
      <c r="B178" s="3"/>
      <c r="C178" s="3" t="s">
        <v>46</v>
      </c>
      <c r="D178" s="64">
        <v>0</v>
      </c>
      <c r="E178" s="64">
        <v>0</v>
      </c>
      <c r="F178" s="64">
        <v>-17956.330000000002</v>
      </c>
      <c r="G178" s="64">
        <f t="shared" si="87"/>
        <v>-17956.330000000002</v>
      </c>
      <c r="I178" s="2"/>
    </row>
    <row r="179" spans="1:9" s="35" customFormat="1" x14ac:dyDescent="0.25">
      <c r="A179" s="37"/>
      <c r="B179" s="37"/>
      <c r="C179" s="37" t="s">
        <v>41</v>
      </c>
      <c r="D179" s="65">
        <v>-695218</v>
      </c>
      <c r="E179" s="65">
        <f t="shared" ref="E179" si="88">D179</f>
        <v>-695218</v>
      </c>
      <c r="F179" s="65">
        <v>-948738.75</v>
      </c>
      <c r="G179" s="65">
        <f t="shared" si="87"/>
        <v>-253520.75</v>
      </c>
      <c r="H179" s="21"/>
      <c r="I179" s="2"/>
    </row>
    <row r="180" spans="1:9" s="35" customFormat="1" x14ac:dyDescent="0.25">
      <c r="A180" s="37" t="s">
        <v>24</v>
      </c>
      <c r="B180" s="37"/>
      <c r="C180" s="37"/>
      <c r="D180" s="38">
        <f>SUM(D181:D183)</f>
        <v>-901635</v>
      </c>
      <c r="E180" s="38">
        <f t="shared" ref="E180:F180" si="89">SUM(E181:E183)</f>
        <v>-931905.33000000007</v>
      </c>
      <c r="F180" s="38">
        <f t="shared" si="89"/>
        <v>-1385623.1600000001</v>
      </c>
      <c r="G180" s="38">
        <f t="shared" si="87"/>
        <v>-453717.83000000007</v>
      </c>
      <c r="H180" s="21"/>
      <c r="I180" s="2"/>
    </row>
    <row r="181" spans="1:9" x14ac:dyDescent="0.25">
      <c r="A181" s="3"/>
      <c r="B181" s="3" t="s">
        <v>37</v>
      </c>
      <c r="C181" s="3"/>
      <c r="D181" s="64">
        <v>-901635</v>
      </c>
      <c r="E181" s="64">
        <f>D181-24000</f>
        <v>-925635</v>
      </c>
      <c r="F181" s="64">
        <v>-1379352.83</v>
      </c>
      <c r="G181" s="64">
        <f t="shared" si="87"/>
        <v>-453717.83000000007</v>
      </c>
      <c r="I181" s="2"/>
    </row>
    <row r="182" spans="1:9" x14ac:dyDescent="0.25">
      <c r="A182" s="3"/>
      <c r="B182" s="3" t="s">
        <v>38</v>
      </c>
      <c r="C182" s="3"/>
      <c r="D182" s="64">
        <v>0</v>
      </c>
      <c r="E182" s="64">
        <f>-6248.77</f>
        <v>-6248.77</v>
      </c>
      <c r="F182" s="64">
        <f>-6248.77</f>
        <v>-6248.77</v>
      </c>
      <c r="G182" s="64">
        <f t="shared" si="87"/>
        <v>0</v>
      </c>
      <c r="I182" s="2"/>
    </row>
    <row r="183" spans="1:9" x14ac:dyDescent="0.25">
      <c r="A183" s="3"/>
      <c r="B183" s="3" t="s">
        <v>39</v>
      </c>
      <c r="C183" s="3"/>
      <c r="D183" s="64">
        <v>0</v>
      </c>
      <c r="E183" s="64">
        <v>-21.56</v>
      </c>
      <c r="F183" s="64">
        <v>-21.56</v>
      </c>
      <c r="G183" s="64">
        <f t="shared" si="87"/>
        <v>0</v>
      </c>
      <c r="I183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F9403-50E9-43C6-AF9D-B37F0A9328D9}">
  <dimension ref="A1:N16"/>
  <sheetViews>
    <sheetView workbookViewId="0">
      <selection activeCell="F26" sqref="F26"/>
    </sheetView>
  </sheetViews>
  <sheetFormatPr defaultRowHeight="15" x14ac:dyDescent="0.25"/>
  <cols>
    <col min="1" max="1" width="15.85546875" customWidth="1"/>
    <col min="2" max="2" width="39.140625" customWidth="1"/>
    <col min="3" max="3" width="16.7109375" style="39" bestFit="1" customWidth="1"/>
    <col min="4" max="4" width="16.140625" style="39" bestFit="1" customWidth="1"/>
    <col min="5" max="5" width="16.7109375" style="39" bestFit="1" customWidth="1"/>
    <col min="6" max="6" width="9.140625" style="21"/>
    <col min="7" max="7" width="16" style="21" bestFit="1" customWidth="1"/>
    <col min="8" max="8" width="16.7109375" style="21" bestFit="1" customWidth="1"/>
    <col min="9" max="9" width="15.85546875" style="21" bestFit="1" customWidth="1"/>
    <col min="10" max="10" width="14.28515625" bestFit="1" customWidth="1"/>
    <col min="12" max="12" width="14.28515625" bestFit="1" customWidth="1"/>
    <col min="13" max="13" width="10.7109375" bestFit="1" customWidth="1"/>
    <col min="14" max="14" width="13.28515625" customWidth="1"/>
  </cols>
  <sheetData>
    <row r="1" spans="1:14" x14ac:dyDescent="0.25">
      <c r="A1" s="15" t="s">
        <v>55</v>
      </c>
      <c r="B1" s="16"/>
      <c r="C1" s="42"/>
      <c r="D1" s="42"/>
      <c r="E1" s="42"/>
      <c r="F1" s="17"/>
      <c r="G1" s="18"/>
      <c r="H1" s="19"/>
      <c r="I1" s="20"/>
    </row>
    <row r="2" spans="1:14" x14ac:dyDescent="0.25">
      <c r="A2" s="15" t="s">
        <v>56</v>
      </c>
      <c r="B2" s="16"/>
      <c r="C2" s="42"/>
      <c r="D2" s="42"/>
      <c r="E2" s="42"/>
      <c r="F2" s="17"/>
      <c r="G2" s="42"/>
      <c r="H2" s="42"/>
      <c r="I2" s="19"/>
    </row>
    <row r="3" spans="1:14" x14ac:dyDescent="0.25">
      <c r="A3" s="15"/>
      <c r="B3" s="16"/>
      <c r="C3" s="43">
        <f>SUBTOTAL(9,C5:C16)</f>
        <v>-120929864.77</v>
      </c>
      <c r="D3" s="43">
        <f>SUBTOTAL(9,D5:D16)</f>
        <v>-120929864.705</v>
      </c>
      <c r="E3" s="43">
        <f>SUBTOTAL(9,E5:E16)</f>
        <v>-6.4999998809071258E-2</v>
      </c>
      <c r="F3" s="17"/>
      <c r="G3" s="43">
        <f>SUBTOTAL(9,G5:G16)</f>
        <v>-123682457.76000001</v>
      </c>
      <c r="H3" s="43">
        <f>SUBTOTAL(9,H5:H16)</f>
        <v>-123682458.22999999</v>
      </c>
      <c r="I3" s="43">
        <f>SUBTOTAL(9,I5:I16)</f>
        <v>0.46999998204410076</v>
      </c>
    </row>
    <row r="4" spans="1:14" ht="25.5" x14ac:dyDescent="0.25">
      <c r="A4" s="75" t="s">
        <v>57</v>
      </c>
      <c r="B4" s="75" t="s">
        <v>58</v>
      </c>
      <c r="C4" s="76" t="s">
        <v>88</v>
      </c>
      <c r="D4" s="76" t="s">
        <v>60</v>
      </c>
      <c r="E4" s="76" t="s">
        <v>61</v>
      </c>
      <c r="F4" s="77" t="s">
        <v>62</v>
      </c>
      <c r="G4" s="78" t="s">
        <v>59</v>
      </c>
      <c r="H4" s="78" t="s">
        <v>63</v>
      </c>
      <c r="I4" s="78" t="s">
        <v>64</v>
      </c>
    </row>
    <row r="5" spans="1:14" x14ac:dyDescent="0.25">
      <c r="A5" t="s">
        <v>65</v>
      </c>
      <c r="B5" t="s">
        <v>8</v>
      </c>
      <c r="C5" s="39">
        <v>1449357.86</v>
      </c>
      <c r="D5" s="19">
        <f>aruanne!E6</f>
        <v>1449357.86</v>
      </c>
      <c r="E5" s="19">
        <f t="shared" ref="E5:E16" si="0">C5-D5</f>
        <v>0</v>
      </c>
      <c r="G5" s="39">
        <v>1285854.03</v>
      </c>
      <c r="H5" s="19">
        <f>aruanne!F6</f>
        <v>1285854.03</v>
      </c>
      <c r="I5" s="19">
        <f t="shared" ref="I5:I16" si="1">G5-H5</f>
        <v>0</v>
      </c>
      <c r="N5" s="21"/>
    </row>
    <row r="6" spans="1:14" x14ac:dyDescent="0.25">
      <c r="A6" t="s">
        <v>65</v>
      </c>
      <c r="B6" t="s">
        <v>9</v>
      </c>
      <c r="C6" s="39">
        <v>5934.2</v>
      </c>
      <c r="D6" s="19">
        <f>aruanne!E7</f>
        <v>5934.2</v>
      </c>
      <c r="E6" s="19">
        <f t="shared" si="0"/>
        <v>0</v>
      </c>
      <c r="G6" s="39">
        <v>4428.75</v>
      </c>
      <c r="H6" s="19">
        <f>aruanne!F7</f>
        <v>4428.75</v>
      </c>
      <c r="I6" s="19">
        <f t="shared" si="1"/>
        <v>0</v>
      </c>
      <c r="N6" s="21"/>
    </row>
    <row r="7" spans="1:14" x14ac:dyDescent="0.25">
      <c r="A7" t="s">
        <v>65</v>
      </c>
      <c r="B7" t="s">
        <v>10</v>
      </c>
      <c r="C7" s="39">
        <v>12725553.800000001</v>
      </c>
      <c r="D7" s="19">
        <f>aruanne!E8+aruanne!E34</f>
        <v>12725553.800000001</v>
      </c>
      <c r="E7" s="19">
        <f t="shared" si="0"/>
        <v>0</v>
      </c>
      <c r="G7" s="39">
        <v>9029202.0099999998</v>
      </c>
      <c r="H7" s="19">
        <f>aruanne!F8+aruanne!F34</f>
        <v>9029202.0099999998</v>
      </c>
      <c r="I7" s="19">
        <f t="shared" si="1"/>
        <v>0</v>
      </c>
      <c r="N7" s="21"/>
    </row>
    <row r="8" spans="1:14" x14ac:dyDescent="0.25">
      <c r="A8" t="s">
        <v>65</v>
      </c>
      <c r="B8" t="s">
        <v>66</v>
      </c>
      <c r="C8" s="39">
        <v>0</v>
      </c>
      <c r="D8" s="19">
        <f>aruanne!E9</f>
        <v>0</v>
      </c>
      <c r="E8" s="19">
        <f t="shared" si="0"/>
        <v>0</v>
      </c>
      <c r="G8" s="39">
        <v>0</v>
      </c>
      <c r="H8" s="19">
        <f>aruanne!F9</f>
        <v>0</v>
      </c>
      <c r="I8" s="19">
        <f t="shared" si="1"/>
        <v>0</v>
      </c>
      <c r="N8" s="21"/>
    </row>
    <row r="9" spans="1:14" x14ac:dyDescent="0.25">
      <c r="A9" t="s">
        <v>65</v>
      </c>
      <c r="B9" t="s">
        <v>12</v>
      </c>
      <c r="C9" s="39">
        <v>34302.6</v>
      </c>
      <c r="D9" s="19">
        <f>aruanne!E10</f>
        <v>34302.6</v>
      </c>
      <c r="E9" s="19">
        <f t="shared" si="0"/>
        <v>0</v>
      </c>
      <c r="G9" s="39">
        <v>0</v>
      </c>
      <c r="H9" s="19">
        <v>0</v>
      </c>
      <c r="I9" s="19">
        <f t="shared" si="1"/>
        <v>0</v>
      </c>
      <c r="N9" s="21"/>
    </row>
    <row r="10" spans="1:14" x14ac:dyDescent="0.25">
      <c r="A10" t="s">
        <v>65</v>
      </c>
      <c r="B10" t="s">
        <v>13</v>
      </c>
      <c r="C10" s="39">
        <f>434646.48</f>
        <v>434646.48</v>
      </c>
      <c r="D10" s="19">
        <f>aruanne!E11</f>
        <v>434646.48000000004</v>
      </c>
      <c r="E10" s="19">
        <f t="shared" si="0"/>
        <v>0</v>
      </c>
      <c r="G10" s="39">
        <v>643162.63</v>
      </c>
      <c r="H10" s="19">
        <f>aruanne!F11</f>
        <v>643162.63</v>
      </c>
      <c r="I10" s="19">
        <f t="shared" si="1"/>
        <v>0</v>
      </c>
      <c r="N10" s="21"/>
    </row>
    <row r="11" spans="1:14" x14ac:dyDescent="0.25">
      <c r="A11" t="s">
        <v>65</v>
      </c>
      <c r="B11" t="s">
        <v>67</v>
      </c>
      <c r="C11" s="39">
        <v>-74365.820000000007</v>
      </c>
      <c r="D11" s="19">
        <f>aruanne!E12</f>
        <v>-74365.820000000007</v>
      </c>
      <c r="E11" s="19">
        <f t="shared" si="0"/>
        <v>0</v>
      </c>
      <c r="G11" s="39">
        <v>14723.48</v>
      </c>
      <c r="H11" s="19">
        <f>aruanne!F12</f>
        <v>14723.48</v>
      </c>
      <c r="I11" s="19">
        <f t="shared" si="1"/>
        <v>0</v>
      </c>
      <c r="N11" s="21"/>
    </row>
    <row r="12" spans="1:14" x14ac:dyDescent="0.25">
      <c r="A12" t="s">
        <v>65</v>
      </c>
      <c r="B12" t="s">
        <v>68</v>
      </c>
      <c r="C12" s="39">
        <f>-124436946.87-C13-C16</f>
        <v>-122099458.78</v>
      </c>
      <c r="D12" s="19">
        <f>aruanne!E13-aruanne!E29</f>
        <v>-122099458.715</v>
      </c>
      <c r="E12" s="19">
        <f t="shared" si="0"/>
        <v>-6.4999997615814209E-2</v>
      </c>
      <c r="G12" s="39">
        <f>-118593144.23-G13-G16</f>
        <v>-116781024.53000002</v>
      </c>
      <c r="H12" s="19">
        <f>aruanne!F13-aruanne!F29</f>
        <v>-116781025</v>
      </c>
      <c r="I12" s="19">
        <f t="shared" si="1"/>
        <v>0.46999998390674591</v>
      </c>
      <c r="N12" s="21"/>
    </row>
    <row r="13" spans="1:14" x14ac:dyDescent="0.25">
      <c r="A13" t="s">
        <v>65</v>
      </c>
      <c r="B13" s="22" t="s">
        <v>69</v>
      </c>
      <c r="C13" s="39">
        <v>-1385623.16</v>
      </c>
      <c r="D13" s="19">
        <f>aruanne!E29</f>
        <v>-1385623.1600000001</v>
      </c>
      <c r="E13" s="19">
        <f t="shared" si="0"/>
        <v>0</v>
      </c>
      <c r="F13" s="23"/>
      <c r="G13" s="39">
        <v>-1351349.35</v>
      </c>
      <c r="H13" s="19">
        <f>aruanne!F29</f>
        <v>-1351349.35</v>
      </c>
      <c r="I13" s="19">
        <f t="shared" si="1"/>
        <v>0</v>
      </c>
      <c r="N13" s="21"/>
    </row>
    <row r="14" spans="1:14" x14ac:dyDescent="0.25">
      <c r="A14" t="s">
        <v>65</v>
      </c>
      <c r="B14" s="22" t="s">
        <v>31</v>
      </c>
      <c r="C14" s="39">
        <f>-11669116.26+792801.36-262598.4</f>
        <v>-11138913.300000001</v>
      </c>
      <c r="D14" s="19">
        <f>aruanne!E30-D16</f>
        <v>-11068347.02</v>
      </c>
      <c r="E14" s="19">
        <f t="shared" si="0"/>
        <v>-70566.280000001192</v>
      </c>
      <c r="F14" s="23"/>
      <c r="G14" s="39">
        <f>-16858424.46+799440.03</f>
        <v>-16058984.430000002</v>
      </c>
      <c r="H14" s="19">
        <f>aruanne!F30-aruanne!F32</f>
        <v>-16066684.43</v>
      </c>
      <c r="I14" s="19">
        <f t="shared" si="1"/>
        <v>7699.9999999981374</v>
      </c>
      <c r="N14" s="21"/>
    </row>
    <row r="15" spans="1:14" x14ac:dyDescent="0.25">
      <c r="A15" t="s">
        <v>65</v>
      </c>
      <c r="B15" t="s">
        <v>70</v>
      </c>
      <c r="C15" s="39">
        <v>70566.28</v>
      </c>
      <c r="D15" s="24">
        <v>0</v>
      </c>
      <c r="E15" s="19">
        <f t="shared" si="0"/>
        <v>70566.28</v>
      </c>
      <c r="G15" s="39">
        <f>-3700-4000</f>
        <v>-7700</v>
      </c>
      <c r="H15" s="24">
        <v>0</v>
      </c>
      <c r="I15" s="19">
        <f t="shared" si="1"/>
        <v>-7700</v>
      </c>
      <c r="N15" s="21"/>
    </row>
    <row r="16" spans="1:14" x14ac:dyDescent="0.25">
      <c r="A16" t="s">
        <v>65</v>
      </c>
      <c r="B16" s="22" t="s">
        <v>71</v>
      </c>
      <c r="C16" s="39">
        <v>-951864.93</v>
      </c>
      <c r="D16" s="24">
        <f>aruanne!E32</f>
        <v>-951864.93</v>
      </c>
      <c r="E16" s="19">
        <f t="shared" si="0"/>
        <v>0</v>
      </c>
      <c r="G16" s="39">
        <v>-460770.35</v>
      </c>
      <c r="H16" s="24">
        <f>aruanne!F32</f>
        <v>-460770.35</v>
      </c>
      <c r="I16" s="19">
        <f t="shared" si="1"/>
        <v>0</v>
      </c>
      <c r="N16" s="2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086A9-CF0E-4B82-AA53-D93B7E26FB31}">
  <dimension ref="A1:C21"/>
  <sheetViews>
    <sheetView topLeftCell="A2" workbookViewId="0">
      <pane xSplit="1" ySplit="4" topLeftCell="B6" activePane="bottomRight" state="frozen"/>
      <selection pane="topRight" activeCell="B2" sqref="B2"/>
      <selection pane="bottomLeft" activeCell="A7" sqref="A7"/>
      <selection pane="bottomRight" activeCell="C23" sqref="C23"/>
    </sheetView>
  </sheetViews>
  <sheetFormatPr defaultRowHeight="15" x14ac:dyDescent="0.25"/>
  <cols>
    <col min="1" max="1" width="58.28515625" customWidth="1"/>
    <col min="2" max="3" width="27" customWidth="1"/>
  </cols>
  <sheetData>
    <row r="1" spans="1:3" x14ac:dyDescent="0.25">
      <c r="A1" s="15" t="s">
        <v>55</v>
      </c>
    </row>
    <row r="2" spans="1:3" x14ac:dyDescent="0.25">
      <c r="A2" s="15" t="s">
        <v>72</v>
      </c>
    </row>
    <row r="3" spans="1:3" x14ac:dyDescent="0.25">
      <c r="A3" s="26" t="s">
        <v>0</v>
      </c>
    </row>
    <row r="4" spans="1:3" x14ac:dyDescent="0.25">
      <c r="A4" s="15"/>
      <c r="B4" s="2"/>
      <c r="C4" s="2"/>
    </row>
    <row r="5" spans="1:3" ht="52.5" customHeight="1" x14ac:dyDescent="0.25">
      <c r="A5" s="27"/>
      <c r="B5" s="28" t="s">
        <v>73</v>
      </c>
      <c r="C5" s="28" t="s">
        <v>74</v>
      </c>
    </row>
    <row r="6" spans="1:3" x14ac:dyDescent="0.25">
      <c r="A6" s="29" t="s">
        <v>75</v>
      </c>
      <c r="B6" s="25">
        <f>aruanne!C5</f>
        <v>14027610</v>
      </c>
      <c r="C6" s="67">
        <f>aruanne!C13+aruanne!C30</f>
        <v>-128313564</v>
      </c>
    </row>
    <row r="7" spans="1:3" x14ac:dyDescent="0.25">
      <c r="A7" s="29" t="s">
        <v>76</v>
      </c>
      <c r="B7" s="30"/>
      <c r="C7" s="67">
        <v>-16158370</v>
      </c>
    </row>
    <row r="8" spans="1:3" x14ac:dyDescent="0.25">
      <c r="A8" s="29" t="s">
        <v>77</v>
      </c>
      <c r="B8" s="30"/>
      <c r="C8" s="67">
        <v>-2411800</v>
      </c>
    </row>
    <row r="9" spans="1:3" x14ac:dyDescent="0.25">
      <c r="A9" s="29" t="s">
        <v>78</v>
      </c>
      <c r="B9" s="30"/>
      <c r="C9" s="68">
        <v>-3082932</v>
      </c>
    </row>
    <row r="10" spans="1:3" x14ac:dyDescent="0.25">
      <c r="A10" s="31" t="s">
        <v>79</v>
      </c>
      <c r="B10" s="30"/>
      <c r="C10" s="68">
        <v>-3086845</v>
      </c>
    </row>
    <row r="11" spans="1:3" x14ac:dyDescent="0.25">
      <c r="A11" s="69" t="s">
        <v>80</v>
      </c>
      <c r="B11" s="30"/>
      <c r="C11" s="68">
        <v>11784610</v>
      </c>
    </row>
    <row r="12" spans="1:3" x14ac:dyDescent="0.25">
      <c r="A12" s="29" t="s">
        <v>81</v>
      </c>
      <c r="B12" s="30"/>
      <c r="C12" s="68">
        <v>-16152886.960000001</v>
      </c>
    </row>
    <row r="13" spans="1:3" x14ac:dyDescent="0.25">
      <c r="A13" s="69" t="s">
        <v>82</v>
      </c>
      <c r="B13" s="30"/>
      <c r="C13" s="68">
        <f>11816268-11784610</f>
        <v>31658</v>
      </c>
    </row>
    <row r="14" spans="1:3" x14ac:dyDescent="0.25">
      <c r="A14" s="29" t="s">
        <v>83</v>
      </c>
      <c r="B14" s="30"/>
      <c r="C14" s="68">
        <v>-5934.05</v>
      </c>
    </row>
    <row r="15" spans="1:3" x14ac:dyDescent="0.25">
      <c r="A15" s="69" t="s">
        <v>84</v>
      </c>
      <c r="B15" s="30"/>
      <c r="C15" s="68">
        <v>243000</v>
      </c>
    </row>
    <row r="16" spans="1:3" x14ac:dyDescent="0.25">
      <c r="A16" s="29" t="s">
        <v>85</v>
      </c>
      <c r="B16" s="30"/>
      <c r="C16" s="68">
        <v>-433336.96</v>
      </c>
    </row>
    <row r="17" spans="1:3" x14ac:dyDescent="0.25">
      <c r="A17" s="32" t="s">
        <v>86</v>
      </c>
      <c r="B17" s="33">
        <f>SUM(B6:B16)</f>
        <v>14027610</v>
      </c>
      <c r="C17" s="33">
        <f>SUM(C6:C16)</f>
        <v>-157586400.97000003</v>
      </c>
    </row>
    <row r="18" spans="1:3" x14ac:dyDescent="0.25">
      <c r="A18" s="34"/>
      <c r="B18" s="34"/>
      <c r="C18" s="34"/>
    </row>
    <row r="19" spans="1:3" x14ac:dyDescent="0.25">
      <c r="A19" s="34"/>
      <c r="B19" s="34"/>
      <c r="C19" s="34"/>
    </row>
    <row r="20" spans="1:3" x14ac:dyDescent="0.25">
      <c r="C20" s="61"/>
    </row>
    <row r="21" spans="1:3" x14ac:dyDescent="0.25">
      <c r="C21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8ACCEF77512D40B856060F62DF5D0F" ma:contentTypeVersion="20" ma:contentTypeDescription="Create a new document." ma:contentTypeScope="" ma:versionID="b61493ed251ff123e52fe1c53903337c">
  <xsd:schema xmlns:xsd="http://www.w3.org/2001/XMLSchema" xmlns:xs="http://www.w3.org/2001/XMLSchema" xmlns:p="http://schemas.microsoft.com/office/2006/metadata/properties" xmlns:ns2="19db9c30-584d-4ad5-9af0-9aa7f98fdc73" xmlns:ns3="b8a1d2b4-14fc-4346-bc33-b5e3ce352a93" targetNamespace="http://schemas.microsoft.com/office/2006/metadata/properties" ma:root="true" ma:fieldsID="5fbf8d57db0fd44694ba5356269931ea" ns2:_="" ns3:_="">
    <xsd:import namespace="19db9c30-584d-4ad5-9af0-9aa7f98fdc73"/>
    <xsd:import namespace="b8a1d2b4-14fc-4346-bc33-b5e3ce352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REHAoktoober2025A_x002e_11398940t_x002e_1001515812summas495_x002c_9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db9c30-584d-4ad5-9af0-9aa7f98fdc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EHAoktoober2025A_x002e_11398940t_x002e_1001515812summas495_x002c_92" ma:index="20" nillable="true" ma:displayName="REHA oktoober 2025 A.11398940 t.1001515812 summas 495,92" ma:description="Maarjamaa Riigikool_koondaruanne_10.25_1, 2 isikut, summa 495,92 €" ma:format="Dropdown" ma:internalName="REHAoktoober2025A_x002e_11398940t_x002e_1001515812summas495_x002c_92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a1d2b4-14fc-4346-bc33-b5e3ce352a9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5e503bb-8001-4011-ab10-845891afb5e6}" ma:internalName="TaxCatchAll" ma:showField="CatchAllData" ma:web="b8a1d2b4-14fc-4346-bc33-b5e3ce352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HAoktoober2025A_x002e_11398940t_x002e_1001515812summas495_x002c_92 xmlns="19db9c30-584d-4ad5-9af0-9aa7f98fdc73" xsi:nil="true"/>
    <lcf76f155ced4ddcb4097134ff3c332f xmlns="19db9c30-584d-4ad5-9af0-9aa7f98fdc73">
      <Terms xmlns="http://schemas.microsoft.com/office/infopath/2007/PartnerControls"/>
    </lcf76f155ced4ddcb4097134ff3c332f>
    <TaxCatchAll xmlns="b8a1d2b4-14fc-4346-bc33-b5e3ce352a9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B0906A-BD67-4503-BA18-5247670D77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db9c30-584d-4ad5-9af0-9aa7f98fdc73"/>
    <ds:schemaRef ds:uri="b8a1d2b4-14fc-4346-bc33-b5e3ce352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398029-5AD0-4DEA-8AD7-B5EFCC0C8435}">
  <ds:schemaRefs>
    <ds:schemaRef ds:uri="http://schemas.microsoft.com/office/2006/metadata/properties"/>
    <ds:schemaRef ds:uri="http://purl.org/dc/elements/1.1/"/>
    <ds:schemaRef ds:uri="b8a1d2b4-14fc-4346-bc33-b5e3ce352a93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19db9c30-584d-4ad5-9af0-9aa7f98fdc73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8679B19-F718-4458-A0C2-4A5047207E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aruanne</vt:lpstr>
      <vt:lpstr>LISA</vt:lpstr>
      <vt:lpstr>vordlus</vt:lpstr>
      <vt:lpstr>lisa1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Juta Maar</dc:creator>
  <cp:keywords/>
  <dc:description/>
  <cp:lastModifiedBy>Silver Sokk</cp:lastModifiedBy>
  <cp:revision/>
  <dcterms:created xsi:type="dcterms:W3CDTF">2022-02-14T16:37:54Z</dcterms:created>
  <dcterms:modified xsi:type="dcterms:W3CDTF">2026-07-07T05:56:45Z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2025-05-15T14:01:08Z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4b5872ad-0275-42f8-b861-6180ced29fc8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0x010100A98ACCEF77512D40B856060F62DF5D0F</vt:lpwstr>
  </property>
  <property fmtid="{D5CDD505-2E9C-101B-9397-08002B2CF9AE}" pid="11" name="MediaServiceImageTags">
    <vt:lpwstr/>
  </property>
</Properties>
</file>