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retk\RKAS Pilv\Lepingute menetlus\Spetsialistide tabelid\LEPINGUD\YLEP 2019\RIIGIMAJADE lepingud\Kreutzwaldi 5\Kliendile\SiM\"/>
    </mc:Choice>
  </mc:AlternateContent>
  <xr:revisionPtr revIDLastSave="0" documentId="13_ncr:1_{82EA90EC-074E-4647-9329-C9EBFEBCAE23}" xr6:coauthVersionLast="45" xr6:coauthVersionMax="45" xr10:uidLastSave="{00000000-0000-0000-0000-000000000000}"/>
  <bookViews>
    <workbookView xWindow="1740" yWindow="435" windowWidth="13860" windowHeight="16965" xr2:uid="{7E7B054B-506C-47DD-AF99-2757E5BF58AC}"/>
  </bookViews>
  <sheets>
    <sheet name="Lisa 6.1. A_ehitus" sheetId="3" r:id="rId1"/>
    <sheet name="Lisa 6.1. A_sisustu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adress" localSheetId="0">#REF!</definedName>
    <definedName name="Aadress" localSheetId="1">#REF!</definedName>
    <definedName name="Aadress">#REF!</definedName>
    <definedName name="aadress_asukoha_analüüs" localSheetId="1">#REF!</definedName>
    <definedName name="aadress_asukoha_analüüs">#REF!</definedName>
    <definedName name="aadress_asukohahinnang" localSheetId="1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 localSheetId="0">#REF!</definedName>
    <definedName name="ALL" localSheetId="1">#REF!</definedName>
    <definedName name="ALL">#REF!</definedName>
    <definedName name="andmed" localSheetId="0">[2]hinnad!$F$3:$BQ$32</definedName>
    <definedName name="andmed" localSheetId="1">[3]hinnad!$F$3:$BQ$32</definedName>
    <definedName name="andmed">[2]hinnad!$F$3:$BQ$32</definedName>
    <definedName name="andmed_kogemus" localSheetId="0">[2]arendaja_haldaja_kogemus!$B$2:$P$16</definedName>
    <definedName name="andmed_kogemus" localSheetId="1">[3]arendaja_haldaja_kogemus!$B$2:$P$16</definedName>
    <definedName name="andmed_kogemus">[2]arendaja_haldaja_kogemus!$B$2:$P$16</definedName>
    <definedName name="andmed_ruumide_sobivus" localSheetId="0">[2]üürniku_hinnangud!$F$2:$L$31</definedName>
    <definedName name="andmed_ruumide_sobivus" localSheetId="1">[3]üürniku_hinnangud!$F$2:$L$31</definedName>
    <definedName name="andmed_ruumide_sobivus">[2]üürniku_hinnangud!$F$2:$L$31</definedName>
    <definedName name="brutopind" localSheetId="0">#REF!</definedName>
    <definedName name="brutopind" localSheetId="1">[4]eelarve!$F$9</definedName>
    <definedName name="brutopind">#REF!</definedName>
    <definedName name="disk.määr" localSheetId="0">[2]algandmed!$B$1</definedName>
    <definedName name="disk.määr" localSheetId="1">[3]algandmed!$B$1</definedName>
    <definedName name="disk.määr">[2]algandmed!$B$1</definedName>
    <definedName name="eelarve_kokku" localSheetId="0">#REF!</definedName>
    <definedName name="eelarve_kokku" localSheetId="1">[4]eelarve!$F$7</definedName>
    <definedName name="eelarve_kokku">#REF!</definedName>
    <definedName name="erikülgsednurkterased" localSheetId="0">#REF!</definedName>
    <definedName name="erikülgsednurkterased" localSheetId="1">#REF!</definedName>
    <definedName name="erikülgsednurkterased">#REF!</definedName>
    <definedName name="erikülgsednurkterased140" localSheetId="0">#REF!</definedName>
    <definedName name="erikülgsednurkterased140" localSheetId="1">#REF!</definedName>
    <definedName name="erikülgsednurkterased140">#REF!</definedName>
    <definedName name="erikülgsednurkterased70" localSheetId="0">#REF!</definedName>
    <definedName name="erikülgsednurkterased70" localSheetId="1">#REF!</definedName>
    <definedName name="erikülgsednurkterased70">#REF!</definedName>
    <definedName name="Etapp" localSheetId="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[5]platsikulud!$C$2</definedName>
    <definedName name="hinnang_asukoha_analüüs" localSheetId="0">#REF!</definedName>
    <definedName name="hinnang_asukoha_analüüs" localSheetId="1">#REF!</definedName>
    <definedName name="hinnang_asukoha_analüüs">#REF!</definedName>
    <definedName name="IPE" localSheetId="0">#REF!</definedName>
    <definedName name="IPE" localSheetId="1">#REF!</definedName>
    <definedName name="IPE">#REF!</definedName>
    <definedName name="karkass" localSheetId="0">#REF!</definedName>
    <definedName name="karkass" localSheetId="1">#REF!</definedName>
    <definedName name="karkass">#REF!</definedName>
    <definedName name="karkassilisa">#REF!</definedName>
    <definedName name="katus">#REF!</definedName>
    <definedName name="kehtiv_IRR" localSheetId="0">[6]MUDEL!$BA$1</definedName>
    <definedName name="kehtiv_IRR" localSheetId="1">[6]MUDEL!$BA$1</definedName>
    <definedName name="kehtiv_IRR">[7]MUDEL!$BA$1</definedName>
    <definedName name="kestvus">[5]platsikulud!$C$3</definedName>
    <definedName name="kestvus2">[5]platsikulud!$G$7</definedName>
    <definedName name="kipsilisa" localSheetId="0">#REF!</definedName>
    <definedName name="kipsilisa" localSheetId="1">#REF!</definedName>
    <definedName name="kipsilisa">#REF!</definedName>
    <definedName name="kipsvaheseinad" localSheetId="0">#REF!</definedName>
    <definedName name="kipsvaheseinad" localSheetId="1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[8]Koostamine!$C$2</definedName>
    <definedName name="LISA" localSheetId="0">#REF!</definedName>
    <definedName name="LISA" localSheetId="1">#REF!</definedName>
    <definedName name="LISA">#REF!</definedName>
    <definedName name="lisakatuslagi" localSheetId="0">#REF!</definedName>
    <definedName name="lisakatuslagi" localSheetId="1">#REF!</definedName>
    <definedName name="lisakatuslagi">#REF!</definedName>
    <definedName name="ltasu" localSheetId="0">#REF!</definedName>
    <definedName name="ltasu" localSheetId="1">#REF!</definedName>
    <definedName name="ltasu">#REF!</definedName>
    <definedName name="Maksumus" localSheetId="0">[9]Absoluutaadr1!#REF!</definedName>
    <definedName name="Maksumus" localSheetId="1">[9]Absoluutaadr1!#REF!</definedName>
    <definedName name="Maksumus">[9]Absoluutaadr1!#REF!</definedName>
    <definedName name="maksuvaba" localSheetId="0">#REF!</definedName>
    <definedName name="maksuvaba" localSheetId="1">#REF!</definedName>
    <definedName name="maksuvaba">#REF!</definedName>
    <definedName name="max.parkimiskoha_maksumus" localSheetId="0">[2]algandmed!$B$2</definedName>
    <definedName name="max.parkimiskoha_maksumus" localSheetId="1">[3]algandmed!$B$2</definedName>
    <definedName name="max.parkimiskoha_maksumus">[2]algandmed!$B$2</definedName>
    <definedName name="mullatööd" localSheetId="0">#REF!</definedName>
    <definedName name="mullatööd" localSheetId="1">#REF!</definedName>
    <definedName name="mullatööd">#REF!</definedName>
    <definedName name="nelikanttoru" localSheetId="0">#REF!</definedName>
    <definedName name="nelikanttoru" localSheetId="1">#REF!</definedName>
    <definedName name="nelikanttoru">#REF!</definedName>
    <definedName name="nelikanttoru150" localSheetId="0">#REF!</definedName>
    <definedName name="nelikanttoru150" localSheetId="1">#REF!</definedName>
    <definedName name="nelikanttoru150">#REF!</definedName>
    <definedName name="nelikanttoru30">#REF!</definedName>
    <definedName name="Number">[8]Koostamine!$G$1</definedName>
    <definedName name="objekt" localSheetId="0">[2]hinnad!$E$3:$E$32</definedName>
    <definedName name="objekt" localSheetId="1">[3]hinnad!$E$3:$E$32</definedName>
    <definedName name="objekt">[2]hinnad!$E$3:$E$32</definedName>
    <definedName name="objekt_ruumide_sobivus" localSheetId="0">[2]üürniku_hinnangud!$E$2:$E$31</definedName>
    <definedName name="objekt_ruumide_sobivus" localSheetId="1">[3]üürniku_hinnangud!$E$2:$E$31</definedName>
    <definedName name="objekt_ruumide_sobivus">[2]üürniku_hinnangud!$E$2:$E$31</definedName>
    <definedName name="objekti_aadress" localSheetId="0">#REF!</definedName>
    <definedName name="objekti_aadress" localSheetId="1">[4]eelarve!$F$6</definedName>
    <definedName name="objekti_aadress">#REF!</definedName>
    <definedName name="pakkujad_kogemus" localSheetId="0">[2]arendaja_haldaja_kogemus!$A$2:$A$16</definedName>
    <definedName name="pakkujad_kogemus" localSheetId="1">[3]arendaja_haldaja_kogemus!$A$2:$A$16</definedName>
    <definedName name="pakkujad_kogemus">[2]arendaja_haldaja_kogemus!$A$2:$A$16</definedName>
    <definedName name="paneelsein" localSheetId="0">#REF!</definedName>
    <definedName name="paneelsein" localSheetId="1">#REF!</definedName>
    <definedName name="paneelsein">#REF!</definedName>
    <definedName name="paneelsein3" localSheetId="0">'[10]muld,vund'!#REF!</definedName>
    <definedName name="paneelsein3" localSheetId="1">'[10]muld,vund'!#REF!</definedName>
    <definedName name="paneelsein3">'[10]muld,vund'!#REF!</definedName>
    <definedName name="pealkirjad" localSheetId="0">[2]hinnad!$F$2:$BQ$2</definedName>
    <definedName name="pealkirjad" localSheetId="1">[3]hinnad!$F$2:$BQ$2</definedName>
    <definedName name="pealkirjad">[2]hinnad!$F$2:$BQ$2</definedName>
    <definedName name="pealkirjad_kogemus" localSheetId="0">[2]arendaja_haldaja_kogemus!$B$1:$P$1</definedName>
    <definedName name="pealkirjad_kogemus" localSheetId="1">[3]arendaja_haldaja_kogemus!$B$1:$P$1</definedName>
    <definedName name="pealkirjad_kogemus">[2]arendaja_haldaja_kogemus!$B$1:$P$1</definedName>
    <definedName name="pealkirjad_ruumide_sobivus" localSheetId="0">[2]üürniku_hinnangud!$F$1:$L$1</definedName>
    <definedName name="pealkirjad_ruumide_sobivus" localSheetId="1">[3]üürniku_hinnangud!$F$1:$L$1</definedName>
    <definedName name="pealkirjad_ruumide_sobivus">[2]üürniku_hinnangud!$F$1:$L$1</definedName>
    <definedName name="Periood" localSheetId="0">#REF!</definedName>
    <definedName name="Periood" localSheetId="1">#REF!</definedName>
    <definedName name="Periood">#REF!</definedName>
    <definedName name="plekkkatus" localSheetId="0">#REF!</definedName>
    <definedName name="plekkkatus" localSheetId="1">#REF!</definedName>
    <definedName name="plekkkatus">#REF!</definedName>
    <definedName name="plekksein" localSheetId="0">#REF!</definedName>
    <definedName name="plekksein" localSheetId="1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 localSheetId="0">#REF!</definedName>
    <definedName name="prognoos_ilma_meeskonna_ja_yldkuludeta" localSheetId="1">#REF!</definedName>
    <definedName name="prognoos_ilma_meeskonna_ja_yldkuludeta">#REF!</definedName>
    <definedName name="prognoos_ilma_yldkuludeta" localSheetId="0">#REF!</definedName>
    <definedName name="prognoos_ilma_yldkuludeta">#REF!</definedName>
    <definedName name="prognoos_ilma_yldkuludeta_kokku_rahavoos" localSheetId="0">#REF!</definedName>
    <definedName name="prognoos_ilma_yldkuludeta_kokku_rahavoos">#REF!</definedName>
    <definedName name="prognoos_kokku" localSheetId="0">#REF!</definedName>
    <definedName name="prognoos_kokku">#REF!</definedName>
    <definedName name="prognoos_kokku_koos_sissevool" localSheetId="0">#REF!</definedName>
    <definedName name="prognoos_kokku_koos_sissevool">#REF!</definedName>
    <definedName name="prognoosi_muutmise_aeg" localSheetId="0">#REF!</definedName>
    <definedName name="prognoosi_muutmise_aeg" localSheetId="1">[11]algne_eelarve_prognoosiga!#REF!</definedName>
    <definedName name="prognoosi_muutmise_aeg">#REF!</definedName>
    <definedName name="prognoosi_periood" localSheetId="0">#REF!</definedName>
    <definedName name="prognoosi_periood" localSheetId="1">#REF!</definedName>
    <definedName name="prognoosi_periood">#REF!</definedName>
    <definedName name="projekti_nimi" localSheetId="0">#REF!</definedName>
    <definedName name="projekti_nimi" localSheetId="1">[4]eelarve!$F$4</definedName>
    <definedName name="projekti_nimi">#REF!</definedName>
    <definedName name="projekti_nr" localSheetId="0">#REF!</definedName>
    <definedName name="projekti_nr" localSheetId="1">[4]eelarve!$F$5</definedName>
    <definedName name="projekti_nr">#REF!</definedName>
    <definedName name="protsent" localSheetId="0">#REF!</definedName>
    <definedName name="protsent" localSheetId="1">#REF!</definedName>
    <definedName name="protsent">#REF!</definedName>
    <definedName name="punktid_asukohahinnang" localSheetId="0">#REF!</definedName>
    <definedName name="punktid_asukohahinnang" localSheetId="1">#REF!</definedName>
    <definedName name="punktid_asukohahinnang">#REF!</definedName>
    <definedName name="põrand" localSheetId="0">#REF!</definedName>
    <definedName name="põrand" localSheetId="1">#REF!</definedName>
    <definedName name="põrand">#REF!</definedName>
    <definedName name="Reserv" localSheetId="0">#REF!</definedName>
    <definedName name="Reserv">#REF!</definedName>
    <definedName name="seinad">#REF!</definedName>
    <definedName name="seintelisa">#REF!</definedName>
    <definedName name="siseviimistlus">#REF!</definedName>
    <definedName name="sissevool" localSheetId="0">#REF!</definedName>
    <definedName name="sissevool">#REF!</definedName>
    <definedName name="SOTS">#REF!</definedName>
    <definedName name="suletud_netopind" localSheetId="0">#REF!</definedName>
    <definedName name="suletud_netopind" localSheetId="1">[4]eelarve!$F$8</definedName>
    <definedName name="suletud_netopind">#REF!</definedName>
    <definedName name="Tabel" localSheetId="0">#REF!</definedName>
    <definedName name="Tabel" localSheetId="1">#REF!</definedName>
    <definedName name="Tabel">#REF!</definedName>
    <definedName name="tala" localSheetId="0">#REF!</definedName>
    <definedName name="tala" localSheetId="1">#REF!</definedName>
    <definedName name="tala">#REF!</definedName>
    <definedName name="TASU" localSheetId="0">#REF!</definedName>
    <definedName name="TASU" localSheetId="1">#REF!</definedName>
    <definedName name="TASU">#REF!</definedName>
    <definedName name="teg">OFFSET('[1]Graafiku jaoks'!$B$2,0,'[1]Graafiku jaoks'!$D$17,1,'[1]Graafiku jaoks'!$D$20)</definedName>
    <definedName name="Tehnoloog">[8]Koostamine!$D$3</definedName>
    <definedName name="Tellija">[8]Koostamine!$G$2</definedName>
    <definedName name="tellisseinad" localSheetId="0">#REF!</definedName>
    <definedName name="tellisseinad" localSheetId="1">#REF!</definedName>
    <definedName name="tellisseinad">#REF!</definedName>
    <definedName name="terastalad" localSheetId="0">#REF!</definedName>
    <definedName name="terastalad" localSheetId="1">#REF!</definedName>
    <definedName name="terastalad">#REF!</definedName>
    <definedName name="Toode">[8]Koostamine!$G$3</definedName>
    <definedName name="TRANS" localSheetId="0">#REF!</definedName>
    <definedName name="TRANS" localSheetId="1">#REF!</definedName>
    <definedName name="TRANS">#REF!</definedName>
    <definedName name="Uus" localSheetId="0">#REF!</definedName>
    <definedName name="Uus" localSheetId="1">#REF!</definedName>
    <definedName name="Uus">#REF!</definedName>
    <definedName name="v" localSheetId="0">#REF!</definedName>
    <definedName name="v" localSheetId="1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9" i="4" l="1"/>
  <c r="AI28" i="4"/>
  <c r="AE28" i="4"/>
  <c r="AO28" i="4" s="1"/>
  <c r="AB28" i="4"/>
  <c r="AL28" i="4" s="1"/>
  <c r="AV28" i="4" s="1"/>
  <c r="Z28" i="4"/>
  <c r="X28" i="4"/>
  <c r="V28" i="4"/>
  <c r="T28" i="4"/>
  <c r="AS28" i="4" s="1"/>
  <c r="R28" i="4"/>
  <c r="P28" i="4"/>
  <c r="N28" i="4"/>
  <c r="J28" i="4"/>
  <c r="C28" i="4"/>
  <c r="E28" i="4" s="1"/>
  <c r="AK27" i="4"/>
  <c r="AG27" i="4"/>
  <c r="AB27" i="4"/>
  <c r="Z27" i="4"/>
  <c r="X27" i="4"/>
  <c r="V27" i="4"/>
  <c r="T27" i="4"/>
  <c r="R27" i="4"/>
  <c r="P27" i="4"/>
  <c r="N27" i="4"/>
  <c r="J27" i="4"/>
  <c r="C27" i="4"/>
  <c r="E27" i="4" s="1"/>
  <c r="AJ26" i="4"/>
  <c r="AI26" i="4"/>
  <c r="AF26" i="4"/>
  <c r="AE26" i="4"/>
  <c r="AO26" i="4" s="1"/>
  <c r="AB26" i="4"/>
  <c r="AL26" i="4" s="1"/>
  <c r="AV26" i="4" s="1"/>
  <c r="Z26" i="4"/>
  <c r="X26" i="4"/>
  <c r="V26" i="4"/>
  <c r="T26" i="4"/>
  <c r="R26" i="4"/>
  <c r="P26" i="4"/>
  <c r="N26" i="4"/>
  <c r="J26" i="4"/>
  <c r="C26" i="4"/>
  <c r="E26" i="4" s="1"/>
  <c r="AB25" i="4"/>
  <c r="Z25" i="4"/>
  <c r="X25" i="4"/>
  <c r="V25" i="4"/>
  <c r="T25" i="4"/>
  <c r="R25" i="4"/>
  <c r="P25" i="4"/>
  <c r="N25" i="4"/>
  <c r="J25" i="4"/>
  <c r="C25" i="4"/>
  <c r="E25" i="4" s="1"/>
  <c r="AJ24" i="4"/>
  <c r="AI24" i="4"/>
  <c r="AF24" i="4"/>
  <c r="AE24" i="4"/>
  <c r="AO24" i="4" s="1"/>
  <c r="AB24" i="4"/>
  <c r="AL24" i="4" s="1"/>
  <c r="AV24" i="4" s="1"/>
  <c r="Z24" i="4"/>
  <c r="X24" i="4"/>
  <c r="V24" i="4"/>
  <c r="AT24" i="4" s="1"/>
  <c r="T24" i="4"/>
  <c r="R24" i="4"/>
  <c r="P24" i="4"/>
  <c r="N24" i="4"/>
  <c r="J24" i="4"/>
  <c r="C24" i="4"/>
  <c r="E24" i="4" s="1"/>
  <c r="AB23" i="4"/>
  <c r="AD23" i="4" s="1"/>
  <c r="Z23" i="4"/>
  <c r="X23" i="4"/>
  <c r="V23" i="4"/>
  <c r="T23" i="4"/>
  <c r="R23" i="4"/>
  <c r="P23" i="4"/>
  <c r="N23" i="4"/>
  <c r="J23" i="4"/>
  <c r="E23" i="4"/>
  <c r="C23" i="4"/>
  <c r="AV22" i="4"/>
  <c r="AU22" i="4"/>
  <c r="AL22" i="4"/>
  <c r="AJ22" i="4"/>
  <c r="AI22" i="4"/>
  <c r="AH22" i="4"/>
  <c r="AF22" i="4"/>
  <c r="AE22" i="4"/>
  <c r="AO22" i="4" s="1"/>
  <c r="AD22" i="4"/>
  <c r="AN22" i="4" s="1"/>
  <c r="AB22" i="4"/>
  <c r="AK22" i="4" s="1"/>
  <c r="Z22" i="4"/>
  <c r="X22" i="4"/>
  <c r="V22" i="4"/>
  <c r="AT22" i="4" s="1"/>
  <c r="T22" i="4"/>
  <c r="R22" i="4"/>
  <c r="P22" i="4"/>
  <c r="N22" i="4"/>
  <c r="AP22" i="4" s="1"/>
  <c r="J22" i="4"/>
  <c r="C22" i="4"/>
  <c r="E22" i="4" s="1"/>
  <c r="AL21" i="4"/>
  <c r="AV21" i="4" s="1"/>
  <c r="AB21" i="4"/>
  <c r="Z21" i="4"/>
  <c r="X21" i="4"/>
  <c r="V21" i="4"/>
  <c r="T21" i="4"/>
  <c r="R21" i="4"/>
  <c r="P21" i="4"/>
  <c r="N21" i="4"/>
  <c r="J21" i="4"/>
  <c r="E21" i="4"/>
  <c r="C21" i="4"/>
  <c r="AV20" i="4"/>
  <c r="AP20" i="4"/>
  <c r="AL20" i="4"/>
  <c r="AJ20" i="4"/>
  <c r="AI20" i="4"/>
  <c r="AH20" i="4"/>
  <c r="AF20" i="4"/>
  <c r="AE20" i="4"/>
  <c r="AO20" i="4" s="1"/>
  <c r="AD20" i="4"/>
  <c r="AN20" i="4" s="1"/>
  <c r="AB20" i="4"/>
  <c r="AK20" i="4" s="1"/>
  <c r="AU20" i="4" s="1"/>
  <c r="Z20" i="4"/>
  <c r="X20" i="4"/>
  <c r="V20" i="4"/>
  <c r="AT20" i="4" s="1"/>
  <c r="T20" i="4"/>
  <c r="AS20" i="4" s="1"/>
  <c r="R20" i="4"/>
  <c r="P20" i="4"/>
  <c r="N20" i="4"/>
  <c r="J20" i="4"/>
  <c r="C20" i="4"/>
  <c r="E20" i="4" s="1"/>
  <c r="AL19" i="4"/>
  <c r="AV19" i="4" s="1"/>
  <c r="AH19" i="4"/>
  <c r="AG19" i="4"/>
  <c r="AD19" i="4"/>
  <c r="AN19" i="4" s="1"/>
  <c r="AB19" i="4"/>
  <c r="Z19" i="4"/>
  <c r="X19" i="4"/>
  <c r="V19" i="4"/>
  <c r="T19" i="4"/>
  <c r="R19" i="4"/>
  <c r="AR19" i="4" s="1"/>
  <c r="P19" i="4"/>
  <c r="N19" i="4"/>
  <c r="J19" i="4"/>
  <c r="E19" i="4"/>
  <c r="C19" i="4"/>
  <c r="AJ18" i="4"/>
  <c r="AI18" i="4"/>
  <c r="AB18" i="4"/>
  <c r="Z18" i="4"/>
  <c r="X18" i="4"/>
  <c r="AT18" i="4" s="1"/>
  <c r="V18" i="4"/>
  <c r="T18" i="4"/>
  <c r="R18" i="4"/>
  <c r="P18" i="4"/>
  <c r="N18" i="4"/>
  <c r="J18" i="4"/>
  <c r="C18" i="4"/>
  <c r="E18" i="4" s="1"/>
  <c r="AL17" i="4"/>
  <c r="AV17" i="4" s="1"/>
  <c r="AK17" i="4"/>
  <c r="AU17" i="4" s="1"/>
  <c r="AI17" i="4"/>
  <c r="AG17" i="4"/>
  <c r="AE17" i="4"/>
  <c r="AO17" i="4" s="1"/>
  <c r="AD17" i="4"/>
  <c r="AB17" i="4"/>
  <c r="Z17" i="4"/>
  <c r="X17" i="4"/>
  <c r="V17" i="4"/>
  <c r="T17" i="4"/>
  <c r="AS17" i="4" s="1"/>
  <c r="R17" i="4"/>
  <c r="P17" i="4"/>
  <c r="N17" i="4"/>
  <c r="J17" i="4"/>
  <c r="C17" i="4"/>
  <c r="E17" i="4" s="1"/>
  <c r="AK16" i="4"/>
  <c r="AU16" i="4" s="1"/>
  <c r="AJ16" i="4"/>
  <c r="AG16" i="4"/>
  <c r="AF16" i="4"/>
  <c r="AE16" i="4"/>
  <c r="AO16" i="4" s="1"/>
  <c r="AB16" i="4"/>
  <c r="Z16" i="4"/>
  <c r="X16" i="4"/>
  <c r="V16" i="4"/>
  <c r="T16" i="4"/>
  <c r="R16" i="4"/>
  <c r="P16" i="4"/>
  <c r="N16" i="4"/>
  <c r="J16" i="4"/>
  <c r="C16" i="4"/>
  <c r="E16" i="4" s="1"/>
  <c r="AL15" i="4"/>
  <c r="AV15" i="4" s="1"/>
  <c r="AK15" i="4"/>
  <c r="AU15" i="4" s="1"/>
  <c r="AG15" i="4"/>
  <c r="AE15" i="4"/>
  <c r="AO15" i="4" s="1"/>
  <c r="AB15" i="4"/>
  <c r="Z15" i="4"/>
  <c r="X15" i="4"/>
  <c r="V15" i="4"/>
  <c r="T15" i="4"/>
  <c r="R15" i="4"/>
  <c r="P15" i="4"/>
  <c r="AQ15" i="4" s="1"/>
  <c r="N15" i="4"/>
  <c r="J15" i="4"/>
  <c r="C15" i="4"/>
  <c r="E15" i="4" s="1"/>
  <c r="AQ14" i="4"/>
  <c r="AK14" i="4"/>
  <c r="AG14" i="4"/>
  <c r="AF14" i="4"/>
  <c r="AB14" i="4"/>
  <c r="Z14" i="4"/>
  <c r="X14" i="4"/>
  <c r="V14" i="4"/>
  <c r="T14" i="4"/>
  <c r="R14" i="4"/>
  <c r="P14" i="4"/>
  <c r="N14" i="4"/>
  <c r="J14" i="4"/>
  <c r="E14" i="4"/>
  <c r="C14" i="4"/>
  <c r="AB13" i="4"/>
  <c r="Z13" i="4"/>
  <c r="X13" i="4"/>
  <c r="V13" i="4"/>
  <c r="T13" i="4"/>
  <c r="R13" i="4"/>
  <c r="P13" i="4"/>
  <c r="N13" i="4"/>
  <c r="J13" i="4"/>
  <c r="C13" i="4"/>
  <c r="E13" i="4" s="1"/>
  <c r="AB12" i="4"/>
  <c r="AI12" i="4" s="1"/>
  <c r="Z12" i="4"/>
  <c r="X12" i="4"/>
  <c r="V12" i="4"/>
  <c r="T12" i="4"/>
  <c r="R12" i="4"/>
  <c r="P12" i="4"/>
  <c r="N12" i="4"/>
  <c r="J12" i="4"/>
  <c r="E12" i="4"/>
  <c r="C12" i="4"/>
  <c r="AI11" i="4"/>
  <c r="AS11" i="4" s="1"/>
  <c r="AH11" i="4"/>
  <c r="AB11" i="4"/>
  <c r="Z11" i="4"/>
  <c r="X11" i="4"/>
  <c r="V11" i="4"/>
  <c r="T11" i="4"/>
  <c r="R11" i="4"/>
  <c r="P11" i="4"/>
  <c r="N11" i="4"/>
  <c r="J11" i="4"/>
  <c r="C11" i="4"/>
  <c r="E11" i="4" s="1"/>
  <c r="AG10" i="4"/>
  <c r="AQ10" i="4" s="1"/>
  <c r="AB10" i="4"/>
  <c r="AJ10" i="4" s="1"/>
  <c r="Z10" i="4"/>
  <c r="X10" i="4"/>
  <c r="V10" i="4"/>
  <c r="T10" i="4"/>
  <c r="R10" i="4"/>
  <c r="P10" i="4"/>
  <c r="N10" i="4"/>
  <c r="J10" i="4"/>
  <c r="E10" i="4"/>
  <c r="C10" i="4"/>
  <c r="AB9" i="4"/>
  <c r="Z9" i="4"/>
  <c r="X9" i="4"/>
  <c r="V9" i="4"/>
  <c r="T9" i="4"/>
  <c r="R9" i="4"/>
  <c r="P9" i="4"/>
  <c r="N9" i="4"/>
  <c r="J9" i="4"/>
  <c r="C9" i="4"/>
  <c r="E9" i="4" s="1"/>
  <c r="AB8" i="4"/>
  <c r="AK8" i="4" s="1"/>
  <c r="Z8" i="4"/>
  <c r="X8" i="4"/>
  <c r="V8" i="4"/>
  <c r="T8" i="4"/>
  <c r="R8" i="4"/>
  <c r="P8" i="4"/>
  <c r="N8" i="4"/>
  <c r="J8" i="4"/>
  <c r="C8" i="4"/>
  <c r="E8" i="4" s="1"/>
  <c r="AL7" i="4"/>
  <c r="AK7" i="4"/>
  <c r="AU7" i="4" s="1"/>
  <c r="AI7" i="4"/>
  <c r="AG7" i="4"/>
  <c r="AE7" i="4"/>
  <c r="AO7" i="4" s="1"/>
  <c r="AD7" i="4"/>
  <c r="AB7" i="4"/>
  <c r="Z7" i="4"/>
  <c r="X7" i="4"/>
  <c r="V7" i="4"/>
  <c r="V29" i="4" s="1"/>
  <c r="T7" i="4"/>
  <c r="R7" i="4"/>
  <c r="P7" i="4"/>
  <c r="AQ7" i="4" s="1"/>
  <c r="N7" i="4"/>
  <c r="N29" i="4" s="1"/>
  <c r="J7" i="4"/>
  <c r="C7" i="4"/>
  <c r="E7" i="4" s="1"/>
  <c r="D65" i="3"/>
  <c r="D60" i="3"/>
  <c r="F59" i="3"/>
  <c r="E59" i="3"/>
  <c r="AE16" i="3" s="1"/>
  <c r="H58" i="3"/>
  <c r="H57" i="3" s="1"/>
  <c r="D57" i="3"/>
  <c r="H56" i="3"/>
  <c r="H55" i="3"/>
  <c r="H54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2" i="3" s="1"/>
  <c r="H33" i="3"/>
  <c r="D32" i="3"/>
  <c r="H28" i="3"/>
  <c r="H27" i="3" s="1"/>
  <c r="D28" i="3"/>
  <c r="D27" i="3"/>
  <c r="H26" i="3"/>
  <c r="H25" i="3" s="1"/>
  <c r="D25" i="3"/>
  <c r="AE11" i="3" s="1"/>
  <c r="H24" i="3"/>
  <c r="H23" i="3"/>
  <c r="H21" i="3" s="1"/>
  <c r="H22" i="3"/>
  <c r="D21" i="3"/>
  <c r="H20" i="3"/>
  <c r="H19" i="3"/>
  <c r="H18" i="3"/>
  <c r="H17" i="3"/>
  <c r="H16" i="3"/>
  <c r="H15" i="3"/>
  <c r="H12" i="3" s="1"/>
  <c r="AE14" i="3"/>
  <c r="H14" i="3"/>
  <c r="H13" i="3"/>
  <c r="D12" i="3"/>
  <c r="H11" i="3"/>
  <c r="H10" i="3"/>
  <c r="D10" i="3"/>
  <c r="D9" i="3"/>
  <c r="AP16" i="4" l="1"/>
  <c r="AT16" i="4"/>
  <c r="AQ17" i="4"/>
  <c r="AR22" i="4"/>
  <c r="AS24" i="4"/>
  <c r="AQ16" i="4"/>
  <c r="AS22" i="4"/>
  <c r="AP24" i="4"/>
  <c r="AP26" i="4"/>
  <c r="H9" i="3"/>
  <c r="Q9" i="3"/>
  <c r="AU8" i="4"/>
  <c r="AS12" i="4"/>
  <c r="O9" i="3"/>
  <c r="P14" i="3" s="1"/>
  <c r="S9" i="3"/>
  <c r="AA9" i="3"/>
  <c r="AB16" i="3" s="1"/>
  <c r="AC9" i="3"/>
  <c r="AD11" i="3" s="1"/>
  <c r="V32" i="4"/>
  <c r="AI8" i="4"/>
  <c r="AS8" i="4" s="1"/>
  <c r="AJ9" i="4"/>
  <c r="AT9" i="4" s="1"/>
  <c r="AF9" i="4"/>
  <c r="AP9" i="4" s="1"/>
  <c r="AN13" i="4"/>
  <c r="AJ13" i="4"/>
  <c r="AF13" i="4"/>
  <c r="AK13" i="4"/>
  <c r="AU13" i="4" s="1"/>
  <c r="AE13" i="4"/>
  <c r="AO13" i="4" s="1"/>
  <c r="AI13" i="4"/>
  <c r="AS13" i="4" s="1"/>
  <c r="AD13" i="4"/>
  <c r="AJ25" i="4"/>
  <c r="AT25" i="4" s="1"/>
  <c r="AF25" i="4"/>
  <c r="AI25" i="4"/>
  <c r="AS25" i="4" s="1"/>
  <c r="AE25" i="4"/>
  <c r="AO25" i="4" s="1"/>
  <c r="AL25" i="4"/>
  <c r="AV25" i="4" s="1"/>
  <c r="AH25" i="4"/>
  <c r="AD25" i="4"/>
  <c r="AM25" i="4" s="1"/>
  <c r="AK25" i="4"/>
  <c r="AU25" i="4" s="1"/>
  <c r="AG25" i="4"/>
  <c r="X29" i="4"/>
  <c r="AT8" i="4"/>
  <c r="AJ8" i="4"/>
  <c r="AD9" i="4"/>
  <c r="AP13" i="4"/>
  <c r="AG13" i="4"/>
  <c r="AQ13" i="4" s="1"/>
  <c r="AN23" i="4"/>
  <c r="AQ27" i="4"/>
  <c r="P16" i="3"/>
  <c r="E29" i="4"/>
  <c r="AV7" i="4"/>
  <c r="AF8" i="4"/>
  <c r="AE9" i="4"/>
  <c r="AO9" i="4" s="1"/>
  <c r="AK9" i="4"/>
  <c r="AU9" i="4" s="1"/>
  <c r="AE10" i="4"/>
  <c r="AO10" i="4" s="1"/>
  <c r="AJ11" i="4"/>
  <c r="AT11" i="4" s="1"/>
  <c r="AF11" i="4"/>
  <c r="AP11" i="4" s="1"/>
  <c r="AL11" i="4"/>
  <c r="AV11" i="4" s="1"/>
  <c r="AG11" i="4"/>
  <c r="AQ11" i="4" s="1"/>
  <c r="AK11" i="4"/>
  <c r="AU11" i="4" s="1"/>
  <c r="AE11" i="4"/>
  <c r="AO11" i="4" s="1"/>
  <c r="AH13" i="4"/>
  <c r="AS18" i="4"/>
  <c r="AK18" i="4"/>
  <c r="AU18" i="4" s="1"/>
  <c r="AH18" i="4"/>
  <c r="AD18" i="4"/>
  <c r="AN18" i="4" s="1"/>
  <c r="AG18" i="4"/>
  <c r="AQ18" i="4" s="1"/>
  <c r="AL18" i="4"/>
  <c r="AV18" i="4" s="1"/>
  <c r="AF18" i="4"/>
  <c r="AP18" i="4" s="1"/>
  <c r="AJ21" i="4"/>
  <c r="AT21" i="4" s="1"/>
  <c r="AF21" i="4"/>
  <c r="AI21" i="4"/>
  <c r="AS21" i="4" s="1"/>
  <c r="AE21" i="4"/>
  <c r="AO21" i="4" s="1"/>
  <c r="AH21" i="4"/>
  <c r="AR21" i="4" s="1"/>
  <c r="AK21" i="4"/>
  <c r="AU21" i="4" s="1"/>
  <c r="AG21" i="4"/>
  <c r="V33" i="4"/>
  <c r="N33" i="4"/>
  <c r="N32" i="4"/>
  <c r="AL8" i="4"/>
  <c r="AV8" i="4" s="1"/>
  <c r="AH8" i="4"/>
  <c r="AR8" i="4" s="1"/>
  <c r="AD8" i="4"/>
  <c r="AN8" i="4" s="1"/>
  <c r="AH9" i="4"/>
  <c r="AR9" i="4" s="1"/>
  <c r="AL12" i="4"/>
  <c r="AV12" i="4" s="1"/>
  <c r="AH12" i="4"/>
  <c r="AR12" i="4" s="1"/>
  <c r="AD12" i="4"/>
  <c r="AN12" i="4" s="1"/>
  <c r="AK12" i="4"/>
  <c r="AF12" i="4"/>
  <c r="AJ12" i="4"/>
  <c r="AE12" i="4"/>
  <c r="AO12" i="4" s="1"/>
  <c r="AU14" i="4"/>
  <c r="P29" i="4"/>
  <c r="AP8" i="4"/>
  <c r="AE8" i="4"/>
  <c r="AO8" i="4" s="1"/>
  <c r="AI9" i="4"/>
  <c r="AS9" i="4" s="1"/>
  <c r="AL10" i="4"/>
  <c r="AV10" i="4" s="1"/>
  <c r="AH10" i="4"/>
  <c r="AR10" i="4" s="1"/>
  <c r="AD10" i="4"/>
  <c r="AN10" i="4" s="1"/>
  <c r="AI10" i="4"/>
  <c r="AS10" i="4" s="1"/>
  <c r="AG12" i="4"/>
  <c r="AQ12" i="4" s="1"/>
  <c r="AT13" i="4"/>
  <c r="AJ23" i="4"/>
  <c r="AT23" i="4" s="1"/>
  <c r="AF23" i="4"/>
  <c r="AP23" i="4" s="1"/>
  <c r="AI23" i="4"/>
  <c r="AS23" i="4" s="1"/>
  <c r="AE23" i="4"/>
  <c r="AO23" i="4" s="1"/>
  <c r="AH23" i="4"/>
  <c r="AR23" i="4" s="1"/>
  <c r="AK23" i="4"/>
  <c r="AU23" i="4" s="1"/>
  <c r="AG23" i="4"/>
  <c r="AQ23" i="4" s="1"/>
  <c r="P11" i="3"/>
  <c r="J29" i="4"/>
  <c r="AN7" i="4"/>
  <c r="T29" i="4"/>
  <c r="AB29" i="4"/>
  <c r="AJ7" i="4"/>
  <c r="AF7" i="4"/>
  <c r="AM7" i="4" s="1"/>
  <c r="AH7" i="4"/>
  <c r="AS7" i="4"/>
  <c r="AG8" i="4"/>
  <c r="AQ8" i="4" s="1"/>
  <c r="AG9" i="4"/>
  <c r="AQ9" i="4" s="1"/>
  <c r="AL9" i="4"/>
  <c r="AV9" i="4" s="1"/>
  <c r="AF10" i="4"/>
  <c r="AP10" i="4" s="1"/>
  <c r="AK10" i="4"/>
  <c r="AU10" i="4" s="1"/>
  <c r="AD11" i="4"/>
  <c r="AN11" i="4" s="1"/>
  <c r="AU12" i="4"/>
  <c r="AR13" i="4"/>
  <c r="AL13" i="4"/>
  <c r="AV13" i="4" s="1"/>
  <c r="AT15" i="4"/>
  <c r="AE18" i="4"/>
  <c r="AO18" i="4" s="1"/>
  <c r="AR20" i="4"/>
  <c r="AP21" i="4"/>
  <c r="AD21" i="4"/>
  <c r="AN21" i="4" s="1"/>
  <c r="AL23" i="4"/>
  <c r="AV23" i="4" s="1"/>
  <c r="AR25" i="4"/>
  <c r="L33" i="4"/>
  <c r="L32" i="4"/>
  <c r="AP12" i="4"/>
  <c r="AT12" i="4"/>
  <c r="AL14" i="4"/>
  <c r="AV14" i="4" s="1"/>
  <c r="AH14" i="4"/>
  <c r="AR14" i="4" s="1"/>
  <c r="AD14" i="4"/>
  <c r="AI14" i="4"/>
  <c r="AS14" i="4" s="1"/>
  <c r="AJ15" i="4"/>
  <c r="AF15" i="4"/>
  <c r="AP15" i="4" s="1"/>
  <c r="AH15" i="4"/>
  <c r="AR15" i="4" s="1"/>
  <c r="AR17" i="4"/>
  <c r="AP25" i="4"/>
  <c r="R29" i="4"/>
  <c r="Z29" i="4"/>
  <c r="AT10" i="4"/>
  <c r="AR11" i="4"/>
  <c r="AP14" i="4"/>
  <c r="AE14" i="4"/>
  <c r="AO14" i="4" s="1"/>
  <c r="AJ14" i="4"/>
  <c r="AT14" i="4" s="1"/>
  <c r="AD15" i="4"/>
  <c r="AN15" i="4" s="1"/>
  <c r="AI15" i="4"/>
  <c r="AS15" i="4" s="1"/>
  <c r="AL16" i="4"/>
  <c r="AV16" i="4" s="1"/>
  <c r="AH16" i="4"/>
  <c r="AR16" i="4" s="1"/>
  <c r="AD16" i="4"/>
  <c r="AN16" i="4" s="1"/>
  <c r="AI16" i="4"/>
  <c r="AS16" i="4" s="1"/>
  <c r="AN17" i="4"/>
  <c r="AJ17" i="4"/>
  <c r="AT17" i="4" s="1"/>
  <c r="AF17" i="4"/>
  <c r="AP17" i="4" s="1"/>
  <c r="AH17" i="4"/>
  <c r="AR18" i="4"/>
  <c r="AI19" i="4"/>
  <c r="AS19" i="4" s="1"/>
  <c r="AE19" i="4"/>
  <c r="AO19" i="4" s="1"/>
  <c r="AK19" i="4"/>
  <c r="AU19" i="4" s="1"/>
  <c r="AF19" i="4"/>
  <c r="AP19" i="4" s="1"/>
  <c r="AJ19" i="4"/>
  <c r="AT19" i="4" s="1"/>
  <c r="AT26" i="4"/>
  <c r="AJ27" i="4"/>
  <c r="AT27" i="4" s="1"/>
  <c r="AF27" i="4"/>
  <c r="AP27" i="4" s="1"/>
  <c r="AI27" i="4"/>
  <c r="AS27" i="4" s="1"/>
  <c r="AE27" i="4"/>
  <c r="AO27" i="4" s="1"/>
  <c r="AL27" i="4"/>
  <c r="AV27" i="4" s="1"/>
  <c r="AH27" i="4"/>
  <c r="AD27" i="4"/>
  <c r="AQ19" i="4"/>
  <c r="AQ25" i="4"/>
  <c r="AS26" i="4"/>
  <c r="AR27" i="4"/>
  <c r="AU27" i="4"/>
  <c r="AF28" i="4"/>
  <c r="AP28" i="4" s="1"/>
  <c r="AJ28" i="4"/>
  <c r="AT28" i="4" s="1"/>
  <c r="AG20" i="4"/>
  <c r="AM20" i="4" s="1"/>
  <c r="AG22" i="4"/>
  <c r="AM22" i="4" s="1"/>
  <c r="AG24" i="4"/>
  <c r="AQ24" i="4" s="1"/>
  <c r="AK24" i="4"/>
  <c r="AU24" i="4" s="1"/>
  <c r="AG26" i="4"/>
  <c r="AQ26" i="4" s="1"/>
  <c r="AK26" i="4"/>
  <c r="AU26" i="4" s="1"/>
  <c r="AG28" i="4"/>
  <c r="AQ28" i="4" s="1"/>
  <c r="AK28" i="4"/>
  <c r="AU28" i="4" s="1"/>
  <c r="AD24" i="4"/>
  <c r="AH24" i="4"/>
  <c r="AR24" i="4" s="1"/>
  <c r="AD26" i="4"/>
  <c r="AH26" i="4"/>
  <c r="AR26" i="4" s="1"/>
  <c r="AD28" i="4"/>
  <c r="AN28" i="4" s="1"/>
  <c r="AH28" i="4"/>
  <c r="AR28" i="4" s="1"/>
  <c r="AM9" i="4" l="1"/>
  <c r="AM27" i="4"/>
  <c r="AO29" i="4"/>
  <c r="AM15" i="4"/>
  <c r="AM12" i="4"/>
  <c r="AM8" i="4"/>
  <c r="AM21" i="4"/>
  <c r="AU29" i="4"/>
  <c r="AN27" i="4"/>
  <c r="Z33" i="4"/>
  <c r="Z32" i="4"/>
  <c r="AB33" i="4"/>
  <c r="AB32" i="4"/>
  <c r="AM23" i="4"/>
  <c r="AE29" i="4"/>
  <c r="AM18" i="4"/>
  <c r="AM11" i="4"/>
  <c r="X33" i="4"/>
  <c r="X32" i="4"/>
  <c r="AI29" i="4"/>
  <c r="T11" i="3"/>
  <c r="T16" i="3"/>
  <c r="T14" i="3"/>
  <c r="R11" i="3"/>
  <c r="R14" i="3"/>
  <c r="AM26" i="4"/>
  <c r="AM17" i="4"/>
  <c r="R33" i="4"/>
  <c r="R32" i="4"/>
  <c r="AQ21" i="4"/>
  <c r="AH29" i="4"/>
  <c r="P33" i="4"/>
  <c r="P32" i="4"/>
  <c r="AD29" i="4"/>
  <c r="AN25" i="4"/>
  <c r="AN9" i="4"/>
  <c r="AN29" i="4" s="1"/>
  <c r="AM14" i="4"/>
  <c r="AF29" i="4"/>
  <c r="AM10" i="4"/>
  <c r="AQ20" i="4"/>
  <c r="AG29" i="4"/>
  <c r="AN14" i="4"/>
  <c r="AB11" i="3"/>
  <c r="AB14" i="3"/>
  <c r="Y9" i="3"/>
  <c r="AV29" i="4"/>
  <c r="T33" i="4"/>
  <c r="T32" i="4"/>
  <c r="AL29" i="4"/>
  <c r="AM28" i="4"/>
  <c r="AN24" i="4"/>
  <c r="AM24" i="4"/>
  <c r="AN26" i="4"/>
  <c r="AM19" i="4"/>
  <c r="AM16" i="4"/>
  <c r="AR7" i="4"/>
  <c r="AR29" i="4" s="1"/>
  <c r="AS29" i="4"/>
  <c r="AJ29" i="4"/>
  <c r="J33" i="4"/>
  <c r="J32" i="4"/>
  <c r="R16" i="3"/>
  <c r="AP7" i="4"/>
  <c r="AP29" i="4" s="1"/>
  <c r="AM13" i="4"/>
  <c r="AD16" i="3"/>
  <c r="E30" i="4"/>
  <c r="E31" i="4" s="1"/>
  <c r="D53" i="3"/>
  <c r="AD14" i="3"/>
  <c r="AQ22" i="4"/>
  <c r="AT7" i="4"/>
  <c r="AT29" i="4" s="1"/>
  <c r="U9" i="3"/>
  <c r="AK29" i="4"/>
  <c r="W9" i="3"/>
  <c r="AQ29" i="4" l="1"/>
  <c r="E34" i="4"/>
  <c r="E35" i="4" s="1"/>
  <c r="D52" i="3"/>
  <c r="D51" i="3" s="1"/>
  <c r="D59" i="3" s="1"/>
  <c r="H53" i="3"/>
  <c r="H52" i="3" s="1"/>
  <c r="H51" i="3" s="1"/>
  <c r="H59" i="3" s="1"/>
  <c r="AE17" i="3" s="1"/>
  <c r="V11" i="3"/>
  <c r="V14" i="3"/>
  <c r="V16" i="3"/>
  <c r="X16" i="3"/>
  <c r="X14" i="3"/>
  <c r="X11" i="3"/>
  <c r="AT33" i="4"/>
  <c r="AP33" i="4"/>
  <c r="AK33" i="4"/>
  <c r="AG33" i="4"/>
  <c r="AS33" i="4"/>
  <c r="AO33" i="4"/>
  <c r="AJ33" i="4"/>
  <c r="AF33" i="4"/>
  <c r="AV33" i="4"/>
  <c r="AR33" i="4"/>
  <c r="AN33" i="4"/>
  <c r="AI33" i="4"/>
  <c r="AE33" i="4"/>
  <c r="AU33" i="4"/>
  <c r="AD33" i="4"/>
  <c r="AQ33" i="4"/>
  <c r="AL33" i="4"/>
  <c r="AH33" i="4"/>
  <c r="V30" i="4"/>
  <c r="V31" i="4" s="1"/>
  <c r="N30" i="4"/>
  <c r="N31" i="4" s="1"/>
  <c r="AB30" i="4"/>
  <c r="T30" i="4"/>
  <c r="T31" i="4" s="1"/>
  <c r="L30" i="4"/>
  <c r="L31" i="4" s="1"/>
  <c r="Z30" i="4"/>
  <c r="Z31" i="4" s="1"/>
  <c r="R30" i="4"/>
  <c r="R31" i="4" s="1"/>
  <c r="J30" i="4"/>
  <c r="J31" i="4" s="1"/>
  <c r="P30" i="4"/>
  <c r="P31" i="4" s="1"/>
  <c r="X30" i="4"/>
  <c r="X31" i="4" s="1"/>
  <c r="Z11" i="3"/>
  <c r="Z14" i="3"/>
  <c r="Z16" i="3"/>
  <c r="M9" i="3"/>
  <c r="AT32" i="4"/>
  <c r="AP32" i="4"/>
  <c r="AK32" i="4"/>
  <c r="AG32" i="4"/>
  <c r="AS32" i="4"/>
  <c r="AO32" i="4"/>
  <c r="AJ32" i="4"/>
  <c r="AF32" i="4"/>
  <c r="AV32" i="4"/>
  <c r="AR32" i="4"/>
  <c r="AN32" i="4"/>
  <c r="AI32" i="4"/>
  <c r="AE32" i="4"/>
  <c r="AQ32" i="4"/>
  <c r="AD32" i="4"/>
  <c r="AU32" i="4"/>
  <c r="AL32" i="4"/>
  <c r="AH32" i="4"/>
  <c r="N11" i="3" l="1"/>
  <c r="N14" i="3"/>
  <c r="N16" i="3"/>
  <c r="AD17" i="3"/>
  <c r="V17" i="3"/>
  <c r="N17" i="3"/>
  <c r="Z17" i="3"/>
  <c r="P17" i="3"/>
  <c r="T17" i="3"/>
  <c r="X17" i="3"/>
  <c r="AB17" i="3"/>
  <c r="R17" i="3"/>
  <c r="AU30" i="4"/>
  <c r="AU31" i="4" s="1"/>
  <c r="AQ30" i="4"/>
  <c r="AQ31" i="4" s="1"/>
  <c r="AL30" i="4"/>
  <c r="AL31" i="4" s="1"/>
  <c r="AH30" i="4"/>
  <c r="AH31" i="4" s="1"/>
  <c r="AD30" i="4"/>
  <c r="AD31" i="4" s="1"/>
  <c r="AT30" i="4"/>
  <c r="AT31" i="4" s="1"/>
  <c r="AP30" i="4"/>
  <c r="AP31" i="4" s="1"/>
  <c r="AK30" i="4"/>
  <c r="AK31" i="4" s="1"/>
  <c r="AG30" i="4"/>
  <c r="AG31" i="4" s="1"/>
  <c r="AS30" i="4"/>
  <c r="AS31" i="4" s="1"/>
  <c r="AO30" i="4"/>
  <c r="AO31" i="4" s="1"/>
  <c r="AJ30" i="4"/>
  <c r="AJ31" i="4" s="1"/>
  <c r="AF30" i="4"/>
  <c r="AF31" i="4" s="1"/>
  <c r="AI30" i="4"/>
  <c r="AI31" i="4" s="1"/>
  <c r="AR30" i="4"/>
  <c r="AR31" i="4" s="1"/>
  <c r="AN30" i="4"/>
  <c r="AN31" i="4" s="1"/>
  <c r="AE30" i="4"/>
  <c r="AE31" i="4" s="1"/>
  <c r="AV30" i="4"/>
  <c r="AV31" i="4" s="1"/>
  <c r="AB31" i="4"/>
  <c r="D63" i="3"/>
  <c r="D62" i="3" s="1"/>
  <c r="AE13" i="3" s="1"/>
  <c r="AE10" i="3"/>
  <c r="D64" i="3"/>
  <c r="D67" i="3" l="1"/>
  <c r="D70" i="3" s="1"/>
  <c r="D69" i="3"/>
  <c r="D68" i="3" s="1"/>
  <c r="X10" i="3"/>
  <c r="X12" i="3" s="1"/>
  <c r="P10" i="3"/>
  <c r="P12" i="3" s="1"/>
  <c r="P15" i="3" s="1"/>
  <c r="AD10" i="3"/>
  <c r="AD12" i="3" s="1"/>
  <c r="T10" i="3"/>
  <c r="T12" i="3" s="1"/>
  <c r="AB10" i="3"/>
  <c r="AB12" i="3" s="1"/>
  <c r="R10" i="3"/>
  <c r="R12" i="3" s="1"/>
  <c r="R15" i="3" s="1"/>
  <c r="Z10" i="3"/>
  <c r="Z12" i="3" s="1"/>
  <c r="N10" i="3"/>
  <c r="N12" i="3" s="1"/>
  <c r="AE12" i="3"/>
  <c r="V10" i="3"/>
  <c r="V12" i="3" s="1"/>
  <c r="AD13" i="3"/>
  <c r="V13" i="3"/>
  <c r="N13" i="3"/>
  <c r="Z13" i="3"/>
  <c r="P13" i="3"/>
  <c r="X13" i="3"/>
  <c r="T13" i="3"/>
  <c r="AB13" i="3"/>
  <c r="R13" i="3"/>
  <c r="AB15" i="3" l="1"/>
  <c r="AD15" i="3"/>
  <c r="AE15" i="3"/>
  <c r="X15" i="3"/>
  <c r="N15" i="3"/>
  <c r="T15" i="3"/>
  <c r="V15" i="3"/>
  <c r="Z1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P8" authorId="0" shapeId="0" xr:uid="{6D0D98EE-AC9B-44E7-9F45-D52871236204}">
      <text>
        <r>
          <rPr>
            <b/>
            <sz val="9"/>
            <color indexed="81"/>
            <rFont val="Tahoma"/>
            <family val="2"/>
            <charset val="186"/>
          </rPr>
          <t>Andrus Gatski</t>
        </r>
        <r>
          <rPr>
            <sz val="9"/>
            <color indexed="81"/>
            <rFont val="Tahoma"/>
            <family val="2"/>
            <charset val="186"/>
          </rPr>
          <t>:
Investeering ei puuduta null korrust tervikuna</t>
        </r>
      </text>
    </comment>
    <comment ref="D59" authorId="0" shapeId="0" xr:uid="{DD287EBB-5805-4C88-B9C9-7FA6D52C9D28}">
      <text>
        <r>
          <rPr>
            <sz val="9"/>
            <color indexed="81"/>
            <rFont val="Tahoma"/>
            <family val="2"/>
            <charset val="186"/>
          </rPr>
          <t>Ilma sisustuseta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H6" authorId="0" shapeId="0" xr:uid="{FCE7F728-6AE5-4DA7-8D63-9B245C5B39AB}">
      <text>
        <r>
          <rPr>
            <b/>
            <sz val="9"/>
            <color indexed="81"/>
            <rFont val="Tahoma"/>
            <family val="2"/>
            <charset val="186"/>
          </rPr>
          <t>Andrus Gatski</t>
        </r>
        <r>
          <rPr>
            <sz val="9"/>
            <color indexed="81"/>
            <rFont val="Tahoma"/>
            <family val="2"/>
            <charset val="186"/>
          </rPr>
          <t>:
Investeering ei puuduta null korrust tervikuna</t>
        </r>
      </text>
    </comment>
  </commentList>
</comments>
</file>

<file path=xl/sharedStrings.xml><?xml version="1.0" encoding="utf-8"?>
<sst xmlns="http://schemas.openxmlformats.org/spreadsheetml/2006/main" count="306" uniqueCount="205">
  <si>
    <t>Lisa nr 1</t>
  </si>
  <si>
    <t>Ekplikatsioon</t>
  </si>
  <si>
    <t>Tööde loetelu ja eeldatav maksumus - Kreutzwaldi 5 (A Korpus)</t>
  </si>
  <si>
    <t>Eksplikatsioon</t>
  </si>
  <si>
    <t>Jrk
nr</t>
  </si>
  <si>
    <t>Eeldatav maksumus, EUR, km-ta</t>
  </si>
  <si>
    <t>Üürnikuspetsiifiline osa ehitusest</t>
  </si>
  <si>
    <t>Üürnikuspetsiifiline osa sisustusest</t>
  </si>
  <si>
    <t>Üle 10a amort</t>
  </si>
  <si>
    <t>Jääkväärtus 10a lõpus</t>
  </si>
  <si>
    <t>INVESTEERINGU JAGUNEMINE:</t>
  </si>
  <si>
    <t>EGT osakaal pinnast</t>
  </si>
  <si>
    <t>SiM osakaal pinnast</t>
  </si>
  <si>
    <t>SiM maksumus</t>
  </si>
  <si>
    <t>RKK osakaal pinnast</t>
  </si>
  <si>
    <t>RKK maksumus</t>
  </si>
  <si>
    <t>MKA osakaal pinnast</t>
  </si>
  <si>
    <t>MKA maksumus</t>
  </si>
  <si>
    <t>Akiivne vakants</t>
  </si>
  <si>
    <t>Üürnik</t>
  </si>
  <si>
    <t>Ainukasutuses pind</t>
  </si>
  <si>
    <t>Ühiskasutuses korruste pind</t>
  </si>
  <si>
    <t>Ühiskasutuses hoone pind</t>
  </si>
  <si>
    <t>Ühiskasutuses muu pind</t>
  </si>
  <si>
    <t>Kokku</t>
  </si>
  <si>
    <t>Osakaal</t>
  </si>
  <si>
    <t>Ilma null korruse pindateta</t>
  </si>
  <si>
    <t>Osakaal ilma null korruseta</t>
  </si>
  <si>
    <t>ARENDUSTEGEVUS</t>
  </si>
  <si>
    <t>Eesti Geoloogiateenistus</t>
  </si>
  <si>
    <t>Kinnisvara omandamise ja väärtustamise kulud</t>
  </si>
  <si>
    <t>Ehitus</t>
  </si>
  <si>
    <t>Lääne-Viru Omavalitsuste liit</t>
  </si>
  <si>
    <t>1.1.</t>
  </si>
  <si>
    <t>x</t>
  </si>
  <si>
    <t>Projektijuhtimine</t>
  </si>
  <si>
    <t>Siseministeerium</t>
  </si>
  <si>
    <t>Tellija muud arendusaegsed kulud; va intress</t>
  </si>
  <si>
    <t>Ehitus + Projektijuhtimise otsene kulu</t>
  </si>
  <si>
    <t xml:space="preserve">MUINSUSKAITSEAMET  </t>
  </si>
  <si>
    <t>2.1.</t>
  </si>
  <si>
    <t>Omanikujärelevalve</t>
  </si>
  <si>
    <t>Projektijuhtimise kaudne kulu</t>
  </si>
  <si>
    <t xml:space="preserve">Rahvakultuuri Keskus    </t>
  </si>
  <si>
    <t>2.2.</t>
  </si>
  <si>
    <t>Lubade taotlemisega seotud kulud</t>
  </si>
  <si>
    <t>Intress</t>
  </si>
  <si>
    <t>Lääne-Viru Ettevõtlus- ja Arenduskeskus SA</t>
  </si>
  <si>
    <t>2.3.</t>
  </si>
  <si>
    <t>Muud kontrorikulud</t>
  </si>
  <si>
    <t>Ehituse investeeringu algväärtus</t>
  </si>
  <si>
    <t>Rahandusministeerium</t>
  </si>
  <si>
    <t>2.4.</t>
  </si>
  <si>
    <t>Ekspertiisid, konsultatsioonid, mõõtmised jne</t>
  </si>
  <si>
    <t>Üürniku spetsifiline osa investeeringust</t>
  </si>
  <si>
    <t>Aktiivne vakantsus</t>
  </si>
  <si>
    <t>2.5.</t>
  </si>
  <si>
    <t>Ehitusaegne kindlustus</t>
  </si>
  <si>
    <t>Ehituse investeeringu lõppväärtus</t>
  </si>
  <si>
    <t>Üüritav pind kokku</t>
  </si>
  <si>
    <t>2.6.</t>
  </si>
  <si>
    <t>Kulud seoses ehitustööde katkemisega</t>
  </si>
  <si>
    <t>Passiivne vakantsus</t>
  </si>
  <si>
    <t>2.7.</t>
  </si>
  <si>
    <t>Juriidiline nõustamine</t>
  </si>
  <si>
    <t>2.8.</t>
  </si>
  <si>
    <t>Muud tellija ehitusaegsed kulud</t>
  </si>
  <si>
    <t>Liitumised</t>
  </si>
  <si>
    <t>3.1.</t>
  </si>
  <si>
    <t>3.2.</t>
  </si>
  <si>
    <t>…</t>
  </si>
  <si>
    <t>Projektijuhtimise otsesed kulud</t>
  </si>
  <si>
    <t>4.1.</t>
  </si>
  <si>
    <t>EHITAMINE</t>
  </si>
  <si>
    <t>Projekteerimine ja uuringud</t>
  </si>
  <si>
    <t>5.1.</t>
  </si>
  <si>
    <t>5.2.</t>
  </si>
  <si>
    <t>Ehituslepingud</t>
  </si>
  <si>
    <t>6.1.</t>
  </si>
  <si>
    <t>6.2.</t>
  </si>
  <si>
    <t>Ettevalmistus- ja lammutustööd</t>
  </si>
  <si>
    <t>6.3.</t>
  </si>
  <si>
    <t>Vaheseinte ehitustööd sh sanitaarruumid</t>
  </si>
  <si>
    <t>6.4.</t>
  </si>
  <si>
    <t>Aluspõrandate ehitustööd</t>
  </si>
  <si>
    <t>6.5.</t>
  </si>
  <si>
    <t>Seinte viimistlustööd</t>
  </si>
  <si>
    <t>6.6.</t>
  </si>
  <si>
    <t>Lagede viimistlustööd</t>
  </si>
  <si>
    <t>6.7.</t>
  </si>
  <si>
    <t>Põrandakattematerjali paigaldustööd</t>
  </si>
  <si>
    <t>6.8.</t>
  </si>
  <si>
    <t>Olemasolevate põrandate parandamine, lihvimine, õlitamine</t>
  </si>
  <si>
    <t xml:space="preserve">6.9. </t>
  </si>
  <si>
    <t>Köögi kohtmööbel</t>
  </si>
  <si>
    <t>6.10.</t>
  </si>
  <si>
    <t>Aknakatted</t>
  </si>
  <si>
    <t>6.11.</t>
  </si>
  <si>
    <t>Veevarustuus- ja kanalisatsioonisüsteemi ehitustööd</t>
  </si>
  <si>
    <t>6.12.</t>
  </si>
  <si>
    <t>Küttesüsteemi ehitustööd</t>
  </si>
  <si>
    <t>6.13.</t>
  </si>
  <si>
    <t>Ventilatsioonisüsteemi ehitustööd</t>
  </si>
  <si>
    <t>6.14.</t>
  </si>
  <si>
    <t>Nõrkvoolupaigaldis</t>
  </si>
  <si>
    <t>6.15.</t>
  </si>
  <si>
    <t>Tugevvoolupaigaldis</t>
  </si>
  <si>
    <t>6.16.</t>
  </si>
  <si>
    <t>Väravad ja läbipääsusüsteemid</t>
  </si>
  <si>
    <t>6.17.</t>
  </si>
  <si>
    <t>Kolimis- ja koristustööd</t>
  </si>
  <si>
    <t>SISUSTAMINE</t>
  </si>
  <si>
    <t>Sisustus ja kunstiteosed</t>
  </si>
  <si>
    <t>7.1.</t>
  </si>
  <si>
    <t>Tavasisustus</t>
  </si>
  <si>
    <t>7.2.</t>
  </si>
  <si>
    <t>Erisisustus</t>
  </si>
  <si>
    <t>7.3.</t>
  </si>
  <si>
    <t>Kunst</t>
  </si>
  <si>
    <t>RESERV</t>
  </si>
  <si>
    <t>Reserv</t>
  </si>
  <si>
    <t>EELDATAV MAKSUMUS KOKKU, KM-TA</t>
  </si>
  <si>
    <t>EHITUSTÖÖDE AEGNE INTRESS</t>
  </si>
  <si>
    <t>Intressikulu</t>
  </si>
  <si>
    <t>PROJEKTIJUHTIMISE KAUDSED KULUD, KM-TA</t>
  </si>
  <si>
    <t>EELDATAV MAKSUMUS KOKKU KOOS KAUDSETE KULUDEGA, KM-TA</t>
  </si>
  <si>
    <t>SISSEVOOL, KM-TA</t>
  </si>
  <si>
    <t>CO2 toetus jmt</t>
  </si>
  <si>
    <t>EELDATAV MAKSUMUS KOOS KAUDSETE KULUDE JA SISSEVOOLUGA, KM-TA</t>
  </si>
  <si>
    <t xml:space="preserve">KÄIBEMAKS </t>
  </si>
  <si>
    <t>EELDATAV MAKSUMUS KOKKU, KM-GA</t>
  </si>
  <si>
    <t>Lisa nr 2</t>
  </si>
  <si>
    <t>Sisustuse jagunemine (ainukasutuses pinnal)</t>
  </si>
  <si>
    <t>Sisustuse jagunemine (ühiskasutuses pinnal)</t>
  </si>
  <si>
    <t>Kokku (ainu- ja ühiskasutuses sisustuse jagunemine)</t>
  </si>
  <si>
    <t>Nimetus</t>
  </si>
  <si>
    <t>Kogus, tk</t>
  </si>
  <si>
    <t>Hind, EUR, km-ta</t>
  </si>
  <si>
    <t>EGT maksumus</t>
  </si>
  <si>
    <t>RaM (kaugtöö) kogus</t>
  </si>
  <si>
    <t>Ühiskasutus kogus</t>
  </si>
  <si>
    <t>Ühiskasutus maksumus</t>
  </si>
  <si>
    <t>EGT</t>
  </si>
  <si>
    <t>SiM</t>
  </si>
  <si>
    <t>MKA</t>
  </si>
  <si>
    <t>RKK</t>
  </si>
  <si>
    <t>RAM (REHO ja kaugtöö)</t>
  </si>
  <si>
    <t>Vakants</t>
  </si>
  <si>
    <t>8h ergonoomiline töötool</t>
  </si>
  <si>
    <t xml:space="preserve">Töölaud A (1400*700) </t>
  </si>
  <si>
    <t>Töölaud B (1600*700)</t>
  </si>
  <si>
    <t>Elektriliselt kõrgusregul. laud A (1400 x 700 mm)</t>
  </si>
  <si>
    <t xml:space="preserve">Elektriliselt kõrgusregul. laud B (1600 x 700 mm) </t>
  </si>
  <si>
    <t>Ratastel sahtliboks</t>
  </si>
  <si>
    <t>Akustiline lauasirm A (1400 x 450 mm)</t>
  </si>
  <si>
    <t>Akustiline lauasirm B (1600 x 450 mm)</t>
  </si>
  <si>
    <t>Metalljalgadel 3 riiulitasapinnaga ustega kapp</t>
  </si>
  <si>
    <t>Põrandanagi</t>
  </si>
  <si>
    <t>Akustiline tugitool</t>
  </si>
  <si>
    <t>Diivan 2-kohaline</t>
  </si>
  <si>
    <t>Diivan 3-kohaline</t>
  </si>
  <si>
    <t>Diivanilaud</t>
  </si>
  <si>
    <t>Koosolekulaud</t>
  </si>
  <si>
    <t>Söögilaud</t>
  </si>
  <si>
    <t>Teeninduslaud PRIA</t>
  </si>
  <si>
    <t>Kliendiarvuti töölaud PRIA</t>
  </si>
  <si>
    <t>Elektriliselt kõrgusregul. laud SUUR 1800mm</t>
  </si>
  <si>
    <t>Akustiline lauasirm C (1800mm lauale)</t>
  </si>
  <si>
    <t>Klienditoolid</t>
  </si>
  <si>
    <t>Eeldatav maksumus kokku, km-ta:</t>
  </si>
  <si>
    <t>Sisustuse algväärtus (sh ühiskasutuses sisustus)</t>
  </si>
  <si>
    <t>Sisustuse remonttööd</t>
  </si>
  <si>
    <t>Sisustuse lõppväärtus</t>
  </si>
  <si>
    <t>Käibemaks</t>
  </si>
  <si>
    <t>Eeldatav maksumus kokku, km-ga:</t>
  </si>
  <si>
    <t>Töö nimetus</t>
  </si>
  <si>
    <t>RaM (REHO) osakaal pinnast</t>
  </si>
  <si>
    <t>RaM (REHO) maksumus</t>
  </si>
  <si>
    <t>VIROL MTÜ osakaal pinnast</t>
  </si>
  <si>
    <t>VIROL MTÜ maksumus</t>
  </si>
  <si>
    <t>LVAK SA osakaal pinnast</t>
  </si>
  <si>
    <t>LVAK SA maksumus</t>
  </si>
  <si>
    <t>VIROL MTÜ</t>
  </si>
  <si>
    <t>LVAK SA</t>
  </si>
  <si>
    <t>Kogu 0. korruse üüritav</t>
  </si>
  <si>
    <t>ETKI osakaal pinnast</t>
  </si>
  <si>
    <t>ETKI maksumus</t>
  </si>
  <si>
    <t>Eesti Taimekasvatuse Instituut</t>
  </si>
  <si>
    <t>6.18.</t>
  </si>
  <si>
    <t>Kujundus/viidandus</t>
  </si>
  <si>
    <t xml:space="preserve">Sisustuse nimekiri ja tegelik maksumus </t>
  </si>
  <si>
    <t>EGT kogus</t>
  </si>
  <si>
    <t>LVAK SA kogus</t>
  </si>
  <si>
    <t>VIROL MTÜ kogus</t>
  </si>
  <si>
    <t>MKA kogus</t>
  </si>
  <si>
    <t>RKK kogus</t>
  </si>
  <si>
    <t>SiM kogus</t>
  </si>
  <si>
    <t>RaM (REHO) kogus</t>
  </si>
  <si>
    <t>RAM (kaugtöö) maksumus</t>
  </si>
  <si>
    <t>ETKI kogus</t>
  </si>
  <si>
    <t>ETKI</t>
  </si>
  <si>
    <t xml:space="preserve">Elektriliselt kõrgusregul. laud C (1600 x 800 mm) </t>
  </si>
  <si>
    <t/>
  </si>
  <si>
    <t>Tegelik maksumus, EUR, km-ta</t>
  </si>
  <si>
    <t>Üürilepingu nr Ü18008/19  lisale nr 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</si>
</sst>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%"/>
    <numFmt numFmtId="165" formatCode="#,##0.0"/>
    <numFmt numFmtId="166" formatCode="#,##0&quot; a&quot;"/>
    <numFmt numFmtId="167" formatCode="#,##0\ &quot;€&quot;"/>
    <numFmt numFmtId="168" formatCode="#,##0.00\ &quot;€&quot;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1"/>
      <color rgb="FFFF0000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i/>
      <sz val="11"/>
      <color rgb="FF000000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50505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276">
    <xf numFmtId="0" fontId="0" fillId="0" borderId="0" xfId="0"/>
    <xf numFmtId="0" fontId="4" fillId="0" borderId="0" xfId="1" applyFont="1"/>
    <xf numFmtId="0" fontId="1" fillId="0" borderId="0" xfId="1" applyFont="1"/>
    <xf numFmtId="4" fontId="1" fillId="0" borderId="0" xfId="1" applyNumberFormat="1" applyFont="1" applyAlignment="1">
      <alignment horizontal="center"/>
    </xf>
    <xf numFmtId="4" fontId="6" fillId="0" borderId="0" xfId="2" applyNumberFormat="1" applyFont="1" applyAlignment="1">
      <alignment horizontal="right"/>
    </xf>
    <xf numFmtId="0" fontId="1" fillId="2" borderId="0" xfId="1" applyFont="1" applyFill="1"/>
    <xf numFmtId="4" fontId="7" fillId="0" borderId="0" xfId="2" applyNumberFormat="1" applyFont="1" applyAlignment="1">
      <alignment horizontal="right"/>
    </xf>
    <xf numFmtId="0" fontId="0" fillId="0" borderId="0" xfId="1" applyFont="1"/>
    <xf numFmtId="0" fontId="1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4" fontId="6" fillId="0" borderId="6" xfId="1" applyNumberFormat="1" applyFont="1" applyBorder="1" applyAlignment="1">
      <alignment horizontal="center" vertical="center" wrapText="1"/>
    </xf>
    <xf numFmtId="4" fontId="1" fillId="0" borderId="8" xfId="3" applyNumberFormat="1" applyBorder="1"/>
    <xf numFmtId="0" fontId="2" fillId="3" borderId="9" xfId="3" applyFont="1" applyFill="1" applyBorder="1" applyAlignment="1">
      <alignment horizontal="left" wrapText="1"/>
    </xf>
    <xf numFmtId="4" fontId="2" fillId="0" borderId="10" xfId="3" applyNumberFormat="1" applyFont="1" applyBorder="1" applyAlignment="1">
      <alignment horizontal="left" wrapText="1"/>
    </xf>
    <xf numFmtId="4" fontId="2" fillId="0" borderId="11" xfId="3" applyNumberFormat="1" applyFont="1" applyBorder="1" applyAlignment="1">
      <alignment horizontal="left" wrapText="1"/>
    </xf>
    <xf numFmtId="0" fontId="2" fillId="3" borderId="8" xfId="3" applyFont="1" applyFill="1" applyBorder="1" applyAlignment="1">
      <alignment horizontal="left" wrapText="1"/>
    </xf>
    <xf numFmtId="4" fontId="2" fillId="0" borderId="9" xfId="3" applyNumberFormat="1" applyFont="1" applyBorder="1" applyAlignment="1">
      <alignment horizontal="left" wrapText="1"/>
    </xf>
    <xf numFmtId="4" fontId="2" fillId="0" borderId="12" xfId="3" applyNumberFormat="1" applyFont="1" applyBorder="1" applyAlignment="1">
      <alignment horizontal="left" wrapText="1"/>
    </xf>
    <xf numFmtId="3" fontId="1" fillId="0" borderId="12" xfId="3" applyNumberFormat="1" applyBorder="1"/>
    <xf numFmtId="0" fontId="2" fillId="3" borderId="1" xfId="3" applyFont="1" applyFill="1" applyBorder="1" applyAlignment="1" applyProtection="1">
      <alignment horizontal="left"/>
      <protection hidden="1"/>
    </xf>
    <xf numFmtId="0" fontId="2" fillId="3" borderId="13" xfId="3" applyFont="1" applyFill="1" applyBorder="1" applyAlignment="1" applyProtection="1">
      <alignment horizontal="left" wrapText="1"/>
      <protection hidden="1"/>
    </xf>
    <xf numFmtId="0" fontId="2" fillId="4" borderId="13" xfId="3" applyFont="1" applyFill="1" applyBorder="1" applyAlignment="1" applyProtection="1">
      <alignment horizontal="left" wrapText="1"/>
      <protection hidden="1"/>
    </xf>
    <xf numFmtId="0" fontId="2" fillId="0" borderId="0" xfId="3" applyFont="1" applyAlignment="1" applyProtection="1">
      <alignment horizontal="left" wrapText="1"/>
      <protection hidden="1"/>
    </xf>
    <xf numFmtId="3" fontId="6" fillId="5" borderId="15" xfId="1" applyNumberFormat="1" applyFont="1" applyFill="1" applyBorder="1" applyAlignment="1">
      <alignment vertical="center" wrapText="1"/>
    </xf>
    <xf numFmtId="3" fontId="6" fillId="5" borderId="3" xfId="1" applyNumberFormat="1" applyFont="1" applyFill="1" applyBorder="1" applyAlignment="1">
      <alignment vertical="center" wrapText="1"/>
    </xf>
    <xf numFmtId="3" fontId="6" fillId="5" borderId="1" xfId="1" applyNumberFormat="1" applyFont="1" applyFill="1" applyBorder="1" applyAlignment="1">
      <alignment vertical="center" wrapText="1"/>
    </xf>
    <xf numFmtId="3" fontId="6" fillId="5" borderId="1" xfId="1" applyNumberFormat="1" applyFont="1" applyFill="1" applyBorder="1" applyAlignment="1">
      <alignment horizontal="right" vertical="center" wrapText="1"/>
    </xf>
    <xf numFmtId="4" fontId="1" fillId="0" borderId="0" xfId="3" applyNumberFormat="1"/>
    <xf numFmtId="164" fontId="1" fillId="2" borderId="2" xfId="4" applyNumberFormat="1" applyFill="1" applyBorder="1" applyAlignment="1">
      <alignment horizontal="center"/>
    </xf>
    <xf numFmtId="4" fontId="2" fillId="0" borderId="17" xfId="3" applyNumberFormat="1" applyFont="1" applyBorder="1"/>
    <xf numFmtId="4" fontId="2" fillId="0" borderId="18" xfId="3" applyNumberFormat="1" applyFont="1" applyBorder="1"/>
    <xf numFmtId="164" fontId="1" fillId="2" borderId="19" xfId="4" applyNumberFormat="1" applyFill="1" applyBorder="1" applyAlignment="1">
      <alignment horizontal="center"/>
    </xf>
    <xf numFmtId="4" fontId="1" fillId="0" borderId="20" xfId="3" applyNumberFormat="1" applyBorder="1" applyAlignment="1">
      <alignment horizontal="right"/>
    </xf>
    <xf numFmtId="4" fontId="1" fillId="0" borderId="21" xfId="3" applyNumberFormat="1" applyBorder="1" applyAlignment="1">
      <alignment horizontal="right"/>
    </xf>
    <xf numFmtId="3" fontId="1" fillId="0" borderId="21" xfId="3" applyNumberFormat="1" applyBorder="1"/>
    <xf numFmtId="0" fontId="12" fillId="0" borderId="1" xfId="3" applyFont="1" applyBorder="1" applyProtection="1">
      <protection hidden="1"/>
    </xf>
    <xf numFmtId="165" fontId="12" fillId="0" borderId="1" xfId="3" applyNumberFormat="1" applyFont="1" applyBorder="1" applyProtection="1">
      <protection hidden="1"/>
    </xf>
    <xf numFmtId="10" fontId="12" fillId="0" borderId="1" xfId="3" applyNumberFormat="1" applyFont="1" applyBorder="1" applyProtection="1">
      <protection hidden="1"/>
    </xf>
    <xf numFmtId="165" fontId="1" fillId="6" borderId="1" xfId="1" applyNumberFormat="1" applyFont="1" applyFill="1" applyBorder="1"/>
    <xf numFmtId="10" fontId="1" fillId="0" borderId="1" xfId="4" applyNumberFormat="1" applyFont="1" applyBorder="1"/>
    <xf numFmtId="0" fontId="1" fillId="0" borderId="0" xfId="4" applyNumberFormat="1" applyFont="1" applyFill="1" applyBorder="1"/>
    <xf numFmtId="0" fontId="6" fillId="3" borderId="14" xfId="1" applyFont="1" applyFill="1" applyBorder="1" applyAlignment="1">
      <alignment vertical="center" wrapText="1"/>
    </xf>
    <xf numFmtId="2" fontId="6" fillId="3" borderId="1" xfId="1" applyNumberFormat="1" applyFont="1" applyFill="1" applyBorder="1" applyAlignment="1">
      <alignment vertical="center" wrapText="1"/>
    </xf>
    <xf numFmtId="3" fontId="6" fillId="3" borderId="15" xfId="1" applyNumberFormat="1" applyFont="1" applyFill="1" applyBorder="1" applyAlignment="1">
      <alignment vertical="center" wrapText="1"/>
    </xf>
    <xf numFmtId="3" fontId="6" fillId="3" borderId="3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vertical="center" wrapText="1"/>
    </xf>
    <xf numFmtId="3" fontId="6" fillId="3" borderId="1" xfId="1" applyNumberFormat="1" applyFont="1" applyFill="1" applyBorder="1" applyAlignment="1">
      <alignment horizontal="right" vertical="center" wrapText="1"/>
    </xf>
    <xf numFmtId="0" fontId="13" fillId="0" borderId="22" xfId="3" applyFont="1" applyBorder="1"/>
    <xf numFmtId="4" fontId="13" fillId="0" borderId="23" xfId="3" applyNumberFormat="1" applyFont="1" applyBorder="1"/>
    <xf numFmtId="4" fontId="13" fillId="0" borderId="24" xfId="3" applyNumberFormat="1" applyFont="1" applyBorder="1" applyAlignment="1">
      <alignment horizontal="center"/>
    </xf>
    <xf numFmtId="4" fontId="14" fillId="0" borderId="25" xfId="3" applyNumberFormat="1" applyFont="1" applyBorder="1"/>
    <xf numFmtId="4" fontId="14" fillId="0" borderId="24" xfId="3" applyNumberFormat="1" applyFont="1" applyBorder="1"/>
    <xf numFmtId="4" fontId="14" fillId="0" borderId="23" xfId="3" applyNumberFormat="1" applyFont="1" applyBorder="1"/>
    <xf numFmtId="4" fontId="14" fillId="0" borderId="26" xfId="3" applyNumberFormat="1" applyFont="1" applyBorder="1"/>
    <xf numFmtId="3" fontId="13" fillId="3" borderId="27" xfId="3" applyNumberFormat="1" applyFont="1" applyFill="1" applyBorder="1"/>
    <xf numFmtId="165" fontId="1" fillId="0" borderId="1" xfId="1" applyNumberFormat="1" applyFont="1" applyBorder="1"/>
    <xf numFmtId="0" fontId="7" fillId="0" borderId="14" xfId="1" applyFont="1" applyBorder="1" applyAlignment="1">
      <alignment vertical="center" wrapText="1"/>
    </xf>
    <xf numFmtId="2" fontId="7" fillId="0" borderId="1" xfId="1" applyNumberFormat="1" applyFont="1" applyBorder="1" applyAlignment="1">
      <alignment vertical="center" wrapText="1"/>
    </xf>
    <xf numFmtId="3" fontId="7" fillId="0" borderId="15" xfId="1" applyNumberFormat="1" applyFont="1" applyBorder="1" applyAlignment="1">
      <alignment vertical="center" wrapText="1"/>
    </xf>
    <xf numFmtId="3" fontId="7" fillId="0" borderId="3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right" vertical="center" wrapText="1"/>
    </xf>
    <xf numFmtId="0" fontId="13" fillId="0" borderId="28" xfId="3" applyFont="1" applyBorder="1"/>
    <xf numFmtId="4" fontId="13" fillId="0" borderId="0" xfId="3" applyNumberFormat="1" applyFont="1"/>
    <xf numFmtId="4" fontId="13" fillId="0" borderId="20" xfId="3" applyNumberFormat="1" applyFont="1" applyBorder="1" applyAlignment="1">
      <alignment horizontal="center"/>
    </xf>
    <xf numFmtId="4" fontId="14" fillId="0" borderId="29" xfId="3" applyNumberFormat="1" applyFont="1" applyBorder="1"/>
    <xf numFmtId="4" fontId="14" fillId="0" borderId="20" xfId="3" applyNumberFormat="1" applyFont="1" applyBorder="1"/>
    <xf numFmtId="4" fontId="14" fillId="0" borderId="0" xfId="3" applyNumberFormat="1" applyFont="1"/>
    <xf numFmtId="4" fontId="14" fillId="0" borderId="27" xfId="3" applyNumberFormat="1" applyFont="1" applyBorder="1"/>
    <xf numFmtId="3" fontId="14" fillId="3" borderId="27" xfId="3" applyNumberFormat="1" applyFont="1" applyFill="1" applyBorder="1"/>
    <xf numFmtId="0" fontId="13" fillId="0" borderId="16" xfId="3" applyFont="1" applyBorder="1"/>
    <xf numFmtId="4" fontId="13" fillId="0" borderId="30" xfId="3" applyNumberFormat="1" applyFont="1" applyBorder="1"/>
    <xf numFmtId="4" fontId="13" fillId="0" borderId="31" xfId="3" applyNumberFormat="1" applyFont="1" applyBorder="1" applyAlignment="1">
      <alignment horizontal="center"/>
    </xf>
    <xf numFmtId="4" fontId="13" fillId="0" borderId="32" xfId="3" applyNumberFormat="1" applyFont="1" applyBorder="1"/>
    <xf numFmtId="4" fontId="13" fillId="0" borderId="31" xfId="3" applyNumberFormat="1" applyFont="1" applyBorder="1"/>
    <xf numFmtId="4" fontId="13" fillId="0" borderId="21" xfId="3" applyNumberFormat="1" applyFont="1" applyBorder="1"/>
    <xf numFmtId="3" fontId="13" fillId="3" borderId="21" xfId="3" applyNumberFormat="1" applyFont="1" applyFill="1" applyBorder="1"/>
    <xf numFmtId="166" fontId="7" fillId="0" borderId="1" xfId="1" applyNumberFormat="1" applyFont="1" applyBorder="1" applyAlignment="1">
      <alignment horizontal="right" vertical="center" wrapText="1"/>
    </xf>
    <xf numFmtId="4" fontId="14" fillId="0" borderId="20" xfId="3" applyNumberFormat="1" applyFont="1" applyBorder="1" applyAlignment="1">
      <alignment horizontal="center"/>
    </xf>
    <xf numFmtId="0" fontId="13" fillId="0" borderId="7" xfId="3" applyFont="1" applyBorder="1"/>
    <xf numFmtId="4" fontId="13" fillId="0" borderId="33" xfId="3" applyNumberFormat="1" applyFont="1" applyBorder="1"/>
    <xf numFmtId="4" fontId="13" fillId="0" borderId="8" xfId="3" applyNumberFormat="1" applyFont="1" applyBorder="1" applyAlignment="1">
      <alignment horizontal="center"/>
    </xf>
    <xf numFmtId="4" fontId="13" fillId="0" borderId="8" xfId="3" applyNumberFormat="1" applyFont="1" applyBorder="1"/>
    <xf numFmtId="4" fontId="13" fillId="0" borderId="12" xfId="3" applyNumberFormat="1" applyFont="1" applyBorder="1"/>
    <xf numFmtId="3" fontId="13" fillId="3" borderId="12" xfId="3" applyNumberFormat="1" applyFont="1" applyFill="1" applyBorder="1"/>
    <xf numFmtId="4" fontId="13" fillId="0" borderId="29" xfId="3" applyNumberFormat="1" applyFont="1" applyBorder="1"/>
    <xf numFmtId="165" fontId="1" fillId="0" borderId="0" xfId="1" applyNumberFormat="1" applyFont="1"/>
    <xf numFmtId="0" fontId="13" fillId="0" borderId="34" xfId="3" applyFont="1" applyBorder="1"/>
    <xf numFmtId="4" fontId="13" fillId="0" borderId="35" xfId="3" applyNumberFormat="1" applyFont="1" applyBorder="1"/>
    <xf numFmtId="4" fontId="14" fillId="0" borderId="36" xfId="3" applyNumberFormat="1" applyFont="1" applyBorder="1"/>
    <xf numFmtId="4" fontId="14" fillId="0" borderId="35" xfId="3" applyNumberFormat="1" applyFont="1" applyBorder="1"/>
    <xf numFmtId="4" fontId="14" fillId="0" borderId="37" xfId="3" applyNumberFormat="1" applyFont="1" applyBorder="1"/>
    <xf numFmtId="3" fontId="13" fillId="3" borderId="37" xfId="3" applyNumberFormat="1" applyFont="1" applyFill="1" applyBorder="1"/>
    <xf numFmtId="0" fontId="2" fillId="0" borderId="1" xfId="3" applyFont="1" applyBorder="1" applyProtection="1">
      <protection hidden="1"/>
    </xf>
    <xf numFmtId="165" fontId="2" fillId="0" borderId="1" xfId="3" applyNumberFormat="1" applyFont="1" applyBorder="1" applyProtection="1">
      <protection hidden="1"/>
    </xf>
    <xf numFmtId="10" fontId="2" fillId="0" borderId="1" xfId="3" applyNumberFormat="1" applyFont="1" applyBorder="1" applyProtection="1">
      <protection hidden="1"/>
    </xf>
    <xf numFmtId="165" fontId="2" fillId="0" borderId="1" xfId="1" applyNumberFormat="1" applyFont="1" applyBorder="1"/>
    <xf numFmtId="9" fontId="2" fillId="0" borderId="1" xfId="4" applyFont="1" applyBorder="1"/>
    <xf numFmtId="4" fontId="1" fillId="0" borderId="0" xfId="1" applyNumberFormat="1" applyFont="1"/>
    <xf numFmtId="0" fontId="6" fillId="3" borderId="1" xfId="1" applyFont="1" applyFill="1" applyBorder="1" applyAlignment="1">
      <alignment vertical="center" wrapText="1"/>
    </xf>
    <xf numFmtId="3" fontId="7" fillId="0" borderId="3" xfId="1" applyNumberFormat="1" applyFont="1" applyBorder="1" applyAlignment="1">
      <alignment vertical="center" wrapText="1"/>
    </xf>
    <xf numFmtId="16" fontId="7" fillId="0" borderId="14" xfId="1" applyNumberFormat="1" applyFont="1" applyBorder="1" applyAlignment="1">
      <alignment vertical="center" wrapText="1"/>
    </xf>
    <xf numFmtId="0" fontId="6" fillId="0" borderId="38" xfId="1" applyFont="1" applyBorder="1" applyAlignment="1">
      <alignment horizontal="right" vertical="center" wrapText="1"/>
    </xf>
    <xf numFmtId="0" fontId="6" fillId="0" borderId="13" xfId="1" applyFont="1" applyBorder="1" applyAlignment="1">
      <alignment horizontal="left" vertical="center" wrapText="1"/>
    </xf>
    <xf numFmtId="3" fontId="7" fillId="0" borderId="39" xfId="1" applyNumberFormat="1" applyFont="1" applyBorder="1" applyAlignment="1">
      <alignment vertical="center" wrapText="1"/>
    </xf>
    <xf numFmtId="3" fontId="6" fillId="0" borderId="3" xfId="1" applyNumberFormat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left" vertical="center" wrapText="1"/>
    </xf>
    <xf numFmtId="3" fontId="6" fillId="5" borderId="42" xfId="1" applyNumberFormat="1" applyFont="1" applyFill="1" applyBorder="1" applyAlignment="1">
      <alignment vertical="center" wrapText="1"/>
    </xf>
    <xf numFmtId="3" fontId="6" fillId="5" borderId="25" xfId="1" applyNumberFormat="1" applyFont="1" applyFill="1" applyBorder="1" applyAlignment="1">
      <alignment vertical="center" wrapText="1"/>
    </xf>
    <xf numFmtId="3" fontId="6" fillId="5" borderId="13" xfId="1" applyNumberFormat="1" applyFont="1" applyFill="1" applyBorder="1" applyAlignment="1">
      <alignment vertical="center" wrapText="1"/>
    </xf>
    <xf numFmtId="3" fontId="6" fillId="5" borderId="13" xfId="1" applyNumberFormat="1" applyFont="1" applyFill="1" applyBorder="1" applyAlignment="1">
      <alignment horizontal="right" vertical="center" wrapText="1"/>
    </xf>
    <xf numFmtId="3" fontId="6" fillId="5" borderId="31" xfId="1" applyNumberFormat="1" applyFont="1" applyFill="1" applyBorder="1" applyAlignment="1">
      <alignment vertical="center" wrapText="1"/>
    </xf>
    <xf numFmtId="0" fontId="7" fillId="0" borderId="24" xfId="1" applyFont="1" applyBorder="1" applyAlignment="1">
      <alignment vertical="center" wrapText="1"/>
    </xf>
    <xf numFmtId="0" fontId="7" fillId="0" borderId="23" xfId="1" applyFont="1" applyBorder="1" applyAlignment="1">
      <alignment vertical="center" wrapText="1"/>
    </xf>
    <xf numFmtId="1" fontId="6" fillId="0" borderId="23" xfId="1" applyNumberFormat="1" applyFont="1" applyBorder="1" applyAlignment="1">
      <alignment vertical="center" wrapText="1"/>
    </xf>
    <xf numFmtId="0" fontId="6" fillId="0" borderId="23" xfId="1" applyFont="1" applyBorder="1" applyAlignment="1">
      <alignment vertical="center" wrapText="1"/>
    </xf>
    <xf numFmtId="0" fontId="1" fillId="0" borderId="0" xfId="1" applyFont="1" applyAlignment="1">
      <alignment horizontal="right"/>
    </xf>
    <xf numFmtId="2" fontId="1" fillId="0" borderId="0" xfId="1" applyNumberFormat="1" applyFont="1"/>
    <xf numFmtId="0" fontId="6" fillId="3" borderId="14" xfId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left" vertical="center" wrapText="1"/>
    </xf>
    <xf numFmtId="3" fontId="6" fillId="3" borderId="2" xfId="1" applyNumberFormat="1" applyFont="1" applyFill="1" applyBorder="1" applyAlignment="1">
      <alignment vertical="center" wrapText="1"/>
    </xf>
    <xf numFmtId="0" fontId="6" fillId="0" borderId="20" xfId="1" applyFont="1" applyBorder="1" applyAlignment="1">
      <alignment horizontal="right" vertical="center" wrapText="1"/>
    </xf>
    <xf numFmtId="164" fontId="6" fillId="0" borderId="0" xfId="1" applyNumberFormat="1" applyFont="1" applyAlignment="1">
      <alignment horizontal="left" vertical="center" wrapText="1"/>
    </xf>
    <xf numFmtId="1" fontId="6" fillId="0" borderId="0" xfId="1" applyNumberFormat="1" applyFont="1" applyAlignment="1">
      <alignment horizontal="right" vertical="center" wrapText="1"/>
    </xf>
    <xf numFmtId="3" fontId="6" fillId="5" borderId="2" xfId="1" applyNumberFormat="1" applyFont="1" applyFill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0" xfId="1" applyFont="1" applyAlignment="1">
      <alignment vertical="center" wrapText="1"/>
    </xf>
    <xf numFmtId="1" fontId="6" fillId="0" borderId="0" xfId="1" applyNumberFormat="1" applyFont="1" applyAlignment="1">
      <alignment vertical="center" wrapText="1"/>
    </xf>
    <xf numFmtId="0" fontId="6" fillId="3" borderId="38" xfId="1" applyFont="1" applyFill="1" applyBorder="1" applyAlignment="1">
      <alignment horizontal="right" vertical="center" wrapText="1"/>
    </xf>
    <xf numFmtId="164" fontId="6" fillId="3" borderId="13" xfId="1" applyNumberFormat="1" applyFont="1" applyFill="1" applyBorder="1" applyAlignment="1">
      <alignment horizontal="left" vertical="center" wrapText="1"/>
    </xf>
    <xf numFmtId="3" fontId="6" fillId="3" borderId="24" xfId="1" applyNumberFormat="1" applyFont="1" applyFill="1" applyBorder="1" applyAlignment="1">
      <alignment vertical="center" wrapText="1"/>
    </xf>
    <xf numFmtId="3" fontId="6" fillId="5" borderId="45" xfId="1" applyNumberFormat="1" applyFont="1" applyFill="1" applyBorder="1" applyAlignment="1">
      <alignment vertical="center" wrapText="1"/>
    </xf>
    <xf numFmtId="10" fontId="7" fillId="0" borderId="13" xfId="1" applyNumberFormat="1" applyFont="1" applyBorder="1" applyAlignment="1">
      <alignment horizontal="left" vertical="center" wrapText="1"/>
    </xf>
    <xf numFmtId="3" fontId="6" fillId="0" borderId="24" xfId="1" applyNumberFormat="1" applyFont="1" applyBorder="1" applyAlignment="1">
      <alignment vertical="center" wrapText="1"/>
    </xf>
    <xf numFmtId="10" fontId="6" fillId="0" borderId="0" xfId="1" applyNumberFormat="1" applyFont="1" applyAlignment="1">
      <alignment horizontal="left" vertical="center" wrapText="1"/>
    </xf>
    <xf numFmtId="9" fontId="6" fillId="3" borderId="1" xfId="1" applyNumberFormat="1" applyFont="1" applyFill="1" applyBorder="1" applyAlignment="1">
      <alignment horizontal="left" vertical="center" wrapText="1"/>
    </xf>
    <xf numFmtId="9" fontId="6" fillId="0" borderId="0" xfId="1" applyNumberFormat="1" applyFont="1" applyAlignment="1">
      <alignment horizontal="left" vertical="center" wrapText="1"/>
    </xf>
    <xf numFmtId="3" fontId="6" fillId="5" borderId="48" xfId="1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4" fontId="6" fillId="0" borderId="0" xfId="1" applyNumberFormat="1" applyFont="1" applyAlignment="1">
      <alignment vertical="center" wrapText="1"/>
    </xf>
    <xf numFmtId="0" fontId="10" fillId="0" borderId="0" xfId="1" applyFont="1"/>
    <xf numFmtId="4" fontId="10" fillId="0" borderId="0" xfId="1" applyNumberFormat="1" applyFont="1" applyAlignment="1">
      <alignment horizontal="right"/>
    </xf>
    <xf numFmtId="0" fontId="1" fillId="0" borderId="0" xfId="1" applyFont="1" applyFill="1"/>
    <xf numFmtId="3" fontId="1" fillId="0" borderId="0" xfId="1" applyNumberFormat="1" applyFont="1" applyFill="1"/>
    <xf numFmtId="0" fontId="2" fillId="3" borderId="10" xfId="3" applyFont="1" applyFill="1" applyBorder="1" applyAlignment="1">
      <alignment horizontal="left" wrapText="1"/>
    </xf>
    <xf numFmtId="164" fontId="1" fillId="2" borderId="1" xfId="4" applyNumberFormat="1" applyFill="1" applyBorder="1" applyAlignment="1">
      <alignment horizontal="center"/>
    </xf>
    <xf numFmtId="165" fontId="1" fillId="0" borderId="0" xfId="1" applyNumberFormat="1" applyFont="1" applyFill="1"/>
    <xf numFmtId="0" fontId="12" fillId="0" borderId="0" xfId="3" applyFont="1"/>
    <xf numFmtId="0" fontId="17" fillId="0" borderId="0" xfId="2" applyFont="1" applyAlignment="1">
      <alignment horizontal="right"/>
    </xf>
    <xf numFmtId="0" fontId="12" fillId="2" borderId="0" xfId="3" applyFont="1" applyFill="1"/>
    <xf numFmtId="0" fontId="12" fillId="0" borderId="0" xfId="3" applyFont="1" applyAlignment="1">
      <alignment horizontal="left"/>
    </xf>
    <xf numFmtId="4" fontId="5" fillId="0" borderId="0" xfId="2" applyNumberFormat="1" applyAlignment="1">
      <alignment horizontal="right"/>
    </xf>
    <xf numFmtId="0" fontId="5" fillId="0" borderId="0" xfId="2" applyAlignment="1">
      <alignment horizontal="right"/>
    </xf>
    <xf numFmtId="0" fontId="2" fillId="0" borderId="40" xfId="3" applyFont="1" applyBorder="1" applyAlignment="1">
      <alignment horizontal="left"/>
    </xf>
    <xf numFmtId="0" fontId="19" fillId="0" borderId="41" xfId="3" applyFont="1" applyBorder="1" applyAlignment="1">
      <alignment horizontal="center"/>
    </xf>
    <xf numFmtId="0" fontId="19" fillId="0" borderId="41" xfId="3" applyFont="1" applyBorder="1" applyAlignment="1">
      <alignment horizontal="center" wrapText="1"/>
    </xf>
    <xf numFmtId="0" fontId="19" fillId="0" borderId="42" xfId="3" applyFont="1" applyBorder="1" applyAlignment="1">
      <alignment horizontal="center" wrapText="1"/>
    </xf>
    <xf numFmtId="0" fontId="2" fillId="0" borderId="40" xfId="3" applyFont="1" applyBorder="1" applyAlignment="1">
      <alignment horizontal="center"/>
    </xf>
    <xf numFmtId="0" fontId="2" fillId="0" borderId="42" xfId="3" applyFont="1" applyBorder="1" applyAlignment="1">
      <alignment horizontal="center"/>
    </xf>
    <xf numFmtId="0" fontId="2" fillId="0" borderId="0" xfId="3" applyFont="1" applyAlignment="1">
      <alignment horizontal="center"/>
    </xf>
    <xf numFmtId="0" fontId="2" fillId="3" borderId="40" xfId="3" applyFont="1" applyFill="1" applyBorder="1" applyAlignment="1">
      <alignment horizontal="center" wrapText="1"/>
    </xf>
    <xf numFmtId="4" fontId="2" fillId="0" borderId="41" xfId="3" applyNumberFormat="1" applyFont="1" applyBorder="1" applyAlignment="1">
      <alignment horizontal="center" wrapText="1"/>
    </xf>
    <xf numFmtId="0" fontId="2" fillId="3" borderId="41" xfId="3" applyFont="1" applyFill="1" applyBorder="1" applyAlignment="1" applyProtection="1">
      <alignment horizontal="center"/>
      <protection hidden="1"/>
    </xf>
    <xf numFmtId="4" fontId="2" fillId="3" borderId="41" xfId="3" applyNumberFormat="1" applyFont="1" applyFill="1" applyBorder="1" applyAlignment="1">
      <alignment horizontal="center" wrapText="1"/>
    </xf>
    <xf numFmtId="0" fontId="2" fillId="3" borderId="41" xfId="3" applyFont="1" applyFill="1" applyBorder="1" applyAlignment="1">
      <alignment horizontal="center" wrapText="1"/>
    </xf>
    <xf numFmtId="4" fontId="2" fillId="0" borderId="42" xfId="3" applyNumberFormat="1" applyFont="1" applyBorder="1" applyAlignment="1">
      <alignment horizontal="center" wrapText="1"/>
    </xf>
    <xf numFmtId="0" fontId="2" fillId="3" borderId="49" xfId="3" applyFont="1" applyFill="1" applyBorder="1" applyAlignment="1" applyProtection="1">
      <alignment horizontal="center"/>
      <protection hidden="1"/>
    </xf>
    <xf numFmtId="0" fontId="2" fillId="3" borderId="41" xfId="3" applyFont="1" applyFill="1" applyBorder="1" applyAlignment="1" applyProtection="1">
      <alignment horizontal="center" wrapText="1"/>
      <protection hidden="1"/>
    </xf>
    <xf numFmtId="0" fontId="2" fillId="3" borderId="42" xfId="3" applyFont="1" applyFill="1" applyBorder="1" applyAlignment="1" applyProtection="1">
      <alignment horizontal="center"/>
      <protection hidden="1"/>
    </xf>
    <xf numFmtId="0" fontId="2" fillId="0" borderId="0" xfId="3" applyFont="1" applyAlignment="1" applyProtection="1">
      <alignment horizontal="center"/>
      <protection hidden="1"/>
    </xf>
    <xf numFmtId="0" fontId="12" fillId="0" borderId="0" xfId="3" applyFont="1" applyAlignment="1">
      <alignment wrapText="1"/>
    </xf>
    <xf numFmtId="0" fontId="20" fillId="0" borderId="43" xfId="3" applyFont="1" applyBorder="1" applyAlignment="1">
      <alignment horizontal="left" vertical="center"/>
    </xf>
    <xf numFmtId="0" fontId="1" fillId="0" borderId="44" xfId="3" applyBorder="1"/>
    <xf numFmtId="167" fontId="7" fillId="0" borderId="44" xfId="5" applyNumberFormat="1" applyFont="1" applyBorder="1" applyAlignment="1">
      <alignment horizontal="right" vertical="top" wrapText="1"/>
    </xf>
    <xf numFmtId="3" fontId="12" fillId="3" borderId="50" xfId="3" applyNumberFormat="1" applyFont="1" applyFill="1" applyBorder="1"/>
    <xf numFmtId="0" fontId="12" fillId="0" borderId="43" xfId="3" applyFont="1" applyBorder="1" applyAlignment="1">
      <alignment horizontal="center"/>
    </xf>
    <xf numFmtId="0" fontId="12" fillId="0" borderId="50" xfId="3" applyFont="1" applyBorder="1"/>
    <xf numFmtId="0" fontId="1" fillId="3" borderId="4" xfId="3" applyFill="1" applyBorder="1" applyAlignment="1">
      <alignment horizontal="center"/>
    </xf>
    <xf numFmtId="168" fontId="7" fillId="0" borderId="44" xfId="5" applyNumberFormat="1" applyFont="1" applyBorder="1" applyAlignment="1">
      <alignment horizontal="right" vertical="top" wrapText="1"/>
    </xf>
    <xf numFmtId="168" fontId="7" fillId="3" borderId="44" xfId="5" applyNumberFormat="1" applyFont="1" applyFill="1" applyBorder="1" applyAlignment="1">
      <alignment horizontal="right" vertical="top" wrapText="1"/>
    </xf>
    <xf numFmtId="0" fontId="1" fillId="3" borderId="5" xfId="3" applyFill="1" applyBorder="1" applyAlignment="1">
      <alignment horizontal="center"/>
    </xf>
    <xf numFmtId="0" fontId="0" fillId="3" borderId="5" xfId="5" applyNumberFormat="1" applyFont="1" applyFill="1" applyBorder="1" applyAlignment="1">
      <alignment horizontal="center"/>
    </xf>
    <xf numFmtId="168" fontId="7" fillId="0" borderId="50" xfId="5" applyNumberFormat="1" applyFont="1" applyBorder="1" applyAlignment="1">
      <alignment horizontal="right" vertical="top" wrapText="1"/>
    </xf>
    <xf numFmtId="4" fontId="12" fillId="0" borderId="0" xfId="3" applyNumberFormat="1" applyFont="1"/>
    <xf numFmtId="168" fontId="7" fillId="0" borderId="43" xfId="5" applyNumberFormat="1" applyFont="1" applyBorder="1" applyAlignment="1">
      <alignment horizontal="right" vertical="top" wrapText="1"/>
    </xf>
    <xf numFmtId="168" fontId="7" fillId="0" borderId="0" xfId="5" applyNumberFormat="1" applyFont="1" applyFill="1" applyBorder="1" applyAlignment="1">
      <alignment horizontal="right" vertical="top" wrapText="1"/>
    </xf>
    <xf numFmtId="168" fontId="7" fillId="0" borderId="4" xfId="5" applyNumberFormat="1" applyFont="1" applyBorder="1" applyAlignment="1">
      <alignment horizontal="right" vertical="top" wrapText="1"/>
    </xf>
    <xf numFmtId="168" fontId="7" fillId="0" borderId="5" xfId="5" applyNumberFormat="1" applyFont="1" applyBorder="1" applyAlignment="1">
      <alignment horizontal="right" vertical="top" wrapText="1"/>
    </xf>
    <xf numFmtId="168" fontId="7" fillId="0" borderId="6" xfId="5" applyNumberFormat="1" applyFont="1" applyBorder="1" applyAlignment="1">
      <alignment horizontal="right" vertical="top" wrapText="1"/>
    </xf>
    <xf numFmtId="9" fontId="12" fillId="0" borderId="0" xfId="4" applyFont="1"/>
    <xf numFmtId="0" fontId="20" fillId="0" borderId="14" xfId="3" applyFont="1" applyBorder="1" applyAlignment="1">
      <alignment horizontal="left" vertical="center"/>
    </xf>
    <xf numFmtId="0" fontId="12" fillId="0" borderId="15" xfId="3" applyFont="1" applyBorder="1"/>
    <xf numFmtId="0" fontId="1" fillId="3" borderId="14" xfId="3" applyFill="1" applyBorder="1" applyAlignment="1">
      <alignment horizontal="center"/>
    </xf>
    <xf numFmtId="0" fontId="1" fillId="3" borderId="1" xfId="3" applyFill="1" applyBorder="1" applyAlignment="1">
      <alignment horizontal="center"/>
    </xf>
    <xf numFmtId="0" fontId="0" fillId="3" borderId="1" xfId="5" applyNumberFormat="1" applyFont="1" applyFill="1" applyBorder="1" applyAlignment="1">
      <alignment horizontal="center"/>
    </xf>
    <xf numFmtId="168" fontId="7" fillId="0" borderId="14" xfId="5" applyNumberFormat="1" applyFont="1" applyBorder="1" applyAlignment="1">
      <alignment horizontal="right" vertical="top" wrapText="1"/>
    </xf>
    <xf numFmtId="168" fontId="7" fillId="0" borderId="1" xfId="5" applyNumberFormat="1" applyFont="1" applyBorder="1" applyAlignment="1">
      <alignment horizontal="right" vertical="top" wrapText="1"/>
    </xf>
    <xf numFmtId="168" fontId="7" fillId="0" borderId="15" xfId="5" applyNumberFormat="1" applyFont="1" applyBorder="1" applyAlignment="1">
      <alignment horizontal="right" vertical="top" wrapText="1"/>
    </xf>
    <xf numFmtId="0" fontId="20" fillId="0" borderId="38" xfId="3" applyFont="1" applyBorder="1" applyAlignment="1">
      <alignment horizontal="left" vertical="center"/>
    </xf>
    <xf numFmtId="10" fontId="2" fillId="0" borderId="1" xfId="4" applyNumberFormat="1" applyFont="1" applyBorder="1"/>
    <xf numFmtId="0" fontId="12" fillId="0" borderId="14" xfId="3" applyFont="1" applyBorder="1" applyAlignment="1">
      <alignment horizontal="left" vertical="center"/>
    </xf>
    <xf numFmtId="165" fontId="12" fillId="0" borderId="0" xfId="3" applyNumberFormat="1" applyFont="1" applyProtection="1">
      <protection hidden="1"/>
    </xf>
    <xf numFmtId="10" fontId="12" fillId="0" borderId="0" xfId="3" applyNumberFormat="1" applyFont="1" applyProtection="1">
      <protection hidden="1"/>
    </xf>
    <xf numFmtId="0" fontId="12" fillId="0" borderId="14" xfId="3" applyFont="1" applyBorder="1" applyAlignment="1">
      <alignment horizontal="left"/>
    </xf>
    <xf numFmtId="165" fontId="12" fillId="0" borderId="0" xfId="3" applyNumberFormat="1" applyFont="1"/>
    <xf numFmtId="10" fontId="12" fillId="0" borderId="0" xfId="3" applyNumberFormat="1" applyFont="1"/>
    <xf numFmtId="0" fontId="12" fillId="0" borderId="43" xfId="3" applyFont="1" applyBorder="1" applyAlignment="1">
      <alignment horizontal="left"/>
    </xf>
    <xf numFmtId="0" fontId="19" fillId="5" borderId="40" xfId="3" applyFont="1" applyFill="1" applyBorder="1" applyAlignment="1">
      <alignment horizontal="right"/>
    </xf>
    <xf numFmtId="0" fontId="19" fillId="5" borderId="51" xfId="3" applyFont="1" applyFill="1" applyBorder="1" applyAlignment="1">
      <alignment horizontal="right"/>
    </xf>
    <xf numFmtId="0" fontId="12" fillId="5" borderId="51" xfId="3" applyFont="1" applyFill="1" applyBorder="1"/>
    <xf numFmtId="3" fontId="2" fillId="5" borderId="51" xfId="3" applyNumberFormat="1" applyFont="1" applyFill="1" applyBorder="1"/>
    <xf numFmtId="3" fontId="12" fillId="5" borderId="51" xfId="3" applyNumberFormat="1" applyFont="1" applyFill="1" applyBorder="1"/>
    <xf numFmtId="4" fontId="19" fillId="5" borderId="51" xfId="3" applyNumberFormat="1" applyFont="1" applyFill="1" applyBorder="1"/>
    <xf numFmtId="4" fontId="2" fillId="5" borderId="51" xfId="3" applyNumberFormat="1" applyFont="1" applyFill="1" applyBorder="1"/>
    <xf numFmtId="4" fontId="12" fillId="5" borderId="51" xfId="3" applyNumberFormat="1" applyFont="1" applyFill="1" applyBorder="1" applyAlignment="1">
      <alignment horizontal="center"/>
    </xf>
    <xf numFmtId="4" fontId="12" fillId="5" borderId="51" xfId="3" applyNumberFormat="1" applyFont="1" applyFill="1" applyBorder="1"/>
    <xf numFmtId="4" fontId="2" fillId="5" borderId="52" xfId="3" applyNumberFormat="1" applyFont="1" applyFill="1" applyBorder="1"/>
    <xf numFmtId="0" fontId="12" fillId="3" borderId="40" xfId="3" applyFont="1" applyFill="1" applyBorder="1" applyAlignment="1">
      <alignment horizontal="right"/>
    </xf>
    <xf numFmtId="0" fontId="12" fillId="3" borderId="51" xfId="3" applyFont="1" applyFill="1" applyBorder="1" applyAlignment="1">
      <alignment horizontal="center"/>
    </xf>
    <xf numFmtId="0" fontId="19" fillId="3" borderId="51" xfId="3" applyFont="1" applyFill="1" applyBorder="1" applyAlignment="1">
      <alignment horizontal="right"/>
    </xf>
    <xf numFmtId="3" fontId="19" fillId="3" borderId="51" xfId="3" applyNumberFormat="1" applyFont="1" applyFill="1" applyBorder="1"/>
    <xf numFmtId="0" fontId="2" fillId="3" borderId="51" xfId="3" applyFont="1" applyFill="1" applyBorder="1"/>
    <xf numFmtId="4" fontId="12" fillId="3" borderId="51" xfId="3" applyNumberFormat="1" applyFont="1" applyFill="1" applyBorder="1"/>
    <xf numFmtId="4" fontId="12" fillId="3" borderId="52" xfId="3" applyNumberFormat="1" applyFont="1" applyFill="1" applyBorder="1"/>
    <xf numFmtId="0" fontId="2" fillId="5" borderId="40" xfId="3" applyFont="1" applyFill="1" applyBorder="1" applyAlignment="1">
      <alignment horizontal="right"/>
    </xf>
    <xf numFmtId="0" fontId="2" fillId="5" borderId="51" xfId="3" applyFont="1" applyFill="1" applyBorder="1"/>
    <xf numFmtId="0" fontId="19" fillId="3" borderId="51" xfId="3" applyFont="1" applyFill="1" applyBorder="1" applyAlignment="1">
      <alignment horizontal="center"/>
    </xf>
    <xf numFmtId="4" fontId="12" fillId="5" borderId="52" xfId="3" applyNumberFormat="1" applyFont="1" applyFill="1" applyBorder="1"/>
    <xf numFmtId="0" fontId="12" fillId="3" borderId="43" xfId="3" applyFont="1" applyFill="1" applyBorder="1" applyAlignment="1">
      <alignment horizontal="right"/>
    </xf>
    <xf numFmtId="9" fontId="12" fillId="3" borderId="32" xfId="3" applyNumberFormat="1" applyFont="1" applyFill="1" applyBorder="1"/>
    <xf numFmtId="0" fontId="12" fillId="3" borderId="30" xfId="3" applyFont="1" applyFill="1" applyBorder="1"/>
    <xf numFmtId="3" fontId="2" fillId="3" borderId="21" xfId="3" applyNumberFormat="1" applyFont="1" applyFill="1" applyBorder="1"/>
    <xf numFmtId="1" fontId="12" fillId="0" borderId="0" xfId="3" applyNumberFormat="1" applyFont="1"/>
    <xf numFmtId="0" fontId="19" fillId="5" borderId="53" xfId="3" applyFont="1" applyFill="1" applyBorder="1" applyAlignment="1">
      <alignment horizontal="right"/>
    </xf>
    <xf numFmtId="0" fontId="19" fillId="5" borderId="36" xfId="3" applyFont="1" applyFill="1" applyBorder="1" applyAlignment="1">
      <alignment horizontal="right"/>
    </xf>
    <xf numFmtId="0" fontId="12" fillId="5" borderId="36" xfId="3" applyFont="1" applyFill="1" applyBorder="1"/>
    <xf numFmtId="3" fontId="2" fillId="5" borderId="37" xfId="3" applyNumberFormat="1" applyFont="1" applyFill="1" applyBorder="1"/>
    <xf numFmtId="0" fontId="12" fillId="0" borderId="0" xfId="3" applyFont="1" applyFill="1"/>
    <xf numFmtId="168" fontId="12" fillId="0" borderId="0" xfId="3" applyNumberFormat="1" applyFont="1" applyFill="1"/>
    <xf numFmtId="0" fontId="2" fillId="0" borderId="0" xfId="1" applyFont="1" applyAlignment="1">
      <alignment horizontal="left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horizontal="left"/>
    </xf>
    <xf numFmtId="0" fontId="2" fillId="0" borderId="0" xfId="3" applyFont="1" applyAlignment="1">
      <alignment horizontal="left" wrapText="1"/>
    </xf>
    <xf numFmtId="4" fontId="2" fillId="0" borderId="0" xfId="3" applyNumberFormat="1" applyFont="1" applyAlignment="1">
      <alignment horizontal="left" wrapText="1"/>
    </xf>
    <xf numFmtId="4" fontId="1" fillId="0" borderId="17" xfId="3" applyNumberFormat="1" applyBorder="1" applyAlignment="1">
      <alignment horizontal="right"/>
    </xf>
    <xf numFmtId="10" fontId="12" fillId="0" borderId="1" xfId="6" applyNumberFormat="1" applyFont="1" applyBorder="1" applyProtection="1">
      <protection hidden="1"/>
    </xf>
    <xf numFmtId="0" fontId="1" fillId="0" borderId="1" xfId="1" applyFont="1" applyBorder="1"/>
    <xf numFmtId="10" fontId="2" fillId="0" borderId="1" xfId="6" applyNumberFormat="1" applyFont="1" applyBorder="1" applyProtection="1">
      <protection hidden="1"/>
    </xf>
    <xf numFmtId="3" fontId="1" fillId="0" borderId="0" xfId="1" applyNumberFormat="1" applyFont="1"/>
    <xf numFmtId="0" fontId="2" fillId="3" borderId="45" xfId="3" applyFont="1" applyFill="1" applyBorder="1" applyAlignment="1" applyProtection="1">
      <alignment horizontal="center" wrapText="1"/>
      <protection hidden="1"/>
    </xf>
    <xf numFmtId="0" fontId="2" fillId="3" borderId="1" xfId="3" applyFont="1" applyFill="1" applyBorder="1" applyAlignment="1" applyProtection="1">
      <alignment horizontal="left" wrapText="1"/>
      <protection hidden="1"/>
    </xf>
    <xf numFmtId="0" fontId="2" fillId="4" borderId="1" xfId="3" applyFont="1" applyFill="1" applyBorder="1" applyAlignment="1" applyProtection="1">
      <alignment horizontal="left" wrapText="1"/>
      <protection hidden="1"/>
    </xf>
    <xf numFmtId="0" fontId="2" fillId="0" borderId="1" xfId="1" applyFont="1" applyBorder="1"/>
    <xf numFmtId="3" fontId="12" fillId="0" borderId="0" xfId="3" applyNumberFormat="1" applyFont="1"/>
    <xf numFmtId="4" fontId="6" fillId="0" borderId="32" xfId="1" applyNumberFormat="1" applyFont="1" applyBorder="1" applyAlignment="1">
      <alignment horizontal="center" vertical="center" wrapText="1"/>
    </xf>
    <xf numFmtId="4" fontId="6" fillId="0" borderId="44" xfId="1" applyNumberFormat="1" applyFont="1" applyBorder="1" applyAlignment="1">
      <alignment horizontal="center" vertical="center" wrapText="1"/>
    </xf>
    <xf numFmtId="3" fontId="7" fillId="0" borderId="15" xfId="1" applyNumberFormat="1" applyFont="1" applyFill="1" applyBorder="1" applyAlignment="1">
      <alignment vertical="center" wrapText="1"/>
    </xf>
    <xf numFmtId="0" fontId="6" fillId="5" borderId="14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left"/>
    </xf>
    <xf numFmtId="0" fontId="4" fillId="0" borderId="0" xfId="1" applyFont="1" applyBorder="1" applyAlignment="1">
      <alignment horizontal="center"/>
    </xf>
    <xf numFmtId="4" fontId="8" fillId="0" borderId="30" xfId="1" applyNumberFormat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/>
    </xf>
    <xf numFmtId="0" fontId="11" fillId="3" borderId="7" xfId="3" applyFont="1" applyFill="1" applyBorder="1" applyAlignment="1">
      <alignment horizontal="left" vertical="center"/>
    </xf>
    <xf numFmtId="0" fontId="11" fillId="3" borderId="16" xfId="3" applyFont="1" applyFill="1" applyBorder="1" applyAlignment="1">
      <alignment horizontal="left" vertical="center"/>
    </xf>
    <xf numFmtId="0" fontId="6" fillId="5" borderId="40" xfId="1" applyFont="1" applyFill="1" applyBorder="1" applyAlignment="1">
      <alignment horizontal="left" vertical="center" wrapText="1"/>
    </xf>
    <xf numFmtId="0" fontId="6" fillId="5" borderId="41" xfId="1" applyFont="1" applyFill="1" applyBorder="1" applyAlignment="1">
      <alignment horizontal="left" vertical="center" wrapText="1"/>
    </xf>
    <xf numFmtId="0" fontId="6" fillId="5" borderId="43" xfId="1" applyFont="1" applyFill="1" applyBorder="1" applyAlignment="1">
      <alignment horizontal="left" vertical="center" wrapText="1"/>
    </xf>
    <xf numFmtId="0" fontId="6" fillId="5" borderId="44" xfId="1" applyFont="1" applyFill="1" applyBorder="1" applyAlignment="1">
      <alignment horizontal="left" vertical="center" wrapText="1"/>
    </xf>
    <xf numFmtId="0" fontId="6" fillId="5" borderId="46" xfId="1" applyFont="1" applyFill="1" applyBorder="1" applyAlignment="1">
      <alignment horizontal="left" vertical="center" wrapText="1"/>
    </xf>
    <xf numFmtId="0" fontId="6" fillId="5" borderId="47" xfId="1" applyFont="1" applyFill="1" applyBorder="1" applyAlignment="1">
      <alignment horizontal="left" vertical="center" wrapText="1"/>
    </xf>
    <xf numFmtId="0" fontId="18" fillId="0" borderId="0" xfId="3" applyFont="1" applyAlignment="1">
      <alignment horizontal="center"/>
    </xf>
    <xf numFmtId="0" fontId="18" fillId="0" borderId="0" xfId="3" applyFont="1" applyAlignment="1">
      <alignment horizontal="left"/>
    </xf>
  </cellXfs>
  <cellStyles count="7">
    <cellStyle name="Currency 2" xfId="5" xr:uid="{9265F12D-86AB-49FA-B4A2-A24FA68F6ABE}"/>
    <cellStyle name="Normaallaad" xfId="0" builtinId="0"/>
    <cellStyle name="Normaallaad 4 2" xfId="2" xr:uid="{963A5059-D227-4D99-9409-7AEAB99FBEEC}"/>
    <cellStyle name="Normal 2" xfId="3" xr:uid="{A6AE6B69-A00F-409F-9B71-320A1135B7F0}"/>
    <cellStyle name="Normal 5" xfId="1" xr:uid="{0C143EB0-768B-405A-800B-04413BB22A2B}"/>
    <cellStyle name="Percent 2" xfId="4" xr:uid="{0D62C139-7D19-4409-8DC3-3F43438BD8D7}"/>
    <cellStyle name="Percent 3" xfId="6" xr:uid="{FEFC4A09-E193-498A-B491-AE4F45E6B9E0}"/>
  </cellStyles>
  <dxfs count="4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L&#245;ppraportid/Tegemisel/900532/900532%20Projekti%20l&#245;ppraport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L&#245;ppraportid/Tegemisel/900490_Memoriaal/900490A_AET.3.10.v01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kas.rk\public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Arendusdivisjon/01_Arenduse_projektid/01_Projektid_Pohja-Eesti/EMTA_Stat%20yyrihange/Hindamine/koondanal&#252;&#252;s_11022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6_Finantsosakond/12_Projektianal&#252;&#252;s/Projektid/Henri/Kindlad%20investeeringud/Riia15%2013.08.2019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it/RKAS%20Pilv/FAO/LEPINGUD/YLEP%202019/RIIGIMAJADE%20lepingud/Kreutzwaldi%205/Kreutwaldi%205%20TM%20arendus%2026.11.2019%20v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"/>
      <sheetName val="stat__pakkumused"/>
      <sheetName val="EMTA_pakkumused"/>
      <sheetName val="koond_pakkumused"/>
      <sheetName val="vastavuse_hindamine1"/>
      <sheetName val="stat__pakkumused1"/>
      <sheetName val="EMTA_pakkumused1"/>
      <sheetName val="koond_pakkumused1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DEL uus"/>
      <sheetName val="Kreu5uus_prognoos"/>
      <sheetName val="Kreu5uus_eelarve"/>
      <sheetName val="MUDEL"/>
      <sheetName val="Kreu5_eelarve"/>
      <sheetName val="Amortisatsioon"/>
      <sheetName val="Kreu5_prognoos"/>
      <sheetName val="Investeeringud 1.3.2019"/>
      <sheetName val="Pinnad"/>
      <sheetName val="Päring (2)"/>
      <sheetName val="Lisa 6.1 A_ehitus"/>
      <sheetName val="Lisa 6.1 A_sisustus"/>
      <sheetName val="A_sisendinfo"/>
      <sheetName val="Lisa 6.1 B_ehitus"/>
      <sheetName val="B_sisendinfo"/>
      <sheetName val="Lisa 6.1 C_ehitus"/>
      <sheetName val="Lisa 6.1 C_sisustus vana"/>
      <sheetName val="Lisa 6.1 C_sisustus"/>
      <sheetName val="C_sisendinfo"/>
    </sheetNames>
    <sheetDataSet>
      <sheetData sheetId="0"/>
      <sheetData sheetId="1"/>
      <sheetData sheetId="2"/>
      <sheetData sheetId="3">
        <row r="1">
          <cell r="BA1">
            <v>4.5999999999999999E-2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7">
          <cell r="AM17">
            <v>1299.6999999999998</v>
          </cell>
        </row>
      </sheetData>
      <sheetData sheetId="11">
        <row r="29">
          <cell r="E29">
            <v>35128</v>
          </cell>
        </row>
      </sheetData>
      <sheetData sheetId="12"/>
      <sheetData sheetId="13">
        <row r="12">
          <cell r="AA12">
            <v>208.10000000000002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E542-6BB8-4987-AE30-BAC6A9082189}">
  <sheetPr codeName="Sheet2"/>
  <dimension ref="B1:AR80"/>
  <sheetViews>
    <sheetView tabSelected="1" zoomScale="80" zoomScaleNormal="80" workbookViewId="0">
      <pane ySplit="8" topLeftCell="A9" activePane="bottomLeft" state="frozen"/>
      <selection activeCell="AH22" sqref="AH22"/>
      <selection pane="bottomLeft" activeCell="H2" sqref="H2"/>
    </sheetView>
  </sheetViews>
  <sheetFormatPr defaultColWidth="9.140625" defaultRowHeight="15" outlineLevelCol="1" x14ac:dyDescent="0.25"/>
  <cols>
    <col min="1" max="1" width="3.7109375" style="2" customWidth="1"/>
    <col min="2" max="2" width="7.7109375" style="2" customWidth="1"/>
    <col min="3" max="3" width="71.140625" style="2" customWidth="1"/>
    <col min="4" max="4" width="15.5703125" style="3" customWidth="1"/>
    <col min="5" max="5" width="11.85546875" style="2" customWidth="1"/>
    <col min="6" max="6" width="12.42578125" style="2" customWidth="1"/>
    <col min="7" max="7" width="12" style="2" customWidth="1"/>
    <col min="8" max="8" width="12.42578125" style="2" customWidth="1"/>
    <col min="9" max="9" width="13.7109375" style="2" bestFit="1" customWidth="1"/>
    <col min="10" max="10" width="9.140625" style="2"/>
    <col min="11" max="11" width="41" style="2" bestFit="1" customWidth="1"/>
    <col min="12" max="12" width="9.140625" style="2"/>
    <col min="13" max="13" width="9.85546875" style="2" customWidth="1"/>
    <col min="14" max="14" width="12.28515625" style="2" bestFit="1" customWidth="1"/>
    <col min="15" max="15" width="11.42578125" style="2" customWidth="1"/>
    <col min="16" max="16" width="10.85546875" style="2" customWidth="1"/>
    <col min="17" max="17" width="9.85546875" style="2" customWidth="1"/>
    <col min="18" max="18" width="10.85546875" style="2" customWidth="1"/>
    <col min="19" max="19" width="9.85546875" style="2" customWidth="1"/>
    <col min="20" max="20" width="10.85546875" style="2" customWidth="1"/>
    <col min="21" max="21" width="9.85546875" style="2" customWidth="1"/>
    <col min="22" max="22" width="10.85546875" style="2" customWidth="1"/>
    <col min="23" max="23" width="11.140625" style="2" customWidth="1"/>
    <col min="24" max="24" width="10.85546875" style="2" customWidth="1"/>
    <col min="25" max="25" width="9.85546875" style="2" customWidth="1"/>
    <col min="26" max="30" width="10.85546875" style="2" customWidth="1"/>
    <col min="31" max="31" width="9.140625" style="2"/>
    <col min="32" max="32" width="9.140625" style="144"/>
    <col min="33" max="33" width="9.140625" style="2"/>
    <col min="34" max="34" width="44.42578125" style="2" bestFit="1" customWidth="1" outlineLevel="1"/>
    <col min="35" max="35" width="18.5703125" style="2" customWidth="1" outlineLevel="1"/>
    <col min="36" max="36" width="26.5703125" style="2" customWidth="1" outlineLevel="1"/>
    <col min="37" max="37" width="24.7109375" style="2" customWidth="1" outlineLevel="1"/>
    <col min="38" max="38" width="23" style="2" customWidth="1" outlineLevel="1"/>
    <col min="39" max="39" width="9.140625" style="2" customWidth="1" outlineLevel="1"/>
    <col min="40" max="40" width="9.7109375" style="2" customWidth="1" outlineLevel="1"/>
    <col min="41" max="41" width="16.7109375" style="2" customWidth="1" outlineLevel="1"/>
    <col min="42" max="42" width="14.28515625" style="2" customWidth="1" outlineLevel="1"/>
    <col min="43" max="43" width="11.42578125" style="2" customWidth="1" outlineLevel="1"/>
    <col min="44" max="44" width="14.85546875" style="2" bestFit="1" customWidth="1"/>
    <col min="45" max="16384" width="9.140625" style="2"/>
  </cols>
  <sheetData>
    <row r="1" spans="2:44" x14ac:dyDescent="0.25">
      <c r="B1" s="1"/>
      <c r="H1" s="4" t="s">
        <v>0</v>
      </c>
      <c r="AR1" s="5" t="s">
        <v>1</v>
      </c>
    </row>
    <row r="2" spans="2:44" x14ac:dyDescent="0.25">
      <c r="H2" s="6" t="s">
        <v>204</v>
      </c>
      <c r="AK2" s="7" t="s">
        <v>184</v>
      </c>
      <c r="AL2" s="2">
        <v>85.1</v>
      </c>
    </row>
    <row r="4" spans="2:44" x14ac:dyDescent="0.25">
      <c r="B4" s="261" t="s">
        <v>2</v>
      </c>
      <c r="C4" s="261"/>
      <c r="D4" s="261"/>
      <c r="P4" s="244"/>
      <c r="Q4" s="245"/>
      <c r="T4" s="244"/>
      <c r="U4" s="245"/>
      <c r="W4" s="244"/>
      <c r="X4" s="245"/>
      <c r="AC4" s="8"/>
      <c r="AD4" s="8"/>
      <c r="AH4" s="262" t="s">
        <v>3</v>
      </c>
      <c r="AI4" s="262"/>
      <c r="AJ4" s="262"/>
      <c r="AK4" s="262"/>
      <c r="AL4" s="262"/>
      <c r="AM4" s="262"/>
      <c r="AN4" s="262"/>
      <c r="AO4" s="262"/>
      <c r="AP4" s="262"/>
      <c r="AQ4" s="241"/>
    </row>
    <row r="6" spans="2:44" x14ac:dyDescent="0.25">
      <c r="B6" s="9"/>
      <c r="E6" s="263"/>
      <c r="F6" s="263"/>
      <c r="G6" s="263"/>
      <c r="H6" s="263"/>
    </row>
    <row r="7" spans="2:44" ht="15.75" thickBot="1" x14ac:dyDescent="0.3">
      <c r="B7" s="9"/>
      <c r="E7" s="264"/>
      <c r="F7" s="264"/>
      <c r="G7" s="265"/>
      <c r="H7" s="265"/>
    </row>
    <row r="8" spans="2:44" ht="60" x14ac:dyDescent="0.25">
      <c r="B8" s="10" t="s">
        <v>4</v>
      </c>
      <c r="C8" s="11" t="s">
        <v>175</v>
      </c>
      <c r="D8" s="12" t="s">
        <v>5</v>
      </c>
      <c r="E8" s="256" t="s">
        <v>6</v>
      </c>
      <c r="F8" s="257" t="s">
        <v>7</v>
      </c>
      <c r="G8" s="257" t="s">
        <v>8</v>
      </c>
      <c r="H8" s="257" t="s">
        <v>9</v>
      </c>
      <c r="K8" s="266" t="s">
        <v>10</v>
      </c>
      <c r="L8" s="13"/>
      <c r="M8" s="14" t="s">
        <v>11</v>
      </c>
      <c r="N8" s="15" t="s">
        <v>138</v>
      </c>
      <c r="O8" s="17" t="s">
        <v>180</v>
      </c>
      <c r="P8" s="15" t="s">
        <v>181</v>
      </c>
      <c r="Q8" s="14" t="s">
        <v>178</v>
      </c>
      <c r="R8" s="16" t="s">
        <v>179</v>
      </c>
      <c r="S8" s="17" t="s">
        <v>16</v>
      </c>
      <c r="T8" s="18" t="s">
        <v>17</v>
      </c>
      <c r="U8" s="14" t="s">
        <v>14</v>
      </c>
      <c r="V8" s="16" t="s">
        <v>15</v>
      </c>
      <c r="W8" s="14" t="s">
        <v>12</v>
      </c>
      <c r="X8" s="15" t="s">
        <v>13</v>
      </c>
      <c r="Y8" s="14" t="s">
        <v>176</v>
      </c>
      <c r="Z8" s="15" t="s">
        <v>177</v>
      </c>
      <c r="AA8" s="14" t="s">
        <v>185</v>
      </c>
      <c r="AB8" s="15" t="s">
        <v>186</v>
      </c>
      <c r="AC8" s="146" t="s">
        <v>18</v>
      </c>
      <c r="AD8" s="19"/>
      <c r="AE8" s="20"/>
      <c r="AH8" s="21" t="s">
        <v>19</v>
      </c>
      <c r="AI8" s="21" t="s">
        <v>20</v>
      </c>
      <c r="AJ8" s="21" t="s">
        <v>21</v>
      </c>
      <c r="AK8" s="21" t="s">
        <v>22</v>
      </c>
      <c r="AL8" s="21" t="s">
        <v>23</v>
      </c>
      <c r="AM8" s="21" t="s">
        <v>24</v>
      </c>
      <c r="AN8" s="21" t="s">
        <v>25</v>
      </c>
      <c r="AO8" s="22" t="s">
        <v>26</v>
      </c>
      <c r="AP8" s="23" t="s">
        <v>27</v>
      </c>
      <c r="AQ8" s="24"/>
    </row>
    <row r="9" spans="2:44" ht="14.25" customHeight="1" x14ac:dyDescent="0.25">
      <c r="B9" s="259" t="s">
        <v>28</v>
      </c>
      <c r="C9" s="260"/>
      <c r="D9" s="25">
        <f>SUM(D10+D12+D21+D25)</f>
        <v>12917</v>
      </c>
      <c r="E9" s="26"/>
      <c r="F9" s="27"/>
      <c r="G9" s="28"/>
      <c r="H9" s="28">
        <f>SUM(H10+H12+H21+H25)</f>
        <v>0</v>
      </c>
      <c r="K9" s="267"/>
      <c r="L9" s="29"/>
      <c r="M9" s="30">
        <f>AP9</f>
        <v>0.37520217125994776</v>
      </c>
      <c r="N9" s="31"/>
      <c r="O9" s="30">
        <f>AP10</f>
        <v>8.7343401717982813E-2</v>
      </c>
      <c r="P9" s="31"/>
      <c r="Q9" s="30">
        <f>AP11</f>
        <v>0.1110135816541802</v>
      </c>
      <c r="R9" s="31"/>
      <c r="S9" s="30">
        <f>AP12</f>
        <v>2.6451980330267952E-2</v>
      </c>
      <c r="T9" s="32"/>
      <c r="U9" s="33">
        <f>AP13</f>
        <v>1.6261755125124053E-2</v>
      </c>
      <c r="V9" s="34"/>
      <c r="W9" s="30">
        <f>AP14</f>
        <v>2.344371590055121E-2</v>
      </c>
      <c r="X9" s="32"/>
      <c r="Y9" s="33">
        <f>AP15</f>
        <v>0.20114034084933891</v>
      </c>
      <c r="Z9" s="246"/>
      <c r="AA9" s="147">
        <f>AP16</f>
        <v>1.5403323801456571E-2</v>
      </c>
      <c r="AB9" s="246"/>
      <c r="AC9" s="147">
        <f>AP17</f>
        <v>0.14373972936115045</v>
      </c>
      <c r="AD9" s="35"/>
      <c r="AE9" s="36"/>
      <c r="AH9" s="37" t="s">
        <v>29</v>
      </c>
      <c r="AI9" s="38">
        <v>418.30000000000007</v>
      </c>
      <c r="AJ9" s="38">
        <v>119.58058243436993</v>
      </c>
      <c r="AK9" s="38">
        <v>9.8087911061285524</v>
      </c>
      <c r="AL9" s="38">
        <v>1.75</v>
      </c>
      <c r="AM9" s="38">
        <v>549.43937354049854</v>
      </c>
      <c r="AN9" s="247">
        <v>0.37772540460642001</v>
      </c>
      <c r="AO9" s="40">
        <v>513.83937354049851</v>
      </c>
      <c r="AP9" s="41">
        <v>0.37520217125994776</v>
      </c>
      <c r="AQ9" s="42"/>
    </row>
    <row r="10" spans="2:44" ht="15.75" x14ac:dyDescent="0.25">
      <c r="B10" s="43">
        <v>1</v>
      </c>
      <c r="C10" s="44" t="s">
        <v>30</v>
      </c>
      <c r="D10" s="45">
        <f>SUM(D11:D11)</f>
        <v>0</v>
      </c>
      <c r="E10" s="46"/>
      <c r="F10" s="47"/>
      <c r="G10" s="48"/>
      <c r="H10" s="48">
        <f>SUM(H11:H11)</f>
        <v>0</v>
      </c>
      <c r="K10" s="49" t="s">
        <v>31</v>
      </c>
      <c r="L10" s="50"/>
      <c r="M10" s="51"/>
      <c r="N10" s="52">
        <f>$AE$10*M9</f>
        <v>114342.86169146908</v>
      </c>
      <c r="O10" s="53"/>
      <c r="P10" s="52">
        <f>$AE$10*O9</f>
        <v>26617.901673555261</v>
      </c>
      <c r="Q10" s="53"/>
      <c r="R10" s="52">
        <f>$AE$10*Q9</f>
        <v>33831.389009111415</v>
      </c>
      <c r="S10" s="53"/>
      <c r="T10" s="52">
        <f>$AE$10*S9</f>
        <v>8061.2410056491581</v>
      </c>
      <c r="U10" s="54"/>
      <c r="V10" s="52">
        <f>$AE$10*U9</f>
        <v>4955.7698743815554</v>
      </c>
      <c r="W10" s="53"/>
      <c r="X10" s="52">
        <f>$AE$10*W9</f>
        <v>7144.4724206929814</v>
      </c>
      <c r="Y10" s="54"/>
      <c r="Z10" s="52">
        <f>$AE$10*Y9</f>
        <v>61297.51887383603</v>
      </c>
      <c r="AA10" s="54"/>
      <c r="AB10" s="52">
        <f>$AE$10*AA9</f>
        <v>4694.1629284938899</v>
      </c>
      <c r="AC10" s="54"/>
      <c r="AD10" s="55">
        <f>$AE$10*AC9</f>
        <v>43804.682522810603</v>
      </c>
      <c r="AE10" s="56">
        <f>D59-D25</f>
        <v>304750</v>
      </c>
      <c r="AF10" s="145"/>
      <c r="AH10" s="37" t="s">
        <v>47</v>
      </c>
      <c r="AI10" s="38">
        <v>84.199999999999989</v>
      </c>
      <c r="AJ10" s="38">
        <v>24.630785607834785</v>
      </c>
      <c r="AK10" s="38">
        <v>1.9744207772795215</v>
      </c>
      <c r="AL10" s="38">
        <v>8.8115822676631925</v>
      </c>
      <c r="AM10" s="38">
        <v>119.61678865277749</v>
      </c>
      <c r="AN10" s="247">
        <v>8.2233458444092869E-2</v>
      </c>
      <c r="AO10" s="57">
        <v>119.61678865277749</v>
      </c>
      <c r="AP10" s="41">
        <v>8.7343401717982813E-2</v>
      </c>
      <c r="AQ10" s="42"/>
    </row>
    <row r="11" spans="2:44" ht="15.75" x14ac:dyDescent="0.25">
      <c r="B11" s="58" t="s">
        <v>33</v>
      </c>
      <c r="C11" s="59"/>
      <c r="D11" s="60" t="s">
        <v>34</v>
      </c>
      <c r="E11" s="61"/>
      <c r="F11" s="62"/>
      <c r="G11" s="63"/>
      <c r="H11" s="63" t="str">
        <f>IF(ISBLANK(G11),"",D11-D11/G11*10)</f>
        <v/>
      </c>
      <c r="K11" s="64" t="s">
        <v>35</v>
      </c>
      <c r="L11" s="65"/>
      <c r="M11" s="66"/>
      <c r="N11" s="67">
        <f>$AE$11*M9</f>
        <v>3345.677761124954</v>
      </c>
      <c r="O11" s="68"/>
      <c r="P11" s="67">
        <f>$AE$11*O9</f>
        <v>778.84111311925278</v>
      </c>
      <c r="Q11" s="68"/>
      <c r="R11" s="67">
        <f>$AE$11*Q9</f>
        <v>989.90810761032481</v>
      </c>
      <c r="S11" s="68"/>
      <c r="T11" s="67">
        <f>$AE$11*S9</f>
        <v>235.87230860499932</v>
      </c>
      <c r="U11" s="69"/>
      <c r="V11" s="67">
        <f>$AE$11*U9</f>
        <v>145.00607045073119</v>
      </c>
      <c r="W11" s="68"/>
      <c r="X11" s="67">
        <f>$AE$11*W9</f>
        <v>209.04761468521514</v>
      </c>
      <c r="Y11" s="69"/>
      <c r="Z11" s="67">
        <f>$AE$11*Y9</f>
        <v>1793.5684193535551</v>
      </c>
      <c r="AA11" s="69"/>
      <c r="AB11" s="67">
        <f>$AE$11*AA9</f>
        <v>137.35143833758823</v>
      </c>
      <c r="AC11" s="69"/>
      <c r="AD11" s="70">
        <f>$AE$11*AC9</f>
        <v>1281.7271667133787</v>
      </c>
      <c r="AE11" s="71">
        <f>D25</f>
        <v>8917</v>
      </c>
      <c r="AF11" s="145"/>
      <c r="AH11" s="37" t="s">
        <v>32</v>
      </c>
      <c r="AI11" s="38">
        <v>102.4</v>
      </c>
      <c r="AJ11" s="38">
        <v>29.499622324800669</v>
      </c>
      <c r="AK11" s="38">
        <v>2.4011958146487298</v>
      </c>
      <c r="AL11" s="38">
        <v>17.73228193595039</v>
      </c>
      <c r="AM11" s="38">
        <v>152.0331000753998</v>
      </c>
      <c r="AN11" s="247">
        <v>0.10451883684545567</v>
      </c>
      <c r="AO11" s="57">
        <v>152.0331000753998</v>
      </c>
      <c r="AP11" s="41">
        <v>0.1110135816541802</v>
      </c>
      <c r="AQ11" s="42"/>
    </row>
    <row r="12" spans="2:44" ht="15" customHeight="1" x14ac:dyDescent="0.25">
      <c r="B12" s="43">
        <v>2</v>
      </c>
      <c r="C12" s="44" t="s">
        <v>37</v>
      </c>
      <c r="D12" s="45">
        <f>SUM(D13:D20)</f>
        <v>4000</v>
      </c>
      <c r="E12" s="46"/>
      <c r="F12" s="47"/>
      <c r="G12" s="48"/>
      <c r="H12" s="48">
        <f>SUM(H13:H20)</f>
        <v>0</v>
      </c>
      <c r="K12" s="72" t="s">
        <v>38</v>
      </c>
      <c r="L12" s="73"/>
      <c r="M12" s="74"/>
      <c r="N12" s="75">
        <f>SUM(N10:N11)</f>
        <v>117688.53945259404</v>
      </c>
      <c r="O12" s="76"/>
      <c r="P12" s="75">
        <f>SUM(P10:P11)</f>
        <v>27396.742786674513</v>
      </c>
      <c r="Q12" s="76"/>
      <c r="R12" s="75">
        <f>SUM(R10:R11)</f>
        <v>34821.29711672174</v>
      </c>
      <c r="S12" s="76"/>
      <c r="T12" s="75">
        <f>SUM(T10:T11)</f>
        <v>8297.1133142541566</v>
      </c>
      <c r="U12" s="73"/>
      <c r="V12" s="75">
        <f>SUM(V10:V11)</f>
        <v>5100.7759448322868</v>
      </c>
      <c r="W12" s="76"/>
      <c r="X12" s="75">
        <f>SUM(X10:X11)</f>
        <v>7353.5200353781966</v>
      </c>
      <c r="Y12" s="73"/>
      <c r="Z12" s="75">
        <f>SUM(Z10:Z11)</f>
        <v>63091.087293189586</v>
      </c>
      <c r="AA12" s="73"/>
      <c r="AB12" s="75">
        <f>SUM(AB10:AB11)</f>
        <v>4831.5143668314786</v>
      </c>
      <c r="AC12" s="73"/>
      <c r="AD12" s="77">
        <f>SUM(AD10:AD11)</f>
        <v>45086.409689523978</v>
      </c>
      <c r="AE12" s="78">
        <f>SUM(AE10:AE11)</f>
        <v>313667</v>
      </c>
      <c r="AF12" s="145"/>
      <c r="AH12" s="37" t="s">
        <v>39</v>
      </c>
      <c r="AI12" s="38">
        <v>25.5</v>
      </c>
      <c r="AJ12" s="38">
        <v>7.4594421971471148</v>
      </c>
      <c r="AK12" s="38">
        <v>0.59795403587443952</v>
      </c>
      <c r="AL12" s="38">
        <v>2.6685908292804208</v>
      </c>
      <c r="AM12" s="38">
        <v>36.225987062301968</v>
      </c>
      <c r="AN12" s="247">
        <v>2.4904432189125511E-2</v>
      </c>
      <c r="AO12" s="57">
        <v>36.225987062301968</v>
      </c>
      <c r="AP12" s="41">
        <v>2.6451980330267952E-2</v>
      </c>
      <c r="AQ12" s="42"/>
    </row>
    <row r="13" spans="2:44" ht="15.75" x14ac:dyDescent="0.25">
      <c r="B13" s="58" t="s">
        <v>40</v>
      </c>
      <c r="C13" s="59" t="s">
        <v>41</v>
      </c>
      <c r="D13" s="60">
        <v>4000</v>
      </c>
      <c r="E13" s="61"/>
      <c r="F13" s="62"/>
      <c r="G13" s="79">
        <v>10</v>
      </c>
      <c r="H13" s="63">
        <f>IF(ISBLANK(G13),"",D13-D13/G13*10)</f>
        <v>0</v>
      </c>
      <c r="K13" s="64" t="s">
        <v>42</v>
      </c>
      <c r="L13" s="69"/>
      <c r="M13" s="80"/>
      <c r="N13" s="67">
        <f>$AE$13*M9</f>
        <v>2942.2134863148508</v>
      </c>
      <c r="O13" s="68"/>
      <c r="P13" s="67">
        <f>$AE$13*O9</f>
        <v>684.91856966686294</v>
      </c>
      <c r="Q13" s="68"/>
      <c r="R13" s="67">
        <f>$AE$13*Q9</f>
        <v>870.53242791804348</v>
      </c>
      <c r="S13" s="68"/>
      <c r="T13" s="67">
        <f>$AE$13*S9</f>
        <v>207.42783285635394</v>
      </c>
      <c r="U13" s="69"/>
      <c r="V13" s="67">
        <f>$AE$13*U9</f>
        <v>127.51939862080717</v>
      </c>
      <c r="W13" s="68"/>
      <c r="X13" s="67">
        <f>$AE$13*W9</f>
        <v>183.83800088445491</v>
      </c>
      <c r="Y13" s="69"/>
      <c r="Z13" s="67">
        <f>$AE$13*Y9</f>
        <v>1577.2771823297396</v>
      </c>
      <c r="AA13" s="69"/>
      <c r="AB13" s="67">
        <f>$AE$13*AA9</f>
        <v>120.78785917078696</v>
      </c>
      <c r="AC13" s="69"/>
      <c r="AD13" s="70">
        <f>$AE$13*AC9</f>
        <v>1127.1602422380995</v>
      </c>
      <c r="AE13" s="71">
        <f>D62</f>
        <v>7841.6750000000002</v>
      </c>
      <c r="AF13" s="145"/>
      <c r="AH13" s="37" t="s">
        <v>43</v>
      </c>
      <c r="AI13" s="38">
        <v>15</v>
      </c>
      <c r="AJ13" s="38">
        <v>4.321233738984473</v>
      </c>
      <c r="AK13" s="38">
        <v>0.35173766816143498</v>
      </c>
      <c r="AL13" s="38">
        <v>2.5975022367114828</v>
      </c>
      <c r="AM13" s="38">
        <v>22.270473643857393</v>
      </c>
      <c r="AN13" s="247">
        <v>1.5310376491033544E-2</v>
      </c>
      <c r="AO13" s="57">
        <v>22.270473643857393</v>
      </c>
      <c r="AP13" s="41">
        <v>1.6261755125124053E-2</v>
      </c>
      <c r="AQ13" s="42"/>
    </row>
    <row r="14" spans="2:44" ht="16.5" thickBot="1" x14ac:dyDescent="0.3">
      <c r="B14" s="58" t="s">
        <v>44</v>
      </c>
      <c r="C14" s="59" t="s">
        <v>45</v>
      </c>
      <c r="D14" s="60" t="s">
        <v>34</v>
      </c>
      <c r="E14" s="61"/>
      <c r="F14" s="62"/>
      <c r="G14" s="63"/>
      <c r="H14" s="63" t="str">
        <f t="shared" ref="H14:H20" si="0">IF(ISBLANK(G14),"",D14-D14/G14*10)</f>
        <v/>
      </c>
      <c r="K14" s="64" t="s">
        <v>46</v>
      </c>
      <c r="L14" s="69"/>
      <c r="M14" s="80"/>
      <c r="N14" s="67">
        <f>$AE$14*M9</f>
        <v>2273.8114543346728</v>
      </c>
      <c r="O14" s="68"/>
      <c r="P14" s="67">
        <f>$AE$14*O9</f>
        <v>529.32110339337089</v>
      </c>
      <c r="Q14" s="68"/>
      <c r="R14" s="67">
        <f>$AE$14*Q9</f>
        <v>672.7678379481124</v>
      </c>
      <c r="S14" s="68"/>
      <c r="T14" s="67">
        <f>$AE$14*S9</f>
        <v>160.30508475689973</v>
      </c>
      <c r="U14" s="69"/>
      <c r="V14" s="67">
        <f>$AE$14*U9</f>
        <v>98.549976261930524</v>
      </c>
      <c r="W14" s="68"/>
      <c r="X14" s="67">
        <f>$AE$14*W9</f>
        <v>142.07431041199746</v>
      </c>
      <c r="Y14" s="69"/>
      <c r="Z14" s="67">
        <f>$AE$14*Y9</f>
        <v>1218.956727825389</v>
      </c>
      <c r="AA14" s="69"/>
      <c r="AB14" s="67">
        <f>$AE$14*AA9</f>
        <v>93.347685001301144</v>
      </c>
      <c r="AC14" s="69"/>
      <c r="AD14" s="70">
        <f>$AE$14*AC9</f>
        <v>871.09582006632479</v>
      </c>
      <c r="AE14" s="71">
        <f>D60</f>
        <v>6060.23</v>
      </c>
      <c r="AF14" s="145"/>
      <c r="AH14" s="37" t="s">
        <v>36</v>
      </c>
      <c r="AI14" s="38">
        <v>22.6</v>
      </c>
      <c r="AJ14" s="38">
        <v>6.6111134766872475</v>
      </c>
      <c r="AK14" s="38">
        <v>0.52995142002989537</v>
      </c>
      <c r="AL14" s="38">
        <v>2.3651040290877456</v>
      </c>
      <c r="AM14" s="38">
        <v>32.106168925804887</v>
      </c>
      <c r="AN14" s="247">
        <v>2.2072163430362224E-2</v>
      </c>
      <c r="AO14" s="57">
        <v>32.106168925804887</v>
      </c>
      <c r="AP14" s="41">
        <v>2.344371590055121E-2</v>
      </c>
      <c r="AQ14" s="42"/>
    </row>
    <row r="15" spans="2:44" ht="15.75" x14ac:dyDescent="0.25">
      <c r="B15" s="58" t="s">
        <v>48</v>
      </c>
      <c r="C15" s="59" t="s">
        <v>49</v>
      </c>
      <c r="D15" s="60" t="s">
        <v>34</v>
      </c>
      <c r="E15" s="61"/>
      <c r="F15" s="62"/>
      <c r="G15" s="63"/>
      <c r="H15" s="63" t="str">
        <f t="shared" si="0"/>
        <v/>
      </c>
      <c r="K15" s="81" t="s">
        <v>50</v>
      </c>
      <c r="L15" s="82"/>
      <c r="M15" s="83"/>
      <c r="N15" s="82">
        <f>SUM(N12:N14)</f>
        <v>122904.56439324356</v>
      </c>
      <c r="O15" s="84"/>
      <c r="P15" s="82">
        <f>SUM(P12:P14)</f>
        <v>28610.982459734747</v>
      </c>
      <c r="Q15" s="84"/>
      <c r="R15" s="82">
        <f t="shared" ref="R15:V15" si="1">SUM(R12:R14)</f>
        <v>36364.597382587897</v>
      </c>
      <c r="S15" s="84"/>
      <c r="T15" s="82">
        <f t="shared" si="1"/>
        <v>8664.8462318674101</v>
      </c>
      <c r="U15" s="84"/>
      <c r="V15" s="82">
        <f t="shared" si="1"/>
        <v>5326.8453197150238</v>
      </c>
      <c r="W15" s="84"/>
      <c r="X15" s="82">
        <f t="shared" ref="X15" si="2">SUM(X12:X14)</f>
        <v>7679.4323466746491</v>
      </c>
      <c r="Y15" s="84"/>
      <c r="Z15" s="82">
        <f t="shared" ref="Z15:AD15" si="3">SUM(Z12:Z14)</f>
        <v>65887.321203344705</v>
      </c>
      <c r="AA15" s="84"/>
      <c r="AB15" s="82">
        <f t="shared" ref="AB15" si="4">SUM(AB12:AB14)</f>
        <v>5045.6499110035666</v>
      </c>
      <c r="AC15" s="84"/>
      <c r="AD15" s="85">
        <f t="shared" si="3"/>
        <v>47084.665751828397</v>
      </c>
      <c r="AE15" s="86">
        <f>SUM(AE12:AE14)</f>
        <v>327568.90499999997</v>
      </c>
      <c r="AF15" s="145"/>
      <c r="AH15" s="37" t="s">
        <v>51</v>
      </c>
      <c r="AI15" s="38">
        <v>236.79999999999998</v>
      </c>
      <c r="AJ15" s="38">
        <v>66.683992770487748</v>
      </c>
      <c r="AK15" s="38">
        <v>5.552765321375186</v>
      </c>
      <c r="AL15" s="38">
        <v>15.924938701306772</v>
      </c>
      <c r="AM15" s="38">
        <v>324.96169679316966</v>
      </c>
      <c r="AN15" s="247">
        <v>0.22340278894071888</v>
      </c>
      <c r="AO15" s="40">
        <v>275.46169679316966</v>
      </c>
      <c r="AP15" s="41">
        <v>0.20114034084933891</v>
      </c>
      <c r="AQ15" s="42"/>
    </row>
    <row r="16" spans="2:44" ht="15.75" x14ac:dyDescent="0.25">
      <c r="B16" s="58" t="s">
        <v>52</v>
      </c>
      <c r="C16" s="59" t="s">
        <v>53</v>
      </c>
      <c r="D16" s="60" t="s">
        <v>34</v>
      </c>
      <c r="E16" s="61"/>
      <c r="F16" s="62"/>
      <c r="G16" s="63"/>
      <c r="H16" s="63" t="str">
        <f t="shared" si="0"/>
        <v/>
      </c>
      <c r="K16" s="64" t="s">
        <v>54</v>
      </c>
      <c r="L16" s="87"/>
      <c r="M16" s="69"/>
      <c r="N16" s="67">
        <f>$AE$16*M9</f>
        <v>69318.60114027535</v>
      </c>
      <c r="O16" s="69"/>
      <c r="P16" s="67">
        <f>$AE$16*O9</f>
        <v>16136.693467397325</v>
      </c>
      <c r="Q16" s="69"/>
      <c r="R16" s="67">
        <f>$AE$16*Q9</f>
        <v>20509.759210609791</v>
      </c>
      <c r="S16" s="69"/>
      <c r="T16" s="67">
        <f>$AE$16*S9</f>
        <v>4887.0033660170038</v>
      </c>
      <c r="U16" s="69"/>
      <c r="V16" s="67">
        <f>$AE$16*U9</f>
        <v>3004.3592593666685</v>
      </c>
      <c r="W16" s="69"/>
      <c r="X16" s="67">
        <f>$AE$16*W9</f>
        <v>4331.2265126268358</v>
      </c>
      <c r="Y16" s="69"/>
      <c r="Z16" s="67">
        <f>$AE$16*Y9</f>
        <v>37160.677971915364</v>
      </c>
      <c r="AA16" s="69"/>
      <c r="AB16" s="67">
        <f>$AE$16*AA9</f>
        <v>2845.7640723191016</v>
      </c>
      <c r="AC16" s="69"/>
      <c r="AD16" s="70">
        <f>$AE$16*AC9</f>
        <v>26555.914999472545</v>
      </c>
      <c r="AE16" s="71">
        <f>SUM(E59:F59)</f>
        <v>184750</v>
      </c>
      <c r="AF16" s="145"/>
      <c r="AH16" s="248" t="s">
        <v>187</v>
      </c>
      <c r="AI16" s="38">
        <v>14.7</v>
      </c>
      <c r="AJ16" s="38">
        <v>4.3001490312965718</v>
      </c>
      <c r="AK16" s="38">
        <v>0.34470291479820625</v>
      </c>
      <c r="AL16" s="38">
        <v>1.75</v>
      </c>
      <c r="AM16" s="38">
        <v>21.094851946094778</v>
      </c>
      <c r="AN16" s="247">
        <v>1.4502166881682097E-2</v>
      </c>
      <c r="AO16" s="57">
        <v>21.094851946094778</v>
      </c>
      <c r="AP16" s="41">
        <v>1.5403323801456571E-2</v>
      </c>
      <c r="AQ16" s="42"/>
      <c r="AR16" s="88"/>
    </row>
    <row r="17" spans="2:43" ht="16.5" thickBot="1" x14ac:dyDescent="0.3">
      <c r="B17" s="58" t="s">
        <v>56</v>
      </c>
      <c r="C17" s="59" t="s">
        <v>57</v>
      </c>
      <c r="D17" s="60" t="s">
        <v>34</v>
      </c>
      <c r="E17" s="61"/>
      <c r="F17" s="62"/>
      <c r="G17" s="63"/>
      <c r="H17" s="63" t="str">
        <f t="shared" si="0"/>
        <v/>
      </c>
      <c r="K17" s="89" t="s">
        <v>58</v>
      </c>
      <c r="L17" s="90"/>
      <c r="M17" s="91"/>
      <c r="N17" s="92">
        <f>$AE$17*M9</f>
        <v>5252.830397639269</v>
      </c>
      <c r="O17" s="91"/>
      <c r="P17" s="92">
        <f>$AE$17*O9</f>
        <v>1222.8076240517594</v>
      </c>
      <c r="Q17" s="91"/>
      <c r="R17" s="92">
        <f>$AE$17*Q9</f>
        <v>1554.1901431585227</v>
      </c>
      <c r="S17" s="91"/>
      <c r="T17" s="92">
        <f>$AE$17*S9</f>
        <v>370.32772462375135</v>
      </c>
      <c r="U17" s="91"/>
      <c r="V17" s="92">
        <f>$AE$17*U9</f>
        <v>227.66457175173673</v>
      </c>
      <c r="W17" s="91"/>
      <c r="X17" s="92">
        <f>$AE$17*W9</f>
        <v>328.21202260771696</v>
      </c>
      <c r="Y17" s="91"/>
      <c r="Z17" s="92">
        <f>$AE$17*Y9</f>
        <v>2815.9647718907445</v>
      </c>
      <c r="AA17" s="91"/>
      <c r="AB17" s="92">
        <f>$AE$17*AA9</f>
        <v>215.646533220392</v>
      </c>
      <c r="AC17" s="91"/>
      <c r="AD17" s="93">
        <f>$AE$17*AC9</f>
        <v>2012.3562110561063</v>
      </c>
      <c r="AE17" s="94">
        <f>H59</f>
        <v>14000</v>
      </c>
      <c r="AF17" s="145"/>
      <c r="AH17" s="95" t="s">
        <v>55</v>
      </c>
      <c r="AI17" s="96">
        <v>150.90000000000009</v>
      </c>
      <c r="AJ17" s="96">
        <v>42.413078418391422</v>
      </c>
      <c r="AK17" s="96">
        <v>3.5384809417040377</v>
      </c>
      <c r="AL17" s="96">
        <v>0</v>
      </c>
      <c r="AM17" s="96">
        <v>196.85155936009556</v>
      </c>
      <c r="AN17" s="249">
        <v>0.1353303721711093</v>
      </c>
      <c r="AO17" s="98">
        <v>196.85155936009556</v>
      </c>
      <c r="AP17" s="201">
        <v>0.14373972936115045</v>
      </c>
      <c r="AQ17" s="42"/>
    </row>
    <row r="18" spans="2:43" x14ac:dyDescent="0.25">
      <c r="B18" s="58" t="s">
        <v>60</v>
      </c>
      <c r="C18" s="59" t="s">
        <v>61</v>
      </c>
      <c r="D18" s="60" t="s">
        <v>34</v>
      </c>
      <c r="E18" s="61"/>
      <c r="F18" s="62"/>
      <c r="G18" s="63"/>
      <c r="H18" s="63" t="str">
        <f t="shared" si="0"/>
        <v/>
      </c>
      <c r="AH18" s="95" t="s">
        <v>59</v>
      </c>
      <c r="AI18" s="96">
        <v>1070.4000000000001</v>
      </c>
      <c r="AJ18" s="96">
        <v>305.5</v>
      </c>
      <c r="AK18" s="96">
        <v>25.1</v>
      </c>
      <c r="AL18" s="96">
        <v>53.6</v>
      </c>
      <c r="AM18" s="96">
        <v>1454.6</v>
      </c>
      <c r="AN18" s="249">
        <v>1</v>
      </c>
      <c r="AO18" s="98">
        <v>1369.5000000000002</v>
      </c>
      <c r="AP18" s="99">
        <v>1</v>
      </c>
    </row>
    <row r="19" spans="2:43" x14ac:dyDescent="0.25">
      <c r="B19" s="58" t="s">
        <v>63</v>
      </c>
      <c r="C19" s="59" t="s">
        <v>64</v>
      </c>
      <c r="D19" s="60" t="s">
        <v>34</v>
      </c>
      <c r="E19" s="61"/>
      <c r="F19" s="62"/>
      <c r="G19" s="63"/>
      <c r="H19" s="63" t="str">
        <f t="shared" si="0"/>
        <v/>
      </c>
      <c r="K19" s="144"/>
      <c r="L19" s="144"/>
      <c r="M19" s="144"/>
      <c r="AH19" s="37" t="s">
        <v>62</v>
      </c>
      <c r="AI19" s="38" t="s">
        <v>202</v>
      </c>
      <c r="AJ19" s="38" t="s">
        <v>202</v>
      </c>
      <c r="AK19" s="38" t="s">
        <v>202</v>
      </c>
      <c r="AL19" s="38" t="s">
        <v>202</v>
      </c>
      <c r="AM19" s="38">
        <v>0</v>
      </c>
      <c r="AN19" s="247" t="s">
        <v>202</v>
      </c>
      <c r="AO19" s="57">
        <v>85.099999999999682</v>
      </c>
      <c r="AP19" s="41"/>
    </row>
    <row r="20" spans="2:43" x14ac:dyDescent="0.25">
      <c r="B20" s="58" t="s">
        <v>65</v>
      </c>
      <c r="C20" s="59" t="s">
        <v>66</v>
      </c>
      <c r="D20" s="60" t="s">
        <v>34</v>
      </c>
      <c r="E20" s="61"/>
      <c r="F20" s="62"/>
      <c r="G20" s="63"/>
      <c r="H20" s="63" t="str">
        <f t="shared" si="0"/>
        <v/>
      </c>
      <c r="K20" s="144"/>
      <c r="L20" s="145"/>
      <c r="M20" s="144"/>
      <c r="N20" s="100"/>
      <c r="AD20" s="88"/>
      <c r="AE20" s="88"/>
      <c r="AF20" s="148"/>
      <c r="AG20" s="88"/>
      <c r="AH20" s="88"/>
      <c r="AI20" s="88"/>
      <c r="AJ20" s="88"/>
      <c r="AK20" s="88"/>
      <c r="AL20" s="88"/>
      <c r="AM20" s="88"/>
      <c r="AN20" s="88"/>
      <c r="AO20" s="88"/>
    </row>
    <row r="21" spans="2:43" x14ac:dyDescent="0.25">
      <c r="B21" s="43">
        <v>3</v>
      </c>
      <c r="C21" s="44" t="s">
        <v>67</v>
      </c>
      <c r="D21" s="45">
        <f>SUM(D22:D24)</f>
        <v>0</v>
      </c>
      <c r="E21" s="46"/>
      <c r="F21" s="47"/>
      <c r="G21" s="48"/>
      <c r="H21" s="48">
        <f>SUM(H22:H24)</f>
        <v>0</v>
      </c>
    </row>
    <row r="22" spans="2:43" x14ac:dyDescent="0.25">
      <c r="B22" s="58" t="s">
        <v>68</v>
      </c>
      <c r="C22" s="59"/>
      <c r="D22" s="60" t="s">
        <v>34</v>
      </c>
      <c r="E22" s="61"/>
      <c r="F22" s="62"/>
      <c r="G22" s="63"/>
      <c r="H22" s="63" t="str">
        <f t="shared" ref="H22:H24" si="5">IF(ISBLANK(G22),"",D22-D22/G22*10)</f>
        <v/>
      </c>
    </row>
    <row r="23" spans="2:43" x14ac:dyDescent="0.25">
      <c r="B23" s="58" t="s">
        <v>69</v>
      </c>
      <c r="C23" s="59"/>
      <c r="D23" s="60" t="s">
        <v>34</v>
      </c>
      <c r="E23" s="61"/>
      <c r="F23" s="62"/>
      <c r="G23" s="63"/>
      <c r="H23" s="63" t="str">
        <f t="shared" si="5"/>
        <v/>
      </c>
      <c r="I23" s="100"/>
    </row>
    <row r="24" spans="2:43" x14ac:dyDescent="0.25">
      <c r="B24" s="58" t="s">
        <v>70</v>
      </c>
      <c r="C24" s="59"/>
      <c r="D24" s="60" t="s">
        <v>34</v>
      </c>
      <c r="E24" s="61"/>
      <c r="F24" s="62"/>
      <c r="G24" s="63"/>
      <c r="H24" s="63" t="str">
        <f t="shared" si="5"/>
        <v/>
      </c>
    </row>
    <row r="25" spans="2:43" x14ac:dyDescent="0.25">
      <c r="B25" s="43">
        <v>4</v>
      </c>
      <c r="C25" s="101" t="s">
        <v>71</v>
      </c>
      <c r="D25" s="45">
        <f>SUM(D26:D26)</f>
        <v>8917</v>
      </c>
      <c r="E25" s="46"/>
      <c r="F25" s="47"/>
      <c r="G25" s="48"/>
      <c r="H25" s="48">
        <f>SUM(H26:H26)</f>
        <v>0</v>
      </c>
    </row>
    <row r="26" spans="2:43" x14ac:dyDescent="0.25">
      <c r="B26" s="58" t="s">
        <v>72</v>
      </c>
      <c r="C26" s="59"/>
      <c r="D26" s="60">
        <v>8917</v>
      </c>
      <c r="E26" s="102"/>
      <c r="F26" s="62"/>
      <c r="G26" s="79">
        <v>10</v>
      </c>
      <c r="H26" s="63">
        <f>IF(ISBLANK(G26),"",D26-D26/G26*10)</f>
        <v>0</v>
      </c>
    </row>
    <row r="27" spans="2:43" ht="14.25" customHeight="1" x14ac:dyDescent="0.25">
      <c r="B27" s="259" t="s">
        <v>73</v>
      </c>
      <c r="C27" s="260"/>
      <c r="D27" s="25">
        <f>SUM(D28+D32)</f>
        <v>300750</v>
      </c>
      <c r="E27" s="26"/>
      <c r="F27" s="27"/>
      <c r="G27" s="28"/>
      <c r="H27" s="28">
        <f>SUM(H28,H32,H57)</f>
        <v>14000</v>
      </c>
    </row>
    <row r="28" spans="2:43" x14ac:dyDescent="0.25">
      <c r="B28" s="43">
        <v>5</v>
      </c>
      <c r="C28" s="44" t="s">
        <v>74</v>
      </c>
      <c r="D28" s="45">
        <f>SUM(D29:D31)</f>
        <v>0</v>
      </c>
      <c r="E28" s="46"/>
      <c r="F28" s="47"/>
      <c r="G28" s="48"/>
      <c r="H28" s="48">
        <f>SUM(H29:H31)</f>
        <v>0</v>
      </c>
    </row>
    <row r="29" spans="2:43" x14ac:dyDescent="0.25">
      <c r="B29" s="58" t="s">
        <v>75</v>
      </c>
      <c r="C29" s="59"/>
      <c r="D29" s="60" t="s">
        <v>34</v>
      </c>
      <c r="E29" s="61"/>
      <c r="F29" s="62"/>
      <c r="G29" s="63"/>
      <c r="H29" s="63"/>
    </row>
    <row r="30" spans="2:43" x14ac:dyDescent="0.25">
      <c r="B30" s="58" t="s">
        <v>76</v>
      </c>
      <c r="C30" s="59"/>
      <c r="D30" s="60" t="s">
        <v>34</v>
      </c>
      <c r="E30" s="61"/>
      <c r="F30" s="62"/>
      <c r="G30" s="63"/>
      <c r="H30" s="63"/>
    </row>
    <row r="31" spans="2:43" x14ac:dyDescent="0.25">
      <c r="B31" s="58" t="s">
        <v>70</v>
      </c>
      <c r="C31" s="59"/>
      <c r="D31" s="60" t="s">
        <v>34</v>
      </c>
      <c r="E31" s="61"/>
      <c r="F31" s="62"/>
      <c r="G31" s="63"/>
      <c r="H31" s="63"/>
    </row>
    <row r="32" spans="2:43" x14ac:dyDescent="0.25">
      <c r="B32" s="43">
        <v>6</v>
      </c>
      <c r="C32" s="44" t="s">
        <v>77</v>
      </c>
      <c r="D32" s="45">
        <f>SUM(D33:D50)</f>
        <v>300750</v>
      </c>
      <c r="E32" s="46"/>
      <c r="F32" s="47"/>
      <c r="G32" s="48"/>
      <c r="H32" s="48">
        <f>SUM(H33:H49)</f>
        <v>14000</v>
      </c>
    </row>
    <row r="33" spans="2:8" x14ac:dyDescent="0.25">
      <c r="B33" s="103" t="s">
        <v>78</v>
      </c>
      <c r="C33" s="59" t="s">
        <v>74</v>
      </c>
      <c r="D33" s="60">
        <v>8000</v>
      </c>
      <c r="E33" s="61"/>
      <c r="F33" s="62"/>
      <c r="G33" s="79">
        <v>10</v>
      </c>
      <c r="H33" s="63">
        <f t="shared" ref="H33:H50" si="6">IF(ISBLANK(G33),"",D33-D33/G33*10)</f>
        <v>0</v>
      </c>
    </row>
    <row r="34" spans="2:8" x14ac:dyDescent="0.25">
      <c r="B34" s="103" t="s">
        <v>79</v>
      </c>
      <c r="C34" s="59" t="s">
        <v>80</v>
      </c>
      <c r="D34" s="60">
        <v>10000</v>
      </c>
      <c r="E34" s="61"/>
      <c r="F34" s="62"/>
      <c r="G34" s="79">
        <v>10</v>
      </c>
      <c r="H34" s="63">
        <f t="shared" si="6"/>
        <v>0</v>
      </c>
    </row>
    <row r="35" spans="2:8" x14ac:dyDescent="0.25">
      <c r="B35" s="103" t="s">
        <v>81</v>
      </c>
      <c r="C35" s="59" t="s">
        <v>82</v>
      </c>
      <c r="D35" s="60">
        <v>18000</v>
      </c>
      <c r="E35" s="61" t="s">
        <v>34</v>
      </c>
      <c r="F35" s="62"/>
      <c r="G35" s="79">
        <v>10</v>
      </c>
      <c r="H35" s="63">
        <f t="shared" si="6"/>
        <v>0</v>
      </c>
    </row>
    <row r="36" spans="2:8" ht="14.25" customHeight="1" x14ac:dyDescent="0.25">
      <c r="B36" s="103" t="s">
        <v>83</v>
      </c>
      <c r="C36" s="59" t="s">
        <v>84</v>
      </c>
      <c r="D36" s="60">
        <v>25000</v>
      </c>
      <c r="E36" s="61" t="s">
        <v>34</v>
      </c>
      <c r="F36" s="62"/>
      <c r="G36" s="79">
        <v>10</v>
      </c>
      <c r="H36" s="63">
        <f t="shared" si="6"/>
        <v>0</v>
      </c>
    </row>
    <row r="37" spans="2:8" x14ac:dyDescent="0.25">
      <c r="B37" s="103" t="s">
        <v>85</v>
      </c>
      <c r="C37" s="59" t="s">
        <v>86</v>
      </c>
      <c r="D37" s="60">
        <v>35000</v>
      </c>
      <c r="E37" s="61" t="s">
        <v>34</v>
      </c>
      <c r="F37" s="62"/>
      <c r="G37" s="79">
        <v>10</v>
      </c>
      <c r="H37" s="63">
        <f t="shared" si="6"/>
        <v>0</v>
      </c>
    </row>
    <row r="38" spans="2:8" x14ac:dyDescent="0.25">
      <c r="B38" s="103" t="s">
        <v>87</v>
      </c>
      <c r="C38" s="59" t="s">
        <v>88</v>
      </c>
      <c r="D38" s="60">
        <v>15000</v>
      </c>
      <c r="E38" s="61" t="s">
        <v>34</v>
      </c>
      <c r="F38" s="62"/>
      <c r="G38" s="79">
        <v>10</v>
      </c>
      <c r="H38" s="63">
        <f t="shared" si="6"/>
        <v>0</v>
      </c>
    </row>
    <row r="39" spans="2:8" x14ac:dyDescent="0.25">
      <c r="B39" s="103" t="s">
        <v>89</v>
      </c>
      <c r="C39" s="59" t="s">
        <v>90</v>
      </c>
      <c r="D39" s="60">
        <v>50000</v>
      </c>
      <c r="E39" s="61" t="s">
        <v>34</v>
      </c>
      <c r="F39" s="62"/>
      <c r="G39" s="79">
        <v>10</v>
      </c>
      <c r="H39" s="63">
        <f t="shared" si="6"/>
        <v>0</v>
      </c>
    </row>
    <row r="40" spans="2:8" x14ac:dyDescent="0.25">
      <c r="B40" s="103" t="s">
        <v>91</v>
      </c>
      <c r="C40" s="59" t="s">
        <v>92</v>
      </c>
      <c r="D40" s="60">
        <v>18000</v>
      </c>
      <c r="E40" s="61" t="s">
        <v>34</v>
      </c>
      <c r="F40" s="62"/>
      <c r="G40" s="79">
        <v>10</v>
      </c>
      <c r="H40" s="63">
        <f t="shared" si="6"/>
        <v>0</v>
      </c>
    </row>
    <row r="41" spans="2:8" x14ac:dyDescent="0.25">
      <c r="B41" s="103" t="s">
        <v>93</v>
      </c>
      <c r="C41" s="59" t="s">
        <v>94</v>
      </c>
      <c r="D41" s="60">
        <v>10000</v>
      </c>
      <c r="E41" s="61" t="s">
        <v>34</v>
      </c>
      <c r="F41" s="62"/>
      <c r="G41" s="79">
        <v>10</v>
      </c>
      <c r="H41" s="63">
        <f t="shared" si="6"/>
        <v>0</v>
      </c>
    </row>
    <row r="42" spans="2:8" ht="14.25" customHeight="1" x14ac:dyDescent="0.25">
      <c r="B42" s="103" t="s">
        <v>95</v>
      </c>
      <c r="C42" s="59" t="s">
        <v>96</v>
      </c>
      <c r="D42" s="60">
        <v>5000</v>
      </c>
      <c r="E42" s="61" t="s">
        <v>34</v>
      </c>
      <c r="F42" s="62"/>
      <c r="G42" s="79">
        <v>10</v>
      </c>
      <c r="H42" s="63">
        <f t="shared" si="6"/>
        <v>0</v>
      </c>
    </row>
    <row r="43" spans="2:8" ht="14.25" customHeight="1" x14ac:dyDescent="0.25">
      <c r="B43" s="103" t="s">
        <v>97</v>
      </c>
      <c r="C43" s="59" t="s">
        <v>98</v>
      </c>
      <c r="D43" s="60">
        <v>20000</v>
      </c>
      <c r="E43" s="61"/>
      <c r="F43" s="62"/>
      <c r="G43" s="79">
        <v>15</v>
      </c>
      <c r="H43" s="63">
        <f t="shared" si="6"/>
        <v>6666.6666666666679</v>
      </c>
    </row>
    <row r="44" spans="2:8" ht="14.25" customHeight="1" x14ac:dyDescent="0.25">
      <c r="B44" s="103" t="s">
        <v>99</v>
      </c>
      <c r="C44" s="59" t="s">
        <v>100</v>
      </c>
      <c r="D44" s="60">
        <v>22000</v>
      </c>
      <c r="E44" s="61"/>
      <c r="F44" s="62"/>
      <c r="G44" s="79">
        <v>15</v>
      </c>
      <c r="H44" s="63">
        <f t="shared" si="6"/>
        <v>7333.3333333333321</v>
      </c>
    </row>
    <row r="45" spans="2:8" ht="14.25" customHeight="1" x14ac:dyDescent="0.25">
      <c r="B45" s="103" t="s">
        <v>101</v>
      </c>
      <c r="C45" s="59" t="s">
        <v>102</v>
      </c>
      <c r="D45" s="60">
        <v>0</v>
      </c>
      <c r="E45" s="61"/>
      <c r="F45" s="62"/>
      <c r="G45" s="79">
        <v>15</v>
      </c>
      <c r="H45" s="63">
        <f t="shared" si="6"/>
        <v>0</v>
      </c>
    </row>
    <row r="46" spans="2:8" x14ac:dyDescent="0.25">
      <c r="B46" s="103" t="s">
        <v>103</v>
      </c>
      <c r="C46" s="59" t="s">
        <v>104</v>
      </c>
      <c r="D46" s="60">
        <v>25000</v>
      </c>
      <c r="E46" s="61"/>
      <c r="F46" s="62"/>
      <c r="G46" s="79">
        <v>10</v>
      </c>
      <c r="H46" s="63">
        <f t="shared" si="6"/>
        <v>0</v>
      </c>
    </row>
    <row r="47" spans="2:8" x14ac:dyDescent="0.25">
      <c r="B47" s="103" t="s">
        <v>105</v>
      </c>
      <c r="C47" s="59" t="s">
        <v>106</v>
      </c>
      <c r="D47" s="60">
        <v>21000</v>
      </c>
      <c r="E47" s="61"/>
      <c r="F47" s="62"/>
      <c r="G47" s="79">
        <v>10</v>
      </c>
      <c r="H47" s="63">
        <f t="shared" si="6"/>
        <v>0</v>
      </c>
    </row>
    <row r="48" spans="2:8" x14ac:dyDescent="0.25">
      <c r="B48" s="58" t="s">
        <v>107</v>
      </c>
      <c r="C48" s="59" t="s">
        <v>108</v>
      </c>
      <c r="D48" s="60">
        <v>8000</v>
      </c>
      <c r="E48" s="61"/>
      <c r="F48" s="62"/>
      <c r="G48" s="79">
        <v>10</v>
      </c>
      <c r="H48" s="63">
        <f t="shared" si="6"/>
        <v>0</v>
      </c>
    </row>
    <row r="49" spans="2:12" x14ac:dyDescent="0.25">
      <c r="B49" s="58" t="s">
        <v>109</v>
      </c>
      <c r="C49" s="59" t="s">
        <v>110</v>
      </c>
      <c r="D49" s="60">
        <v>2000</v>
      </c>
      <c r="E49" s="61"/>
      <c r="F49" s="62"/>
      <c r="G49" s="79">
        <v>10</v>
      </c>
      <c r="H49" s="63">
        <f t="shared" si="6"/>
        <v>0</v>
      </c>
    </row>
    <row r="50" spans="2:12" x14ac:dyDescent="0.25">
      <c r="B50" s="58" t="s">
        <v>188</v>
      </c>
      <c r="C50" s="59" t="s">
        <v>189</v>
      </c>
      <c r="D50" s="60">
        <v>8750</v>
      </c>
      <c r="E50" s="61" t="s">
        <v>34</v>
      </c>
      <c r="F50" s="62"/>
      <c r="G50" s="79">
        <v>10</v>
      </c>
      <c r="H50" s="63">
        <f t="shared" si="6"/>
        <v>0</v>
      </c>
    </row>
    <row r="51" spans="2:12" x14ac:dyDescent="0.25">
      <c r="B51" s="259" t="s">
        <v>111</v>
      </c>
      <c r="C51" s="260"/>
      <c r="D51" s="25">
        <f>SUM(D52)</f>
        <v>36461</v>
      </c>
      <c r="E51" s="26"/>
      <c r="F51" s="27"/>
      <c r="G51" s="28"/>
      <c r="H51" s="28">
        <f>SUM(H52)</f>
        <v>0</v>
      </c>
    </row>
    <row r="52" spans="2:12" x14ac:dyDescent="0.25">
      <c r="B52" s="43">
        <v>7</v>
      </c>
      <c r="C52" s="44" t="s">
        <v>112</v>
      </c>
      <c r="D52" s="45">
        <f>SUM(D53:D55)</f>
        <v>36461</v>
      </c>
      <c r="E52" s="46"/>
      <c r="F52" s="47"/>
      <c r="G52" s="48"/>
      <c r="H52" s="48">
        <f>SUM(H53:H55)</f>
        <v>0</v>
      </c>
    </row>
    <row r="53" spans="2:12" x14ac:dyDescent="0.25">
      <c r="B53" s="58" t="s">
        <v>113</v>
      </c>
      <c r="C53" s="59" t="s">
        <v>114</v>
      </c>
      <c r="D53" s="258">
        <f>'Lisa 6.1. A_sisustus'!E29</f>
        <v>36461</v>
      </c>
      <c r="E53" s="61"/>
      <c r="F53" s="62"/>
      <c r="G53" s="79">
        <v>10</v>
      </c>
      <c r="H53" s="63">
        <f t="shared" ref="H53:H58" si="7">IF(ISBLANK(G53),"",D53-D53/G53*10)</f>
        <v>0</v>
      </c>
    </row>
    <row r="54" spans="2:12" x14ac:dyDescent="0.25">
      <c r="B54" s="58" t="s">
        <v>115</v>
      </c>
      <c r="C54" s="59" t="s">
        <v>116</v>
      </c>
      <c r="D54" s="60" t="s">
        <v>34</v>
      </c>
      <c r="E54" s="61"/>
      <c r="F54" s="62"/>
      <c r="G54" s="63"/>
      <c r="H54" s="63" t="str">
        <f t="shared" si="7"/>
        <v/>
      </c>
    </row>
    <row r="55" spans="2:12" x14ac:dyDescent="0.25">
      <c r="B55" s="58" t="s">
        <v>117</v>
      </c>
      <c r="C55" s="59" t="s">
        <v>118</v>
      </c>
      <c r="D55" s="60" t="s">
        <v>34</v>
      </c>
      <c r="E55" s="61"/>
      <c r="F55" s="62"/>
      <c r="G55" s="63"/>
      <c r="H55" s="63" t="str">
        <f t="shared" si="7"/>
        <v/>
      </c>
    </row>
    <row r="56" spans="2:12" x14ac:dyDescent="0.25">
      <c r="B56" s="58" t="s">
        <v>70</v>
      </c>
      <c r="C56" s="59"/>
      <c r="D56" s="60" t="s">
        <v>34</v>
      </c>
      <c r="E56" s="61"/>
      <c r="F56" s="62"/>
      <c r="G56" s="63"/>
      <c r="H56" s="63" t="str">
        <f t="shared" si="7"/>
        <v/>
      </c>
    </row>
    <row r="57" spans="2:12" ht="15" customHeight="1" x14ac:dyDescent="0.25">
      <c r="B57" s="259" t="s">
        <v>119</v>
      </c>
      <c r="C57" s="260"/>
      <c r="D57" s="25">
        <f>SUM(D58)</f>
        <v>0</v>
      </c>
      <c r="E57" s="26"/>
      <c r="F57" s="27"/>
      <c r="G57" s="28"/>
      <c r="H57" s="28">
        <f>SUM(H58)</f>
        <v>0</v>
      </c>
      <c r="J57" s="100"/>
    </row>
    <row r="58" spans="2:12" ht="15.75" thickBot="1" x14ac:dyDescent="0.3">
      <c r="B58" s="104">
        <v>8</v>
      </c>
      <c r="C58" s="105" t="s">
        <v>120</v>
      </c>
      <c r="D58" s="106">
        <v>0</v>
      </c>
      <c r="E58" s="107"/>
      <c r="F58" s="108"/>
      <c r="G58" s="79">
        <v>10</v>
      </c>
      <c r="H58" s="63">
        <f t="shared" si="7"/>
        <v>0</v>
      </c>
      <c r="I58" s="100"/>
    </row>
    <row r="59" spans="2:12" ht="15.75" thickBot="1" x14ac:dyDescent="0.3">
      <c r="B59" s="268" t="s">
        <v>121</v>
      </c>
      <c r="C59" s="269"/>
      <c r="D59" s="109">
        <f>SUM(D9+D27+D51+D57)-D51</f>
        <v>313667</v>
      </c>
      <c r="E59" s="110">
        <f>SUMIF(E9:E58,"x",D9:D58)</f>
        <v>184750</v>
      </c>
      <c r="F59" s="111">
        <f>SUMIF(F9:F58,"x",D9:D58)</f>
        <v>0</v>
      </c>
      <c r="G59" s="112"/>
      <c r="H59" s="112">
        <f>SUM(H9+H27+H51+H57)</f>
        <v>14000</v>
      </c>
      <c r="I59" s="250"/>
    </row>
    <row r="60" spans="2:12" x14ac:dyDescent="0.25">
      <c r="B60" s="270" t="s">
        <v>122</v>
      </c>
      <c r="C60" s="271"/>
      <c r="D60" s="113">
        <f>SUM(D61)</f>
        <v>6060.23</v>
      </c>
      <c r="E60" s="114"/>
      <c r="F60" s="115"/>
      <c r="G60" s="116"/>
      <c r="H60" s="117"/>
      <c r="K60" s="118"/>
      <c r="L60" s="119"/>
    </row>
    <row r="61" spans="2:12" x14ac:dyDescent="0.25">
      <c r="B61" s="120">
        <v>9</v>
      </c>
      <c r="C61" s="121" t="s">
        <v>123</v>
      </c>
      <c r="D61" s="122">
        <v>6060.23</v>
      </c>
      <c r="E61" s="123"/>
      <c r="F61" s="124"/>
      <c r="G61" s="125"/>
      <c r="H61" s="124"/>
      <c r="K61" s="118"/>
      <c r="L61" s="119"/>
    </row>
    <row r="62" spans="2:12" x14ac:dyDescent="0.25">
      <c r="B62" s="259" t="s">
        <v>124</v>
      </c>
      <c r="C62" s="260"/>
      <c r="D62" s="126">
        <f>SUM(D63)</f>
        <v>7841.6750000000002</v>
      </c>
      <c r="E62" s="127"/>
      <c r="F62" s="128"/>
      <c r="G62" s="129"/>
      <c r="H62" s="128"/>
      <c r="L62" s="119"/>
    </row>
    <row r="63" spans="2:12" ht="15.75" thickBot="1" x14ac:dyDescent="0.3">
      <c r="B63" s="130">
        <v>10</v>
      </c>
      <c r="C63" s="131">
        <v>2.5000000000000001E-2</v>
      </c>
      <c r="D63" s="132">
        <f>D59*C63</f>
        <v>7841.6750000000002</v>
      </c>
      <c r="E63" s="123"/>
      <c r="F63" s="124"/>
      <c r="G63" s="125"/>
      <c r="H63" s="124"/>
    </row>
    <row r="64" spans="2:12" ht="15.75" thickBot="1" x14ac:dyDescent="0.3">
      <c r="B64" s="268" t="s">
        <v>125</v>
      </c>
      <c r="C64" s="269"/>
      <c r="D64" s="133">
        <f>SUM(D59++D60+D62)</f>
        <v>327568.90499999997</v>
      </c>
      <c r="E64" s="127"/>
      <c r="F64" s="128"/>
      <c r="G64" s="129"/>
      <c r="H64" s="128"/>
    </row>
    <row r="65" spans="2:8" x14ac:dyDescent="0.25">
      <c r="B65" s="270" t="s">
        <v>126</v>
      </c>
      <c r="C65" s="271"/>
      <c r="D65" s="113">
        <f>SUM(D66)</f>
        <v>0</v>
      </c>
      <c r="E65" s="127"/>
      <c r="F65" s="128"/>
      <c r="G65" s="129"/>
      <c r="H65" s="128"/>
    </row>
    <row r="66" spans="2:8" ht="15.75" thickBot="1" x14ac:dyDescent="0.3">
      <c r="B66" s="104">
        <v>11</v>
      </c>
      <c r="C66" s="134" t="s">
        <v>127</v>
      </c>
      <c r="D66" s="135">
        <v>0</v>
      </c>
      <c r="E66" s="123"/>
      <c r="F66" s="136"/>
      <c r="G66" s="125"/>
      <c r="H66" s="136"/>
    </row>
    <row r="67" spans="2:8" ht="15.75" thickBot="1" x14ac:dyDescent="0.3">
      <c r="B67" s="268" t="s">
        <v>128</v>
      </c>
      <c r="C67" s="269"/>
      <c r="D67" s="133">
        <f>D64-D65</f>
        <v>327568.90499999997</v>
      </c>
      <c r="E67" s="127"/>
      <c r="F67" s="128"/>
      <c r="G67" s="129"/>
      <c r="H67" s="128"/>
    </row>
    <row r="68" spans="2:8" x14ac:dyDescent="0.25">
      <c r="B68" s="270" t="s">
        <v>129</v>
      </c>
      <c r="C68" s="271"/>
      <c r="D68" s="113">
        <f>SUM(D69)</f>
        <v>65513.780999999995</v>
      </c>
      <c r="E68" s="127"/>
      <c r="F68" s="128"/>
      <c r="G68" s="129"/>
      <c r="H68" s="128"/>
    </row>
    <row r="69" spans="2:8" x14ac:dyDescent="0.25">
      <c r="B69" s="120">
        <v>12</v>
      </c>
      <c r="C69" s="137">
        <v>0.2</v>
      </c>
      <c r="D69" s="122">
        <f>D64*C69</f>
        <v>65513.780999999995</v>
      </c>
      <c r="E69" s="123"/>
      <c r="F69" s="138"/>
      <c r="G69" s="125"/>
      <c r="H69" s="138"/>
    </row>
    <row r="70" spans="2:8" ht="15.75" thickBot="1" x14ac:dyDescent="0.3">
      <c r="B70" s="272" t="s">
        <v>130</v>
      </c>
      <c r="C70" s="273"/>
      <c r="D70" s="139">
        <f>SUM(D67+D68)</f>
        <v>393082.68599999999</v>
      </c>
      <c r="E70" s="127"/>
      <c r="F70" s="128"/>
      <c r="G70" s="129"/>
      <c r="H70" s="128"/>
    </row>
    <row r="71" spans="2:8" x14ac:dyDescent="0.25">
      <c r="B71" s="140"/>
      <c r="D71" s="100"/>
    </row>
    <row r="72" spans="2:8" x14ac:dyDescent="0.25">
      <c r="B72" s="140"/>
      <c r="D72" s="141"/>
      <c r="F72" s="100"/>
    </row>
    <row r="73" spans="2:8" x14ac:dyDescent="0.25">
      <c r="B73" s="140"/>
      <c r="D73" s="141"/>
      <c r="E73" s="100"/>
      <c r="F73" s="100"/>
    </row>
    <row r="74" spans="2:8" x14ac:dyDescent="0.25">
      <c r="B74" s="140"/>
      <c r="D74" s="141"/>
      <c r="F74" s="100"/>
    </row>
    <row r="75" spans="2:8" x14ac:dyDescent="0.25">
      <c r="B75" s="140"/>
      <c r="D75" s="141"/>
    </row>
    <row r="76" spans="2:8" x14ac:dyDescent="0.25">
      <c r="B76" s="140"/>
      <c r="C76" s="118"/>
      <c r="D76" s="100"/>
    </row>
    <row r="77" spans="2:8" x14ac:dyDescent="0.25">
      <c r="B77" s="140"/>
      <c r="D77" s="100"/>
    </row>
    <row r="79" spans="2:8" x14ac:dyDescent="0.25">
      <c r="C79" s="142"/>
      <c r="D79" s="143"/>
    </row>
    <row r="80" spans="2:8" x14ac:dyDescent="0.25">
      <c r="F80" s="100"/>
    </row>
  </sheetData>
  <mergeCells count="18">
    <mergeCell ref="B64:C64"/>
    <mergeCell ref="B65:C65"/>
    <mergeCell ref="B67:C67"/>
    <mergeCell ref="B68:C68"/>
    <mergeCell ref="B70:C70"/>
    <mergeCell ref="B62:C62"/>
    <mergeCell ref="B4:D4"/>
    <mergeCell ref="AH4:AP4"/>
    <mergeCell ref="E6:H6"/>
    <mergeCell ref="E7:F7"/>
    <mergeCell ref="G7:H7"/>
    <mergeCell ref="K8:K9"/>
    <mergeCell ref="B9:C9"/>
    <mergeCell ref="B27:C27"/>
    <mergeCell ref="B51:C51"/>
    <mergeCell ref="B57:C57"/>
    <mergeCell ref="B59:C59"/>
    <mergeCell ref="B60:C60"/>
  </mergeCells>
  <conditionalFormatting sqref="AH12:AH13 AH9:AM9 AH15 AI10:AM15 AN9:AN15">
    <cfRule type="expression" dxfId="43" priority="5">
      <formula>AND($BA9&lt;&gt;"",$BJ9="")</formula>
    </cfRule>
    <cfRule type="expression" dxfId="42" priority="6">
      <formula>$BA9&lt;&gt;""</formula>
    </cfRule>
  </conditionalFormatting>
  <conditionalFormatting sqref="AH17:AN19">
    <cfRule type="expression" dxfId="41" priority="3">
      <formula>AND($BA16&lt;&gt;"",$BJ16="")</formula>
    </cfRule>
    <cfRule type="expression" dxfId="40" priority="4">
      <formula>$BA16&lt;&gt;""</formula>
    </cfRule>
  </conditionalFormatting>
  <conditionalFormatting sqref="AH10">
    <cfRule type="expression" dxfId="39" priority="7">
      <formula>AND($BA14&lt;&gt;"",$BJ14="")</formula>
    </cfRule>
    <cfRule type="expression" dxfId="38" priority="8">
      <formula>$BA14&lt;&gt;""</formula>
    </cfRule>
  </conditionalFormatting>
  <conditionalFormatting sqref="AH14">
    <cfRule type="expression" dxfId="37" priority="9">
      <formula>AND($BA11&lt;&gt;"",$BJ11="")</formula>
    </cfRule>
    <cfRule type="expression" dxfId="36" priority="10">
      <formula>$BA11&lt;&gt;""</formula>
    </cfRule>
  </conditionalFormatting>
  <conditionalFormatting sqref="AH11">
    <cfRule type="expression" dxfId="35" priority="11">
      <formula>AND($BA10&lt;&gt;"",$BJ10="")</formula>
    </cfRule>
    <cfRule type="expression" dxfId="34" priority="12">
      <formula>$BA10&lt;&gt;""</formula>
    </cfRule>
  </conditionalFormatting>
  <conditionalFormatting sqref="AI16:AN16">
    <cfRule type="expression" dxfId="33" priority="1">
      <formula>AND($BA16&lt;&gt;"",$BJ16="")</formula>
    </cfRule>
    <cfRule type="expression" dxfId="32" priority="2">
      <formula>$BA16&lt;&gt;""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D29E-7BC2-4A12-A56F-CAF03B94DC57}">
  <sheetPr codeName="Sheet3"/>
  <dimension ref="B1:BJ65"/>
  <sheetViews>
    <sheetView zoomScale="80" zoomScaleNormal="80" workbookViewId="0">
      <pane xSplit="2" ySplit="6" topLeftCell="C7" activePane="bottomRight" state="frozen"/>
      <selection activeCell="AH22" sqref="AH22"/>
      <selection pane="topRight" activeCell="AH22" sqref="AH22"/>
      <selection pane="bottomLeft" activeCell="AH22" sqref="AH22"/>
      <selection pane="bottomRight" activeCell="G2" sqref="G2"/>
    </sheetView>
  </sheetViews>
  <sheetFormatPr defaultColWidth="9.140625" defaultRowHeight="15" outlineLevelCol="1" x14ac:dyDescent="0.25"/>
  <cols>
    <col min="1" max="1" width="3" style="149" customWidth="1"/>
    <col min="2" max="2" width="49.28515625" style="152" customWidth="1"/>
    <col min="3" max="3" width="17" style="149" bestFit="1" customWidth="1"/>
    <col min="4" max="4" width="15" style="149" customWidth="1"/>
    <col min="5" max="5" width="15.28515625" style="149" customWidth="1"/>
    <col min="6" max="6" width="11" style="149" customWidth="1"/>
    <col min="7" max="7" width="12.85546875" style="149" customWidth="1"/>
    <col min="8" max="8" width="2.85546875" style="149" customWidth="1"/>
    <col min="9" max="28" width="13.5703125" style="149" customWidth="1" outlineLevel="1"/>
    <col min="29" max="29" width="2.85546875" style="149" customWidth="1" outlineLevel="1"/>
    <col min="30" max="30" width="14.140625" style="149" customWidth="1" outlineLevel="1"/>
    <col min="31" max="37" width="12.42578125" style="149" customWidth="1" outlineLevel="1"/>
    <col min="38" max="38" width="11.7109375" style="149" customWidth="1" outlineLevel="1"/>
    <col min="39" max="39" width="2.85546875" style="149" customWidth="1" outlineLevel="1"/>
    <col min="40" max="48" width="11.5703125" style="149" customWidth="1"/>
    <col min="49" max="51" width="9.140625" style="149"/>
    <col min="52" max="52" width="40.28515625" style="149" customWidth="1" outlineLevel="1"/>
    <col min="53" max="53" width="18.5703125" style="149" customWidth="1" outlineLevel="1"/>
    <col min="54" max="54" width="26.5703125" style="149" customWidth="1" outlineLevel="1"/>
    <col min="55" max="55" width="24.7109375" style="149" customWidth="1" outlineLevel="1"/>
    <col min="56" max="56" width="23" style="149" customWidth="1" outlineLevel="1"/>
    <col min="57" max="58" width="9.140625" style="149" customWidth="1" outlineLevel="1"/>
    <col min="59" max="59" width="12.5703125" style="149" customWidth="1" outlineLevel="1"/>
    <col min="60" max="60" width="13.28515625" style="149" customWidth="1" outlineLevel="1"/>
    <col min="61" max="61" width="9.140625" style="149" customWidth="1" outlineLevel="1"/>
    <col min="62" max="62" width="15.85546875" style="149" bestFit="1" customWidth="1"/>
    <col min="63" max="16384" width="9.140625" style="149"/>
  </cols>
  <sheetData>
    <row r="1" spans="2:62" x14ac:dyDescent="0.25">
      <c r="B1" s="1"/>
      <c r="G1" s="150" t="s">
        <v>131</v>
      </c>
      <c r="H1" s="150"/>
      <c r="BJ1" s="151" t="s">
        <v>3</v>
      </c>
    </row>
    <row r="2" spans="2:62" x14ac:dyDescent="0.25">
      <c r="G2" s="153" t="s">
        <v>204</v>
      </c>
      <c r="H2" s="153"/>
    </row>
    <row r="3" spans="2:62" x14ac:dyDescent="0.25">
      <c r="F3" s="154"/>
    </row>
    <row r="4" spans="2:62" ht="15.75" x14ac:dyDescent="0.25">
      <c r="B4" s="274" t="s">
        <v>190</v>
      </c>
      <c r="C4" s="274"/>
      <c r="D4" s="274"/>
      <c r="E4" s="274"/>
      <c r="F4" s="274"/>
      <c r="G4" s="274"/>
      <c r="H4" s="242"/>
      <c r="I4" s="275" t="s">
        <v>132</v>
      </c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D4" s="275" t="s">
        <v>133</v>
      </c>
      <c r="AE4" s="275"/>
      <c r="AF4" s="275"/>
      <c r="AG4" s="275"/>
      <c r="AH4" s="275"/>
      <c r="AI4" s="275"/>
      <c r="AJ4" s="275"/>
      <c r="AK4" s="243"/>
      <c r="AN4" s="275" t="s">
        <v>134</v>
      </c>
      <c r="AO4" s="275"/>
      <c r="AP4" s="275"/>
      <c r="AQ4" s="275"/>
      <c r="AR4" s="275"/>
      <c r="AS4" s="275"/>
      <c r="AT4" s="275"/>
      <c r="AU4" s="243"/>
    </row>
    <row r="5" spans="2:62" ht="15.75" thickBot="1" x14ac:dyDescent="0.3">
      <c r="E5" s="154"/>
    </row>
    <row r="6" spans="2:62" ht="45.75" thickBot="1" x14ac:dyDescent="0.3">
      <c r="B6" s="155" t="s">
        <v>135</v>
      </c>
      <c r="C6" s="156" t="s">
        <v>136</v>
      </c>
      <c r="D6" s="157" t="s">
        <v>137</v>
      </c>
      <c r="E6" s="158" t="s">
        <v>203</v>
      </c>
      <c r="F6" s="159" t="s">
        <v>114</v>
      </c>
      <c r="G6" s="160" t="s">
        <v>116</v>
      </c>
      <c r="H6" s="161"/>
      <c r="I6" s="162" t="s">
        <v>191</v>
      </c>
      <c r="J6" s="163" t="s">
        <v>138</v>
      </c>
      <c r="K6" s="169" t="s">
        <v>192</v>
      </c>
      <c r="L6" s="163" t="s">
        <v>181</v>
      </c>
      <c r="M6" s="169" t="s">
        <v>193</v>
      </c>
      <c r="N6" s="163" t="s">
        <v>179</v>
      </c>
      <c r="O6" s="165" t="s">
        <v>194</v>
      </c>
      <c r="P6" s="163" t="s">
        <v>17</v>
      </c>
      <c r="Q6" s="165" t="s">
        <v>195</v>
      </c>
      <c r="R6" s="163" t="s">
        <v>15</v>
      </c>
      <c r="S6" s="165" t="s">
        <v>196</v>
      </c>
      <c r="T6" s="163" t="s">
        <v>13</v>
      </c>
      <c r="U6" s="166" t="s">
        <v>197</v>
      </c>
      <c r="V6" s="163" t="s">
        <v>177</v>
      </c>
      <c r="W6" s="166" t="s">
        <v>139</v>
      </c>
      <c r="X6" s="163" t="s">
        <v>198</v>
      </c>
      <c r="Y6" s="165" t="s">
        <v>199</v>
      </c>
      <c r="Z6" s="163" t="s">
        <v>186</v>
      </c>
      <c r="AA6" s="166" t="s">
        <v>140</v>
      </c>
      <c r="AB6" s="167" t="s">
        <v>141</v>
      </c>
      <c r="AD6" s="168" t="s">
        <v>142</v>
      </c>
      <c r="AE6" s="164" t="s">
        <v>183</v>
      </c>
      <c r="AF6" s="164" t="s">
        <v>182</v>
      </c>
      <c r="AG6" s="164" t="s">
        <v>144</v>
      </c>
      <c r="AH6" s="164" t="s">
        <v>145</v>
      </c>
      <c r="AI6" s="164" t="s">
        <v>143</v>
      </c>
      <c r="AJ6" s="169" t="s">
        <v>146</v>
      </c>
      <c r="AK6" s="251" t="s">
        <v>200</v>
      </c>
      <c r="AL6" s="170" t="s">
        <v>147</v>
      </c>
      <c r="AM6" s="171"/>
      <c r="AN6" s="168" t="s">
        <v>142</v>
      </c>
      <c r="AO6" s="164" t="s">
        <v>183</v>
      </c>
      <c r="AP6" s="164" t="s">
        <v>182</v>
      </c>
      <c r="AQ6" s="164" t="s">
        <v>144</v>
      </c>
      <c r="AR6" s="164" t="s">
        <v>145</v>
      </c>
      <c r="AS6" s="164" t="s">
        <v>143</v>
      </c>
      <c r="AT6" s="169" t="s">
        <v>146</v>
      </c>
      <c r="AU6" s="251" t="s">
        <v>200</v>
      </c>
      <c r="AV6" s="170" t="s">
        <v>147</v>
      </c>
      <c r="AZ6" s="21" t="s">
        <v>19</v>
      </c>
      <c r="BA6" s="21" t="s">
        <v>20</v>
      </c>
      <c r="BB6" s="21" t="s">
        <v>21</v>
      </c>
      <c r="BC6" s="21" t="s">
        <v>22</v>
      </c>
      <c r="BD6" s="21" t="s">
        <v>23</v>
      </c>
      <c r="BE6" s="21" t="s">
        <v>24</v>
      </c>
      <c r="BF6" s="21" t="s">
        <v>25</v>
      </c>
      <c r="BG6" s="252" t="s">
        <v>26</v>
      </c>
      <c r="BH6" s="253" t="s">
        <v>27</v>
      </c>
      <c r="BI6" s="172"/>
    </row>
    <row r="7" spans="2:62" x14ac:dyDescent="0.25">
      <c r="B7" s="173" t="s">
        <v>148</v>
      </c>
      <c r="C7" s="174">
        <f t="shared" ref="C7:C28" si="0">SUM(I7,W7,U7,AA7)</f>
        <v>16</v>
      </c>
      <c r="D7" s="175">
        <v>287</v>
      </c>
      <c r="E7" s="176">
        <f>SUM(C7*D7)</f>
        <v>4592</v>
      </c>
      <c r="F7" s="177" t="s">
        <v>34</v>
      </c>
      <c r="G7" s="178"/>
      <c r="I7" s="179">
        <v>10</v>
      </c>
      <c r="J7" s="180">
        <f>IF(ISBLANK(I7),"",SUM(I7*$D7))</f>
        <v>2870</v>
      </c>
      <c r="K7" s="181"/>
      <c r="L7" s="180"/>
      <c r="M7" s="181"/>
      <c r="N7" s="180" t="str">
        <f>IF(ISBLANK(M7),"",SUM(M7*$D7))</f>
        <v/>
      </c>
      <c r="O7" s="181"/>
      <c r="P7" s="180" t="str">
        <f>IF(ISBLANK(O7),"",SUM(O7*$D7))</f>
        <v/>
      </c>
      <c r="Q7" s="181"/>
      <c r="R7" s="180" t="str">
        <f>IF(ISBLANK(Q7),"",SUM(Q7*$D7))</f>
        <v/>
      </c>
      <c r="S7" s="181"/>
      <c r="T7" s="180" t="str">
        <f>IF(ISBLANK(S7),"",SUM(S7*$D7))</f>
        <v/>
      </c>
      <c r="U7" s="182"/>
      <c r="V7" s="180" t="str">
        <f>IF(ISBLANK(U7),"",SUM(U7*$D7))</f>
        <v/>
      </c>
      <c r="W7" s="183">
        <v>6</v>
      </c>
      <c r="X7" s="180">
        <f>IF(ISBLANK(W7),"",SUM(W7*$D7))</f>
        <v>1722</v>
      </c>
      <c r="Y7" s="181"/>
      <c r="Z7" s="180" t="str">
        <f>IF(ISBLANK(Y7),"",SUM(Y7*$D7))</f>
        <v/>
      </c>
      <c r="AA7" s="183"/>
      <c r="AB7" s="184" t="str">
        <f>IF(ISBLANK(AA7),"",SUM(AA7*$D7))</f>
        <v/>
      </c>
      <c r="AC7" s="185"/>
      <c r="AD7" s="186" t="str">
        <f>IFERROR(IF(ISBLANK(AB7),"",AB7*$BH$7),"")</f>
        <v/>
      </c>
      <c r="AE7" s="180" t="str">
        <f>IFERROR(IF(ISBLANK(AB7),"",AB7*$BH$8),"")</f>
        <v/>
      </c>
      <c r="AF7" s="180" t="str">
        <f t="shared" ref="AF7:AF28" si="1">IFERROR(IF(ISBLANK($AB7),"",$AB7*$BH$9),"")</f>
        <v/>
      </c>
      <c r="AG7" s="180" t="str">
        <f t="shared" ref="AG7:AG28" si="2">IFERROR(IF(ISBLANK($AB7),"",$AB7*$BH$10),"")</f>
        <v/>
      </c>
      <c r="AH7" s="180" t="str">
        <f t="shared" ref="AH7:AH28" si="3">IFERROR(IF(ISBLANK($AB7),"",$AB7*$BH$11),"")</f>
        <v/>
      </c>
      <c r="AI7" s="180" t="str">
        <f>IFERROR(IF(ISBLANK($AB7),"",$AB7*$BH$12),"")</f>
        <v/>
      </c>
      <c r="AJ7" s="180" t="str">
        <f>IFERROR(IF(ISBLANK($AB7),"",$AB7*$BH$13),"")</f>
        <v/>
      </c>
      <c r="AK7" s="180" t="str">
        <f>IFERROR(IF(ISBLANK($AB7),"",$AB7*$BH$14),"")</f>
        <v/>
      </c>
      <c r="AL7" s="184" t="str">
        <f t="shared" ref="AL7:AL28" si="4">IFERROR(IF(ISBLANK($AB7),"",$AB7*$BH$15),"")</f>
        <v/>
      </c>
      <c r="AM7" s="187" t="str">
        <f t="shared" ref="AM7:AM28" si="5">IF(SUM(AB7)=SUM(AD7:AL7),"","K")</f>
        <v/>
      </c>
      <c r="AN7" s="188">
        <f t="shared" ref="AN7:AN28" si="6">IF(SUM(J7,AD7)=0,"",SUM(J7,AD7))</f>
        <v>2870</v>
      </c>
      <c r="AO7" s="189" t="str">
        <f>IF(SUM(L7,AE7)=0,"",SUM(L7,AE7))</f>
        <v/>
      </c>
      <c r="AP7" s="189" t="str">
        <f>IF(SUM(N7,AF7)=0,"",SUM(N7,AF7))</f>
        <v/>
      </c>
      <c r="AQ7" s="189" t="str">
        <f>IF(SUM(P7,AG7)=0,"",SUM(P7,AG7))</f>
        <v/>
      </c>
      <c r="AR7" s="189" t="str">
        <f>IF(SUM(R7,AH7)=0,"",SUM(R7,AH7))</f>
        <v/>
      </c>
      <c r="AS7" s="189" t="str">
        <f>IF(SUM(T7,AI7)=0,"",SUM(T7,AI7))</f>
        <v/>
      </c>
      <c r="AT7" s="189">
        <f>IF(SUM(V7,X7,AJ7)=0,"",SUM(V7,X7,AJ7))</f>
        <v>1722</v>
      </c>
      <c r="AU7" s="189" t="str">
        <f>IF(SUM(Z7,AK7)=0,"",SUM(Z7,AK7))</f>
        <v/>
      </c>
      <c r="AV7" s="190" t="str">
        <f t="shared" ref="AV7:AV23" si="7">IF(SUM(AL7)=0,"",SUM(AL7))</f>
        <v/>
      </c>
      <c r="AZ7" s="37" t="s">
        <v>29</v>
      </c>
      <c r="BA7" s="38">
        <v>418.30000000000007</v>
      </c>
      <c r="BB7" s="38">
        <v>119.58058243436993</v>
      </c>
      <c r="BC7" s="38">
        <v>9.8087911061285524</v>
      </c>
      <c r="BD7" s="38">
        <v>1.75</v>
      </c>
      <c r="BE7" s="38">
        <v>549.43937354049854</v>
      </c>
      <c r="BF7" s="39">
        <v>0.37772540460642001</v>
      </c>
      <c r="BG7" s="40">
        <v>513.83937354049851</v>
      </c>
      <c r="BH7" s="41">
        <v>0.37520217125994776</v>
      </c>
      <c r="BI7" s="191"/>
    </row>
    <row r="8" spans="2:62" x14ac:dyDescent="0.25">
      <c r="B8" s="192" t="s">
        <v>149</v>
      </c>
      <c r="C8" s="174">
        <f t="shared" si="0"/>
        <v>13</v>
      </c>
      <c r="D8" s="175">
        <v>156</v>
      </c>
      <c r="E8" s="176">
        <f t="shared" ref="E8:E28" si="8">SUM(C8*D8)</f>
        <v>2028</v>
      </c>
      <c r="F8" s="177" t="s">
        <v>34</v>
      </c>
      <c r="G8" s="193"/>
      <c r="I8" s="194">
        <v>6</v>
      </c>
      <c r="J8" s="180">
        <f t="shared" ref="J8:J27" si="9">IF(ISBLANK(I8),"",SUM(I8*$D8))</f>
        <v>936</v>
      </c>
      <c r="K8" s="181"/>
      <c r="L8" s="180"/>
      <c r="M8" s="181"/>
      <c r="N8" s="180" t="str">
        <f t="shared" ref="N8:N28" si="10">IF(ISBLANK(M8),"",SUM(M8*$D8))</f>
        <v/>
      </c>
      <c r="O8" s="181"/>
      <c r="P8" s="180" t="str">
        <f t="shared" ref="P8:P28" si="11">IF(ISBLANK(O8),"",SUM(O8*$D8))</f>
        <v/>
      </c>
      <c r="Q8" s="181"/>
      <c r="R8" s="180" t="str">
        <f t="shared" ref="R8:R28" si="12">IF(ISBLANK(Q8),"",SUM(Q8*$D8))</f>
        <v/>
      </c>
      <c r="S8" s="181"/>
      <c r="T8" s="180" t="str">
        <f t="shared" ref="T8:T28" si="13">IF(ISBLANK(S8),"",SUM(S8*$D8))</f>
        <v/>
      </c>
      <c r="U8" s="195">
        <v>1</v>
      </c>
      <c r="V8" s="180">
        <f t="shared" ref="V8:V28" si="14">IF(ISBLANK(U8),"",SUM(U8*$D8))</f>
        <v>156</v>
      </c>
      <c r="W8" s="196">
        <v>6</v>
      </c>
      <c r="X8" s="180">
        <f t="shared" ref="X8:X28" si="15">IF(ISBLANK(W8),"",SUM(W8*$D8))</f>
        <v>936</v>
      </c>
      <c r="Y8" s="181"/>
      <c r="Z8" s="180" t="str">
        <f t="shared" ref="Z8:Z28" si="16">IF(ISBLANK(Y8),"",SUM(Y8*$D8))</f>
        <v/>
      </c>
      <c r="AA8" s="196"/>
      <c r="AB8" s="184" t="str">
        <f t="shared" ref="AB8:AB28" si="17">IF(ISBLANK(AA8),"",SUM(AA8*$D8))</f>
        <v/>
      </c>
      <c r="AC8" s="185"/>
      <c r="AD8" s="186" t="str">
        <f t="shared" ref="AD8:AD27" si="18">IFERROR(IF(ISBLANK(AB8),"",AB8*$BH$7),"")</f>
        <v/>
      </c>
      <c r="AE8" s="180" t="str">
        <f t="shared" ref="AE8:AE28" si="19">IFERROR(IF(ISBLANK(AB8),"",AB8*$BH$8),"")</f>
        <v/>
      </c>
      <c r="AF8" s="180" t="str">
        <f t="shared" si="1"/>
        <v/>
      </c>
      <c r="AG8" s="180" t="str">
        <f t="shared" si="2"/>
        <v/>
      </c>
      <c r="AH8" s="180" t="str">
        <f t="shared" si="3"/>
        <v/>
      </c>
      <c r="AI8" s="180" t="str">
        <f t="shared" ref="AI8:AI28" si="20">IFERROR(IF(ISBLANK($AB8),"",$AB8*$BH$12),"")</f>
        <v/>
      </c>
      <c r="AJ8" s="180" t="str">
        <f t="shared" ref="AJ8:AJ28" si="21">IFERROR(IF(ISBLANK($AB8),"",$AB8*$BH$13),"")</f>
        <v/>
      </c>
      <c r="AK8" s="180" t="str">
        <f t="shared" ref="AK8:AK28" si="22">IFERROR(IF(ISBLANK($AB8),"",$AB8*$BH$14),"")</f>
        <v/>
      </c>
      <c r="AL8" s="184" t="str">
        <f t="shared" si="4"/>
        <v/>
      </c>
      <c r="AM8" s="187" t="str">
        <f t="shared" si="5"/>
        <v/>
      </c>
      <c r="AN8" s="197">
        <f t="shared" si="6"/>
        <v>936</v>
      </c>
      <c r="AO8" s="198" t="str">
        <f t="shared" ref="AO8:AO28" si="23">IF(SUM(AE8)=0,"",SUM(AE8))</f>
        <v/>
      </c>
      <c r="AP8" s="198" t="str">
        <f t="shared" ref="AP8:AP28" si="24">IF(SUM(N8,AF8)=0,"",SUM(N8,AF8))</f>
        <v/>
      </c>
      <c r="AQ8" s="198" t="str">
        <f t="shared" ref="AQ8:AQ28" si="25">IF(SUM(P8,AG8)=0,"",SUM(P8,AG8))</f>
        <v/>
      </c>
      <c r="AR8" s="198" t="str">
        <f t="shared" ref="AR8:AR28" si="26">IF(SUM(R8,AH8)=0,"",SUM(R8,AH8))</f>
        <v/>
      </c>
      <c r="AS8" s="198" t="str">
        <f t="shared" ref="AS8:AS28" si="27">IF(SUM(T8,AI8)=0,"",SUM(T8,AI8))</f>
        <v/>
      </c>
      <c r="AT8" s="198">
        <f t="shared" ref="AT8:AT28" si="28">IF(SUM(V8,X8,AJ8)=0,"",SUM(V8,X8,AJ8))</f>
        <v>1092</v>
      </c>
      <c r="AU8" s="198" t="str">
        <f t="shared" ref="AU8:AU28" si="29">IF(SUM(Z8,AK8)=0,"",SUM(Z8,AK8))</f>
        <v/>
      </c>
      <c r="AV8" s="199" t="str">
        <f t="shared" si="7"/>
        <v/>
      </c>
      <c r="AZ8" s="37" t="s">
        <v>47</v>
      </c>
      <c r="BA8" s="38">
        <v>84.199999999999989</v>
      </c>
      <c r="BB8" s="38">
        <v>24.630785607834785</v>
      </c>
      <c r="BC8" s="38">
        <v>1.9744207772795215</v>
      </c>
      <c r="BD8" s="38">
        <v>8.8115822676631925</v>
      </c>
      <c r="BE8" s="38">
        <v>119.61678865277749</v>
      </c>
      <c r="BF8" s="39">
        <v>8.2233458444092869E-2</v>
      </c>
      <c r="BG8" s="57">
        <v>119.61678865277749</v>
      </c>
      <c r="BH8" s="41">
        <v>8.7343401717982813E-2</v>
      </c>
      <c r="BI8" s="191"/>
    </row>
    <row r="9" spans="2:62" x14ac:dyDescent="0.25">
      <c r="B9" s="192" t="s">
        <v>150</v>
      </c>
      <c r="C9" s="174">
        <f t="shared" si="0"/>
        <v>2</v>
      </c>
      <c r="D9" s="175">
        <v>163</v>
      </c>
      <c r="E9" s="176">
        <f t="shared" si="8"/>
        <v>326</v>
      </c>
      <c r="F9" s="177" t="s">
        <v>34</v>
      </c>
      <c r="G9" s="193"/>
      <c r="I9" s="194"/>
      <c r="J9" s="180" t="str">
        <f t="shared" si="9"/>
        <v/>
      </c>
      <c r="K9" s="181"/>
      <c r="L9" s="180"/>
      <c r="M9" s="181"/>
      <c r="N9" s="180" t="str">
        <f t="shared" si="10"/>
        <v/>
      </c>
      <c r="O9" s="181"/>
      <c r="P9" s="180" t="str">
        <f t="shared" si="11"/>
        <v/>
      </c>
      <c r="Q9" s="181"/>
      <c r="R9" s="180" t="str">
        <f t="shared" si="12"/>
        <v/>
      </c>
      <c r="S9" s="181"/>
      <c r="T9" s="180" t="str">
        <f t="shared" si="13"/>
        <v/>
      </c>
      <c r="U9" s="195">
        <v>2</v>
      </c>
      <c r="V9" s="180">
        <f t="shared" si="14"/>
        <v>326</v>
      </c>
      <c r="W9" s="196"/>
      <c r="X9" s="180" t="str">
        <f t="shared" si="15"/>
        <v/>
      </c>
      <c r="Y9" s="181"/>
      <c r="Z9" s="180" t="str">
        <f t="shared" si="16"/>
        <v/>
      </c>
      <c r="AA9" s="196"/>
      <c r="AB9" s="184" t="str">
        <f t="shared" si="17"/>
        <v/>
      </c>
      <c r="AC9" s="185"/>
      <c r="AD9" s="186" t="str">
        <f t="shared" si="18"/>
        <v/>
      </c>
      <c r="AE9" s="180" t="str">
        <f t="shared" si="19"/>
        <v/>
      </c>
      <c r="AF9" s="180" t="str">
        <f t="shared" si="1"/>
        <v/>
      </c>
      <c r="AG9" s="180" t="str">
        <f t="shared" si="2"/>
        <v/>
      </c>
      <c r="AH9" s="180" t="str">
        <f t="shared" si="3"/>
        <v/>
      </c>
      <c r="AI9" s="180" t="str">
        <f t="shared" si="20"/>
        <v/>
      </c>
      <c r="AJ9" s="180" t="str">
        <f t="shared" si="21"/>
        <v/>
      </c>
      <c r="AK9" s="180" t="str">
        <f t="shared" si="22"/>
        <v/>
      </c>
      <c r="AL9" s="184" t="str">
        <f t="shared" si="4"/>
        <v/>
      </c>
      <c r="AM9" s="187" t="str">
        <f t="shared" si="5"/>
        <v/>
      </c>
      <c r="AN9" s="197" t="str">
        <f t="shared" si="6"/>
        <v/>
      </c>
      <c r="AO9" s="198" t="str">
        <f t="shared" si="23"/>
        <v/>
      </c>
      <c r="AP9" s="198" t="str">
        <f t="shared" si="24"/>
        <v/>
      </c>
      <c r="AQ9" s="198" t="str">
        <f t="shared" si="25"/>
        <v/>
      </c>
      <c r="AR9" s="198" t="str">
        <f t="shared" si="26"/>
        <v/>
      </c>
      <c r="AS9" s="198" t="str">
        <f t="shared" si="27"/>
        <v/>
      </c>
      <c r="AT9" s="198">
        <f t="shared" si="28"/>
        <v>326</v>
      </c>
      <c r="AU9" s="198" t="str">
        <f t="shared" si="29"/>
        <v/>
      </c>
      <c r="AV9" s="199" t="str">
        <f t="shared" si="7"/>
        <v/>
      </c>
      <c r="AZ9" s="37" t="s">
        <v>32</v>
      </c>
      <c r="BA9" s="38">
        <v>102.4</v>
      </c>
      <c r="BB9" s="38">
        <v>29.499622324800669</v>
      </c>
      <c r="BC9" s="38">
        <v>2.4011958146487298</v>
      </c>
      <c r="BD9" s="38">
        <v>17.73228193595039</v>
      </c>
      <c r="BE9" s="38">
        <v>152.0331000753998</v>
      </c>
      <c r="BF9" s="39">
        <v>0.10451883684545567</v>
      </c>
      <c r="BG9" s="57">
        <v>152.0331000753998</v>
      </c>
      <c r="BH9" s="41">
        <v>0.1110135816541802</v>
      </c>
      <c r="BI9" s="191"/>
    </row>
    <row r="10" spans="2:62" x14ac:dyDescent="0.25">
      <c r="B10" s="192" t="s">
        <v>151</v>
      </c>
      <c r="C10" s="174">
        <f t="shared" si="0"/>
        <v>1</v>
      </c>
      <c r="D10" s="175">
        <v>357</v>
      </c>
      <c r="E10" s="176">
        <f t="shared" si="8"/>
        <v>357</v>
      </c>
      <c r="F10" s="177" t="s">
        <v>34</v>
      </c>
      <c r="G10" s="193"/>
      <c r="I10" s="194">
        <v>1</v>
      </c>
      <c r="J10" s="180">
        <f t="shared" si="9"/>
        <v>357</v>
      </c>
      <c r="K10" s="181"/>
      <c r="L10" s="180"/>
      <c r="M10" s="181"/>
      <c r="N10" s="180" t="str">
        <f t="shared" si="10"/>
        <v/>
      </c>
      <c r="O10" s="181"/>
      <c r="P10" s="180" t="str">
        <f t="shared" si="11"/>
        <v/>
      </c>
      <c r="Q10" s="181"/>
      <c r="R10" s="180" t="str">
        <f t="shared" si="12"/>
        <v/>
      </c>
      <c r="S10" s="181"/>
      <c r="T10" s="180" t="str">
        <f t="shared" si="13"/>
        <v/>
      </c>
      <c r="U10" s="195"/>
      <c r="V10" s="180" t="str">
        <f t="shared" si="14"/>
        <v/>
      </c>
      <c r="W10" s="196"/>
      <c r="X10" s="180" t="str">
        <f t="shared" si="15"/>
        <v/>
      </c>
      <c r="Y10" s="181"/>
      <c r="Z10" s="180" t="str">
        <f t="shared" si="16"/>
        <v/>
      </c>
      <c r="AA10" s="196"/>
      <c r="AB10" s="184" t="str">
        <f t="shared" si="17"/>
        <v/>
      </c>
      <c r="AC10" s="185"/>
      <c r="AD10" s="186" t="str">
        <f t="shared" si="18"/>
        <v/>
      </c>
      <c r="AE10" s="180" t="str">
        <f t="shared" si="19"/>
        <v/>
      </c>
      <c r="AF10" s="180" t="str">
        <f t="shared" si="1"/>
        <v/>
      </c>
      <c r="AG10" s="180" t="str">
        <f t="shared" si="2"/>
        <v/>
      </c>
      <c r="AH10" s="180" t="str">
        <f t="shared" si="3"/>
        <v/>
      </c>
      <c r="AI10" s="180" t="str">
        <f t="shared" si="20"/>
        <v/>
      </c>
      <c r="AJ10" s="180" t="str">
        <f t="shared" si="21"/>
        <v/>
      </c>
      <c r="AK10" s="180" t="str">
        <f t="shared" si="22"/>
        <v/>
      </c>
      <c r="AL10" s="184" t="str">
        <f t="shared" si="4"/>
        <v/>
      </c>
      <c r="AM10" s="187" t="str">
        <f t="shared" si="5"/>
        <v/>
      </c>
      <c r="AN10" s="197">
        <f t="shared" si="6"/>
        <v>357</v>
      </c>
      <c r="AO10" s="198" t="str">
        <f t="shared" si="23"/>
        <v/>
      </c>
      <c r="AP10" s="198" t="str">
        <f t="shared" si="24"/>
        <v/>
      </c>
      <c r="AQ10" s="198" t="str">
        <f t="shared" si="25"/>
        <v/>
      </c>
      <c r="AR10" s="198" t="str">
        <f t="shared" si="26"/>
        <v/>
      </c>
      <c r="AS10" s="198" t="str">
        <f t="shared" si="27"/>
        <v/>
      </c>
      <c r="AT10" s="198" t="str">
        <f t="shared" si="28"/>
        <v/>
      </c>
      <c r="AU10" s="198" t="str">
        <f t="shared" si="29"/>
        <v/>
      </c>
      <c r="AV10" s="199" t="str">
        <f t="shared" si="7"/>
        <v/>
      </c>
      <c r="AZ10" s="37" t="s">
        <v>39</v>
      </c>
      <c r="BA10" s="38">
        <v>25.5</v>
      </c>
      <c r="BB10" s="38">
        <v>7.4594421971471148</v>
      </c>
      <c r="BC10" s="38">
        <v>0.59795403587443952</v>
      </c>
      <c r="BD10" s="38">
        <v>2.6685908292804208</v>
      </c>
      <c r="BE10" s="38">
        <v>36.225987062301968</v>
      </c>
      <c r="BF10" s="39">
        <v>2.4904432189125511E-2</v>
      </c>
      <c r="BG10" s="57">
        <v>36.225987062301968</v>
      </c>
      <c r="BH10" s="41">
        <v>2.6451980330267952E-2</v>
      </c>
      <c r="BI10" s="191"/>
    </row>
    <row r="11" spans="2:62" x14ac:dyDescent="0.25">
      <c r="B11" s="192" t="s">
        <v>152</v>
      </c>
      <c r="C11" s="174">
        <f t="shared" si="0"/>
        <v>26</v>
      </c>
      <c r="D11" s="175">
        <v>357</v>
      </c>
      <c r="E11" s="176">
        <f t="shared" si="8"/>
        <v>9282</v>
      </c>
      <c r="F11" s="177" t="s">
        <v>34</v>
      </c>
      <c r="G11" s="193"/>
      <c r="I11" s="194">
        <v>25</v>
      </c>
      <c r="J11" s="180">
        <f t="shared" si="9"/>
        <v>8925</v>
      </c>
      <c r="K11" s="181"/>
      <c r="L11" s="180"/>
      <c r="M11" s="181"/>
      <c r="N11" s="180" t="str">
        <f t="shared" si="10"/>
        <v/>
      </c>
      <c r="O11" s="181"/>
      <c r="P11" s="180" t="str">
        <f t="shared" si="11"/>
        <v/>
      </c>
      <c r="Q11" s="181"/>
      <c r="R11" s="180" t="str">
        <f t="shared" si="12"/>
        <v/>
      </c>
      <c r="S11" s="181"/>
      <c r="T11" s="180" t="str">
        <f t="shared" si="13"/>
        <v/>
      </c>
      <c r="U11" s="195">
        <v>1</v>
      </c>
      <c r="V11" s="180">
        <f t="shared" si="14"/>
        <v>357</v>
      </c>
      <c r="W11" s="196"/>
      <c r="X11" s="180" t="str">
        <f t="shared" si="15"/>
        <v/>
      </c>
      <c r="Y11" s="181"/>
      <c r="Z11" s="180" t="str">
        <f t="shared" si="16"/>
        <v/>
      </c>
      <c r="AA11" s="196"/>
      <c r="AB11" s="184" t="str">
        <f t="shared" si="17"/>
        <v/>
      </c>
      <c r="AC11" s="185"/>
      <c r="AD11" s="186" t="str">
        <f t="shared" si="18"/>
        <v/>
      </c>
      <c r="AE11" s="180" t="str">
        <f t="shared" si="19"/>
        <v/>
      </c>
      <c r="AF11" s="180" t="str">
        <f t="shared" si="1"/>
        <v/>
      </c>
      <c r="AG11" s="180" t="str">
        <f t="shared" si="2"/>
        <v/>
      </c>
      <c r="AH11" s="180" t="str">
        <f t="shared" si="3"/>
        <v/>
      </c>
      <c r="AI11" s="180" t="str">
        <f t="shared" si="20"/>
        <v/>
      </c>
      <c r="AJ11" s="180" t="str">
        <f t="shared" si="21"/>
        <v/>
      </c>
      <c r="AK11" s="180" t="str">
        <f t="shared" si="22"/>
        <v/>
      </c>
      <c r="AL11" s="184" t="str">
        <f t="shared" si="4"/>
        <v/>
      </c>
      <c r="AM11" s="187" t="str">
        <f t="shared" si="5"/>
        <v/>
      </c>
      <c r="AN11" s="197">
        <f t="shared" si="6"/>
        <v>8925</v>
      </c>
      <c r="AO11" s="198" t="str">
        <f t="shared" si="23"/>
        <v/>
      </c>
      <c r="AP11" s="198" t="str">
        <f t="shared" si="24"/>
        <v/>
      </c>
      <c r="AQ11" s="198" t="str">
        <f t="shared" si="25"/>
        <v/>
      </c>
      <c r="AR11" s="198" t="str">
        <f t="shared" si="26"/>
        <v/>
      </c>
      <c r="AS11" s="198" t="str">
        <f t="shared" si="27"/>
        <v/>
      </c>
      <c r="AT11" s="198">
        <f t="shared" si="28"/>
        <v>357</v>
      </c>
      <c r="AU11" s="198" t="str">
        <f t="shared" si="29"/>
        <v/>
      </c>
      <c r="AV11" s="199" t="str">
        <f t="shared" ref="AV11:AV14" si="30">IF(SUM(AL11)=0,"",SUM(AL11))</f>
        <v/>
      </c>
      <c r="AZ11" s="37" t="s">
        <v>43</v>
      </c>
      <c r="BA11" s="38">
        <v>15</v>
      </c>
      <c r="BB11" s="38">
        <v>4.321233738984473</v>
      </c>
      <c r="BC11" s="38">
        <v>0.35173766816143498</v>
      </c>
      <c r="BD11" s="38">
        <v>2.5975022367114828</v>
      </c>
      <c r="BE11" s="38">
        <v>22.270473643857393</v>
      </c>
      <c r="BF11" s="39">
        <v>1.5310376491033544E-2</v>
      </c>
      <c r="BG11" s="57">
        <v>22.270473643857393</v>
      </c>
      <c r="BH11" s="41">
        <v>1.6261755125124053E-2</v>
      </c>
      <c r="BI11" s="191"/>
    </row>
    <row r="12" spans="2:62" x14ac:dyDescent="0.25">
      <c r="B12" s="192" t="s">
        <v>201</v>
      </c>
      <c r="C12" s="174">
        <f t="shared" si="0"/>
        <v>2</v>
      </c>
      <c r="D12" s="175">
        <v>507</v>
      </c>
      <c r="E12" s="176">
        <f t="shared" si="8"/>
        <v>1014</v>
      </c>
      <c r="F12" s="177" t="s">
        <v>34</v>
      </c>
      <c r="G12" s="193"/>
      <c r="I12" s="194">
        <v>2</v>
      </c>
      <c r="J12" s="180">
        <f t="shared" si="9"/>
        <v>1014</v>
      </c>
      <c r="K12" s="181"/>
      <c r="L12" s="180"/>
      <c r="M12" s="181"/>
      <c r="N12" s="180" t="str">
        <f t="shared" si="10"/>
        <v/>
      </c>
      <c r="O12" s="181"/>
      <c r="P12" s="180" t="str">
        <f t="shared" si="11"/>
        <v/>
      </c>
      <c r="Q12" s="181"/>
      <c r="R12" s="180" t="str">
        <f t="shared" si="12"/>
        <v/>
      </c>
      <c r="S12" s="181"/>
      <c r="T12" s="180" t="str">
        <f t="shared" si="13"/>
        <v/>
      </c>
      <c r="U12" s="195"/>
      <c r="V12" s="180" t="str">
        <f t="shared" si="14"/>
        <v/>
      </c>
      <c r="W12" s="196"/>
      <c r="X12" s="180" t="str">
        <f t="shared" si="15"/>
        <v/>
      </c>
      <c r="Y12" s="181"/>
      <c r="Z12" s="180" t="str">
        <f t="shared" si="16"/>
        <v/>
      </c>
      <c r="AA12" s="196"/>
      <c r="AB12" s="184" t="str">
        <f t="shared" si="17"/>
        <v/>
      </c>
      <c r="AC12" s="185"/>
      <c r="AD12" s="186" t="str">
        <f t="shared" si="18"/>
        <v/>
      </c>
      <c r="AE12" s="180" t="str">
        <f t="shared" si="19"/>
        <v/>
      </c>
      <c r="AF12" s="180" t="str">
        <f t="shared" si="1"/>
        <v/>
      </c>
      <c r="AG12" s="180" t="str">
        <f t="shared" si="2"/>
        <v/>
      </c>
      <c r="AH12" s="180" t="str">
        <f t="shared" si="3"/>
        <v/>
      </c>
      <c r="AI12" s="180" t="str">
        <f t="shared" si="20"/>
        <v/>
      </c>
      <c r="AJ12" s="180" t="str">
        <f t="shared" si="21"/>
        <v/>
      </c>
      <c r="AK12" s="180" t="str">
        <f t="shared" si="22"/>
        <v/>
      </c>
      <c r="AL12" s="184" t="str">
        <f t="shared" si="4"/>
        <v/>
      </c>
      <c r="AM12" s="187" t="str">
        <f t="shared" si="5"/>
        <v/>
      </c>
      <c r="AN12" s="197">
        <f t="shared" si="6"/>
        <v>1014</v>
      </c>
      <c r="AO12" s="198" t="str">
        <f t="shared" si="23"/>
        <v/>
      </c>
      <c r="AP12" s="198" t="str">
        <f t="shared" si="24"/>
        <v/>
      </c>
      <c r="AQ12" s="198" t="str">
        <f t="shared" si="25"/>
        <v/>
      </c>
      <c r="AR12" s="198" t="str">
        <f t="shared" si="26"/>
        <v/>
      </c>
      <c r="AS12" s="198" t="str">
        <f t="shared" si="27"/>
        <v/>
      </c>
      <c r="AT12" s="198" t="str">
        <f t="shared" si="28"/>
        <v/>
      </c>
      <c r="AU12" s="198" t="str">
        <f t="shared" si="29"/>
        <v/>
      </c>
      <c r="AV12" s="199" t="str">
        <f t="shared" si="30"/>
        <v/>
      </c>
      <c r="AZ12" s="37" t="s">
        <v>36</v>
      </c>
      <c r="BA12" s="38">
        <v>22.6</v>
      </c>
      <c r="BB12" s="38">
        <v>6.6111134766872475</v>
      </c>
      <c r="BC12" s="38">
        <v>0.52995142002989537</v>
      </c>
      <c r="BD12" s="38">
        <v>2.3651040290877456</v>
      </c>
      <c r="BE12" s="38">
        <v>32.106168925804887</v>
      </c>
      <c r="BF12" s="39">
        <v>2.2072163430362224E-2</v>
      </c>
      <c r="BG12" s="57">
        <v>32.106168925804887</v>
      </c>
      <c r="BH12" s="41">
        <v>2.344371590055121E-2</v>
      </c>
      <c r="BI12" s="191"/>
    </row>
    <row r="13" spans="2:62" x14ac:dyDescent="0.25">
      <c r="B13" s="192" t="s">
        <v>153</v>
      </c>
      <c r="C13" s="174">
        <f t="shared" si="0"/>
        <v>35</v>
      </c>
      <c r="D13" s="175">
        <v>116</v>
      </c>
      <c r="E13" s="176">
        <f t="shared" si="8"/>
        <v>4060</v>
      </c>
      <c r="F13" s="177" t="s">
        <v>34</v>
      </c>
      <c r="G13" s="193"/>
      <c r="I13" s="194">
        <v>30</v>
      </c>
      <c r="J13" s="180">
        <f>IF(ISBLANK(I13),"",SUM(I13*$D13))</f>
        <v>3480</v>
      </c>
      <c r="K13" s="181"/>
      <c r="L13" s="180"/>
      <c r="M13" s="181"/>
      <c r="N13" s="180" t="str">
        <f t="shared" si="10"/>
        <v/>
      </c>
      <c r="O13" s="181"/>
      <c r="P13" s="180" t="str">
        <f t="shared" si="11"/>
        <v/>
      </c>
      <c r="Q13" s="181"/>
      <c r="R13" s="180" t="str">
        <f t="shared" si="12"/>
        <v/>
      </c>
      <c r="S13" s="181"/>
      <c r="T13" s="180" t="str">
        <f t="shared" si="13"/>
        <v/>
      </c>
      <c r="U13" s="195">
        <v>5</v>
      </c>
      <c r="V13" s="180">
        <f t="shared" si="14"/>
        <v>580</v>
      </c>
      <c r="W13" s="196"/>
      <c r="X13" s="180" t="str">
        <f t="shared" si="15"/>
        <v/>
      </c>
      <c r="Y13" s="181"/>
      <c r="Z13" s="180" t="str">
        <f t="shared" si="16"/>
        <v/>
      </c>
      <c r="AA13" s="196"/>
      <c r="AB13" s="184" t="str">
        <f t="shared" si="17"/>
        <v/>
      </c>
      <c r="AC13" s="185"/>
      <c r="AD13" s="186" t="str">
        <f t="shared" si="18"/>
        <v/>
      </c>
      <c r="AE13" s="180" t="str">
        <f t="shared" si="19"/>
        <v/>
      </c>
      <c r="AF13" s="180" t="str">
        <f t="shared" si="1"/>
        <v/>
      </c>
      <c r="AG13" s="180" t="str">
        <f t="shared" si="2"/>
        <v/>
      </c>
      <c r="AH13" s="180" t="str">
        <f t="shared" si="3"/>
        <v/>
      </c>
      <c r="AI13" s="180" t="str">
        <f t="shared" si="20"/>
        <v/>
      </c>
      <c r="AJ13" s="180" t="str">
        <f t="shared" si="21"/>
        <v/>
      </c>
      <c r="AK13" s="180" t="str">
        <f t="shared" si="22"/>
        <v/>
      </c>
      <c r="AL13" s="184" t="str">
        <f t="shared" si="4"/>
        <v/>
      </c>
      <c r="AM13" s="187" t="str">
        <f t="shared" si="5"/>
        <v/>
      </c>
      <c r="AN13" s="197">
        <f t="shared" si="6"/>
        <v>3480</v>
      </c>
      <c r="AO13" s="198" t="str">
        <f t="shared" si="23"/>
        <v/>
      </c>
      <c r="AP13" s="198" t="str">
        <f t="shared" si="24"/>
        <v/>
      </c>
      <c r="AQ13" s="198" t="str">
        <f t="shared" si="25"/>
        <v/>
      </c>
      <c r="AR13" s="198" t="str">
        <f t="shared" si="26"/>
        <v/>
      </c>
      <c r="AS13" s="198" t="str">
        <f t="shared" si="27"/>
        <v/>
      </c>
      <c r="AT13" s="198">
        <f t="shared" si="28"/>
        <v>580</v>
      </c>
      <c r="AU13" s="198" t="str">
        <f t="shared" si="29"/>
        <v/>
      </c>
      <c r="AV13" s="199" t="str">
        <f t="shared" si="30"/>
        <v/>
      </c>
      <c r="AZ13" s="37" t="s">
        <v>51</v>
      </c>
      <c r="BA13" s="38">
        <v>236.79999999999998</v>
      </c>
      <c r="BB13" s="38">
        <v>66.683992770487748</v>
      </c>
      <c r="BC13" s="38">
        <v>5.552765321375186</v>
      </c>
      <c r="BD13" s="38">
        <v>15.924938701306772</v>
      </c>
      <c r="BE13" s="38">
        <v>324.96169679316966</v>
      </c>
      <c r="BF13" s="39">
        <v>0.22340278894071888</v>
      </c>
      <c r="BG13" s="57">
        <v>275.46169679316966</v>
      </c>
      <c r="BH13" s="41">
        <v>0.20114034084933891</v>
      </c>
      <c r="BI13" s="191"/>
    </row>
    <row r="14" spans="2:62" x14ac:dyDescent="0.25">
      <c r="B14" s="192" t="s">
        <v>154</v>
      </c>
      <c r="C14" s="174">
        <f t="shared" si="0"/>
        <v>3</v>
      </c>
      <c r="D14" s="175">
        <v>162</v>
      </c>
      <c r="E14" s="176">
        <f t="shared" si="8"/>
        <v>486</v>
      </c>
      <c r="F14" s="177" t="s">
        <v>34</v>
      </c>
      <c r="G14" s="193"/>
      <c r="I14" s="194"/>
      <c r="J14" s="180" t="str">
        <f>IF(ISBLANK(I14),"",SUM(I14*$D14))</f>
        <v/>
      </c>
      <c r="K14" s="181"/>
      <c r="L14" s="180"/>
      <c r="M14" s="181"/>
      <c r="N14" s="180" t="str">
        <f t="shared" si="10"/>
        <v/>
      </c>
      <c r="O14" s="181"/>
      <c r="P14" s="180" t="str">
        <f t="shared" si="11"/>
        <v/>
      </c>
      <c r="Q14" s="181"/>
      <c r="R14" s="180" t="str">
        <f t="shared" si="12"/>
        <v/>
      </c>
      <c r="S14" s="181"/>
      <c r="T14" s="180" t="str">
        <f t="shared" si="13"/>
        <v/>
      </c>
      <c r="U14" s="195"/>
      <c r="V14" s="180" t="str">
        <f t="shared" si="14"/>
        <v/>
      </c>
      <c r="W14" s="196">
        <v>3</v>
      </c>
      <c r="X14" s="180">
        <f t="shared" si="15"/>
        <v>486</v>
      </c>
      <c r="Y14" s="181"/>
      <c r="Z14" s="180" t="str">
        <f t="shared" si="16"/>
        <v/>
      </c>
      <c r="AA14" s="196"/>
      <c r="AB14" s="184" t="str">
        <f t="shared" si="17"/>
        <v/>
      </c>
      <c r="AC14" s="185"/>
      <c r="AD14" s="186" t="str">
        <f t="shared" si="18"/>
        <v/>
      </c>
      <c r="AE14" s="180" t="str">
        <f t="shared" si="19"/>
        <v/>
      </c>
      <c r="AF14" s="180" t="str">
        <f t="shared" si="1"/>
        <v/>
      </c>
      <c r="AG14" s="180" t="str">
        <f t="shared" si="2"/>
        <v/>
      </c>
      <c r="AH14" s="180" t="str">
        <f t="shared" si="3"/>
        <v/>
      </c>
      <c r="AI14" s="180" t="str">
        <f t="shared" si="20"/>
        <v/>
      </c>
      <c r="AJ14" s="180" t="str">
        <f t="shared" si="21"/>
        <v/>
      </c>
      <c r="AK14" s="180" t="str">
        <f t="shared" si="22"/>
        <v/>
      </c>
      <c r="AL14" s="184" t="str">
        <f t="shared" si="4"/>
        <v/>
      </c>
      <c r="AM14" s="187" t="str">
        <f t="shared" si="5"/>
        <v/>
      </c>
      <c r="AN14" s="197" t="str">
        <f t="shared" si="6"/>
        <v/>
      </c>
      <c r="AO14" s="198" t="str">
        <f t="shared" si="23"/>
        <v/>
      </c>
      <c r="AP14" s="198" t="str">
        <f t="shared" si="24"/>
        <v/>
      </c>
      <c r="AQ14" s="198" t="str">
        <f t="shared" si="25"/>
        <v/>
      </c>
      <c r="AR14" s="198" t="str">
        <f t="shared" si="26"/>
        <v/>
      </c>
      <c r="AS14" s="198" t="str">
        <f t="shared" si="27"/>
        <v/>
      </c>
      <c r="AT14" s="198">
        <f t="shared" si="28"/>
        <v>486</v>
      </c>
      <c r="AU14" s="198" t="str">
        <f t="shared" si="29"/>
        <v/>
      </c>
      <c r="AV14" s="199" t="str">
        <f t="shared" si="30"/>
        <v/>
      </c>
      <c r="AZ14" s="37" t="s">
        <v>187</v>
      </c>
      <c r="BA14" s="38">
        <v>14.7</v>
      </c>
      <c r="BB14" s="38">
        <v>4.3001490312965718</v>
      </c>
      <c r="BC14" s="38">
        <v>0.34470291479820625</v>
      </c>
      <c r="BD14" s="38">
        <v>1.75</v>
      </c>
      <c r="BE14" s="38">
        <v>21.094851946094778</v>
      </c>
      <c r="BF14" s="39">
        <v>1.4502166881682097E-2</v>
      </c>
      <c r="BG14" s="40">
        <v>21.094851946094778</v>
      </c>
      <c r="BH14" s="41">
        <v>1.5403323801456571E-2</v>
      </c>
      <c r="BI14" s="191"/>
    </row>
    <row r="15" spans="2:62" x14ac:dyDescent="0.25">
      <c r="B15" s="200" t="s">
        <v>155</v>
      </c>
      <c r="C15" s="174">
        <f t="shared" si="0"/>
        <v>9</v>
      </c>
      <c r="D15" s="175">
        <v>162</v>
      </c>
      <c r="E15" s="176">
        <f t="shared" si="8"/>
        <v>1458</v>
      </c>
      <c r="F15" s="177" t="s">
        <v>34</v>
      </c>
      <c r="G15" s="193"/>
      <c r="I15" s="194">
        <v>6</v>
      </c>
      <c r="J15" s="180">
        <f t="shared" si="9"/>
        <v>972</v>
      </c>
      <c r="K15" s="181"/>
      <c r="L15" s="180"/>
      <c r="M15" s="181"/>
      <c r="N15" s="180" t="str">
        <f t="shared" si="10"/>
        <v/>
      </c>
      <c r="O15" s="181"/>
      <c r="P15" s="180" t="str">
        <f t="shared" si="11"/>
        <v/>
      </c>
      <c r="Q15" s="181"/>
      <c r="R15" s="180" t="str">
        <f t="shared" si="12"/>
        <v/>
      </c>
      <c r="S15" s="181"/>
      <c r="T15" s="180" t="str">
        <f t="shared" si="13"/>
        <v/>
      </c>
      <c r="U15" s="195">
        <v>3</v>
      </c>
      <c r="V15" s="180">
        <f t="shared" si="14"/>
        <v>486</v>
      </c>
      <c r="W15" s="196"/>
      <c r="X15" s="180" t="str">
        <f t="shared" si="15"/>
        <v/>
      </c>
      <c r="Y15" s="181"/>
      <c r="Z15" s="180" t="str">
        <f t="shared" si="16"/>
        <v/>
      </c>
      <c r="AA15" s="196"/>
      <c r="AB15" s="184" t="str">
        <f t="shared" si="17"/>
        <v/>
      </c>
      <c r="AC15" s="185"/>
      <c r="AD15" s="186" t="str">
        <f t="shared" si="18"/>
        <v/>
      </c>
      <c r="AE15" s="180" t="str">
        <f t="shared" si="19"/>
        <v/>
      </c>
      <c r="AF15" s="180" t="str">
        <f t="shared" si="1"/>
        <v/>
      </c>
      <c r="AG15" s="180" t="str">
        <f t="shared" si="2"/>
        <v/>
      </c>
      <c r="AH15" s="180" t="str">
        <f t="shared" si="3"/>
        <v/>
      </c>
      <c r="AI15" s="180" t="str">
        <f t="shared" si="20"/>
        <v/>
      </c>
      <c r="AJ15" s="180" t="str">
        <f t="shared" si="21"/>
        <v/>
      </c>
      <c r="AK15" s="180" t="str">
        <f t="shared" si="22"/>
        <v/>
      </c>
      <c r="AL15" s="184" t="str">
        <f t="shared" si="4"/>
        <v/>
      </c>
      <c r="AM15" s="187" t="str">
        <f t="shared" si="5"/>
        <v/>
      </c>
      <c r="AN15" s="197">
        <f t="shared" si="6"/>
        <v>972</v>
      </c>
      <c r="AO15" s="198" t="str">
        <f t="shared" si="23"/>
        <v/>
      </c>
      <c r="AP15" s="198" t="str">
        <f t="shared" si="24"/>
        <v/>
      </c>
      <c r="AQ15" s="198" t="str">
        <f t="shared" si="25"/>
        <v/>
      </c>
      <c r="AR15" s="198" t="str">
        <f t="shared" si="26"/>
        <v/>
      </c>
      <c r="AS15" s="198" t="str">
        <f t="shared" si="27"/>
        <v/>
      </c>
      <c r="AT15" s="198">
        <f t="shared" si="28"/>
        <v>486</v>
      </c>
      <c r="AU15" s="198" t="str">
        <f t="shared" si="29"/>
        <v/>
      </c>
      <c r="AV15" s="199" t="str">
        <f t="shared" si="7"/>
        <v/>
      </c>
      <c r="AZ15" s="95" t="s">
        <v>55</v>
      </c>
      <c r="BA15" s="96">
        <v>150.90000000000009</v>
      </c>
      <c r="BB15" s="96">
        <v>42.413078418391422</v>
      </c>
      <c r="BC15" s="96">
        <v>3.5384809417040377</v>
      </c>
      <c r="BD15" s="96">
        <v>0</v>
      </c>
      <c r="BE15" s="96">
        <v>196.85155936009556</v>
      </c>
      <c r="BF15" s="97">
        <v>0.1353303721711093</v>
      </c>
      <c r="BG15" s="98">
        <v>196.85155936009556</v>
      </c>
      <c r="BH15" s="201">
        <v>0.14373972936115045</v>
      </c>
      <c r="BI15" s="191"/>
    </row>
    <row r="16" spans="2:62" x14ac:dyDescent="0.25">
      <c r="B16" s="200" t="s">
        <v>156</v>
      </c>
      <c r="C16" s="174">
        <f t="shared" si="0"/>
        <v>57</v>
      </c>
      <c r="D16" s="175">
        <v>113</v>
      </c>
      <c r="E16" s="176">
        <f t="shared" si="8"/>
        <v>6441</v>
      </c>
      <c r="F16" s="177" t="s">
        <v>34</v>
      </c>
      <c r="G16" s="193"/>
      <c r="I16" s="194">
        <v>56</v>
      </c>
      <c r="J16" s="180">
        <f t="shared" si="9"/>
        <v>6328</v>
      </c>
      <c r="K16" s="181"/>
      <c r="L16" s="180"/>
      <c r="M16" s="181"/>
      <c r="N16" s="180" t="str">
        <f t="shared" si="10"/>
        <v/>
      </c>
      <c r="O16" s="181"/>
      <c r="P16" s="180" t="str">
        <f t="shared" si="11"/>
        <v/>
      </c>
      <c r="Q16" s="181"/>
      <c r="R16" s="180" t="str">
        <f t="shared" si="12"/>
        <v/>
      </c>
      <c r="S16" s="181"/>
      <c r="T16" s="180" t="str">
        <f t="shared" si="13"/>
        <v/>
      </c>
      <c r="U16" s="195">
        <v>1</v>
      </c>
      <c r="V16" s="180">
        <f t="shared" si="14"/>
        <v>113</v>
      </c>
      <c r="W16" s="196"/>
      <c r="X16" s="180" t="str">
        <f t="shared" si="15"/>
        <v/>
      </c>
      <c r="Y16" s="181"/>
      <c r="Z16" s="180" t="str">
        <f t="shared" si="16"/>
        <v/>
      </c>
      <c r="AA16" s="196"/>
      <c r="AB16" s="184" t="str">
        <f t="shared" si="17"/>
        <v/>
      </c>
      <c r="AC16" s="185"/>
      <c r="AD16" s="186" t="str">
        <f t="shared" si="18"/>
        <v/>
      </c>
      <c r="AE16" s="180" t="str">
        <f t="shared" si="19"/>
        <v/>
      </c>
      <c r="AF16" s="180" t="str">
        <f t="shared" si="1"/>
        <v/>
      </c>
      <c r="AG16" s="180" t="str">
        <f t="shared" si="2"/>
        <v/>
      </c>
      <c r="AH16" s="180" t="str">
        <f t="shared" si="3"/>
        <v/>
      </c>
      <c r="AI16" s="180" t="str">
        <f t="shared" si="20"/>
        <v/>
      </c>
      <c r="AJ16" s="180" t="str">
        <f t="shared" si="21"/>
        <v/>
      </c>
      <c r="AK16" s="180" t="str">
        <f t="shared" si="22"/>
        <v/>
      </c>
      <c r="AL16" s="184" t="str">
        <f t="shared" si="4"/>
        <v/>
      </c>
      <c r="AM16" s="187" t="str">
        <f t="shared" si="5"/>
        <v/>
      </c>
      <c r="AN16" s="197">
        <f t="shared" si="6"/>
        <v>6328</v>
      </c>
      <c r="AO16" s="198" t="str">
        <f t="shared" si="23"/>
        <v/>
      </c>
      <c r="AP16" s="198" t="str">
        <f t="shared" si="24"/>
        <v/>
      </c>
      <c r="AQ16" s="198" t="str">
        <f t="shared" si="25"/>
        <v/>
      </c>
      <c r="AR16" s="198" t="str">
        <f t="shared" si="26"/>
        <v/>
      </c>
      <c r="AS16" s="198" t="str">
        <f t="shared" si="27"/>
        <v/>
      </c>
      <c r="AT16" s="198">
        <f t="shared" si="28"/>
        <v>113</v>
      </c>
      <c r="AU16" s="198" t="str">
        <f t="shared" si="29"/>
        <v/>
      </c>
      <c r="AV16" s="199" t="str">
        <f t="shared" si="7"/>
        <v/>
      </c>
      <c r="AZ16" s="95" t="s">
        <v>59</v>
      </c>
      <c r="BA16" s="96">
        <v>1070.4000000000001</v>
      </c>
      <c r="BB16" s="96">
        <v>305.5</v>
      </c>
      <c r="BC16" s="96">
        <v>25.1</v>
      </c>
      <c r="BD16" s="96">
        <v>53.6</v>
      </c>
      <c r="BE16" s="96">
        <v>1454.6</v>
      </c>
      <c r="BF16" s="97">
        <v>1</v>
      </c>
      <c r="BG16" s="98">
        <v>1369.5000000000002</v>
      </c>
      <c r="BH16" s="201">
        <v>1</v>
      </c>
      <c r="BI16" s="191"/>
    </row>
    <row r="17" spans="2:60" x14ac:dyDescent="0.25">
      <c r="B17" s="192" t="s">
        <v>157</v>
      </c>
      <c r="C17" s="174">
        <f t="shared" si="0"/>
        <v>16</v>
      </c>
      <c r="D17" s="175">
        <v>71</v>
      </c>
      <c r="E17" s="176">
        <f t="shared" si="8"/>
        <v>1136</v>
      </c>
      <c r="F17" s="177" t="s">
        <v>34</v>
      </c>
      <c r="G17" s="193"/>
      <c r="I17" s="194">
        <v>13</v>
      </c>
      <c r="J17" s="180">
        <f t="shared" si="9"/>
        <v>923</v>
      </c>
      <c r="K17" s="181"/>
      <c r="L17" s="180"/>
      <c r="M17" s="181"/>
      <c r="N17" s="180" t="str">
        <f t="shared" si="10"/>
        <v/>
      </c>
      <c r="O17" s="181"/>
      <c r="P17" s="180" t="str">
        <f t="shared" si="11"/>
        <v/>
      </c>
      <c r="Q17" s="181"/>
      <c r="R17" s="180" t="str">
        <f t="shared" si="12"/>
        <v/>
      </c>
      <c r="S17" s="181"/>
      <c r="T17" s="180" t="str">
        <f t="shared" si="13"/>
        <v/>
      </c>
      <c r="U17" s="195">
        <v>2</v>
      </c>
      <c r="V17" s="180">
        <f t="shared" si="14"/>
        <v>142</v>
      </c>
      <c r="W17" s="196">
        <v>1</v>
      </c>
      <c r="X17" s="180">
        <f t="shared" si="15"/>
        <v>71</v>
      </c>
      <c r="Y17" s="181"/>
      <c r="Z17" s="180" t="str">
        <f t="shared" si="16"/>
        <v/>
      </c>
      <c r="AA17" s="196"/>
      <c r="AB17" s="184" t="str">
        <f t="shared" si="17"/>
        <v/>
      </c>
      <c r="AC17" s="185"/>
      <c r="AD17" s="186" t="str">
        <f t="shared" si="18"/>
        <v/>
      </c>
      <c r="AE17" s="180" t="str">
        <f t="shared" si="19"/>
        <v/>
      </c>
      <c r="AF17" s="180" t="str">
        <f t="shared" si="1"/>
        <v/>
      </c>
      <c r="AG17" s="180" t="str">
        <f t="shared" si="2"/>
        <v/>
      </c>
      <c r="AH17" s="180" t="str">
        <f t="shared" si="3"/>
        <v/>
      </c>
      <c r="AI17" s="180" t="str">
        <f t="shared" si="20"/>
        <v/>
      </c>
      <c r="AJ17" s="180" t="str">
        <f t="shared" si="21"/>
        <v/>
      </c>
      <c r="AK17" s="180" t="str">
        <f t="shared" si="22"/>
        <v/>
      </c>
      <c r="AL17" s="184" t="str">
        <f t="shared" si="4"/>
        <v/>
      </c>
      <c r="AM17" s="187" t="str">
        <f t="shared" si="5"/>
        <v/>
      </c>
      <c r="AN17" s="197">
        <f t="shared" si="6"/>
        <v>923</v>
      </c>
      <c r="AO17" s="198" t="str">
        <f t="shared" si="23"/>
        <v/>
      </c>
      <c r="AP17" s="198" t="str">
        <f t="shared" si="24"/>
        <v/>
      </c>
      <c r="AQ17" s="198" t="str">
        <f t="shared" si="25"/>
        <v/>
      </c>
      <c r="AR17" s="198" t="str">
        <f t="shared" si="26"/>
        <v/>
      </c>
      <c r="AS17" s="198" t="str">
        <f t="shared" si="27"/>
        <v/>
      </c>
      <c r="AT17" s="198">
        <f t="shared" si="28"/>
        <v>213</v>
      </c>
      <c r="AU17" s="198" t="str">
        <f t="shared" si="29"/>
        <v/>
      </c>
      <c r="AV17" s="199" t="str">
        <f t="shared" si="7"/>
        <v/>
      </c>
      <c r="AZ17" s="254" t="s">
        <v>62</v>
      </c>
      <c r="BA17" s="254" t="s">
        <v>202</v>
      </c>
      <c r="BB17" s="254" t="s">
        <v>202</v>
      </c>
      <c r="BC17" s="254" t="s">
        <v>202</v>
      </c>
      <c r="BD17" s="254" t="s">
        <v>202</v>
      </c>
      <c r="BE17" s="254">
        <v>0</v>
      </c>
      <c r="BF17" s="254" t="s">
        <v>202</v>
      </c>
      <c r="BG17" s="98">
        <v>85.099999999999682</v>
      </c>
      <c r="BH17" s="254"/>
    </row>
    <row r="18" spans="2:60" x14ac:dyDescent="0.25">
      <c r="B18" s="192" t="s">
        <v>158</v>
      </c>
      <c r="C18" s="174">
        <f t="shared" si="0"/>
        <v>0</v>
      </c>
      <c r="D18" s="175">
        <v>581</v>
      </c>
      <c r="E18" s="176">
        <f t="shared" si="8"/>
        <v>0</v>
      </c>
      <c r="F18" s="177" t="s">
        <v>34</v>
      </c>
      <c r="G18" s="193"/>
      <c r="I18" s="194"/>
      <c r="J18" s="180" t="str">
        <f t="shared" si="9"/>
        <v/>
      </c>
      <c r="K18" s="181"/>
      <c r="L18" s="180"/>
      <c r="M18" s="181"/>
      <c r="N18" s="180" t="str">
        <f t="shared" si="10"/>
        <v/>
      </c>
      <c r="O18" s="181"/>
      <c r="P18" s="180" t="str">
        <f t="shared" si="11"/>
        <v/>
      </c>
      <c r="Q18" s="181"/>
      <c r="R18" s="180" t="str">
        <f t="shared" si="12"/>
        <v/>
      </c>
      <c r="S18" s="181"/>
      <c r="T18" s="180" t="str">
        <f t="shared" si="13"/>
        <v/>
      </c>
      <c r="U18" s="195"/>
      <c r="V18" s="180" t="str">
        <f t="shared" si="14"/>
        <v/>
      </c>
      <c r="W18" s="196"/>
      <c r="X18" s="180" t="str">
        <f t="shared" si="15"/>
        <v/>
      </c>
      <c r="Y18" s="181"/>
      <c r="Z18" s="180" t="str">
        <f t="shared" si="16"/>
        <v/>
      </c>
      <c r="AA18" s="196"/>
      <c r="AB18" s="184" t="str">
        <f t="shared" si="17"/>
        <v/>
      </c>
      <c r="AC18" s="185"/>
      <c r="AD18" s="186" t="str">
        <f t="shared" si="18"/>
        <v/>
      </c>
      <c r="AE18" s="180" t="str">
        <f t="shared" si="19"/>
        <v/>
      </c>
      <c r="AF18" s="180" t="str">
        <f t="shared" si="1"/>
        <v/>
      </c>
      <c r="AG18" s="180" t="str">
        <f t="shared" si="2"/>
        <v/>
      </c>
      <c r="AH18" s="180" t="str">
        <f t="shared" si="3"/>
        <v/>
      </c>
      <c r="AI18" s="180" t="str">
        <f t="shared" si="20"/>
        <v/>
      </c>
      <c r="AJ18" s="180" t="str">
        <f t="shared" si="21"/>
        <v/>
      </c>
      <c r="AK18" s="180" t="str">
        <f t="shared" si="22"/>
        <v/>
      </c>
      <c r="AL18" s="184" t="str">
        <f t="shared" si="4"/>
        <v/>
      </c>
      <c r="AM18" s="187" t="str">
        <f t="shared" si="5"/>
        <v/>
      </c>
      <c r="AN18" s="197" t="str">
        <f t="shared" si="6"/>
        <v/>
      </c>
      <c r="AO18" s="198" t="str">
        <f t="shared" si="23"/>
        <v/>
      </c>
      <c r="AP18" s="198" t="str">
        <f t="shared" si="24"/>
        <v/>
      </c>
      <c r="AQ18" s="198" t="str">
        <f t="shared" si="25"/>
        <v/>
      </c>
      <c r="AR18" s="198" t="str">
        <f t="shared" si="26"/>
        <v/>
      </c>
      <c r="AS18" s="198" t="str">
        <f t="shared" si="27"/>
        <v/>
      </c>
      <c r="AT18" s="198" t="str">
        <f t="shared" si="28"/>
        <v/>
      </c>
      <c r="AU18" s="198" t="str">
        <f t="shared" si="29"/>
        <v/>
      </c>
      <c r="AV18" s="199" t="str">
        <f t="shared" si="7"/>
        <v/>
      </c>
    </row>
    <row r="19" spans="2:60" x14ac:dyDescent="0.25">
      <c r="B19" s="202" t="s">
        <v>159</v>
      </c>
      <c r="C19" s="174">
        <f t="shared" si="0"/>
        <v>2</v>
      </c>
      <c r="D19" s="175">
        <v>424</v>
      </c>
      <c r="E19" s="176">
        <f t="shared" si="8"/>
        <v>848</v>
      </c>
      <c r="F19" s="177" t="s">
        <v>34</v>
      </c>
      <c r="G19" s="193"/>
      <c r="I19" s="194">
        <v>2</v>
      </c>
      <c r="J19" s="180">
        <f t="shared" si="9"/>
        <v>848</v>
      </c>
      <c r="K19" s="181"/>
      <c r="L19" s="180"/>
      <c r="M19" s="181"/>
      <c r="N19" s="180" t="str">
        <f t="shared" si="10"/>
        <v/>
      </c>
      <c r="O19" s="181"/>
      <c r="P19" s="180" t="str">
        <f t="shared" si="11"/>
        <v/>
      </c>
      <c r="Q19" s="181"/>
      <c r="R19" s="180" t="str">
        <f t="shared" si="12"/>
        <v/>
      </c>
      <c r="S19" s="181"/>
      <c r="T19" s="180" t="str">
        <f t="shared" si="13"/>
        <v/>
      </c>
      <c r="U19" s="195"/>
      <c r="V19" s="180" t="str">
        <f t="shared" si="14"/>
        <v/>
      </c>
      <c r="W19" s="196"/>
      <c r="X19" s="180" t="str">
        <f t="shared" si="15"/>
        <v/>
      </c>
      <c r="Y19" s="181"/>
      <c r="Z19" s="180" t="str">
        <f t="shared" si="16"/>
        <v/>
      </c>
      <c r="AA19" s="196"/>
      <c r="AB19" s="184" t="str">
        <f t="shared" si="17"/>
        <v/>
      </c>
      <c r="AC19" s="185"/>
      <c r="AD19" s="186" t="str">
        <f t="shared" si="18"/>
        <v/>
      </c>
      <c r="AE19" s="180" t="str">
        <f t="shared" si="19"/>
        <v/>
      </c>
      <c r="AF19" s="180" t="str">
        <f t="shared" si="1"/>
        <v/>
      </c>
      <c r="AG19" s="180" t="str">
        <f t="shared" si="2"/>
        <v/>
      </c>
      <c r="AH19" s="180" t="str">
        <f t="shared" si="3"/>
        <v/>
      </c>
      <c r="AI19" s="180" t="str">
        <f t="shared" si="20"/>
        <v/>
      </c>
      <c r="AJ19" s="180" t="str">
        <f t="shared" si="21"/>
        <v/>
      </c>
      <c r="AK19" s="180" t="str">
        <f t="shared" si="22"/>
        <v/>
      </c>
      <c r="AL19" s="184" t="str">
        <f t="shared" si="4"/>
        <v/>
      </c>
      <c r="AM19" s="187" t="str">
        <f t="shared" si="5"/>
        <v/>
      </c>
      <c r="AN19" s="197">
        <f t="shared" si="6"/>
        <v>848</v>
      </c>
      <c r="AO19" s="198" t="str">
        <f t="shared" si="23"/>
        <v/>
      </c>
      <c r="AP19" s="198" t="str">
        <f t="shared" si="24"/>
        <v/>
      </c>
      <c r="AQ19" s="198" t="str">
        <f t="shared" si="25"/>
        <v/>
      </c>
      <c r="AR19" s="198" t="str">
        <f t="shared" si="26"/>
        <v/>
      </c>
      <c r="AS19" s="198" t="str">
        <f t="shared" si="27"/>
        <v/>
      </c>
      <c r="AT19" s="198" t="str">
        <f t="shared" si="28"/>
        <v/>
      </c>
      <c r="AU19" s="198" t="str">
        <f t="shared" si="29"/>
        <v/>
      </c>
      <c r="AV19" s="199" t="str">
        <f t="shared" si="7"/>
        <v/>
      </c>
      <c r="BE19" s="203"/>
      <c r="BF19" s="204"/>
    </row>
    <row r="20" spans="2:60" x14ac:dyDescent="0.25">
      <c r="B20" s="192" t="s">
        <v>160</v>
      </c>
      <c r="C20" s="174">
        <f t="shared" si="0"/>
        <v>0</v>
      </c>
      <c r="D20" s="175">
        <v>500</v>
      </c>
      <c r="E20" s="176">
        <f t="shared" si="8"/>
        <v>0</v>
      </c>
      <c r="F20" s="177" t="s">
        <v>34</v>
      </c>
      <c r="G20" s="193"/>
      <c r="I20" s="194"/>
      <c r="J20" s="180" t="str">
        <f t="shared" si="9"/>
        <v/>
      </c>
      <c r="K20" s="181"/>
      <c r="L20" s="180"/>
      <c r="M20" s="181"/>
      <c r="N20" s="180" t="str">
        <f t="shared" si="10"/>
        <v/>
      </c>
      <c r="O20" s="181"/>
      <c r="P20" s="180" t="str">
        <f t="shared" si="11"/>
        <v/>
      </c>
      <c r="Q20" s="181"/>
      <c r="R20" s="180" t="str">
        <f t="shared" si="12"/>
        <v/>
      </c>
      <c r="S20" s="181"/>
      <c r="T20" s="180" t="str">
        <f t="shared" si="13"/>
        <v/>
      </c>
      <c r="U20" s="195"/>
      <c r="V20" s="180" t="str">
        <f t="shared" si="14"/>
        <v/>
      </c>
      <c r="W20" s="196"/>
      <c r="X20" s="180" t="str">
        <f t="shared" si="15"/>
        <v/>
      </c>
      <c r="Y20" s="181"/>
      <c r="Z20" s="180" t="str">
        <f t="shared" si="16"/>
        <v/>
      </c>
      <c r="AA20" s="196"/>
      <c r="AB20" s="184" t="str">
        <f t="shared" si="17"/>
        <v/>
      </c>
      <c r="AC20" s="185"/>
      <c r="AD20" s="186" t="str">
        <f t="shared" si="18"/>
        <v/>
      </c>
      <c r="AE20" s="180" t="str">
        <f t="shared" si="19"/>
        <v/>
      </c>
      <c r="AF20" s="180" t="str">
        <f t="shared" si="1"/>
        <v/>
      </c>
      <c r="AG20" s="180" t="str">
        <f t="shared" si="2"/>
        <v/>
      </c>
      <c r="AH20" s="180" t="str">
        <f t="shared" si="3"/>
        <v/>
      </c>
      <c r="AI20" s="180" t="str">
        <f t="shared" si="20"/>
        <v/>
      </c>
      <c r="AJ20" s="180" t="str">
        <f t="shared" si="21"/>
        <v/>
      </c>
      <c r="AK20" s="180" t="str">
        <f t="shared" si="22"/>
        <v/>
      </c>
      <c r="AL20" s="184" t="str">
        <f t="shared" si="4"/>
        <v/>
      </c>
      <c r="AM20" s="187" t="str">
        <f t="shared" si="5"/>
        <v/>
      </c>
      <c r="AN20" s="197" t="str">
        <f t="shared" si="6"/>
        <v/>
      </c>
      <c r="AO20" s="198" t="str">
        <f t="shared" si="23"/>
        <v/>
      </c>
      <c r="AP20" s="198" t="str">
        <f t="shared" si="24"/>
        <v/>
      </c>
      <c r="AQ20" s="198" t="str">
        <f t="shared" si="25"/>
        <v/>
      </c>
      <c r="AR20" s="198" t="str">
        <f t="shared" si="26"/>
        <v/>
      </c>
      <c r="AS20" s="198" t="str">
        <f t="shared" si="27"/>
        <v/>
      </c>
      <c r="AT20" s="198" t="str">
        <f t="shared" si="28"/>
        <v/>
      </c>
      <c r="AU20" s="198" t="str">
        <f t="shared" si="29"/>
        <v/>
      </c>
      <c r="AV20" s="199" t="str">
        <f t="shared" si="7"/>
        <v/>
      </c>
      <c r="BE20" s="203"/>
      <c r="BF20" s="204"/>
    </row>
    <row r="21" spans="2:60" x14ac:dyDescent="0.25">
      <c r="B21" s="192" t="s">
        <v>161</v>
      </c>
      <c r="C21" s="174">
        <f t="shared" si="0"/>
        <v>1</v>
      </c>
      <c r="D21" s="175">
        <v>112</v>
      </c>
      <c r="E21" s="176">
        <f t="shared" si="8"/>
        <v>112</v>
      </c>
      <c r="F21" s="177" t="s">
        <v>34</v>
      </c>
      <c r="G21" s="193"/>
      <c r="I21" s="194">
        <v>1</v>
      </c>
      <c r="J21" s="180">
        <f t="shared" si="9"/>
        <v>112</v>
      </c>
      <c r="K21" s="181"/>
      <c r="L21" s="180"/>
      <c r="M21" s="181"/>
      <c r="N21" s="180" t="str">
        <f t="shared" si="10"/>
        <v/>
      </c>
      <c r="O21" s="181"/>
      <c r="P21" s="180" t="str">
        <f t="shared" si="11"/>
        <v/>
      </c>
      <c r="Q21" s="181"/>
      <c r="R21" s="180" t="str">
        <f t="shared" si="12"/>
        <v/>
      </c>
      <c r="S21" s="181"/>
      <c r="T21" s="180" t="str">
        <f t="shared" si="13"/>
        <v/>
      </c>
      <c r="U21" s="195"/>
      <c r="V21" s="180" t="str">
        <f t="shared" si="14"/>
        <v/>
      </c>
      <c r="W21" s="196"/>
      <c r="X21" s="180" t="str">
        <f t="shared" si="15"/>
        <v/>
      </c>
      <c r="Y21" s="181"/>
      <c r="Z21" s="180" t="str">
        <f t="shared" si="16"/>
        <v/>
      </c>
      <c r="AA21" s="196"/>
      <c r="AB21" s="184" t="str">
        <f t="shared" si="17"/>
        <v/>
      </c>
      <c r="AC21" s="185"/>
      <c r="AD21" s="186" t="str">
        <f t="shared" si="18"/>
        <v/>
      </c>
      <c r="AE21" s="180" t="str">
        <f t="shared" si="19"/>
        <v/>
      </c>
      <c r="AF21" s="180" t="str">
        <f t="shared" si="1"/>
        <v/>
      </c>
      <c r="AG21" s="180" t="str">
        <f t="shared" si="2"/>
        <v/>
      </c>
      <c r="AH21" s="180" t="str">
        <f t="shared" si="3"/>
        <v/>
      </c>
      <c r="AI21" s="180" t="str">
        <f t="shared" si="20"/>
        <v/>
      </c>
      <c r="AJ21" s="180" t="str">
        <f t="shared" si="21"/>
        <v/>
      </c>
      <c r="AK21" s="180" t="str">
        <f t="shared" si="22"/>
        <v/>
      </c>
      <c r="AL21" s="184" t="str">
        <f t="shared" si="4"/>
        <v/>
      </c>
      <c r="AM21" s="187" t="str">
        <f t="shared" si="5"/>
        <v/>
      </c>
      <c r="AN21" s="197">
        <f t="shared" si="6"/>
        <v>112</v>
      </c>
      <c r="AO21" s="198" t="str">
        <f t="shared" si="23"/>
        <v/>
      </c>
      <c r="AP21" s="198" t="str">
        <f t="shared" si="24"/>
        <v/>
      </c>
      <c r="AQ21" s="198" t="str">
        <f t="shared" si="25"/>
        <v/>
      </c>
      <c r="AR21" s="198" t="str">
        <f t="shared" si="26"/>
        <v/>
      </c>
      <c r="AS21" s="198" t="str">
        <f t="shared" si="27"/>
        <v/>
      </c>
      <c r="AT21" s="198" t="str">
        <f t="shared" si="28"/>
        <v/>
      </c>
      <c r="AU21" s="198" t="str">
        <f t="shared" si="29"/>
        <v/>
      </c>
      <c r="AV21" s="199" t="str">
        <f t="shared" si="7"/>
        <v/>
      </c>
      <c r="BE21" s="203"/>
      <c r="BF21" s="204"/>
    </row>
    <row r="22" spans="2:60" x14ac:dyDescent="0.25">
      <c r="B22" s="205" t="s">
        <v>162</v>
      </c>
      <c r="C22" s="174">
        <f t="shared" si="0"/>
        <v>0</v>
      </c>
      <c r="D22" s="175">
        <v>230</v>
      </c>
      <c r="E22" s="176">
        <f t="shared" si="8"/>
        <v>0</v>
      </c>
      <c r="F22" s="177" t="s">
        <v>34</v>
      </c>
      <c r="G22" s="193"/>
      <c r="I22" s="194"/>
      <c r="J22" s="180" t="str">
        <f t="shared" si="9"/>
        <v/>
      </c>
      <c r="K22" s="181"/>
      <c r="L22" s="180"/>
      <c r="M22" s="181"/>
      <c r="N22" s="180" t="str">
        <f t="shared" si="10"/>
        <v/>
      </c>
      <c r="O22" s="181"/>
      <c r="P22" s="180" t="str">
        <f t="shared" si="11"/>
        <v/>
      </c>
      <c r="Q22" s="181"/>
      <c r="R22" s="180" t="str">
        <f t="shared" si="12"/>
        <v/>
      </c>
      <c r="S22" s="181"/>
      <c r="T22" s="180" t="str">
        <f t="shared" si="13"/>
        <v/>
      </c>
      <c r="U22" s="195"/>
      <c r="V22" s="180" t="str">
        <f t="shared" si="14"/>
        <v/>
      </c>
      <c r="W22" s="196"/>
      <c r="X22" s="180" t="str">
        <f t="shared" si="15"/>
        <v/>
      </c>
      <c r="Y22" s="181"/>
      <c r="Z22" s="180" t="str">
        <f t="shared" si="16"/>
        <v/>
      </c>
      <c r="AA22" s="196"/>
      <c r="AB22" s="184" t="str">
        <f t="shared" si="17"/>
        <v/>
      </c>
      <c r="AC22" s="185"/>
      <c r="AD22" s="186" t="str">
        <f t="shared" si="18"/>
        <v/>
      </c>
      <c r="AE22" s="180" t="str">
        <f t="shared" si="19"/>
        <v/>
      </c>
      <c r="AF22" s="180" t="str">
        <f t="shared" si="1"/>
        <v/>
      </c>
      <c r="AG22" s="180" t="str">
        <f t="shared" si="2"/>
        <v/>
      </c>
      <c r="AH22" s="180" t="str">
        <f t="shared" si="3"/>
        <v/>
      </c>
      <c r="AI22" s="180" t="str">
        <f t="shared" si="20"/>
        <v/>
      </c>
      <c r="AJ22" s="180" t="str">
        <f t="shared" si="21"/>
        <v/>
      </c>
      <c r="AK22" s="180" t="str">
        <f t="shared" si="22"/>
        <v/>
      </c>
      <c r="AL22" s="184" t="str">
        <f t="shared" si="4"/>
        <v/>
      </c>
      <c r="AM22" s="187" t="str">
        <f t="shared" si="5"/>
        <v/>
      </c>
      <c r="AN22" s="197" t="str">
        <f t="shared" si="6"/>
        <v/>
      </c>
      <c r="AO22" s="198" t="str">
        <f t="shared" si="23"/>
        <v/>
      </c>
      <c r="AP22" s="198" t="str">
        <f t="shared" si="24"/>
        <v/>
      </c>
      <c r="AQ22" s="198" t="str">
        <f t="shared" si="25"/>
        <v/>
      </c>
      <c r="AR22" s="198" t="str">
        <f t="shared" si="26"/>
        <v/>
      </c>
      <c r="AS22" s="198" t="str">
        <f t="shared" si="27"/>
        <v/>
      </c>
      <c r="AT22" s="198" t="str">
        <f t="shared" si="28"/>
        <v/>
      </c>
      <c r="AU22" s="198" t="str">
        <f t="shared" si="29"/>
        <v/>
      </c>
      <c r="AV22" s="199" t="str">
        <f t="shared" si="7"/>
        <v/>
      </c>
      <c r="BE22" s="203"/>
      <c r="BF22" s="204"/>
    </row>
    <row r="23" spans="2:60" x14ac:dyDescent="0.25">
      <c r="B23" s="205" t="s">
        <v>163</v>
      </c>
      <c r="C23" s="174">
        <f t="shared" si="0"/>
        <v>3</v>
      </c>
      <c r="D23" s="175">
        <v>361</v>
      </c>
      <c r="E23" s="176">
        <f t="shared" si="8"/>
        <v>1083</v>
      </c>
      <c r="F23" s="177" t="s">
        <v>34</v>
      </c>
      <c r="G23" s="193"/>
      <c r="I23" s="194">
        <v>1</v>
      </c>
      <c r="J23" s="180">
        <f t="shared" si="9"/>
        <v>361</v>
      </c>
      <c r="K23" s="181"/>
      <c r="L23" s="180"/>
      <c r="M23" s="181"/>
      <c r="N23" s="180" t="str">
        <f t="shared" si="10"/>
        <v/>
      </c>
      <c r="O23" s="181"/>
      <c r="P23" s="180" t="str">
        <f t="shared" si="11"/>
        <v/>
      </c>
      <c r="Q23" s="181"/>
      <c r="R23" s="180" t="str">
        <f t="shared" si="12"/>
        <v/>
      </c>
      <c r="S23" s="181"/>
      <c r="T23" s="180" t="str">
        <f t="shared" si="13"/>
        <v/>
      </c>
      <c r="U23" s="195"/>
      <c r="V23" s="180" t="str">
        <f t="shared" si="14"/>
        <v/>
      </c>
      <c r="W23" s="196"/>
      <c r="X23" s="180" t="str">
        <f t="shared" si="15"/>
        <v/>
      </c>
      <c r="Y23" s="181"/>
      <c r="Z23" s="180" t="str">
        <f t="shared" si="16"/>
        <v/>
      </c>
      <c r="AA23" s="196">
        <v>2</v>
      </c>
      <c r="AB23" s="184">
        <f t="shared" si="17"/>
        <v>722</v>
      </c>
      <c r="AC23" s="185"/>
      <c r="AD23" s="186">
        <f>IFERROR(IF(ISBLANK(AB23),"",AB23*$BH$7),"")</f>
        <v>270.89596764968229</v>
      </c>
      <c r="AE23" s="180">
        <f t="shared" si="19"/>
        <v>63.061936040383593</v>
      </c>
      <c r="AF23" s="180">
        <f t="shared" si="1"/>
        <v>80.151805954318107</v>
      </c>
      <c r="AG23" s="180">
        <f t="shared" si="2"/>
        <v>19.098329798453459</v>
      </c>
      <c r="AH23" s="180">
        <f t="shared" si="3"/>
        <v>11.740987200339566</v>
      </c>
      <c r="AI23" s="180">
        <f t="shared" si="20"/>
        <v>16.926362880197974</v>
      </c>
      <c r="AJ23" s="180">
        <f t="shared" si="21"/>
        <v>145.22332609322268</v>
      </c>
      <c r="AK23" s="180">
        <f t="shared" si="22"/>
        <v>11.121199784651644</v>
      </c>
      <c r="AL23" s="184">
        <f t="shared" si="4"/>
        <v>103.78008459875063</v>
      </c>
      <c r="AM23" s="187" t="str">
        <f t="shared" si="5"/>
        <v/>
      </c>
      <c r="AN23" s="197">
        <f t="shared" si="6"/>
        <v>631.89596764968223</v>
      </c>
      <c r="AO23" s="198">
        <f t="shared" si="23"/>
        <v>63.061936040383593</v>
      </c>
      <c r="AP23" s="198">
        <f t="shared" si="24"/>
        <v>80.151805954318107</v>
      </c>
      <c r="AQ23" s="198">
        <f t="shared" si="25"/>
        <v>19.098329798453459</v>
      </c>
      <c r="AR23" s="198">
        <f t="shared" si="26"/>
        <v>11.740987200339566</v>
      </c>
      <c r="AS23" s="198">
        <f t="shared" si="27"/>
        <v>16.926362880197974</v>
      </c>
      <c r="AT23" s="198">
        <f t="shared" si="28"/>
        <v>145.22332609322268</v>
      </c>
      <c r="AU23" s="198">
        <f t="shared" si="29"/>
        <v>11.121199784651644</v>
      </c>
      <c r="AV23" s="199">
        <f t="shared" si="7"/>
        <v>103.78008459875063</v>
      </c>
      <c r="BE23" s="203"/>
      <c r="BF23" s="204"/>
    </row>
    <row r="24" spans="2:60" x14ac:dyDescent="0.25">
      <c r="B24" s="205" t="s">
        <v>164</v>
      </c>
      <c r="C24" s="174">
        <f t="shared" si="0"/>
        <v>0</v>
      </c>
      <c r="D24" s="175">
        <v>264</v>
      </c>
      <c r="E24" s="176">
        <f t="shared" si="8"/>
        <v>0</v>
      </c>
      <c r="F24" s="177" t="s">
        <v>34</v>
      </c>
      <c r="G24" s="193"/>
      <c r="I24" s="194"/>
      <c r="J24" s="180" t="str">
        <f t="shared" si="9"/>
        <v/>
      </c>
      <c r="K24" s="181"/>
      <c r="L24" s="180"/>
      <c r="M24" s="181"/>
      <c r="N24" s="180" t="str">
        <f t="shared" si="10"/>
        <v/>
      </c>
      <c r="O24" s="181"/>
      <c r="P24" s="180" t="str">
        <f t="shared" si="11"/>
        <v/>
      </c>
      <c r="Q24" s="181"/>
      <c r="R24" s="180" t="str">
        <f t="shared" si="12"/>
        <v/>
      </c>
      <c r="S24" s="181"/>
      <c r="T24" s="180" t="str">
        <f t="shared" si="13"/>
        <v/>
      </c>
      <c r="U24" s="195"/>
      <c r="V24" s="180" t="str">
        <f t="shared" si="14"/>
        <v/>
      </c>
      <c r="W24" s="196"/>
      <c r="X24" s="180" t="str">
        <f t="shared" si="15"/>
        <v/>
      </c>
      <c r="Y24" s="181"/>
      <c r="Z24" s="180" t="str">
        <f t="shared" si="16"/>
        <v/>
      </c>
      <c r="AA24" s="196"/>
      <c r="AB24" s="184" t="str">
        <f t="shared" si="17"/>
        <v/>
      </c>
      <c r="AC24" s="185"/>
      <c r="AD24" s="186" t="str">
        <f t="shared" si="18"/>
        <v/>
      </c>
      <c r="AE24" s="180" t="str">
        <f t="shared" si="19"/>
        <v/>
      </c>
      <c r="AF24" s="180" t="str">
        <f t="shared" si="1"/>
        <v/>
      </c>
      <c r="AG24" s="180" t="str">
        <f t="shared" si="2"/>
        <v/>
      </c>
      <c r="AH24" s="180" t="str">
        <f t="shared" si="3"/>
        <v/>
      </c>
      <c r="AI24" s="180" t="str">
        <f t="shared" si="20"/>
        <v/>
      </c>
      <c r="AJ24" s="180" t="str">
        <f t="shared" si="21"/>
        <v/>
      </c>
      <c r="AK24" s="180" t="str">
        <f t="shared" si="22"/>
        <v/>
      </c>
      <c r="AL24" s="184" t="str">
        <f t="shared" si="4"/>
        <v/>
      </c>
      <c r="AM24" s="187" t="str">
        <f t="shared" si="5"/>
        <v/>
      </c>
      <c r="AN24" s="197" t="str">
        <f t="shared" si="6"/>
        <v/>
      </c>
      <c r="AO24" s="198" t="str">
        <f t="shared" si="23"/>
        <v/>
      </c>
      <c r="AP24" s="198" t="str">
        <f t="shared" si="24"/>
        <v/>
      </c>
      <c r="AQ24" s="198" t="str">
        <f t="shared" si="25"/>
        <v/>
      </c>
      <c r="AR24" s="198" t="str">
        <f t="shared" si="26"/>
        <v/>
      </c>
      <c r="AS24" s="198" t="str">
        <f t="shared" si="27"/>
        <v/>
      </c>
      <c r="AT24" s="198" t="str">
        <f t="shared" si="28"/>
        <v/>
      </c>
      <c r="AU24" s="198" t="str">
        <f t="shared" si="29"/>
        <v/>
      </c>
      <c r="AV24" s="199" t="str">
        <f t="shared" ref="AV24:AV28" si="31">IF(SUM(AL24)=0,"",SUM(AL24))</f>
        <v/>
      </c>
      <c r="BE24" s="203"/>
      <c r="BF24" s="204"/>
    </row>
    <row r="25" spans="2:60" x14ac:dyDescent="0.25">
      <c r="B25" s="205" t="s">
        <v>165</v>
      </c>
      <c r="C25" s="174">
        <f t="shared" si="0"/>
        <v>0</v>
      </c>
      <c r="D25" s="175">
        <v>125</v>
      </c>
      <c r="E25" s="176">
        <f t="shared" si="8"/>
        <v>0</v>
      </c>
      <c r="F25" s="177" t="s">
        <v>34</v>
      </c>
      <c r="G25" s="193"/>
      <c r="I25" s="194"/>
      <c r="J25" s="180" t="str">
        <f t="shared" si="9"/>
        <v/>
      </c>
      <c r="K25" s="181"/>
      <c r="L25" s="180"/>
      <c r="M25" s="181"/>
      <c r="N25" s="180" t="str">
        <f t="shared" si="10"/>
        <v/>
      </c>
      <c r="O25" s="181"/>
      <c r="P25" s="180" t="str">
        <f t="shared" si="11"/>
        <v/>
      </c>
      <c r="Q25" s="181"/>
      <c r="R25" s="180" t="str">
        <f t="shared" si="12"/>
        <v/>
      </c>
      <c r="S25" s="181"/>
      <c r="T25" s="180" t="str">
        <f t="shared" si="13"/>
        <v/>
      </c>
      <c r="U25" s="195"/>
      <c r="V25" s="180" t="str">
        <f t="shared" si="14"/>
        <v/>
      </c>
      <c r="W25" s="196"/>
      <c r="X25" s="180" t="str">
        <f t="shared" si="15"/>
        <v/>
      </c>
      <c r="Y25" s="181"/>
      <c r="Z25" s="180" t="str">
        <f t="shared" si="16"/>
        <v/>
      </c>
      <c r="AA25" s="196"/>
      <c r="AB25" s="184" t="str">
        <f t="shared" si="17"/>
        <v/>
      </c>
      <c r="AC25" s="185"/>
      <c r="AD25" s="186" t="str">
        <f t="shared" si="18"/>
        <v/>
      </c>
      <c r="AE25" s="180" t="str">
        <f t="shared" si="19"/>
        <v/>
      </c>
      <c r="AF25" s="180" t="str">
        <f t="shared" si="1"/>
        <v/>
      </c>
      <c r="AG25" s="180" t="str">
        <f t="shared" si="2"/>
        <v/>
      </c>
      <c r="AH25" s="180" t="str">
        <f t="shared" si="3"/>
        <v/>
      </c>
      <c r="AI25" s="180" t="str">
        <f t="shared" si="20"/>
        <v/>
      </c>
      <c r="AJ25" s="180" t="str">
        <f t="shared" si="21"/>
        <v/>
      </c>
      <c r="AK25" s="180" t="str">
        <f t="shared" si="22"/>
        <v/>
      </c>
      <c r="AL25" s="184" t="str">
        <f t="shared" si="4"/>
        <v/>
      </c>
      <c r="AM25" s="187" t="str">
        <f t="shared" si="5"/>
        <v/>
      </c>
      <c r="AN25" s="197" t="str">
        <f t="shared" si="6"/>
        <v/>
      </c>
      <c r="AO25" s="198" t="str">
        <f t="shared" si="23"/>
        <v/>
      </c>
      <c r="AP25" s="198" t="str">
        <f t="shared" si="24"/>
        <v/>
      </c>
      <c r="AQ25" s="198" t="str">
        <f t="shared" si="25"/>
        <v/>
      </c>
      <c r="AR25" s="198" t="str">
        <f t="shared" si="26"/>
        <v/>
      </c>
      <c r="AS25" s="198" t="str">
        <f t="shared" si="27"/>
        <v/>
      </c>
      <c r="AT25" s="198" t="str">
        <f t="shared" si="28"/>
        <v/>
      </c>
      <c r="AU25" s="198" t="str">
        <f t="shared" si="29"/>
        <v/>
      </c>
      <c r="AV25" s="199" t="str">
        <f t="shared" si="31"/>
        <v/>
      </c>
      <c r="BE25" s="203"/>
      <c r="BF25" s="204"/>
    </row>
    <row r="26" spans="2:60" x14ac:dyDescent="0.25">
      <c r="B26" s="205" t="s">
        <v>166</v>
      </c>
      <c r="C26" s="174">
        <f t="shared" si="0"/>
        <v>2</v>
      </c>
      <c r="D26" s="175">
        <v>504</v>
      </c>
      <c r="E26" s="176">
        <f t="shared" si="8"/>
        <v>1008</v>
      </c>
      <c r="F26" s="177" t="s">
        <v>34</v>
      </c>
      <c r="G26" s="193"/>
      <c r="I26" s="194"/>
      <c r="J26" s="180" t="str">
        <f t="shared" si="9"/>
        <v/>
      </c>
      <c r="K26" s="181"/>
      <c r="L26" s="180"/>
      <c r="M26" s="181"/>
      <c r="N26" s="180" t="str">
        <f t="shared" si="10"/>
        <v/>
      </c>
      <c r="O26" s="181"/>
      <c r="P26" s="180" t="str">
        <f t="shared" si="11"/>
        <v/>
      </c>
      <c r="Q26" s="181"/>
      <c r="R26" s="180" t="str">
        <f t="shared" si="12"/>
        <v/>
      </c>
      <c r="S26" s="181"/>
      <c r="T26" s="180" t="str">
        <f t="shared" si="13"/>
        <v/>
      </c>
      <c r="U26" s="195">
        <v>2</v>
      </c>
      <c r="V26" s="180">
        <f t="shared" si="14"/>
        <v>1008</v>
      </c>
      <c r="W26" s="196"/>
      <c r="X26" s="180" t="str">
        <f t="shared" si="15"/>
        <v/>
      </c>
      <c r="Y26" s="181"/>
      <c r="Z26" s="180" t="str">
        <f t="shared" si="16"/>
        <v/>
      </c>
      <c r="AA26" s="196"/>
      <c r="AB26" s="184" t="str">
        <f t="shared" si="17"/>
        <v/>
      </c>
      <c r="AC26" s="185"/>
      <c r="AD26" s="186" t="str">
        <f t="shared" si="18"/>
        <v/>
      </c>
      <c r="AE26" s="180" t="str">
        <f t="shared" si="19"/>
        <v/>
      </c>
      <c r="AF26" s="180" t="str">
        <f t="shared" si="1"/>
        <v/>
      </c>
      <c r="AG26" s="180" t="str">
        <f t="shared" si="2"/>
        <v/>
      </c>
      <c r="AH26" s="180" t="str">
        <f t="shared" si="3"/>
        <v/>
      </c>
      <c r="AI26" s="180" t="str">
        <f t="shared" si="20"/>
        <v/>
      </c>
      <c r="AJ26" s="180" t="str">
        <f t="shared" si="21"/>
        <v/>
      </c>
      <c r="AK26" s="180" t="str">
        <f t="shared" si="22"/>
        <v/>
      </c>
      <c r="AL26" s="184" t="str">
        <f t="shared" si="4"/>
        <v/>
      </c>
      <c r="AM26" s="187" t="str">
        <f t="shared" si="5"/>
        <v/>
      </c>
      <c r="AN26" s="197" t="str">
        <f t="shared" si="6"/>
        <v/>
      </c>
      <c r="AO26" s="198" t="str">
        <f t="shared" si="23"/>
        <v/>
      </c>
      <c r="AP26" s="198" t="str">
        <f t="shared" si="24"/>
        <v/>
      </c>
      <c r="AQ26" s="198" t="str">
        <f t="shared" si="25"/>
        <v/>
      </c>
      <c r="AR26" s="198" t="str">
        <f t="shared" si="26"/>
        <v/>
      </c>
      <c r="AS26" s="198" t="str">
        <f t="shared" si="27"/>
        <v/>
      </c>
      <c r="AT26" s="198">
        <f t="shared" si="28"/>
        <v>1008</v>
      </c>
      <c r="AU26" s="198" t="str">
        <f t="shared" si="29"/>
        <v/>
      </c>
      <c r="AV26" s="199" t="str">
        <f t="shared" si="31"/>
        <v/>
      </c>
      <c r="BE26" s="206"/>
      <c r="BF26" s="207"/>
    </row>
    <row r="27" spans="2:60" x14ac:dyDescent="0.25">
      <c r="B27" s="208" t="s">
        <v>167</v>
      </c>
      <c r="C27" s="174">
        <f t="shared" si="0"/>
        <v>2</v>
      </c>
      <c r="D27" s="175">
        <v>218</v>
      </c>
      <c r="E27" s="176">
        <f t="shared" si="8"/>
        <v>436</v>
      </c>
      <c r="F27" s="177" t="s">
        <v>34</v>
      </c>
      <c r="G27" s="193"/>
      <c r="I27" s="194"/>
      <c r="J27" s="180" t="str">
        <f t="shared" si="9"/>
        <v/>
      </c>
      <c r="K27" s="181"/>
      <c r="L27" s="180"/>
      <c r="M27" s="181"/>
      <c r="N27" s="180" t="str">
        <f t="shared" si="10"/>
        <v/>
      </c>
      <c r="O27" s="181"/>
      <c r="P27" s="180" t="str">
        <f t="shared" si="11"/>
        <v/>
      </c>
      <c r="Q27" s="181"/>
      <c r="R27" s="180" t="str">
        <f t="shared" si="12"/>
        <v/>
      </c>
      <c r="S27" s="181"/>
      <c r="T27" s="180" t="str">
        <f t="shared" si="13"/>
        <v/>
      </c>
      <c r="U27" s="195">
        <v>2</v>
      </c>
      <c r="V27" s="180">
        <f t="shared" si="14"/>
        <v>436</v>
      </c>
      <c r="W27" s="196"/>
      <c r="X27" s="180" t="str">
        <f t="shared" si="15"/>
        <v/>
      </c>
      <c r="Y27" s="181"/>
      <c r="Z27" s="180" t="str">
        <f t="shared" si="16"/>
        <v/>
      </c>
      <c r="AA27" s="196"/>
      <c r="AB27" s="184" t="str">
        <f t="shared" si="17"/>
        <v/>
      </c>
      <c r="AC27" s="185"/>
      <c r="AD27" s="186" t="str">
        <f t="shared" si="18"/>
        <v/>
      </c>
      <c r="AE27" s="180" t="str">
        <f t="shared" si="19"/>
        <v/>
      </c>
      <c r="AF27" s="180" t="str">
        <f t="shared" si="1"/>
        <v/>
      </c>
      <c r="AG27" s="180" t="str">
        <f t="shared" si="2"/>
        <v/>
      </c>
      <c r="AH27" s="180" t="str">
        <f t="shared" si="3"/>
        <v/>
      </c>
      <c r="AI27" s="180" t="str">
        <f t="shared" si="20"/>
        <v/>
      </c>
      <c r="AJ27" s="180" t="str">
        <f t="shared" si="21"/>
        <v/>
      </c>
      <c r="AK27" s="180" t="str">
        <f t="shared" si="22"/>
        <v/>
      </c>
      <c r="AL27" s="184" t="str">
        <f t="shared" si="4"/>
        <v/>
      </c>
      <c r="AM27" s="187" t="str">
        <f t="shared" si="5"/>
        <v/>
      </c>
      <c r="AN27" s="197" t="str">
        <f t="shared" si="6"/>
        <v/>
      </c>
      <c r="AO27" s="198" t="str">
        <f t="shared" si="23"/>
        <v/>
      </c>
      <c r="AP27" s="198" t="str">
        <f t="shared" si="24"/>
        <v/>
      </c>
      <c r="AQ27" s="198" t="str">
        <f t="shared" si="25"/>
        <v/>
      </c>
      <c r="AR27" s="198" t="str">
        <f t="shared" si="26"/>
        <v/>
      </c>
      <c r="AS27" s="198" t="str">
        <f t="shared" si="27"/>
        <v/>
      </c>
      <c r="AT27" s="198">
        <f t="shared" si="28"/>
        <v>436</v>
      </c>
      <c r="AU27" s="198" t="str">
        <f t="shared" si="29"/>
        <v/>
      </c>
      <c r="AV27" s="199" t="str">
        <f t="shared" si="31"/>
        <v/>
      </c>
    </row>
    <row r="28" spans="2:60" ht="15.75" thickBot="1" x14ac:dyDescent="0.3">
      <c r="B28" s="205" t="s">
        <v>168</v>
      </c>
      <c r="C28" s="174">
        <f t="shared" si="0"/>
        <v>26</v>
      </c>
      <c r="D28" s="175">
        <v>69</v>
      </c>
      <c r="E28" s="176">
        <f t="shared" si="8"/>
        <v>1794</v>
      </c>
      <c r="F28" s="177" t="s">
        <v>34</v>
      </c>
      <c r="G28" s="193"/>
      <c r="I28" s="194">
        <v>12</v>
      </c>
      <c r="J28" s="180">
        <f>IF(ISBLANK(I28),"",SUM(I28*$D28))</f>
        <v>828</v>
      </c>
      <c r="K28" s="181"/>
      <c r="L28" s="180"/>
      <c r="M28" s="181"/>
      <c r="N28" s="180" t="str">
        <f t="shared" si="10"/>
        <v/>
      </c>
      <c r="O28" s="181"/>
      <c r="P28" s="180" t="str">
        <f t="shared" si="11"/>
        <v/>
      </c>
      <c r="Q28" s="181"/>
      <c r="R28" s="180" t="str">
        <f t="shared" si="12"/>
        <v/>
      </c>
      <c r="S28" s="181"/>
      <c r="T28" s="180" t="str">
        <f t="shared" si="13"/>
        <v/>
      </c>
      <c r="U28" s="195"/>
      <c r="V28" s="180" t="str">
        <f t="shared" si="14"/>
        <v/>
      </c>
      <c r="W28" s="196"/>
      <c r="X28" s="180" t="str">
        <f t="shared" si="15"/>
        <v/>
      </c>
      <c r="Y28" s="181"/>
      <c r="Z28" s="180" t="str">
        <f t="shared" si="16"/>
        <v/>
      </c>
      <c r="AA28" s="196">
        <v>14</v>
      </c>
      <c r="AB28" s="184">
        <f t="shared" si="17"/>
        <v>966</v>
      </c>
      <c r="AC28" s="185"/>
      <c r="AD28" s="186">
        <f>IFERROR(IF(ISBLANK(AB28),"",AB28*$BH$7),"")</f>
        <v>362.44529743710956</v>
      </c>
      <c r="AE28" s="180">
        <f t="shared" si="19"/>
        <v>84.373726059571396</v>
      </c>
      <c r="AF28" s="180">
        <f t="shared" si="1"/>
        <v>107.23911987793807</v>
      </c>
      <c r="AG28" s="180">
        <f t="shared" si="2"/>
        <v>25.552612999038843</v>
      </c>
      <c r="AH28" s="180">
        <f t="shared" si="3"/>
        <v>15.708855450869835</v>
      </c>
      <c r="AI28" s="180">
        <f t="shared" si="20"/>
        <v>22.646629559932471</v>
      </c>
      <c r="AJ28" s="180">
        <f t="shared" si="21"/>
        <v>194.30156926046138</v>
      </c>
      <c r="AK28" s="180">
        <f t="shared" si="22"/>
        <v>14.879610792207048</v>
      </c>
      <c r="AL28" s="184">
        <f t="shared" si="4"/>
        <v>138.85257856287134</v>
      </c>
      <c r="AM28" s="187" t="str">
        <f t="shared" si="5"/>
        <v/>
      </c>
      <c r="AN28" s="197">
        <f t="shared" si="6"/>
        <v>1190.4452974371095</v>
      </c>
      <c r="AO28" s="198">
        <f t="shared" si="23"/>
        <v>84.373726059571396</v>
      </c>
      <c r="AP28" s="198">
        <f t="shared" si="24"/>
        <v>107.23911987793807</v>
      </c>
      <c r="AQ28" s="198">
        <f t="shared" si="25"/>
        <v>25.552612999038843</v>
      </c>
      <c r="AR28" s="198">
        <f t="shared" si="26"/>
        <v>15.708855450869835</v>
      </c>
      <c r="AS28" s="198">
        <f t="shared" si="27"/>
        <v>22.646629559932471</v>
      </c>
      <c r="AT28" s="198">
        <f t="shared" si="28"/>
        <v>194.30156926046138</v>
      </c>
      <c r="AU28" s="198">
        <f t="shared" si="29"/>
        <v>14.879610792207048</v>
      </c>
      <c r="AV28" s="199">
        <f t="shared" si="31"/>
        <v>138.85257856287134</v>
      </c>
      <c r="AW28" s="239"/>
      <c r="AX28" s="239"/>
      <c r="AY28" s="239"/>
    </row>
    <row r="29" spans="2:60" ht="15.75" thickBot="1" x14ac:dyDescent="0.3">
      <c r="B29" s="209" t="s">
        <v>169</v>
      </c>
      <c r="C29" s="210"/>
      <c r="D29" s="211"/>
      <c r="E29" s="212">
        <f>SUM(E7:E28)</f>
        <v>36461</v>
      </c>
      <c r="F29" s="213"/>
      <c r="G29" s="213"/>
      <c r="H29" s="213"/>
      <c r="I29" s="214"/>
      <c r="J29" s="215">
        <f>SUM(J7:J28)</f>
        <v>27954</v>
      </c>
      <c r="K29" s="215"/>
      <c r="L29" s="215">
        <f>SUM(L7:L28)</f>
        <v>0</v>
      </c>
      <c r="M29" s="215"/>
      <c r="N29" s="215">
        <f>SUM(N7:N28)</f>
        <v>0</v>
      </c>
      <c r="O29" s="215"/>
      <c r="P29" s="215">
        <f>SUM(P7:P28)</f>
        <v>0</v>
      </c>
      <c r="Q29" s="215"/>
      <c r="R29" s="215">
        <f>SUM(R7:R28)</f>
        <v>0</v>
      </c>
      <c r="S29" s="215"/>
      <c r="T29" s="215">
        <f>SUM(T7:T28)</f>
        <v>0</v>
      </c>
      <c r="U29" s="215"/>
      <c r="V29" s="215">
        <f>SUM(V7:V28)</f>
        <v>3604</v>
      </c>
      <c r="W29" s="216"/>
      <c r="X29" s="215">
        <f>SUM(X7:X28)</f>
        <v>3215</v>
      </c>
      <c r="Y29" s="215"/>
      <c r="Z29" s="215">
        <f>SUM(Z7:Z28)</f>
        <v>0</v>
      </c>
      <c r="AA29" s="216"/>
      <c r="AB29" s="215">
        <f>SUM(AB7:AB28)</f>
        <v>1688</v>
      </c>
      <c r="AC29" s="217"/>
      <c r="AD29" s="215">
        <f t="shared" ref="AD29:AL29" si="32">SUM(AD7:AD28)</f>
        <v>633.34126508679185</v>
      </c>
      <c r="AE29" s="215">
        <f t="shared" si="32"/>
        <v>147.43566209995498</v>
      </c>
      <c r="AF29" s="215">
        <f t="shared" si="32"/>
        <v>187.39092583225619</v>
      </c>
      <c r="AG29" s="215">
        <f t="shared" si="32"/>
        <v>44.650942797492306</v>
      </c>
      <c r="AH29" s="215">
        <f t="shared" si="32"/>
        <v>27.449842651209401</v>
      </c>
      <c r="AI29" s="215">
        <f t="shared" si="32"/>
        <v>39.572992440130449</v>
      </c>
      <c r="AJ29" s="215">
        <f t="shared" si="32"/>
        <v>339.52489535368409</v>
      </c>
      <c r="AK29" s="215">
        <f t="shared" si="32"/>
        <v>26.00081057685869</v>
      </c>
      <c r="AL29" s="215">
        <f t="shared" si="32"/>
        <v>242.63266316162196</v>
      </c>
      <c r="AM29" s="215"/>
      <c r="AN29" s="215">
        <f t="shared" ref="AN29:AV29" si="33">SUM(AN7:AN28)</f>
        <v>28587.34126508679</v>
      </c>
      <c r="AO29" s="215">
        <f t="shared" si="33"/>
        <v>147.43566209995498</v>
      </c>
      <c r="AP29" s="215">
        <f t="shared" si="33"/>
        <v>187.39092583225619</v>
      </c>
      <c r="AQ29" s="215">
        <f t="shared" si="33"/>
        <v>44.650942797492306</v>
      </c>
      <c r="AR29" s="215">
        <f t="shared" si="33"/>
        <v>27.449842651209401</v>
      </c>
      <c r="AS29" s="215">
        <f t="shared" si="33"/>
        <v>39.572992440130449</v>
      </c>
      <c r="AT29" s="215">
        <f t="shared" si="33"/>
        <v>7158.5248953536839</v>
      </c>
      <c r="AU29" s="215">
        <f t="shared" si="33"/>
        <v>26.00081057685869</v>
      </c>
      <c r="AV29" s="218">
        <f t="shared" si="33"/>
        <v>242.63266316162196</v>
      </c>
      <c r="AW29" s="240"/>
      <c r="AX29" s="239"/>
      <c r="AY29" s="239"/>
    </row>
    <row r="30" spans="2:60" ht="15.75" thickBot="1" x14ac:dyDescent="0.3">
      <c r="B30" s="219" t="s">
        <v>42</v>
      </c>
      <c r="C30" s="220"/>
      <c r="D30" s="221"/>
      <c r="E30" s="222">
        <f>E29*2.5%</f>
        <v>911.52500000000009</v>
      </c>
      <c r="F30" s="223"/>
      <c r="G30" s="223"/>
      <c r="H30" s="223"/>
      <c r="I30" s="224"/>
      <c r="J30" s="224">
        <f>$E$30*J29/$E$29</f>
        <v>698.85</v>
      </c>
      <c r="K30" s="224"/>
      <c r="L30" s="224">
        <f>$E$30*L29/$E$29</f>
        <v>0</v>
      </c>
      <c r="M30" s="224"/>
      <c r="N30" s="224">
        <f>$E$30*N29/$E$29</f>
        <v>0</v>
      </c>
      <c r="O30" s="224"/>
      <c r="P30" s="224">
        <f>$E$30*P29/$E$29</f>
        <v>0</v>
      </c>
      <c r="Q30" s="224"/>
      <c r="R30" s="224">
        <f>$E$30*R29/$E$29</f>
        <v>0</v>
      </c>
      <c r="S30" s="224"/>
      <c r="T30" s="224">
        <f>$E$30*T29/$E$29</f>
        <v>0</v>
      </c>
      <c r="U30" s="224"/>
      <c r="V30" s="224">
        <f>$E$30*V29/$E$29</f>
        <v>90.100000000000009</v>
      </c>
      <c r="W30" s="224"/>
      <c r="X30" s="224">
        <f>$E$30*X29/$E$29</f>
        <v>80.375000000000014</v>
      </c>
      <c r="Y30" s="224"/>
      <c r="Z30" s="224">
        <f>$E$30*Z29/$E$29</f>
        <v>0</v>
      </c>
      <c r="AA30" s="224"/>
      <c r="AB30" s="224">
        <f>$E$30*AB29/$E$29</f>
        <v>42.2</v>
      </c>
      <c r="AC30" s="224"/>
      <c r="AD30" s="224">
        <f>$AB$30*AD29/$AB$29</f>
        <v>15.833531627169798</v>
      </c>
      <c r="AE30" s="224">
        <f t="shared" ref="AE30:AL30" si="34">$AB$30*AE29/$AB$29</f>
        <v>3.6858915524988745</v>
      </c>
      <c r="AF30" s="224">
        <f t="shared" si="34"/>
        <v>4.684773145806405</v>
      </c>
      <c r="AG30" s="224">
        <f t="shared" si="34"/>
        <v>1.1162735699373076</v>
      </c>
      <c r="AH30" s="224">
        <f t="shared" si="34"/>
        <v>0.6862460662802351</v>
      </c>
      <c r="AI30" s="224">
        <f t="shared" si="34"/>
        <v>0.98932481100326131</v>
      </c>
      <c r="AJ30" s="224">
        <f t="shared" si="34"/>
        <v>8.4881223838421018</v>
      </c>
      <c r="AK30" s="224">
        <f t="shared" si="34"/>
        <v>0.65002026442146732</v>
      </c>
      <c r="AL30" s="224">
        <f t="shared" si="34"/>
        <v>6.0658165790405496</v>
      </c>
      <c r="AM30" s="224"/>
      <c r="AN30" s="224">
        <f>$AB$30*AN29/$AB$29</f>
        <v>714.68353162716971</v>
      </c>
      <c r="AO30" s="224">
        <f t="shared" ref="AO30:AV30" si="35">$AB$30*AO29/$AB$29</f>
        <v>3.6858915524988745</v>
      </c>
      <c r="AP30" s="224">
        <f t="shared" si="35"/>
        <v>4.684773145806405</v>
      </c>
      <c r="AQ30" s="224">
        <f t="shared" si="35"/>
        <v>1.1162735699373076</v>
      </c>
      <c r="AR30" s="224">
        <f t="shared" si="35"/>
        <v>0.6862460662802351</v>
      </c>
      <c r="AS30" s="224">
        <f t="shared" si="35"/>
        <v>0.98932481100326131</v>
      </c>
      <c r="AT30" s="224">
        <f t="shared" si="35"/>
        <v>178.96312238384209</v>
      </c>
      <c r="AU30" s="224">
        <f t="shared" si="35"/>
        <v>0.65002026442146732</v>
      </c>
      <c r="AV30" s="225">
        <f t="shared" si="35"/>
        <v>6.0658165790405496</v>
      </c>
      <c r="AW30" s="239"/>
      <c r="AX30" s="239"/>
      <c r="AY30" s="239"/>
    </row>
    <row r="31" spans="2:60" ht="15.75" thickBot="1" x14ac:dyDescent="0.3">
      <c r="B31" s="226" t="s">
        <v>170</v>
      </c>
      <c r="C31" s="227"/>
      <c r="D31" s="227"/>
      <c r="E31" s="212">
        <f>SUM(E29:E30)</f>
        <v>37372.525000000001</v>
      </c>
      <c r="F31" s="227"/>
      <c r="G31" s="227"/>
      <c r="H31" s="227"/>
      <c r="I31" s="215"/>
      <c r="J31" s="215">
        <f>SUM(J29:J30)</f>
        <v>28652.85</v>
      </c>
      <c r="K31" s="215"/>
      <c r="L31" s="215">
        <f>SUM(L29:L30)</f>
        <v>0</v>
      </c>
      <c r="M31" s="215"/>
      <c r="N31" s="215">
        <f>SUM(N29:N30)</f>
        <v>0</v>
      </c>
      <c r="O31" s="215"/>
      <c r="P31" s="215">
        <f>SUM(P29:P30)</f>
        <v>0</v>
      </c>
      <c r="Q31" s="215"/>
      <c r="R31" s="215">
        <f>SUM(R29:R30)</f>
        <v>0</v>
      </c>
      <c r="S31" s="215"/>
      <c r="T31" s="215">
        <f>SUM(T29:T30)</f>
        <v>0</v>
      </c>
      <c r="U31" s="215"/>
      <c r="V31" s="215">
        <f>SUM(V29:V30)</f>
        <v>3694.1</v>
      </c>
      <c r="W31" s="215"/>
      <c r="X31" s="215">
        <f>SUM(X29:X30)</f>
        <v>3295.375</v>
      </c>
      <c r="Y31" s="215"/>
      <c r="Z31" s="215">
        <f>SUM(Z29:Z30)</f>
        <v>0</v>
      </c>
      <c r="AA31" s="215"/>
      <c r="AB31" s="215">
        <f>SUM(AB29:AB30)</f>
        <v>1730.2</v>
      </c>
      <c r="AC31" s="217"/>
      <c r="AD31" s="215">
        <f>SUM(AD29:AD30)</f>
        <v>649.17479671396165</v>
      </c>
      <c r="AE31" s="215">
        <f t="shared" ref="AE31:AK31" si="36">SUM(AE29:AE30)</f>
        <v>151.12155365245385</v>
      </c>
      <c r="AF31" s="215">
        <f t="shared" si="36"/>
        <v>192.0756989780626</v>
      </c>
      <c r="AG31" s="215">
        <f t="shared" si="36"/>
        <v>45.767216367429612</v>
      </c>
      <c r="AH31" s="215">
        <f t="shared" si="36"/>
        <v>28.136088717489635</v>
      </c>
      <c r="AI31" s="215">
        <f t="shared" si="36"/>
        <v>40.562317251133713</v>
      </c>
      <c r="AJ31" s="215">
        <f t="shared" si="36"/>
        <v>348.01301773752618</v>
      </c>
      <c r="AK31" s="215">
        <f t="shared" si="36"/>
        <v>26.650830841280158</v>
      </c>
      <c r="AL31" s="215">
        <f>SUM(AL29:AL30)</f>
        <v>248.69847974066252</v>
      </c>
      <c r="AM31" s="215"/>
      <c r="AN31" s="215">
        <f>SUM(AN29:AN30)</f>
        <v>29302.024796713958</v>
      </c>
      <c r="AO31" s="215">
        <f t="shared" ref="AO31:AU31" si="37">SUM(AO29:AO30)</f>
        <v>151.12155365245385</v>
      </c>
      <c r="AP31" s="215">
        <f t="shared" si="37"/>
        <v>192.0756989780626</v>
      </c>
      <c r="AQ31" s="215">
        <f t="shared" si="37"/>
        <v>45.767216367429612</v>
      </c>
      <c r="AR31" s="215">
        <f t="shared" si="37"/>
        <v>28.136088717489635</v>
      </c>
      <c r="AS31" s="215">
        <f t="shared" si="37"/>
        <v>40.562317251133713</v>
      </c>
      <c r="AT31" s="215">
        <f t="shared" si="37"/>
        <v>7337.4880177375262</v>
      </c>
      <c r="AU31" s="215">
        <f t="shared" si="37"/>
        <v>26.650830841280158</v>
      </c>
      <c r="AV31" s="218">
        <f>SUM(AV29:AV30)</f>
        <v>248.69847974066252</v>
      </c>
      <c r="AW31" s="239"/>
      <c r="AX31" s="239"/>
      <c r="AY31" s="239"/>
    </row>
    <row r="32" spans="2:60" ht="15.75" thickBot="1" x14ac:dyDescent="0.3">
      <c r="B32" s="219" t="s">
        <v>171</v>
      </c>
      <c r="C32" s="228"/>
      <c r="D32" s="221"/>
      <c r="E32" s="222">
        <v>102.79813164562431</v>
      </c>
      <c r="F32" s="223"/>
      <c r="G32" s="223"/>
      <c r="H32" s="223"/>
      <c r="I32" s="224"/>
      <c r="J32" s="224">
        <f>$E$32*J29/$E$29</f>
        <v>78.813498588129278</v>
      </c>
      <c r="K32" s="224"/>
      <c r="L32" s="224">
        <f>$E$32*L29/$E$29</f>
        <v>0</v>
      </c>
      <c r="M32" s="224"/>
      <c r="N32" s="224">
        <f>$E$32*N29/$E$29</f>
        <v>0</v>
      </c>
      <c r="O32" s="224"/>
      <c r="P32" s="224">
        <f>$E$32*P29/$E$29</f>
        <v>0</v>
      </c>
      <c r="Q32" s="224"/>
      <c r="R32" s="224">
        <f>$E$32*R29/$E$29</f>
        <v>0</v>
      </c>
      <c r="S32" s="224"/>
      <c r="T32" s="224">
        <f>$E$32*T29/$E$29</f>
        <v>0</v>
      </c>
      <c r="U32" s="224"/>
      <c r="V32" s="224">
        <f>$E$32*V29/$E$29</f>
        <v>10.161116438134719</v>
      </c>
      <c r="W32" s="224"/>
      <c r="X32" s="224">
        <f>$E$32*X29/$E$29</f>
        <v>9.0643699635413775</v>
      </c>
      <c r="Y32" s="224"/>
      <c r="Z32" s="224">
        <f>$E$32*Z29/$E$29</f>
        <v>0</v>
      </c>
      <c r="AA32" s="224"/>
      <c r="AB32" s="224">
        <f>$E$32*AB29/$E$29</f>
        <v>4.7591466558189257</v>
      </c>
      <c r="AC32" s="224"/>
      <c r="AD32" s="224">
        <f t="shared" ref="AD32:AL32" si="38">$AB$32*AD29/$AB$29</f>
        <v>1.7856421586077802</v>
      </c>
      <c r="AE32" s="224">
        <f t="shared" si="38"/>
        <v>0.4156800581939869</v>
      </c>
      <c r="AF32" s="224">
        <f t="shared" si="38"/>
        <v>0.52832991587997302</v>
      </c>
      <c r="AG32" s="224">
        <f t="shared" si="38"/>
        <v>0.12588885372858274</v>
      </c>
      <c r="AH32" s="224">
        <f t="shared" si="38"/>
        <v>7.7392077521480404E-2</v>
      </c>
      <c r="AI32" s="224">
        <f t="shared" si="38"/>
        <v>0.11157208212807729</v>
      </c>
      <c r="AJ32" s="224">
        <f t="shared" si="38"/>
        <v>0.95725638050341022</v>
      </c>
      <c r="AK32" s="224">
        <f t="shared" si="38"/>
        <v>7.3306676958198091E-2</v>
      </c>
      <c r="AL32" s="224">
        <f t="shared" si="38"/>
        <v>0.68407845229743669</v>
      </c>
      <c r="AM32" s="224"/>
      <c r="AN32" s="224">
        <f>$AB$32*AN29/$AB$29</f>
        <v>80.599140746737078</v>
      </c>
      <c r="AO32" s="224">
        <f t="shared" ref="AO32:AV32" si="39">$AB$32*AO29/$AB$29</f>
        <v>0.4156800581939869</v>
      </c>
      <c r="AP32" s="224">
        <f t="shared" si="39"/>
        <v>0.52832991587997302</v>
      </c>
      <c r="AQ32" s="224">
        <f t="shared" si="39"/>
        <v>0.12588885372858274</v>
      </c>
      <c r="AR32" s="224">
        <f t="shared" si="39"/>
        <v>7.7392077521480404E-2</v>
      </c>
      <c r="AS32" s="224">
        <f t="shared" si="39"/>
        <v>0.11157208212807729</v>
      </c>
      <c r="AT32" s="224">
        <f t="shared" si="39"/>
        <v>20.18274278217951</v>
      </c>
      <c r="AU32" s="224">
        <f t="shared" si="39"/>
        <v>7.3306676958198091E-2</v>
      </c>
      <c r="AV32" s="225">
        <f t="shared" si="39"/>
        <v>0.68407845229743669</v>
      </c>
      <c r="AW32" s="239"/>
      <c r="AX32" s="239"/>
      <c r="AY32" s="239"/>
    </row>
    <row r="33" spans="2:48" ht="15.75" thickBot="1" x14ac:dyDescent="0.3">
      <c r="B33" s="226" t="s">
        <v>172</v>
      </c>
      <c r="C33" s="227"/>
      <c r="D33" s="227"/>
      <c r="E33" s="227">
        <v>0</v>
      </c>
      <c r="F33" s="227"/>
      <c r="G33" s="227"/>
      <c r="H33" s="227"/>
      <c r="I33" s="215"/>
      <c r="J33" s="217">
        <f>$E$33*J29/$E$29</f>
        <v>0</v>
      </c>
      <c r="K33" s="217"/>
      <c r="L33" s="217">
        <f>$E$33*L29/$E$29</f>
        <v>0</v>
      </c>
      <c r="M33" s="217"/>
      <c r="N33" s="217">
        <f>$E$33*N29/$E$29</f>
        <v>0</v>
      </c>
      <c r="O33" s="217"/>
      <c r="P33" s="217">
        <f>$E$33*P29/$E$29</f>
        <v>0</v>
      </c>
      <c r="Q33" s="217"/>
      <c r="R33" s="217">
        <f>$E$33*R29/$E$29</f>
        <v>0</v>
      </c>
      <c r="S33" s="217"/>
      <c r="T33" s="217">
        <f>$E$33*T29/$E$29</f>
        <v>0</v>
      </c>
      <c r="U33" s="217"/>
      <c r="V33" s="217">
        <f>$E$33*V29/$E$29</f>
        <v>0</v>
      </c>
      <c r="W33" s="215"/>
      <c r="X33" s="217">
        <f>$E$33*X29/$E$29</f>
        <v>0</v>
      </c>
      <c r="Y33" s="217"/>
      <c r="Z33" s="217">
        <f>$E$33*Z29/$E$29</f>
        <v>0</v>
      </c>
      <c r="AA33" s="215"/>
      <c r="AB33" s="217">
        <f>$E$33*AB29/$E$29</f>
        <v>0</v>
      </c>
      <c r="AC33" s="211"/>
      <c r="AD33" s="217">
        <f>$AB$33*AD29/$AB$29</f>
        <v>0</v>
      </c>
      <c r="AE33" s="217">
        <f t="shared" ref="AE33:AL33" si="40">$AB$33*AE29/$AB$29</f>
        <v>0</v>
      </c>
      <c r="AF33" s="217">
        <f t="shared" si="40"/>
        <v>0</v>
      </c>
      <c r="AG33" s="217">
        <f t="shared" si="40"/>
        <v>0</v>
      </c>
      <c r="AH33" s="217">
        <f t="shared" si="40"/>
        <v>0</v>
      </c>
      <c r="AI33" s="217">
        <f t="shared" si="40"/>
        <v>0</v>
      </c>
      <c r="AJ33" s="217">
        <f t="shared" si="40"/>
        <v>0</v>
      </c>
      <c r="AK33" s="217">
        <f t="shared" si="40"/>
        <v>0</v>
      </c>
      <c r="AL33" s="217">
        <f t="shared" si="40"/>
        <v>0</v>
      </c>
      <c r="AM33" s="211"/>
      <c r="AN33" s="217">
        <f>$AB$33*AN29/$AB$29</f>
        <v>0</v>
      </c>
      <c r="AO33" s="217">
        <f t="shared" ref="AO33:AV33" si="41">$AB$33*AO29/$AB$29</f>
        <v>0</v>
      </c>
      <c r="AP33" s="217">
        <f t="shared" si="41"/>
        <v>0</v>
      </c>
      <c r="AQ33" s="217">
        <f t="shared" si="41"/>
        <v>0</v>
      </c>
      <c r="AR33" s="217">
        <f t="shared" si="41"/>
        <v>0</v>
      </c>
      <c r="AS33" s="217">
        <f t="shared" si="41"/>
        <v>0</v>
      </c>
      <c r="AT33" s="217">
        <f t="shared" si="41"/>
        <v>0</v>
      </c>
      <c r="AU33" s="217">
        <f t="shared" si="41"/>
        <v>0</v>
      </c>
      <c r="AV33" s="229">
        <f t="shared" si="41"/>
        <v>0</v>
      </c>
    </row>
    <row r="34" spans="2:48" x14ac:dyDescent="0.25">
      <c r="B34" s="230" t="s">
        <v>173</v>
      </c>
      <c r="C34" s="231">
        <v>0.2</v>
      </c>
      <c r="D34" s="232"/>
      <c r="E34" s="233">
        <f>E31*C34</f>
        <v>7474.505000000001</v>
      </c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</row>
    <row r="35" spans="2:48" ht="15.75" thickBot="1" x14ac:dyDescent="0.3">
      <c r="B35" s="235" t="s">
        <v>174</v>
      </c>
      <c r="C35" s="236"/>
      <c r="D35" s="237"/>
      <c r="E35" s="238">
        <f>SUM(E31,E34)</f>
        <v>44847.03</v>
      </c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4"/>
      <c r="Y35" s="234"/>
      <c r="Z35" s="234"/>
      <c r="AA35" s="234"/>
      <c r="AB35" s="234"/>
    </row>
    <row r="36" spans="2:48" x14ac:dyDescent="0.25"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  <c r="AA36" s="234"/>
      <c r="AB36" s="234"/>
    </row>
    <row r="37" spans="2:48" x14ac:dyDescent="0.25">
      <c r="J37" s="234"/>
      <c r="K37" s="234"/>
      <c r="L37" s="234"/>
      <c r="M37" s="234"/>
      <c r="N37" s="234"/>
      <c r="O37" s="234"/>
      <c r="P37" s="234"/>
      <c r="Q37" s="234"/>
      <c r="R37" s="234"/>
      <c r="S37" s="234"/>
      <c r="T37" s="234"/>
      <c r="U37" s="234"/>
      <c r="V37" s="234"/>
      <c r="W37" s="234"/>
      <c r="X37" s="234"/>
      <c r="Y37" s="234"/>
      <c r="Z37" s="234"/>
      <c r="AA37" s="234"/>
      <c r="AB37" s="234"/>
    </row>
    <row r="38" spans="2:48" x14ac:dyDescent="0.25">
      <c r="E38" s="255"/>
      <c r="J38" s="234"/>
      <c r="K38" s="234"/>
      <c r="L38" s="234"/>
      <c r="M38" s="234"/>
      <c r="N38" s="234"/>
      <c r="O38" s="234"/>
      <c r="P38" s="234"/>
      <c r="Q38" s="234"/>
      <c r="R38" s="234"/>
      <c r="S38" s="234"/>
      <c r="T38" s="234"/>
      <c r="U38" s="234"/>
      <c r="V38" s="234"/>
      <c r="W38" s="234"/>
      <c r="X38" s="234"/>
      <c r="Y38" s="234"/>
      <c r="Z38" s="234"/>
      <c r="AA38" s="234"/>
      <c r="AB38" s="234"/>
    </row>
    <row r="39" spans="2:48" x14ac:dyDescent="0.25">
      <c r="J39" s="234"/>
      <c r="K39" s="234"/>
      <c r="L39" s="234"/>
      <c r="M39" s="234"/>
      <c r="N39" s="234"/>
      <c r="O39" s="234"/>
      <c r="P39" s="234"/>
      <c r="Q39" s="234"/>
      <c r="R39" s="234"/>
      <c r="S39" s="234"/>
      <c r="T39" s="234"/>
      <c r="U39" s="234"/>
      <c r="V39" s="234"/>
      <c r="W39" s="234"/>
      <c r="X39" s="234"/>
      <c r="Y39" s="234"/>
      <c r="Z39" s="234"/>
      <c r="AA39" s="234"/>
      <c r="AB39" s="234"/>
    </row>
    <row r="40" spans="2:48" x14ac:dyDescent="0.25"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</row>
    <row r="41" spans="2:48" x14ac:dyDescent="0.25"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  <c r="AA41" s="234"/>
      <c r="AB41" s="234"/>
    </row>
    <row r="42" spans="2:48" x14ac:dyDescent="0.25">
      <c r="J42" s="234"/>
      <c r="K42" s="234"/>
      <c r="L42" s="234"/>
      <c r="M42" s="234"/>
      <c r="N42" s="234"/>
      <c r="O42" s="234"/>
      <c r="P42" s="234"/>
      <c r="Q42" s="234"/>
      <c r="R42" s="234"/>
      <c r="S42" s="234"/>
      <c r="T42" s="234"/>
      <c r="U42" s="234"/>
      <c r="V42" s="234"/>
      <c r="W42" s="234"/>
      <c r="X42" s="234"/>
      <c r="Y42" s="234"/>
      <c r="Z42" s="234"/>
      <c r="AA42" s="234"/>
      <c r="AB42" s="234"/>
    </row>
    <row r="65" spans="9:9" x14ac:dyDescent="0.25">
      <c r="I65" s="185"/>
    </row>
  </sheetData>
  <mergeCells count="4">
    <mergeCell ref="B4:G4"/>
    <mergeCell ref="I4:AB4"/>
    <mergeCell ref="AD4:AJ4"/>
    <mergeCell ref="AN4:AT4"/>
  </mergeCells>
  <conditionalFormatting sqref="AG6:AH6 AJ6:AK6 AT6:AU6">
    <cfRule type="expression" dxfId="31" priority="31">
      <formula>AND($BV6&lt;&gt;"",$CE6="")</formula>
    </cfRule>
    <cfRule type="expression" dxfId="30" priority="32">
      <formula>$BV6&lt;&gt;""</formula>
    </cfRule>
  </conditionalFormatting>
  <conditionalFormatting sqref="BE19:BF25">
    <cfRule type="expression" dxfId="29" priority="29">
      <formula>AND($BV19&lt;&gt;"",$CE19="")</formula>
    </cfRule>
    <cfRule type="expression" dxfId="28" priority="30">
      <formula>$BV19&lt;&gt;""</formula>
    </cfRule>
  </conditionalFormatting>
  <conditionalFormatting sqref="AD6">
    <cfRule type="expression" dxfId="27" priority="27">
      <formula>AND($BV6&lt;&gt;"",$CE6="")</formula>
    </cfRule>
    <cfRule type="expression" dxfId="26" priority="28">
      <formula>$BV6&lt;&gt;""</formula>
    </cfRule>
  </conditionalFormatting>
  <conditionalFormatting sqref="AL6:AM6">
    <cfRule type="expression" dxfId="25" priority="25">
      <formula>AND($BV6&lt;&gt;"",$CE6="")</formula>
    </cfRule>
    <cfRule type="expression" dxfId="24" priority="26">
      <formula>$BV6&lt;&gt;""</formula>
    </cfRule>
  </conditionalFormatting>
  <conditionalFormatting sqref="AZ7:BF16">
    <cfRule type="expression" dxfId="23" priority="23">
      <formula>AND($BW7&lt;&gt;"",$CF7="")</formula>
    </cfRule>
    <cfRule type="expression" dxfId="22" priority="24">
      <formula>$BW7&lt;&gt;""</formula>
    </cfRule>
  </conditionalFormatting>
  <conditionalFormatting sqref="AI6">
    <cfRule type="expression" dxfId="21" priority="15">
      <formula>AND($BV6&lt;&gt;"",$CE6="")</formula>
    </cfRule>
    <cfRule type="expression" dxfId="20" priority="16">
      <formula>$BV6&lt;&gt;""</formula>
    </cfRule>
  </conditionalFormatting>
  <conditionalFormatting sqref="AQ6:AR6">
    <cfRule type="expression" dxfId="19" priority="13">
      <formula>AND($BV6&lt;&gt;"",$CE6="")</formula>
    </cfRule>
    <cfRule type="expression" dxfId="18" priority="14">
      <formula>$BV6&lt;&gt;""</formula>
    </cfRule>
  </conditionalFormatting>
  <conditionalFormatting sqref="AN6">
    <cfRule type="expression" dxfId="17" priority="11">
      <formula>AND($BV6&lt;&gt;"",$CE6="")</formula>
    </cfRule>
    <cfRule type="expression" dxfId="16" priority="12">
      <formula>$BV6&lt;&gt;""</formula>
    </cfRule>
  </conditionalFormatting>
  <conditionalFormatting sqref="M6">
    <cfRule type="expression" dxfId="15" priority="21">
      <formula>AND($BV6&lt;&gt;"",$CE6="")</formula>
    </cfRule>
    <cfRule type="expression" dxfId="14" priority="22">
      <formula>$BV6&lt;&gt;""</formula>
    </cfRule>
  </conditionalFormatting>
  <conditionalFormatting sqref="AS6">
    <cfRule type="expression" dxfId="13" priority="3">
      <formula>AND($BV6&lt;&gt;"",$CE6="")</formula>
    </cfRule>
    <cfRule type="expression" dxfId="12" priority="4">
      <formula>$BV6&lt;&gt;""</formula>
    </cfRule>
  </conditionalFormatting>
  <conditionalFormatting sqref="AE6">
    <cfRule type="expression" dxfId="11" priority="19">
      <formula>AND($BV6&lt;&gt;"",$CE6="")</formula>
    </cfRule>
    <cfRule type="expression" dxfId="10" priority="20">
      <formula>$BV6&lt;&gt;""</formula>
    </cfRule>
  </conditionalFormatting>
  <conditionalFormatting sqref="AF6">
    <cfRule type="expression" dxfId="9" priority="17">
      <formula>AND($BV6&lt;&gt;"",$CE6="")</formula>
    </cfRule>
    <cfRule type="expression" dxfId="8" priority="18">
      <formula>$BV6&lt;&gt;""</formula>
    </cfRule>
  </conditionalFormatting>
  <conditionalFormatting sqref="AV6">
    <cfRule type="expression" dxfId="7" priority="9">
      <formula>AND($BV6&lt;&gt;"",$CE6="")</formula>
    </cfRule>
    <cfRule type="expression" dxfId="6" priority="10">
      <formula>$BV6&lt;&gt;""</formula>
    </cfRule>
  </conditionalFormatting>
  <conditionalFormatting sqref="AO6">
    <cfRule type="expression" dxfId="5" priority="7">
      <formula>AND($BV6&lt;&gt;"",$CE6="")</formula>
    </cfRule>
    <cfRule type="expression" dxfId="4" priority="8">
      <formula>$BV6&lt;&gt;""</formula>
    </cfRule>
  </conditionalFormatting>
  <conditionalFormatting sqref="AP6">
    <cfRule type="expression" dxfId="3" priority="5">
      <formula>AND($BV6&lt;&gt;"",$CE6="")</formula>
    </cfRule>
    <cfRule type="expression" dxfId="2" priority="6">
      <formula>$BV6&lt;&gt;""</formula>
    </cfRule>
  </conditionalFormatting>
  <conditionalFormatting sqref="K6">
    <cfRule type="expression" dxfId="1" priority="1">
      <formula>AND($BV6&lt;&gt;"",$CE6="")</formula>
    </cfRule>
    <cfRule type="expression" dxfId="0" priority="2">
      <formula>$BV6&lt;&gt;""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Lisa 6.1. A_ehitus</vt:lpstr>
      <vt:lpstr>Lisa 6.1. A_sisustus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 Telk</dc:creator>
  <cp:lastModifiedBy>Siret Kuusik</cp:lastModifiedBy>
  <dcterms:created xsi:type="dcterms:W3CDTF">2020-01-02T09:47:53Z</dcterms:created>
  <dcterms:modified xsi:type="dcterms:W3CDTF">2020-04-16T14:05:48Z</dcterms:modified>
</cp:coreProperties>
</file>